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0. 30 เม.ย. 67\"/>
    </mc:Choice>
  </mc:AlternateContent>
  <xr:revisionPtr revIDLastSave="0" documentId="13_ncr:1_{5DD7A16D-7ED8-4072-A606-5893727F1698}" xr6:coauthVersionLast="47" xr6:coauthVersionMax="47" xr10:uidLastSave="{00000000-0000-0000-0000-000000000000}"/>
  <bookViews>
    <workbookView xWindow="-120" yWindow="-120" windowWidth="24240" windowHeight="13020" firstSheet="13" activeTab="16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กาญจนบุรี!$A$1:$U$789</definedName>
    <definedName name="_xlnm.Print_Area" localSheetId="0">รวมกลาง!$A$1:$U$789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  <definedName name="ฟ117">สระแก้ว!$1:$779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M22" i="22"/>
  <c r="N22" i="22"/>
  <c r="N19" i="22" s="1"/>
  <c r="Q22" i="22"/>
  <c r="R22" i="22"/>
  <c r="S22" i="22"/>
  <c r="T22" i="22"/>
  <c r="L25" i="22"/>
  <c r="M25" i="22"/>
  <c r="N25" i="22"/>
  <c r="Q25" i="22"/>
  <c r="R25" i="22"/>
  <c r="S25" i="22"/>
  <c r="Q26" i="22"/>
  <c r="R26" i="22"/>
  <c r="U26" i="22" s="1"/>
  <c r="S26" i="22"/>
  <c r="T26" i="22"/>
  <c r="R44" i="22"/>
  <c r="U44" i="22" s="1"/>
  <c r="L45" i="22"/>
  <c r="O45" i="22" s="1"/>
  <c r="M45" i="22"/>
  <c r="N45" i="22"/>
  <c r="Q45" i="22"/>
  <c r="T45" i="22" s="1"/>
  <c r="R45" i="22"/>
  <c r="U45" i="22" s="1"/>
  <c r="S45" i="22"/>
  <c r="Q46" i="22"/>
  <c r="T46" i="22" s="1"/>
  <c r="R46" i="22"/>
  <c r="U46" i="22" s="1"/>
  <c r="S46" i="22"/>
  <c r="Q47" i="22"/>
  <c r="T47" i="22" s="1"/>
  <c r="R47" i="22"/>
  <c r="U47" i="22" s="1"/>
  <c r="S47" i="22"/>
  <c r="O48" i="22"/>
  <c r="P48" i="22"/>
  <c r="T48" i="22"/>
  <c r="U48" i="22"/>
  <c r="L49" i="22"/>
  <c r="M49" i="22"/>
  <c r="N49" i="22"/>
  <c r="N47" i="22" s="1"/>
  <c r="T49" i="22"/>
  <c r="U49" i="22"/>
  <c r="Q50" i="22"/>
  <c r="T50" i="22" s="1"/>
  <c r="R50" i="22"/>
  <c r="S50" i="22"/>
  <c r="U50" i="22"/>
  <c r="O51" i="22"/>
  <c r="P51" i="22"/>
  <c r="T51" i="22"/>
  <c r="U51" i="22"/>
  <c r="L52" i="22"/>
  <c r="O52" i="22" s="1"/>
  <c r="M52" i="22"/>
  <c r="N52" i="22"/>
  <c r="N50" i="22" s="1"/>
  <c r="T52" i="22"/>
  <c r="U52" i="22"/>
  <c r="L60" i="22"/>
  <c r="O60" i="22" s="1"/>
  <c r="M60" i="22"/>
  <c r="N60" i="22"/>
  <c r="Q60" i="22"/>
  <c r="T60" i="22" s="1"/>
  <c r="R60" i="22"/>
  <c r="U60" i="22" s="1"/>
  <c r="S60" i="22"/>
  <c r="Q61" i="22"/>
  <c r="T61" i="22" s="1"/>
  <c r="R61" i="22"/>
  <c r="U61" i="22" s="1"/>
  <c r="S61" i="22"/>
  <c r="Q62" i="22"/>
  <c r="T62" i="22" s="1"/>
  <c r="R62" i="22"/>
  <c r="U62" i="22" s="1"/>
  <c r="S62" i="22"/>
  <c r="O63" i="22"/>
  <c r="P63" i="22"/>
  <c r="T63" i="22"/>
  <c r="U63" i="22"/>
  <c r="L64" i="22"/>
  <c r="L62" i="22" s="1"/>
  <c r="M64" i="22"/>
  <c r="N64" i="22"/>
  <c r="N62" i="22" s="1"/>
  <c r="T64" i="22"/>
  <c r="U64" i="22"/>
  <c r="Q65" i="22"/>
  <c r="R65" i="22"/>
  <c r="S65" i="22"/>
  <c r="T65" i="22"/>
  <c r="U65" i="22"/>
  <c r="O66" i="22"/>
  <c r="P66" i="22"/>
  <c r="T66" i="22"/>
  <c r="U66" i="22"/>
  <c r="L67" i="22"/>
  <c r="M67" i="22"/>
  <c r="N67" i="22"/>
  <c r="N65" i="22" s="1"/>
  <c r="T67" i="22"/>
  <c r="U67" i="22"/>
  <c r="L73" i="22"/>
  <c r="O73" i="22" s="1"/>
  <c r="M73" i="22"/>
  <c r="N73" i="22"/>
  <c r="Q73" i="22"/>
  <c r="R73" i="22"/>
  <c r="U73" i="22" s="1"/>
  <c r="S73" i="22"/>
  <c r="O76" i="22"/>
  <c r="P76" i="22"/>
  <c r="T76" i="22"/>
  <c r="U76" i="22"/>
  <c r="L77" i="22"/>
  <c r="L75" i="22" s="1"/>
  <c r="O75" i="22" s="1"/>
  <c r="M77" i="22"/>
  <c r="N77" i="22"/>
  <c r="N75" i="22" s="1"/>
  <c r="Q77" i="22"/>
  <c r="Q74" i="22" s="1"/>
  <c r="T74" i="22" s="1"/>
  <c r="R77" i="22"/>
  <c r="U77" i="22" s="1"/>
  <c r="S77" i="22"/>
  <c r="S74" i="22" s="1"/>
  <c r="Q78" i="22"/>
  <c r="T78" i="22" s="1"/>
  <c r="R78" i="22"/>
  <c r="U78" i="22" s="1"/>
  <c r="S78" i="22"/>
  <c r="O79" i="22"/>
  <c r="P79" i="22"/>
  <c r="T79" i="22"/>
  <c r="U79" i="22"/>
  <c r="L80" i="22"/>
  <c r="L78" i="22" s="1"/>
  <c r="O78" i="22" s="1"/>
  <c r="M80" i="22"/>
  <c r="M78" i="22" s="1"/>
  <c r="P78" i="22" s="1"/>
  <c r="N80" i="22"/>
  <c r="N78" i="22" s="1"/>
  <c r="T80" i="22"/>
  <c r="U80" i="22"/>
  <c r="J82" i="22"/>
  <c r="J70" i="22" s="1"/>
  <c r="J83" i="22"/>
  <c r="J71" i="22" s="1"/>
  <c r="I84" i="22"/>
  <c r="I85" i="22"/>
  <c r="I86" i="22"/>
  <c r="K86" i="22" s="1"/>
  <c r="I87" i="22"/>
  <c r="K87" i="22" s="1"/>
  <c r="I88" i="22"/>
  <c r="K88" i="22" s="1"/>
  <c r="I89" i="22"/>
  <c r="K89" i="22" s="1"/>
  <c r="I90" i="22"/>
  <c r="K90" i="22" s="1"/>
  <c r="J92" i="22"/>
  <c r="J93" i="22"/>
  <c r="L95" i="22"/>
  <c r="O95" i="22" s="1"/>
  <c r="M95" i="22"/>
  <c r="P95" i="22" s="1"/>
  <c r="N95" i="22"/>
  <c r="Q95" i="22"/>
  <c r="R95" i="22"/>
  <c r="U95" i="22" s="1"/>
  <c r="S95" i="22"/>
  <c r="O98" i="22"/>
  <c r="P98" i="22"/>
  <c r="T98" i="22"/>
  <c r="U98" i="22"/>
  <c r="L99" i="22"/>
  <c r="L97" i="22" s="1"/>
  <c r="O97" i="22" s="1"/>
  <c r="M99" i="22"/>
  <c r="N99" i="22"/>
  <c r="N97" i="22" s="1"/>
  <c r="Q99" i="22"/>
  <c r="Q97" i="22" s="1"/>
  <c r="T97" i="22" s="1"/>
  <c r="R99" i="22"/>
  <c r="R96" i="22" s="1"/>
  <c r="U96" i="22" s="1"/>
  <c r="S99" i="22"/>
  <c r="S96" i="22" s="1"/>
  <c r="Q100" i="22"/>
  <c r="T100" i="22" s="1"/>
  <c r="R100" i="22"/>
  <c r="U100" i="22" s="1"/>
  <c r="S100" i="22"/>
  <c r="O101" i="22"/>
  <c r="P101" i="22"/>
  <c r="T101" i="22"/>
  <c r="U101" i="22"/>
  <c r="L102" i="22"/>
  <c r="M102" i="22"/>
  <c r="M100" i="22" s="1"/>
  <c r="P100" i="22" s="1"/>
  <c r="N102" i="22"/>
  <c r="N100" i="22" s="1"/>
  <c r="T102" i="22"/>
  <c r="U102" i="22"/>
  <c r="I108" i="22"/>
  <c r="K108" i="22" s="1"/>
  <c r="I109" i="22"/>
  <c r="I93" i="22" s="1"/>
  <c r="K93" i="22" s="1"/>
  <c r="I114" i="22"/>
  <c r="K114" i="22" s="1"/>
  <c r="J116" i="22"/>
  <c r="L118" i="22"/>
  <c r="M118" i="22"/>
  <c r="N118" i="22"/>
  <c r="P118" i="22"/>
  <c r="Q118" i="22"/>
  <c r="T118" i="22" s="1"/>
  <c r="R118" i="22"/>
  <c r="S118" i="22"/>
  <c r="O121" i="22"/>
  <c r="P121" i="22"/>
  <c r="T121" i="22"/>
  <c r="U121" i="22"/>
  <c r="L122" i="22"/>
  <c r="M122" i="22"/>
  <c r="P122" i="22" s="1"/>
  <c r="N122" i="22"/>
  <c r="N120" i="22" s="1"/>
  <c r="Q122" i="22"/>
  <c r="Q120" i="22" s="1"/>
  <c r="T120" i="22" s="1"/>
  <c r="R122" i="22"/>
  <c r="R119" i="22" s="1"/>
  <c r="U119" i="22" s="1"/>
  <c r="S122" i="22"/>
  <c r="Q123" i="22"/>
  <c r="T123" i="22" s="1"/>
  <c r="R123" i="22"/>
  <c r="U123" i="22" s="1"/>
  <c r="S123" i="22"/>
  <c r="O124" i="22"/>
  <c r="P124" i="22"/>
  <c r="T124" i="22"/>
  <c r="U124" i="22"/>
  <c r="L125" i="22"/>
  <c r="O125" i="22" s="1"/>
  <c r="M125" i="22"/>
  <c r="P125" i="22" s="1"/>
  <c r="N125" i="22"/>
  <c r="N123" i="22" s="1"/>
  <c r="T125" i="22"/>
  <c r="U125" i="22"/>
  <c r="I127" i="22"/>
  <c r="I116" i="22" s="1"/>
  <c r="K116" i="22" s="1"/>
  <c r="I128" i="22"/>
  <c r="K128" i="22" s="1"/>
  <c r="I129" i="22"/>
  <c r="K129" i="22" s="1"/>
  <c r="I130" i="22"/>
  <c r="K130" i="22" s="1"/>
  <c r="J136" i="22"/>
  <c r="J137" i="22"/>
  <c r="J138" i="22"/>
  <c r="L140" i="22"/>
  <c r="M140" i="22"/>
  <c r="N140" i="22"/>
  <c r="Q140" i="22"/>
  <c r="R140" i="22"/>
  <c r="S140" i="22"/>
  <c r="T140" i="22"/>
  <c r="O143" i="22"/>
  <c r="P143" i="22"/>
  <c r="T143" i="22"/>
  <c r="U143" i="22"/>
  <c r="L144" i="22"/>
  <c r="M144" i="22"/>
  <c r="N144" i="22"/>
  <c r="N142" i="22" s="1"/>
  <c r="Q144" i="22"/>
  <c r="R144" i="22"/>
  <c r="S144" i="22"/>
  <c r="S141" i="22" s="1"/>
  <c r="Q145" i="22"/>
  <c r="T145" i="22" s="1"/>
  <c r="R145" i="22"/>
  <c r="U145" i="22" s="1"/>
  <c r="S145" i="22"/>
  <c r="O146" i="22"/>
  <c r="P146" i="22"/>
  <c r="T146" i="22"/>
  <c r="U146" i="22"/>
  <c r="L147" i="22"/>
  <c r="L145" i="22" s="1"/>
  <c r="O145" i="22" s="1"/>
  <c r="M147" i="22"/>
  <c r="M145" i="22" s="1"/>
  <c r="P145" i="22" s="1"/>
  <c r="N147" i="22"/>
  <c r="N145" i="22" s="1"/>
  <c r="T147" i="22"/>
  <c r="U147" i="22"/>
  <c r="I150" i="22"/>
  <c r="K150" i="22" s="1"/>
  <c r="I151" i="22"/>
  <c r="K151" i="22" s="1"/>
  <c r="I152" i="22"/>
  <c r="I137" i="22" s="1"/>
  <c r="K137" i="22" s="1"/>
  <c r="I153" i="22"/>
  <c r="I138" i="22" s="1"/>
  <c r="K138" i="22" s="1"/>
  <c r="I154" i="22"/>
  <c r="J156" i="22"/>
  <c r="L158" i="22"/>
  <c r="M158" i="22"/>
  <c r="P158" i="22" s="1"/>
  <c r="N158" i="22"/>
  <c r="Q158" i="22"/>
  <c r="T158" i="22" s="1"/>
  <c r="R158" i="22"/>
  <c r="S158" i="22"/>
  <c r="O161" i="22"/>
  <c r="P161" i="22"/>
  <c r="T161" i="22"/>
  <c r="U161" i="22"/>
  <c r="L162" i="22"/>
  <c r="L160" i="22" s="1"/>
  <c r="O160" i="22" s="1"/>
  <c r="M162" i="22"/>
  <c r="N162" i="22"/>
  <c r="Q162" i="22"/>
  <c r="T162" i="22" s="1"/>
  <c r="R162" i="22"/>
  <c r="R159" i="22" s="1"/>
  <c r="U159" i="22" s="1"/>
  <c r="S162" i="22"/>
  <c r="S159" i="22" s="1"/>
  <c r="S157" i="22" s="1"/>
  <c r="Q163" i="22"/>
  <c r="T163" i="22" s="1"/>
  <c r="R163" i="22"/>
  <c r="U163" i="22" s="1"/>
  <c r="S163" i="22"/>
  <c r="O164" i="22"/>
  <c r="P164" i="22"/>
  <c r="T164" i="22"/>
  <c r="U164" i="22"/>
  <c r="L165" i="22"/>
  <c r="M165" i="22"/>
  <c r="M163" i="22" s="1"/>
  <c r="P163" i="22" s="1"/>
  <c r="N165" i="22"/>
  <c r="N163" i="22" s="1"/>
  <c r="T165" i="22"/>
  <c r="U165" i="22"/>
  <c r="I167" i="22"/>
  <c r="K167" i="22" s="1"/>
  <c r="I168" i="22"/>
  <c r="K168" i="22" s="1"/>
  <c r="I169" i="22"/>
  <c r="J172" i="22"/>
  <c r="L174" i="22"/>
  <c r="M174" i="22"/>
  <c r="N174" i="22"/>
  <c r="O174" i="22"/>
  <c r="P174" i="22"/>
  <c r="Q174" i="22"/>
  <c r="T174" i="22" s="1"/>
  <c r="R174" i="22"/>
  <c r="S174" i="22"/>
  <c r="U174" i="22"/>
  <c r="O177" i="22"/>
  <c r="P177" i="22"/>
  <c r="T177" i="22"/>
  <c r="U177" i="22"/>
  <c r="L178" i="22"/>
  <c r="L176" i="22" s="1"/>
  <c r="M178" i="22"/>
  <c r="M176" i="22" s="1"/>
  <c r="N178" i="22"/>
  <c r="Q178" i="22"/>
  <c r="Q176" i="22" s="1"/>
  <c r="T176" i="22" s="1"/>
  <c r="R178" i="22"/>
  <c r="R175" i="22" s="1"/>
  <c r="U175" i="22" s="1"/>
  <c r="S178" i="22"/>
  <c r="Q179" i="22"/>
  <c r="T179" i="22" s="1"/>
  <c r="R179" i="22"/>
  <c r="U179" i="22" s="1"/>
  <c r="S179" i="22"/>
  <c r="O180" i="22"/>
  <c r="P180" i="22"/>
  <c r="T180" i="22"/>
  <c r="U180" i="22"/>
  <c r="L181" i="22"/>
  <c r="O181" i="22" s="1"/>
  <c r="M181" i="22"/>
  <c r="N181" i="22"/>
  <c r="N179" i="22" s="1"/>
  <c r="T181" i="22"/>
  <c r="U181" i="22"/>
  <c r="I183" i="22"/>
  <c r="I172" i="22" s="1"/>
  <c r="K172" i="22" s="1"/>
  <c r="K184" i="22"/>
  <c r="L187" i="22"/>
  <c r="M187" i="22"/>
  <c r="P187" i="22" s="1"/>
  <c r="N187" i="22"/>
  <c r="Q187" i="22"/>
  <c r="T187" i="22" s="1"/>
  <c r="R187" i="22"/>
  <c r="S187" i="22"/>
  <c r="U187" i="22"/>
  <c r="O190" i="22"/>
  <c r="P190" i="22"/>
  <c r="T190" i="22"/>
  <c r="U190" i="22"/>
  <c r="L191" i="22"/>
  <c r="L189" i="22" s="1"/>
  <c r="M191" i="22"/>
  <c r="N191" i="22"/>
  <c r="N189" i="22" s="1"/>
  <c r="Q191" i="22"/>
  <c r="Q188" i="22" s="1"/>
  <c r="T188" i="22" s="1"/>
  <c r="R191" i="22"/>
  <c r="R189" i="22" s="1"/>
  <c r="U189" i="22" s="1"/>
  <c r="S191" i="22"/>
  <c r="S189" i="22" s="1"/>
  <c r="Q192" i="22"/>
  <c r="T192" i="22" s="1"/>
  <c r="R192" i="22"/>
  <c r="U192" i="22" s="1"/>
  <c r="S192" i="22"/>
  <c r="O193" i="22"/>
  <c r="P193" i="22"/>
  <c r="T193" i="22"/>
  <c r="U193" i="22"/>
  <c r="L194" i="22"/>
  <c r="O194" i="22" s="1"/>
  <c r="M194" i="22"/>
  <c r="M192" i="22" s="1"/>
  <c r="P192" i="22" s="1"/>
  <c r="N194" i="22"/>
  <c r="T194" i="22"/>
  <c r="U194" i="22"/>
  <c r="J195" i="22"/>
  <c r="L196" i="22"/>
  <c r="O196" i="22" s="1"/>
  <c r="P196" i="22"/>
  <c r="I198" i="22"/>
  <c r="I195" i="22" s="1"/>
  <c r="K195" i="22" s="1"/>
  <c r="J199" i="22"/>
  <c r="J202" i="22"/>
  <c r="N203" i="22"/>
  <c r="P203" i="22"/>
  <c r="S203" i="22"/>
  <c r="U203" i="22"/>
  <c r="L204" i="22"/>
  <c r="L205" i="22"/>
  <c r="L206" i="22"/>
  <c r="Q206" i="22"/>
  <c r="Q203" i="22" s="1"/>
  <c r="T203" i="22" s="1"/>
  <c r="L207" i="22"/>
  <c r="I209" i="22"/>
  <c r="I211" i="22"/>
  <c r="K211" i="22" s="1"/>
  <c r="I212" i="22"/>
  <c r="K212" i="22" s="1"/>
  <c r="J213" i="22"/>
  <c r="N214" i="22"/>
  <c r="P214" i="22"/>
  <c r="S214" i="22"/>
  <c r="U214" i="22"/>
  <c r="L215" i="22"/>
  <c r="L216" i="22"/>
  <c r="L217" i="22"/>
  <c r="Q217" i="22"/>
  <c r="Q214" i="22" s="1"/>
  <c r="T214" i="22" s="1"/>
  <c r="I219" i="22"/>
  <c r="K219" i="22" s="1"/>
  <c r="I220" i="22"/>
  <c r="J221" i="22"/>
  <c r="N222" i="22"/>
  <c r="P222" i="22"/>
  <c r="L223" i="22"/>
  <c r="L224" i="22"/>
  <c r="L225" i="22"/>
  <c r="I228" i="22"/>
  <c r="K228" i="22" s="1"/>
  <c r="I229" i="22"/>
  <c r="I221" i="22" s="1"/>
  <c r="K221" i="22" s="1"/>
  <c r="I230" i="22"/>
  <c r="K230" i="22" s="1"/>
  <c r="N233" i="22"/>
  <c r="N234" i="22"/>
  <c r="N235" i="22"/>
  <c r="N236" i="22"/>
  <c r="J238" i="22"/>
  <c r="I240" i="22"/>
  <c r="K240" i="22" s="1"/>
  <c r="J240" i="22"/>
  <c r="I241" i="22"/>
  <c r="K241" i="22" s="1"/>
  <c r="J241" i="22"/>
  <c r="J242" i="22"/>
  <c r="N243" i="22"/>
  <c r="P243" i="22"/>
  <c r="L244" i="22"/>
  <c r="L245" i="22"/>
  <c r="L246" i="22"/>
  <c r="L247" i="22"/>
  <c r="I249" i="22"/>
  <c r="K251" i="22"/>
  <c r="K252" i="22"/>
  <c r="J253" i="22"/>
  <c r="N254" i="22"/>
  <c r="P254" i="22"/>
  <c r="L255" i="22"/>
  <c r="L256" i="22"/>
  <c r="L257" i="22"/>
  <c r="L258" i="22"/>
  <c r="I260" i="22"/>
  <c r="K262" i="22"/>
  <c r="K263" i="22"/>
  <c r="J265" i="22"/>
  <c r="L267" i="22"/>
  <c r="O267" i="22" s="1"/>
  <c r="M267" i="22"/>
  <c r="N267" i="22"/>
  <c r="Q267" i="22"/>
  <c r="T267" i="22" s="1"/>
  <c r="R267" i="22"/>
  <c r="S267" i="22"/>
  <c r="U267" i="22"/>
  <c r="O270" i="22"/>
  <c r="P270" i="22"/>
  <c r="T270" i="22"/>
  <c r="U270" i="22"/>
  <c r="L271" i="22"/>
  <c r="L269" i="22" s="1"/>
  <c r="O269" i="22" s="1"/>
  <c r="M271" i="22"/>
  <c r="M269" i="22" s="1"/>
  <c r="N271" i="22"/>
  <c r="Q271" i="22"/>
  <c r="Q269" i="22" s="1"/>
  <c r="R271" i="22"/>
  <c r="R269" i="22" s="1"/>
  <c r="S271" i="22"/>
  <c r="Q272" i="22"/>
  <c r="R272" i="22"/>
  <c r="S272" i="22"/>
  <c r="T272" i="22"/>
  <c r="U272" i="22"/>
  <c r="O273" i="22"/>
  <c r="P273" i="22"/>
  <c r="T273" i="22"/>
  <c r="U273" i="22"/>
  <c r="L274" i="22"/>
  <c r="M274" i="22"/>
  <c r="P274" i="22" s="1"/>
  <c r="N274" i="22"/>
  <c r="N272" i="22" s="1"/>
  <c r="T274" i="22"/>
  <c r="U274" i="22"/>
  <c r="I276" i="22"/>
  <c r="J281" i="22"/>
  <c r="L283" i="22"/>
  <c r="M283" i="22"/>
  <c r="N283" i="22"/>
  <c r="P283" i="22"/>
  <c r="Q283" i="22"/>
  <c r="R283" i="22"/>
  <c r="U283" i="22" s="1"/>
  <c r="S283" i="22"/>
  <c r="T283" i="22"/>
  <c r="Q284" i="22"/>
  <c r="R284" i="22"/>
  <c r="S284" i="22"/>
  <c r="T284" i="22"/>
  <c r="Q285" i="22"/>
  <c r="T285" i="22" s="1"/>
  <c r="R285" i="22"/>
  <c r="U285" i="22" s="1"/>
  <c r="S285" i="22"/>
  <c r="O286" i="22"/>
  <c r="P286" i="22"/>
  <c r="T286" i="22"/>
  <c r="U286" i="22"/>
  <c r="L287" i="22"/>
  <c r="O287" i="22" s="1"/>
  <c r="M287" i="22"/>
  <c r="M285" i="22" s="1"/>
  <c r="P285" i="22" s="1"/>
  <c r="N287" i="22"/>
  <c r="T287" i="22"/>
  <c r="U287" i="22"/>
  <c r="Q288" i="22"/>
  <c r="T288" i="22" s="1"/>
  <c r="R288" i="22"/>
  <c r="U288" i="22" s="1"/>
  <c r="S288" i="22"/>
  <c r="O289" i="22"/>
  <c r="P289" i="22"/>
  <c r="T289" i="22"/>
  <c r="U289" i="22"/>
  <c r="L290" i="22"/>
  <c r="L288" i="22" s="1"/>
  <c r="O288" i="22" s="1"/>
  <c r="M290" i="22"/>
  <c r="M288" i="22" s="1"/>
  <c r="P288" i="22" s="1"/>
  <c r="N290" i="22"/>
  <c r="N288" i="22" s="1"/>
  <c r="T290" i="22"/>
  <c r="U290" i="22"/>
  <c r="I292" i="22"/>
  <c r="I293" i="22"/>
  <c r="K293" i="22" s="1"/>
  <c r="J293" i="22"/>
  <c r="J280" i="22" s="1"/>
  <c r="I295" i="22"/>
  <c r="K295" i="22" s="1"/>
  <c r="I296" i="22"/>
  <c r="K296" i="22" s="1"/>
  <c r="J302" i="22"/>
  <c r="L304" i="22"/>
  <c r="O304" i="22" s="1"/>
  <c r="M304" i="22"/>
  <c r="N304" i="22"/>
  <c r="P304" i="22"/>
  <c r="Q304" i="22"/>
  <c r="R304" i="22"/>
  <c r="U304" i="22" s="1"/>
  <c r="S304" i="22"/>
  <c r="T304" i="22"/>
  <c r="O307" i="22"/>
  <c r="P307" i="22"/>
  <c r="T307" i="22"/>
  <c r="U307" i="22"/>
  <c r="L308" i="22"/>
  <c r="L306" i="22" s="1"/>
  <c r="O306" i="22" s="1"/>
  <c r="M308" i="22"/>
  <c r="N308" i="22"/>
  <c r="Q308" i="22"/>
  <c r="R308" i="22"/>
  <c r="U308" i="22" s="1"/>
  <c r="S308" i="22"/>
  <c r="S306" i="22" s="1"/>
  <c r="Q309" i="22"/>
  <c r="T309" i="22" s="1"/>
  <c r="R309" i="22"/>
  <c r="U309" i="22" s="1"/>
  <c r="S309" i="22"/>
  <c r="O310" i="22"/>
  <c r="P310" i="22"/>
  <c r="T310" i="22"/>
  <c r="U310" i="22"/>
  <c r="L311" i="22"/>
  <c r="O311" i="22" s="1"/>
  <c r="M311" i="22"/>
  <c r="N311" i="22"/>
  <c r="N309" i="22" s="1"/>
  <c r="T311" i="22"/>
  <c r="U311" i="22"/>
  <c r="I314" i="22"/>
  <c r="K314" i="22" s="1"/>
  <c r="J319" i="22"/>
  <c r="L321" i="22"/>
  <c r="O321" i="22" s="1"/>
  <c r="M321" i="22"/>
  <c r="P321" i="22" s="1"/>
  <c r="N321" i="22"/>
  <c r="Q321" i="22"/>
  <c r="T321" i="22" s="1"/>
  <c r="R321" i="22"/>
  <c r="R320" i="22" s="1"/>
  <c r="U320" i="22" s="1"/>
  <c r="S321" i="22"/>
  <c r="Q322" i="22"/>
  <c r="R322" i="22"/>
  <c r="U322" i="22" s="1"/>
  <c r="S322" i="22"/>
  <c r="Q323" i="22"/>
  <c r="T323" i="22" s="1"/>
  <c r="R323" i="22"/>
  <c r="U323" i="22" s="1"/>
  <c r="S323" i="22"/>
  <c r="O324" i="22"/>
  <c r="P324" i="22"/>
  <c r="T324" i="22"/>
  <c r="U324" i="22"/>
  <c r="L325" i="22"/>
  <c r="L323" i="22" s="1"/>
  <c r="O323" i="22" s="1"/>
  <c r="M325" i="22"/>
  <c r="M323" i="22" s="1"/>
  <c r="P323" i="22" s="1"/>
  <c r="N325" i="22"/>
  <c r="N323" i="22" s="1"/>
  <c r="T325" i="22"/>
  <c r="U325" i="22"/>
  <c r="Q326" i="22"/>
  <c r="R326" i="22"/>
  <c r="S326" i="22"/>
  <c r="T326" i="22"/>
  <c r="U326" i="22"/>
  <c r="O327" i="22"/>
  <c r="P327" i="22"/>
  <c r="T327" i="22"/>
  <c r="U327" i="22"/>
  <c r="L328" i="22"/>
  <c r="M328" i="22"/>
  <c r="P328" i="22" s="1"/>
  <c r="N328" i="22"/>
  <c r="T328" i="22"/>
  <c r="U328" i="22"/>
  <c r="I330" i="22"/>
  <c r="L334" i="22"/>
  <c r="O334" i="22" s="1"/>
  <c r="M334" i="22"/>
  <c r="P334" i="22" s="1"/>
  <c r="N334" i="22"/>
  <c r="Q334" i="22"/>
  <c r="R334" i="22"/>
  <c r="U334" i="22" s="1"/>
  <c r="S334" i="22"/>
  <c r="T334" i="22"/>
  <c r="Q335" i="22"/>
  <c r="T335" i="22" s="1"/>
  <c r="R335" i="22"/>
  <c r="S335" i="22"/>
  <c r="U335" i="22"/>
  <c r="Q336" i="22"/>
  <c r="R336" i="22"/>
  <c r="U336" i="22" s="1"/>
  <c r="S336" i="22"/>
  <c r="T336" i="22"/>
  <c r="O337" i="22"/>
  <c r="P337" i="22"/>
  <c r="T337" i="22"/>
  <c r="U337" i="22"/>
  <c r="L338" i="22"/>
  <c r="L336" i="22" s="1"/>
  <c r="M338" i="22"/>
  <c r="M336" i="22" s="1"/>
  <c r="N338" i="22"/>
  <c r="T338" i="22"/>
  <c r="U338" i="22"/>
  <c r="Q339" i="22"/>
  <c r="T339" i="22" s="1"/>
  <c r="R339" i="22"/>
  <c r="U339" i="22" s="1"/>
  <c r="S339" i="22"/>
  <c r="O340" i="22"/>
  <c r="P340" i="22"/>
  <c r="T340" i="22"/>
  <c r="U340" i="22"/>
  <c r="L341" i="22"/>
  <c r="M341" i="22"/>
  <c r="N341" i="22"/>
  <c r="N339" i="22" s="1"/>
  <c r="T341" i="22"/>
  <c r="U341" i="22"/>
  <c r="I344" i="22"/>
  <c r="J344" i="22"/>
  <c r="I346" i="22"/>
  <c r="J346" i="22"/>
  <c r="J347" i="22"/>
  <c r="J348" i="22"/>
  <c r="J349" i="22"/>
  <c r="D350" i="22"/>
  <c r="J352" i="22"/>
  <c r="J353" i="22"/>
  <c r="J354" i="22"/>
  <c r="L357" i="22"/>
  <c r="M357" i="22"/>
  <c r="N357" i="22"/>
  <c r="P357" i="22"/>
  <c r="Q357" i="22"/>
  <c r="R357" i="22"/>
  <c r="S357" i="22"/>
  <c r="Q358" i="22"/>
  <c r="T358" i="22" s="1"/>
  <c r="R358" i="22"/>
  <c r="U358" i="22" s="1"/>
  <c r="S358" i="22"/>
  <c r="Q359" i="22"/>
  <c r="R359" i="22"/>
  <c r="U359" i="22" s="1"/>
  <c r="S359" i="22"/>
  <c r="T359" i="22"/>
  <c r="O360" i="22"/>
  <c r="P360" i="22"/>
  <c r="T360" i="22"/>
  <c r="U360" i="22"/>
  <c r="L361" i="22"/>
  <c r="M361" i="22"/>
  <c r="N361" i="22"/>
  <c r="T361" i="22"/>
  <c r="U361" i="22"/>
  <c r="Q362" i="22"/>
  <c r="R362" i="22"/>
  <c r="U362" i="22" s="1"/>
  <c r="S362" i="22"/>
  <c r="T362" i="22"/>
  <c r="O363" i="22"/>
  <c r="P363" i="22"/>
  <c r="T363" i="22"/>
  <c r="U363" i="22"/>
  <c r="L364" i="22"/>
  <c r="O364" i="22" s="1"/>
  <c r="M364" i="22"/>
  <c r="P364" i="22" s="1"/>
  <c r="N364" i="22"/>
  <c r="N362" i="22" s="1"/>
  <c r="T364" i="22"/>
  <c r="U364" i="22"/>
  <c r="J367" i="22"/>
  <c r="K367" i="22"/>
  <c r="I368" i="22"/>
  <c r="K368" i="22" s="1"/>
  <c r="J368" i="22"/>
  <c r="I369" i="22"/>
  <c r="K369" i="22" s="1"/>
  <c r="J369" i="22"/>
  <c r="J370" i="22"/>
  <c r="K370" i="22"/>
  <c r="I371" i="22"/>
  <c r="I365" i="22" s="1"/>
  <c r="K365" i="22" s="1"/>
  <c r="J371" i="22"/>
  <c r="J365" i="22" s="1"/>
  <c r="J372" i="22"/>
  <c r="K372" i="22"/>
  <c r="D373" i="22"/>
  <c r="J374" i="22"/>
  <c r="L375" i="22"/>
  <c r="O375" i="22" s="1"/>
  <c r="L376" i="22"/>
  <c r="O376" i="22" s="1"/>
  <c r="M376" i="22"/>
  <c r="N376" i="22"/>
  <c r="Q376" i="22"/>
  <c r="T376" i="22" s="1"/>
  <c r="R376" i="22"/>
  <c r="S376" i="22"/>
  <c r="L377" i="22"/>
  <c r="O377" i="22" s="1"/>
  <c r="M377" i="22"/>
  <c r="P377" i="22" s="1"/>
  <c r="N377" i="22"/>
  <c r="L378" i="22"/>
  <c r="M378" i="22"/>
  <c r="N378" i="22"/>
  <c r="O378" i="22"/>
  <c r="P378" i="22"/>
  <c r="O379" i="22"/>
  <c r="P379" i="22"/>
  <c r="T379" i="22"/>
  <c r="U379" i="22"/>
  <c r="O380" i="22"/>
  <c r="P380" i="22"/>
  <c r="Q380" i="22"/>
  <c r="Q378" i="22" s="1"/>
  <c r="T378" i="22" s="1"/>
  <c r="R380" i="22"/>
  <c r="S380" i="22"/>
  <c r="S378" i="22" s="1"/>
  <c r="L381" i="22"/>
  <c r="O381" i="22" s="1"/>
  <c r="M381" i="22"/>
  <c r="P381" i="22" s="1"/>
  <c r="N381" i="22"/>
  <c r="Q381" i="22"/>
  <c r="R381" i="22"/>
  <c r="U381" i="22" s="1"/>
  <c r="S381" i="22"/>
  <c r="T381" i="22"/>
  <c r="O382" i="22"/>
  <c r="P382" i="22"/>
  <c r="T382" i="22"/>
  <c r="U382" i="22"/>
  <c r="O383" i="22"/>
  <c r="P383" i="22"/>
  <c r="T383" i="22"/>
  <c r="U383" i="22"/>
  <c r="I385" i="22"/>
  <c r="I374" i="22" s="1"/>
  <c r="K374" i="22" s="1"/>
  <c r="I386" i="22"/>
  <c r="K386" i="22" s="1"/>
  <c r="K387" i="22"/>
  <c r="K388" i="22"/>
  <c r="I391" i="22"/>
  <c r="J391" i="22"/>
  <c r="K391" i="22"/>
  <c r="L393" i="22"/>
  <c r="M393" i="22"/>
  <c r="N393" i="22"/>
  <c r="Q393" i="22"/>
  <c r="T393" i="22" s="1"/>
  <c r="R393" i="22"/>
  <c r="S393" i="22"/>
  <c r="S392" i="22" s="1"/>
  <c r="L394" i="22"/>
  <c r="M394" i="22"/>
  <c r="P394" i="22" s="1"/>
  <c r="N394" i="22"/>
  <c r="N392" i="22" s="1"/>
  <c r="O394" i="22"/>
  <c r="Q394" i="22"/>
  <c r="Q392" i="22" s="1"/>
  <c r="T392" i="22" s="1"/>
  <c r="R394" i="22"/>
  <c r="U394" i="22" s="1"/>
  <c r="S394" i="22"/>
  <c r="T394" i="22"/>
  <c r="L395" i="22"/>
  <c r="O395" i="22" s="1"/>
  <c r="M395" i="22"/>
  <c r="P395" i="22" s="1"/>
  <c r="N395" i="22"/>
  <c r="Q395" i="22"/>
  <c r="T395" i="22" s="1"/>
  <c r="R395" i="22"/>
  <c r="S395" i="22"/>
  <c r="U395" i="22"/>
  <c r="O396" i="22"/>
  <c r="P396" i="22"/>
  <c r="T396" i="22"/>
  <c r="U396" i="22"/>
  <c r="O397" i="22"/>
  <c r="P397" i="22"/>
  <c r="T397" i="22"/>
  <c r="U397" i="22"/>
  <c r="L398" i="22"/>
  <c r="M398" i="22"/>
  <c r="P398" i="22" s="1"/>
  <c r="N398" i="22"/>
  <c r="O398" i="22"/>
  <c r="Q398" i="22"/>
  <c r="T398" i="22" s="1"/>
  <c r="R398" i="22"/>
  <c r="S398" i="22"/>
  <c r="U398" i="22"/>
  <c r="O399" i="22"/>
  <c r="P399" i="22"/>
  <c r="T399" i="22"/>
  <c r="U399" i="22"/>
  <c r="O400" i="22"/>
  <c r="P400" i="22"/>
  <c r="T400" i="22"/>
  <c r="U400" i="22"/>
  <c r="L414" i="22"/>
  <c r="O414" i="22" s="1"/>
  <c r="M414" i="22"/>
  <c r="M413" i="22" s="1"/>
  <c r="P413" i="22" s="1"/>
  <c r="N414" i="22"/>
  <c r="N413" i="22" s="1"/>
  <c r="P414" i="22"/>
  <c r="Q414" i="22"/>
  <c r="R414" i="22"/>
  <c r="U414" i="22" s="1"/>
  <c r="S414" i="22"/>
  <c r="T414" i="22"/>
  <c r="L415" i="22"/>
  <c r="M415" i="22"/>
  <c r="N415" i="22"/>
  <c r="P415" i="22"/>
  <c r="L416" i="22"/>
  <c r="O416" i="22" s="1"/>
  <c r="M416" i="22"/>
  <c r="P416" i="22" s="1"/>
  <c r="N416" i="22"/>
  <c r="O417" i="22"/>
  <c r="P417" i="22"/>
  <c r="T417" i="22"/>
  <c r="U417" i="22"/>
  <c r="O418" i="22"/>
  <c r="P418" i="22"/>
  <c r="Q418" i="22"/>
  <c r="Q416" i="22" s="1"/>
  <c r="T416" i="22" s="1"/>
  <c r="R418" i="22"/>
  <c r="R415" i="22" s="1"/>
  <c r="S418" i="22"/>
  <c r="S415" i="22" s="1"/>
  <c r="L419" i="22"/>
  <c r="M419" i="22"/>
  <c r="P419" i="22" s="1"/>
  <c r="N419" i="22"/>
  <c r="O419" i="22"/>
  <c r="Q419" i="22"/>
  <c r="T419" i="22" s="1"/>
  <c r="R419" i="22"/>
  <c r="S419" i="22"/>
  <c r="U419" i="22"/>
  <c r="O420" i="22"/>
  <c r="P420" i="22"/>
  <c r="T420" i="22"/>
  <c r="U420" i="22"/>
  <c r="O421" i="22"/>
  <c r="P421" i="22"/>
  <c r="T421" i="22"/>
  <c r="U421" i="22"/>
  <c r="I424" i="22"/>
  <c r="K424" i="22" s="1"/>
  <c r="J424" i="22"/>
  <c r="I425" i="22"/>
  <c r="K425" i="22" s="1"/>
  <c r="J425" i="22"/>
  <c r="I432" i="22"/>
  <c r="K432" i="22" s="1"/>
  <c r="J432" i="22"/>
  <c r="I433" i="22"/>
  <c r="K433" i="22" s="1"/>
  <c r="J433" i="22"/>
  <c r="I440" i="22"/>
  <c r="I423" i="22" s="1"/>
  <c r="I441" i="22"/>
  <c r="K441" i="22" s="1"/>
  <c r="J446" i="22"/>
  <c r="J440" i="22" s="1"/>
  <c r="J423" i="22" s="1"/>
  <c r="J412" i="22" s="1"/>
  <c r="J447" i="22"/>
  <c r="J441" i="22" s="1"/>
  <c r="I457" i="22"/>
  <c r="K457" i="22" s="1"/>
  <c r="I458" i="22"/>
  <c r="K458" i="22" s="1"/>
  <c r="J459" i="22"/>
  <c r="J460" i="22"/>
  <c r="J458" i="22" s="1"/>
  <c r="J467" i="22"/>
  <c r="J457" i="22" s="1"/>
  <c r="J456" i="22" s="1"/>
  <c r="J468" i="22"/>
  <c r="J475" i="22"/>
  <c r="K475" i="22"/>
  <c r="J476" i="22"/>
  <c r="K476" i="22"/>
  <c r="J477" i="22"/>
  <c r="K477" i="22"/>
  <c r="J482" i="22"/>
  <c r="J483" i="22"/>
  <c r="I484" i="22"/>
  <c r="J484" i="22"/>
  <c r="K484" i="22"/>
  <c r="I485" i="22"/>
  <c r="K485" i="22" s="1"/>
  <c r="J485" i="22"/>
  <c r="L494" i="22"/>
  <c r="M494" i="22"/>
  <c r="N494" i="22"/>
  <c r="Q494" i="22"/>
  <c r="R494" i="22"/>
  <c r="U494" i="22" s="1"/>
  <c r="S494" i="22"/>
  <c r="L495" i="22"/>
  <c r="O495" i="22" s="1"/>
  <c r="M495" i="22"/>
  <c r="P495" i="22" s="1"/>
  <c r="N495" i="22"/>
  <c r="L496" i="22"/>
  <c r="O496" i="22" s="1"/>
  <c r="M496" i="22"/>
  <c r="N496" i="22"/>
  <c r="P496" i="22"/>
  <c r="O497" i="22"/>
  <c r="P497" i="22"/>
  <c r="T497" i="22"/>
  <c r="U497" i="22"/>
  <c r="O498" i="22"/>
  <c r="P498" i="22"/>
  <c r="Q498" i="22"/>
  <c r="R498" i="22"/>
  <c r="R496" i="22" s="1"/>
  <c r="U496" i="22" s="1"/>
  <c r="S498" i="22"/>
  <c r="L499" i="22"/>
  <c r="M499" i="22"/>
  <c r="P499" i="22" s="1"/>
  <c r="N499" i="22"/>
  <c r="O499" i="22"/>
  <c r="Q499" i="22"/>
  <c r="T499" i="22" s="1"/>
  <c r="R499" i="22"/>
  <c r="U499" i="22" s="1"/>
  <c r="S499" i="22"/>
  <c r="O500" i="22"/>
  <c r="P500" i="22"/>
  <c r="T500" i="22"/>
  <c r="U500" i="22"/>
  <c r="O501" i="22"/>
  <c r="P501" i="22"/>
  <c r="T501" i="22"/>
  <c r="U501" i="22"/>
  <c r="I503" i="22"/>
  <c r="I492" i="22" s="1"/>
  <c r="K492" i="22" s="1"/>
  <c r="I504" i="22"/>
  <c r="I505" i="22"/>
  <c r="K505" i="22" s="1"/>
  <c r="I506" i="22"/>
  <c r="K506" i="22" s="1"/>
  <c r="I507" i="22"/>
  <c r="K507" i="22" s="1"/>
  <c r="K508" i="22"/>
  <c r="I509" i="22"/>
  <c r="K509" i="22" s="1"/>
  <c r="I512" i="22"/>
  <c r="K512" i="22" s="1"/>
  <c r="J512" i="22"/>
  <c r="L514" i="22"/>
  <c r="M514" i="22"/>
  <c r="P514" i="22" s="1"/>
  <c r="N514" i="22"/>
  <c r="Q514" i="22"/>
  <c r="R514" i="22"/>
  <c r="S514" i="22"/>
  <c r="Q515" i="22"/>
  <c r="R515" i="22"/>
  <c r="U515" i="22" s="1"/>
  <c r="S515" i="22"/>
  <c r="T515" i="22"/>
  <c r="Q516" i="22"/>
  <c r="R516" i="22"/>
  <c r="S516" i="22"/>
  <c r="T516" i="22"/>
  <c r="U516" i="22"/>
  <c r="O517" i="22"/>
  <c r="P517" i="22"/>
  <c r="T517" i="22"/>
  <c r="U517" i="22"/>
  <c r="L518" i="22"/>
  <c r="O518" i="22" s="1"/>
  <c r="M518" i="22"/>
  <c r="N518" i="22"/>
  <c r="N516" i="22" s="1"/>
  <c r="T518" i="22"/>
  <c r="U518" i="22"/>
  <c r="Q519" i="22"/>
  <c r="T519" i="22" s="1"/>
  <c r="R519" i="22"/>
  <c r="U519" i="22" s="1"/>
  <c r="S519" i="22"/>
  <c r="O520" i="22"/>
  <c r="P520" i="22"/>
  <c r="T520" i="22"/>
  <c r="U520" i="22"/>
  <c r="L521" i="22"/>
  <c r="O521" i="22" s="1"/>
  <c r="M521" i="22"/>
  <c r="M519" i="22" s="1"/>
  <c r="P519" i="22" s="1"/>
  <c r="N521" i="22"/>
  <c r="N519" i="22" s="1"/>
  <c r="T521" i="22"/>
  <c r="U521" i="22"/>
  <c r="K523" i="22"/>
  <c r="K524" i="22"/>
  <c r="I533" i="22"/>
  <c r="K533" i="22" s="1"/>
  <c r="J533" i="22"/>
  <c r="Q534" i="22"/>
  <c r="T534" i="22" s="1"/>
  <c r="L535" i="22"/>
  <c r="M535" i="22"/>
  <c r="N535" i="22"/>
  <c r="Q535" i="22"/>
  <c r="T535" i="22" s="1"/>
  <c r="R535" i="22"/>
  <c r="S535" i="22"/>
  <c r="S534" i="22" s="1"/>
  <c r="L536" i="22"/>
  <c r="M536" i="22"/>
  <c r="P536" i="22" s="1"/>
  <c r="N536" i="22"/>
  <c r="O536" i="22"/>
  <c r="Q536" i="22"/>
  <c r="R536" i="22"/>
  <c r="U536" i="22" s="1"/>
  <c r="S536" i="22"/>
  <c r="T536" i="22"/>
  <c r="L537" i="22"/>
  <c r="M537" i="22"/>
  <c r="N537" i="22"/>
  <c r="O537" i="22"/>
  <c r="P537" i="22"/>
  <c r="Q537" i="22"/>
  <c r="T537" i="22" s="1"/>
  <c r="R537" i="22"/>
  <c r="S537" i="22"/>
  <c r="U537" i="22"/>
  <c r="O538" i="22"/>
  <c r="P538" i="22"/>
  <c r="T538" i="22"/>
  <c r="U538" i="22"/>
  <c r="O539" i="22"/>
  <c r="P539" i="22"/>
  <c r="T539" i="22"/>
  <c r="U539" i="22"/>
  <c r="L540" i="22"/>
  <c r="M540" i="22"/>
  <c r="N540" i="22"/>
  <c r="O540" i="22"/>
  <c r="P540" i="22"/>
  <c r="Q540" i="22"/>
  <c r="T540" i="22" s="1"/>
  <c r="R540" i="22"/>
  <c r="U540" i="22" s="1"/>
  <c r="S540" i="22"/>
  <c r="O541" i="22"/>
  <c r="P541" i="22"/>
  <c r="T541" i="22"/>
  <c r="U541" i="22"/>
  <c r="O542" i="22"/>
  <c r="P542" i="22"/>
  <c r="T542" i="22"/>
  <c r="U542" i="22"/>
  <c r="I554" i="22"/>
  <c r="K554" i="22" s="1"/>
  <c r="J554" i="22"/>
  <c r="S555" i="22"/>
  <c r="L556" i="22"/>
  <c r="O556" i="22" s="1"/>
  <c r="M556" i="22"/>
  <c r="N556" i="22"/>
  <c r="N555" i="22" s="1"/>
  <c r="Q556" i="22"/>
  <c r="Q555" i="22" s="1"/>
  <c r="T555" i="22" s="1"/>
  <c r="R556" i="22"/>
  <c r="U556" i="22" s="1"/>
  <c r="S556" i="22"/>
  <c r="L557" i="22"/>
  <c r="M557" i="22"/>
  <c r="P557" i="22" s="1"/>
  <c r="N557" i="22"/>
  <c r="Q557" i="22"/>
  <c r="T557" i="22" s="1"/>
  <c r="R557" i="22"/>
  <c r="S557" i="22"/>
  <c r="L558" i="22"/>
  <c r="O558" i="22" s="1"/>
  <c r="M558" i="22"/>
  <c r="P558" i="22" s="1"/>
  <c r="N558" i="22"/>
  <c r="Q558" i="22"/>
  <c r="T558" i="22" s="1"/>
  <c r="R558" i="22"/>
  <c r="U558" i="22" s="1"/>
  <c r="S558" i="22"/>
  <c r="O559" i="22"/>
  <c r="P559" i="22"/>
  <c r="T559" i="22"/>
  <c r="U559" i="22"/>
  <c r="O560" i="22"/>
  <c r="P560" i="22"/>
  <c r="T560" i="22"/>
  <c r="U560" i="22"/>
  <c r="L561" i="22"/>
  <c r="O561" i="22" s="1"/>
  <c r="M561" i="22"/>
  <c r="P561" i="22" s="1"/>
  <c r="N561" i="22"/>
  <c r="Q561" i="22"/>
  <c r="R561" i="22"/>
  <c r="U561" i="22" s="1"/>
  <c r="S561" i="22"/>
  <c r="T561" i="22"/>
  <c r="O562" i="22"/>
  <c r="P562" i="22"/>
  <c r="T562" i="22"/>
  <c r="U562" i="22"/>
  <c r="O563" i="22"/>
  <c r="P563" i="22"/>
  <c r="T563" i="22"/>
  <c r="U563" i="22"/>
  <c r="I575" i="22"/>
  <c r="K575" i="22" s="1"/>
  <c r="J575" i="22"/>
  <c r="Q576" i="22"/>
  <c r="T576" i="22" s="1"/>
  <c r="L577" i="22"/>
  <c r="M577" i="22"/>
  <c r="N577" i="22"/>
  <c r="Q577" i="22"/>
  <c r="T577" i="22" s="1"/>
  <c r="R577" i="22"/>
  <c r="S577" i="22"/>
  <c r="S576" i="22" s="1"/>
  <c r="L578" i="22"/>
  <c r="M578" i="22"/>
  <c r="P578" i="22" s="1"/>
  <c r="N578" i="22"/>
  <c r="O578" i="22"/>
  <c r="Q578" i="22"/>
  <c r="R578" i="22"/>
  <c r="U578" i="22" s="1"/>
  <c r="S578" i="22"/>
  <c r="T578" i="22"/>
  <c r="L579" i="22"/>
  <c r="M579" i="22"/>
  <c r="N579" i="22"/>
  <c r="O579" i="22"/>
  <c r="P579" i="22"/>
  <c r="Q579" i="22"/>
  <c r="T579" i="22" s="1"/>
  <c r="R579" i="22"/>
  <c r="S579" i="22"/>
  <c r="U579" i="22"/>
  <c r="O580" i="22"/>
  <c r="P580" i="22"/>
  <c r="T580" i="22"/>
  <c r="U580" i="22"/>
  <c r="O581" i="22"/>
  <c r="P581" i="22"/>
  <c r="T581" i="22"/>
  <c r="U581" i="22"/>
  <c r="L582" i="22"/>
  <c r="M582" i="22"/>
  <c r="P582" i="22" s="1"/>
  <c r="N582" i="22"/>
  <c r="O582" i="22"/>
  <c r="Q582" i="22"/>
  <c r="T582" i="22" s="1"/>
  <c r="R582" i="22"/>
  <c r="U582" i="22" s="1"/>
  <c r="S582" i="22"/>
  <c r="O583" i="22"/>
  <c r="P583" i="22"/>
  <c r="T583" i="22"/>
  <c r="U583" i="22"/>
  <c r="O584" i="22"/>
  <c r="P584" i="22"/>
  <c r="T584" i="22"/>
  <c r="U584" i="22"/>
  <c r="L600" i="22"/>
  <c r="M600" i="22"/>
  <c r="N600" i="22"/>
  <c r="Q600" i="22"/>
  <c r="R600" i="22"/>
  <c r="S600" i="22"/>
  <c r="L601" i="22"/>
  <c r="O601" i="22" s="1"/>
  <c r="M601" i="22"/>
  <c r="P601" i="22" s="1"/>
  <c r="N601" i="22"/>
  <c r="Q601" i="22"/>
  <c r="R601" i="22"/>
  <c r="U601" i="22" s="1"/>
  <c r="S601" i="22"/>
  <c r="T601" i="22"/>
  <c r="L602" i="22"/>
  <c r="M602" i="22"/>
  <c r="N602" i="22"/>
  <c r="O602" i="22"/>
  <c r="P602" i="22"/>
  <c r="Q602" i="22"/>
  <c r="T602" i="22" s="1"/>
  <c r="R602" i="22"/>
  <c r="U602" i="22" s="1"/>
  <c r="S602" i="22"/>
  <c r="O603" i="22"/>
  <c r="P603" i="22"/>
  <c r="T603" i="22"/>
  <c r="U603" i="22"/>
  <c r="O604" i="22"/>
  <c r="P604" i="22"/>
  <c r="T604" i="22"/>
  <c r="U604" i="22"/>
  <c r="L605" i="22"/>
  <c r="M605" i="22"/>
  <c r="P605" i="22" s="1"/>
  <c r="N605" i="22"/>
  <c r="O605" i="22"/>
  <c r="Q605" i="22"/>
  <c r="T605" i="22" s="1"/>
  <c r="R605" i="22"/>
  <c r="U605" i="22" s="1"/>
  <c r="S605" i="22"/>
  <c r="O606" i="22"/>
  <c r="P606" i="22"/>
  <c r="T606" i="22"/>
  <c r="U606" i="22"/>
  <c r="O607" i="22"/>
  <c r="P607" i="22"/>
  <c r="T607" i="22"/>
  <c r="U607" i="22"/>
  <c r="L617" i="22"/>
  <c r="M617" i="22"/>
  <c r="N617" i="22"/>
  <c r="O617" i="22"/>
  <c r="P617" i="22"/>
  <c r="Q617" i="22"/>
  <c r="R617" i="22"/>
  <c r="S617" i="22"/>
  <c r="T617" i="22"/>
  <c r="U617" i="22"/>
  <c r="L618" i="22"/>
  <c r="O618" i="22" s="1"/>
  <c r="M618" i="22"/>
  <c r="M616" i="22" s="1"/>
  <c r="P616" i="22" s="1"/>
  <c r="N618" i="22"/>
  <c r="L619" i="22"/>
  <c r="O619" i="22" s="1"/>
  <c r="M619" i="22"/>
  <c r="P619" i="22" s="1"/>
  <c r="N619" i="22"/>
  <c r="O620" i="22"/>
  <c r="P620" i="22"/>
  <c r="T620" i="22"/>
  <c r="U620" i="22"/>
  <c r="O621" i="22"/>
  <c r="P621" i="22"/>
  <c r="Q621" i="22"/>
  <c r="R621" i="22"/>
  <c r="R619" i="22" s="1"/>
  <c r="S621" i="22"/>
  <c r="S618" i="22" s="1"/>
  <c r="L622" i="22"/>
  <c r="M622" i="22"/>
  <c r="N622" i="22"/>
  <c r="O622" i="22"/>
  <c r="P622" i="22"/>
  <c r="Q622" i="22"/>
  <c r="T622" i="22" s="1"/>
  <c r="R622" i="22"/>
  <c r="S622" i="22"/>
  <c r="U622" i="22"/>
  <c r="O623" i="22"/>
  <c r="P623" i="22"/>
  <c r="T623" i="22"/>
  <c r="U623" i="22"/>
  <c r="O624" i="22"/>
  <c r="P624" i="22"/>
  <c r="T624" i="22"/>
  <c r="U624" i="22"/>
  <c r="I626" i="22"/>
  <c r="I627" i="22"/>
  <c r="K627" i="22" s="1"/>
  <c r="I628" i="22"/>
  <c r="K628" i="22" s="1"/>
  <c r="J632" i="22"/>
  <c r="J626" i="22" s="1"/>
  <c r="J615" i="22" s="1"/>
  <c r="I635" i="22"/>
  <c r="K635" i="22" s="1"/>
  <c r="J635" i="22"/>
  <c r="J636" i="22"/>
  <c r="L643" i="22"/>
  <c r="M643" i="22"/>
  <c r="N643" i="22"/>
  <c r="Q643" i="22"/>
  <c r="R643" i="22"/>
  <c r="S643" i="22"/>
  <c r="L644" i="22"/>
  <c r="O644" i="22" s="1"/>
  <c r="M644" i="22"/>
  <c r="P644" i="22" s="1"/>
  <c r="N644" i="22"/>
  <c r="N642" i="22" s="1"/>
  <c r="L645" i="22"/>
  <c r="M645" i="22"/>
  <c r="N645" i="22"/>
  <c r="O645" i="22"/>
  <c r="P645" i="22"/>
  <c r="O646" i="22"/>
  <c r="P646" i="22"/>
  <c r="T646" i="22"/>
  <c r="U646" i="22"/>
  <c r="O647" i="22"/>
  <c r="P647" i="22"/>
  <c r="Q647" i="22"/>
  <c r="Q645" i="22" s="1"/>
  <c r="R647" i="22"/>
  <c r="R644" i="22" s="1"/>
  <c r="S647" i="22"/>
  <c r="S645" i="22" s="1"/>
  <c r="L648" i="22"/>
  <c r="O648" i="22" s="1"/>
  <c r="M648" i="22"/>
  <c r="P648" i="22" s="1"/>
  <c r="N648" i="22"/>
  <c r="Q648" i="22"/>
  <c r="T648" i="22" s="1"/>
  <c r="R648" i="22"/>
  <c r="U648" i="22" s="1"/>
  <c r="S648" i="22"/>
  <c r="O649" i="22"/>
  <c r="P649" i="22"/>
  <c r="T649" i="22"/>
  <c r="U649" i="22"/>
  <c r="O650" i="22"/>
  <c r="P650" i="22"/>
  <c r="T650" i="22"/>
  <c r="U650" i="22"/>
  <c r="I652" i="22"/>
  <c r="K652" i="22" s="1"/>
  <c r="J652" i="22"/>
  <c r="I653" i="22"/>
  <c r="J653" i="22"/>
  <c r="I654" i="22"/>
  <c r="K654" i="22" s="1"/>
  <c r="J654" i="22"/>
  <c r="I657" i="22"/>
  <c r="I660" i="22"/>
  <c r="I661" i="22"/>
  <c r="J661" i="22"/>
  <c r="J671" i="22"/>
  <c r="J672" i="22"/>
  <c r="I673" i="22"/>
  <c r="K673" i="22" s="1"/>
  <c r="J673" i="22"/>
  <c r="I674" i="22"/>
  <c r="I675" i="22"/>
  <c r="I676" i="22"/>
  <c r="J676" i="22"/>
  <c r="J677" i="22"/>
  <c r="I678" i="22"/>
  <c r="J678" i="22"/>
  <c r="I679" i="22"/>
  <c r="K679" i="22" s="1"/>
  <c r="J679" i="22"/>
  <c r="J680" i="22"/>
  <c r="I681" i="22"/>
  <c r="K681" i="22" s="1"/>
  <c r="J681" i="22"/>
  <c r="I682" i="22"/>
  <c r="K682" i="22" s="1"/>
  <c r="J682" i="22"/>
  <c r="L691" i="22"/>
  <c r="M691" i="22"/>
  <c r="N691" i="22"/>
  <c r="Q691" i="22"/>
  <c r="R691" i="22"/>
  <c r="S691" i="22"/>
  <c r="L692" i="22"/>
  <c r="O692" i="22" s="1"/>
  <c r="M692" i="22"/>
  <c r="P692" i="22" s="1"/>
  <c r="N692" i="22"/>
  <c r="N690" i="22" s="1"/>
  <c r="L693" i="22"/>
  <c r="M693" i="22"/>
  <c r="P693" i="22" s="1"/>
  <c r="N693" i="22"/>
  <c r="O693" i="22"/>
  <c r="O694" i="22"/>
  <c r="P694" i="22"/>
  <c r="T694" i="22"/>
  <c r="U694" i="22"/>
  <c r="O695" i="22"/>
  <c r="P695" i="22"/>
  <c r="Q695" i="22"/>
  <c r="Q693" i="22" s="1"/>
  <c r="T693" i="22" s="1"/>
  <c r="R695" i="22"/>
  <c r="R693" i="22" s="1"/>
  <c r="U693" i="22" s="1"/>
  <c r="S695" i="22"/>
  <c r="S693" i="22" s="1"/>
  <c r="L696" i="22"/>
  <c r="O696" i="22" s="1"/>
  <c r="M696" i="22"/>
  <c r="P696" i="22" s="1"/>
  <c r="N696" i="22"/>
  <c r="Q696" i="22"/>
  <c r="T696" i="22" s="1"/>
  <c r="R696" i="22"/>
  <c r="U696" i="22" s="1"/>
  <c r="S696" i="22"/>
  <c r="O697" i="22"/>
  <c r="P697" i="22"/>
  <c r="T697" i="22"/>
  <c r="U697" i="22"/>
  <c r="O698" i="22"/>
  <c r="P698" i="22"/>
  <c r="T698" i="22"/>
  <c r="U698" i="22"/>
  <c r="I700" i="22"/>
  <c r="K700" i="22" s="1"/>
  <c r="K702" i="22"/>
  <c r="I703" i="22"/>
  <c r="J703" i="22"/>
  <c r="J704" i="22"/>
  <c r="K704" i="22"/>
  <c r="I705" i="22"/>
  <c r="K705" i="22" s="1"/>
  <c r="J705" i="22"/>
  <c r="J706" i="22"/>
  <c r="K706" i="22"/>
  <c r="I707" i="22"/>
  <c r="K707" i="22" s="1"/>
  <c r="J707" i="22"/>
  <c r="J689" i="22" s="1"/>
  <c r="J708" i="22"/>
  <c r="K708" i="22"/>
  <c r="I709" i="22"/>
  <c r="K709" i="22" s="1"/>
  <c r="J709" i="22"/>
  <c r="J710" i="22"/>
  <c r="K710" i="22"/>
  <c r="J712" i="22"/>
  <c r="K712" i="22"/>
  <c r="M714" i="22"/>
  <c r="P714" i="22" s="1"/>
  <c r="L715" i="22"/>
  <c r="O715" i="22" s="1"/>
  <c r="M715" i="22"/>
  <c r="P715" i="22" s="1"/>
  <c r="N715" i="22"/>
  <c r="Q715" i="22"/>
  <c r="R715" i="22"/>
  <c r="U715" i="22" s="1"/>
  <c r="S715" i="22"/>
  <c r="T715" i="22"/>
  <c r="L716" i="22"/>
  <c r="O716" i="22" s="1"/>
  <c r="M716" i="22"/>
  <c r="N716" i="22"/>
  <c r="P716" i="22"/>
  <c r="Q716" i="22"/>
  <c r="T716" i="22" s="1"/>
  <c r="R716" i="22"/>
  <c r="U716" i="22" s="1"/>
  <c r="S716" i="22"/>
  <c r="S714" i="22" s="1"/>
  <c r="L717" i="22"/>
  <c r="O717" i="22" s="1"/>
  <c r="M717" i="22"/>
  <c r="P717" i="22" s="1"/>
  <c r="N717" i="22"/>
  <c r="Q717" i="22"/>
  <c r="R717" i="22"/>
  <c r="U717" i="22" s="1"/>
  <c r="S717" i="22"/>
  <c r="T717" i="22"/>
  <c r="O718" i="22"/>
  <c r="P718" i="22"/>
  <c r="T718" i="22"/>
  <c r="U718" i="22"/>
  <c r="O719" i="22"/>
  <c r="P719" i="22"/>
  <c r="T719" i="22"/>
  <c r="U719" i="22"/>
  <c r="L720" i="22"/>
  <c r="O720" i="22" s="1"/>
  <c r="M720" i="22"/>
  <c r="P720" i="22" s="1"/>
  <c r="N720" i="22"/>
  <c r="Q720" i="22"/>
  <c r="R720" i="22"/>
  <c r="U720" i="22" s="1"/>
  <c r="S720" i="22"/>
  <c r="T720" i="22"/>
  <c r="O721" i="22"/>
  <c r="P721" i="22"/>
  <c r="T721" i="22"/>
  <c r="U721" i="22"/>
  <c r="O722" i="22"/>
  <c r="P722" i="22"/>
  <c r="T722" i="22"/>
  <c r="U722" i="22"/>
  <c r="I726" i="22"/>
  <c r="K726" i="22" s="1"/>
  <c r="J726" i="22"/>
  <c r="I727" i="22"/>
  <c r="K727" i="22" s="1"/>
  <c r="J727" i="22"/>
  <c r="L729" i="22"/>
  <c r="M729" i="22"/>
  <c r="M728" i="22" s="1"/>
  <c r="P728" i="22" s="1"/>
  <c r="N729" i="22"/>
  <c r="O729" i="22"/>
  <c r="Q729" i="22"/>
  <c r="R729" i="22"/>
  <c r="U729" i="22" s="1"/>
  <c r="S729" i="22"/>
  <c r="T729" i="22"/>
  <c r="L730" i="22"/>
  <c r="O730" i="22" s="1"/>
  <c r="M730" i="22"/>
  <c r="P730" i="22" s="1"/>
  <c r="N730" i="22"/>
  <c r="L731" i="22"/>
  <c r="O731" i="22" s="1"/>
  <c r="M731" i="22"/>
  <c r="P731" i="22" s="1"/>
  <c r="N731" i="22"/>
  <c r="O732" i="22"/>
  <c r="P732" i="22"/>
  <c r="T732" i="22"/>
  <c r="U732" i="22"/>
  <c r="O733" i="22"/>
  <c r="P733" i="22"/>
  <c r="Q733" i="22"/>
  <c r="R733" i="22"/>
  <c r="R731" i="22" s="1"/>
  <c r="U731" i="22" s="1"/>
  <c r="S733" i="22"/>
  <c r="S730" i="22" s="1"/>
  <c r="S728" i="22" s="1"/>
  <c r="L734" i="22"/>
  <c r="O734" i="22" s="1"/>
  <c r="M734" i="22"/>
  <c r="P734" i="22" s="1"/>
  <c r="N734" i="22"/>
  <c r="Q734" i="22"/>
  <c r="T734" i="22" s="1"/>
  <c r="R734" i="22"/>
  <c r="S734" i="22"/>
  <c r="U734" i="22"/>
  <c r="O735" i="22"/>
  <c r="P735" i="22"/>
  <c r="T735" i="22"/>
  <c r="U735" i="22"/>
  <c r="O736" i="22"/>
  <c r="P736" i="22"/>
  <c r="T736" i="22"/>
  <c r="U736" i="22"/>
  <c r="I740" i="22"/>
  <c r="K740" i="22" s="1"/>
  <c r="I742" i="22"/>
  <c r="K742" i="22" s="1"/>
  <c r="I744" i="22"/>
  <c r="K744" i="22" s="1"/>
  <c r="I746" i="22"/>
  <c r="K746" i="22" s="1"/>
  <c r="I749" i="22"/>
  <c r="K749" i="22" s="1"/>
  <c r="I752" i="22"/>
  <c r="K752" i="22" s="1"/>
  <c r="I755" i="22"/>
  <c r="K755" i="22" s="1"/>
  <c r="J758" i="22"/>
  <c r="J759" i="22"/>
  <c r="L761" i="22"/>
  <c r="M761" i="22"/>
  <c r="P761" i="22" s="1"/>
  <c r="N761" i="22"/>
  <c r="N760" i="22" s="1"/>
  <c r="O761" i="22"/>
  <c r="Q761" i="22"/>
  <c r="R761" i="22"/>
  <c r="S761" i="22"/>
  <c r="U761" i="22"/>
  <c r="L762" i="22"/>
  <c r="O762" i="22" s="1"/>
  <c r="M762" i="22"/>
  <c r="P762" i="22" s="1"/>
  <c r="N762" i="22"/>
  <c r="L763" i="22"/>
  <c r="O763" i="22" s="1"/>
  <c r="M763" i="22"/>
  <c r="P763" i="22" s="1"/>
  <c r="N763" i="22"/>
  <c r="O764" i="22"/>
  <c r="P764" i="22"/>
  <c r="T764" i="22"/>
  <c r="U764" i="22"/>
  <c r="O765" i="22"/>
  <c r="P765" i="22"/>
  <c r="Q765" i="22"/>
  <c r="Q762" i="22" s="1"/>
  <c r="R765" i="22"/>
  <c r="R763" i="22" s="1"/>
  <c r="S765" i="22"/>
  <c r="S763" i="22" s="1"/>
  <c r="L766" i="22"/>
  <c r="O766" i="22" s="1"/>
  <c r="M766" i="22"/>
  <c r="P766" i="22" s="1"/>
  <c r="N766" i="22"/>
  <c r="Q766" i="22"/>
  <c r="T766" i="22" s="1"/>
  <c r="R766" i="22"/>
  <c r="U766" i="22" s="1"/>
  <c r="S766" i="22"/>
  <c r="O767" i="22"/>
  <c r="P767" i="22"/>
  <c r="T767" i="22"/>
  <c r="U767" i="22"/>
  <c r="O768" i="22"/>
  <c r="P768" i="22"/>
  <c r="T768" i="22"/>
  <c r="U768" i="22"/>
  <c r="I770" i="22"/>
  <c r="K770" i="22" s="1"/>
  <c r="I772" i="22"/>
  <c r="I758" i="22" s="1"/>
  <c r="I774" i="22"/>
  <c r="I759" i="22" s="1"/>
  <c r="K759" i="22" s="1"/>
  <c r="I775" i="22"/>
  <c r="I776" i="22"/>
  <c r="H777" i="22"/>
  <c r="I778" i="22"/>
  <c r="J778" i="22"/>
  <c r="I779" i="22"/>
  <c r="J779" i="22"/>
  <c r="I780" i="22"/>
  <c r="J780" i="22"/>
  <c r="I781" i="22"/>
  <c r="J781" i="22"/>
  <c r="I782" i="22"/>
  <c r="J782" i="22"/>
  <c r="I783" i="22"/>
  <c r="J783" i="22"/>
  <c r="I784" i="22"/>
  <c r="J784" i="22"/>
  <c r="I785" i="22"/>
  <c r="J785" i="22"/>
  <c r="A788" i="22"/>
  <c r="A789" i="22"/>
  <c r="L22" i="21"/>
  <c r="M22" i="21"/>
  <c r="N22" i="21"/>
  <c r="O22" i="21"/>
  <c r="Q22" i="21"/>
  <c r="T22" i="21" s="1"/>
  <c r="R22" i="21"/>
  <c r="R19" i="21" s="1"/>
  <c r="S22" i="21"/>
  <c r="L25" i="21"/>
  <c r="O25" i="21" s="1"/>
  <c r="M25" i="21"/>
  <c r="N25" i="21"/>
  <c r="Q25" i="21"/>
  <c r="R25" i="21"/>
  <c r="S25" i="21"/>
  <c r="U25" i="21"/>
  <c r="Q26" i="21"/>
  <c r="T26" i="21" s="1"/>
  <c r="R26" i="21"/>
  <c r="R24" i="21" s="1"/>
  <c r="U24" i="21" s="1"/>
  <c r="S26" i="21"/>
  <c r="L45" i="21"/>
  <c r="O45" i="21" s="1"/>
  <c r="M45" i="21"/>
  <c r="N45" i="21"/>
  <c r="P45" i="21"/>
  <c r="Q45" i="21"/>
  <c r="R45" i="21"/>
  <c r="U45" i="21" s="1"/>
  <c r="S45" i="21"/>
  <c r="T45" i="21"/>
  <c r="Q46" i="21"/>
  <c r="R46" i="21"/>
  <c r="U46" i="21" s="1"/>
  <c r="S46" i="21"/>
  <c r="T46" i="21"/>
  <c r="Q47" i="21"/>
  <c r="T47" i="21" s="1"/>
  <c r="R47" i="21"/>
  <c r="U47" i="21" s="1"/>
  <c r="S47" i="21"/>
  <c r="O48" i="21"/>
  <c r="P48" i="21"/>
  <c r="T48" i="21"/>
  <c r="U48" i="21"/>
  <c r="L49" i="21"/>
  <c r="M49" i="21"/>
  <c r="M47" i="21" s="1"/>
  <c r="N49" i="21"/>
  <c r="N47" i="21" s="1"/>
  <c r="T49" i="21"/>
  <c r="U49" i="21"/>
  <c r="Q50" i="21"/>
  <c r="T50" i="21" s="1"/>
  <c r="R50" i="21"/>
  <c r="U50" i="21" s="1"/>
  <c r="S50" i="21"/>
  <c r="O51" i="21"/>
  <c r="P51" i="21"/>
  <c r="T51" i="21"/>
  <c r="U51" i="21"/>
  <c r="L52" i="21"/>
  <c r="O52" i="21" s="1"/>
  <c r="M52" i="21"/>
  <c r="N52" i="21"/>
  <c r="T52" i="21"/>
  <c r="U52" i="21"/>
  <c r="L60" i="21"/>
  <c r="O60" i="21" s="1"/>
  <c r="M60" i="21"/>
  <c r="N60" i="21"/>
  <c r="P60" i="21"/>
  <c r="Q60" i="21"/>
  <c r="Q59" i="21" s="1"/>
  <c r="T59" i="21" s="1"/>
  <c r="R60" i="21"/>
  <c r="U60" i="21" s="1"/>
  <c r="S60" i="21"/>
  <c r="Q61" i="21"/>
  <c r="R61" i="21"/>
  <c r="U61" i="21" s="1"/>
  <c r="S61" i="21"/>
  <c r="S59" i="21" s="1"/>
  <c r="T61" i="21"/>
  <c r="Q62" i="21"/>
  <c r="R62" i="21"/>
  <c r="U62" i="21" s="1"/>
  <c r="S62" i="21"/>
  <c r="T62" i="21"/>
  <c r="O63" i="21"/>
  <c r="P63" i="21"/>
  <c r="T63" i="21"/>
  <c r="U63" i="21"/>
  <c r="L64" i="21"/>
  <c r="M64" i="21"/>
  <c r="N64" i="21"/>
  <c r="N62" i="21" s="1"/>
  <c r="T64" i="21"/>
  <c r="U64" i="21"/>
  <c r="Q65" i="21"/>
  <c r="T65" i="21" s="1"/>
  <c r="R65" i="21"/>
  <c r="S65" i="21"/>
  <c r="U65" i="21"/>
  <c r="O66" i="21"/>
  <c r="P66" i="21"/>
  <c r="T66" i="21"/>
  <c r="U66" i="21"/>
  <c r="L67" i="21"/>
  <c r="L65" i="21" s="1"/>
  <c r="O65" i="21" s="1"/>
  <c r="M67" i="21"/>
  <c r="N67" i="21"/>
  <c r="N65" i="21" s="1"/>
  <c r="T67" i="21"/>
  <c r="U67" i="21"/>
  <c r="J71" i="21"/>
  <c r="L73" i="21"/>
  <c r="M73" i="21"/>
  <c r="N73" i="21"/>
  <c r="P73" i="21"/>
  <c r="Q73" i="21"/>
  <c r="R73" i="21"/>
  <c r="U73" i="21" s="1"/>
  <c r="S73" i="21"/>
  <c r="T73" i="21"/>
  <c r="O76" i="21"/>
  <c r="P76" i="21"/>
  <c r="T76" i="21"/>
  <c r="U76" i="21"/>
  <c r="L77" i="21"/>
  <c r="M77" i="21"/>
  <c r="M75" i="21" s="1"/>
  <c r="N77" i="21"/>
  <c r="N75" i="21" s="1"/>
  <c r="Q77" i="21"/>
  <c r="Q74" i="21" s="1"/>
  <c r="R77" i="21"/>
  <c r="R74" i="21" s="1"/>
  <c r="S77" i="21"/>
  <c r="S75" i="21" s="1"/>
  <c r="Q78" i="21"/>
  <c r="T78" i="21" s="1"/>
  <c r="R78" i="21"/>
  <c r="U78" i="21" s="1"/>
  <c r="S78" i="21"/>
  <c r="O79" i="21"/>
  <c r="P79" i="21"/>
  <c r="T79" i="21"/>
  <c r="U79" i="21"/>
  <c r="L80" i="21"/>
  <c r="L78" i="21" s="1"/>
  <c r="O78" i="21" s="1"/>
  <c r="M80" i="21"/>
  <c r="M78" i="21" s="1"/>
  <c r="P78" i="21" s="1"/>
  <c r="N80" i="21"/>
  <c r="N78" i="21" s="1"/>
  <c r="T80" i="21"/>
  <c r="U80" i="21"/>
  <c r="J82" i="21"/>
  <c r="J70" i="21" s="1"/>
  <c r="J83" i="21"/>
  <c r="I84" i="21"/>
  <c r="K84" i="21" s="1"/>
  <c r="I85" i="21"/>
  <c r="K85" i="21" s="1"/>
  <c r="I86" i="21"/>
  <c r="K86" i="21" s="1"/>
  <c r="I87" i="21"/>
  <c r="K87" i="21" s="1"/>
  <c r="I88" i="21"/>
  <c r="K88" i="21" s="1"/>
  <c r="I89" i="21"/>
  <c r="K89" i="21" s="1"/>
  <c r="I90" i="21"/>
  <c r="K90" i="21" s="1"/>
  <c r="J92" i="21"/>
  <c r="J93" i="21"/>
  <c r="L95" i="21"/>
  <c r="M95" i="21"/>
  <c r="P95" i="21" s="1"/>
  <c r="N95" i="21"/>
  <c r="O95" i="21"/>
  <c r="Q95" i="21"/>
  <c r="T95" i="21" s="1"/>
  <c r="R95" i="21"/>
  <c r="S95" i="21"/>
  <c r="O98" i="21"/>
  <c r="P98" i="21"/>
  <c r="T98" i="21"/>
  <c r="U98" i="21"/>
  <c r="L99" i="21"/>
  <c r="O99" i="21" s="1"/>
  <c r="M99" i="21"/>
  <c r="N99" i="21"/>
  <c r="N97" i="21" s="1"/>
  <c r="Q99" i="21"/>
  <c r="Q96" i="21" s="1"/>
  <c r="R99" i="21"/>
  <c r="R96" i="21" s="1"/>
  <c r="U96" i="21" s="1"/>
  <c r="S99" i="21"/>
  <c r="S96" i="21" s="1"/>
  <c r="S94" i="21" s="1"/>
  <c r="Q100" i="21"/>
  <c r="T100" i="21" s="1"/>
  <c r="R100" i="21"/>
  <c r="U100" i="21" s="1"/>
  <c r="S100" i="21"/>
  <c r="O101" i="21"/>
  <c r="P101" i="21"/>
  <c r="T101" i="21"/>
  <c r="U101" i="21"/>
  <c r="L102" i="21"/>
  <c r="L100" i="21" s="1"/>
  <c r="O100" i="21" s="1"/>
  <c r="M102" i="21"/>
  <c r="N102" i="21"/>
  <c r="N100" i="21" s="1"/>
  <c r="T102" i="21"/>
  <c r="U102" i="21"/>
  <c r="I108" i="21"/>
  <c r="I109" i="21"/>
  <c r="I114" i="21"/>
  <c r="K114" i="21" s="1"/>
  <c r="J116" i="21"/>
  <c r="L118" i="21"/>
  <c r="M118" i="21"/>
  <c r="P118" i="21" s="1"/>
  <c r="N118" i="21"/>
  <c r="O118" i="21"/>
  <c r="Q118" i="21"/>
  <c r="T118" i="21" s="1"/>
  <c r="R118" i="21"/>
  <c r="S118" i="21"/>
  <c r="U118" i="21"/>
  <c r="O121" i="21"/>
  <c r="P121" i="21"/>
  <c r="T121" i="21"/>
  <c r="U121" i="21"/>
  <c r="L122" i="21"/>
  <c r="O122" i="21" s="1"/>
  <c r="M122" i="21"/>
  <c r="N122" i="21"/>
  <c r="N120" i="21" s="1"/>
  <c r="Q122" i="21"/>
  <c r="R122" i="21"/>
  <c r="R119" i="21" s="1"/>
  <c r="S122" i="21"/>
  <c r="S120" i="21" s="1"/>
  <c r="Q123" i="21"/>
  <c r="T123" i="21" s="1"/>
  <c r="R123" i="21"/>
  <c r="S123" i="21"/>
  <c r="U123" i="21"/>
  <c r="O124" i="21"/>
  <c r="P124" i="21"/>
  <c r="T124" i="21"/>
  <c r="U124" i="21"/>
  <c r="L125" i="21"/>
  <c r="L123" i="21" s="1"/>
  <c r="O123" i="21" s="1"/>
  <c r="M125" i="21"/>
  <c r="P125" i="21" s="1"/>
  <c r="N125" i="21"/>
  <c r="N123" i="21" s="1"/>
  <c r="T125" i="21"/>
  <c r="U125" i="21"/>
  <c r="I127" i="21"/>
  <c r="K127" i="21" s="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P140" i="21" s="1"/>
  <c r="N140" i="21"/>
  <c r="O140" i="21"/>
  <c r="Q140" i="21"/>
  <c r="T140" i="21" s="1"/>
  <c r="R140" i="21"/>
  <c r="U140" i="21" s="1"/>
  <c r="S140" i="21"/>
  <c r="O143" i="21"/>
  <c r="P143" i="21"/>
  <c r="T143" i="21"/>
  <c r="U143" i="21"/>
  <c r="L144" i="21"/>
  <c r="M144" i="21"/>
  <c r="P144" i="21" s="1"/>
  <c r="N144" i="21"/>
  <c r="Q144" i="21"/>
  <c r="R144" i="21"/>
  <c r="R142" i="21" s="1"/>
  <c r="U142" i="21" s="1"/>
  <c r="S144" i="21"/>
  <c r="S141" i="21" s="1"/>
  <c r="Q145" i="21"/>
  <c r="T145" i="21" s="1"/>
  <c r="R145" i="21"/>
  <c r="S145" i="21"/>
  <c r="U145" i="21"/>
  <c r="O146" i="21"/>
  <c r="P146" i="21"/>
  <c r="T146" i="21"/>
  <c r="U146" i="21"/>
  <c r="L147" i="21"/>
  <c r="L145" i="21" s="1"/>
  <c r="O145" i="21" s="1"/>
  <c r="M147" i="21"/>
  <c r="N147" i="21"/>
  <c r="N145" i="21" s="1"/>
  <c r="T147" i="21"/>
  <c r="U147" i="21"/>
  <c r="I150" i="21"/>
  <c r="K150" i="21" s="1"/>
  <c r="I151" i="21"/>
  <c r="K151" i="21" s="1"/>
  <c r="I152" i="21"/>
  <c r="I153" i="21"/>
  <c r="K153" i="21" s="1"/>
  <c r="I154" i="21"/>
  <c r="K154" i="21" s="1"/>
  <c r="J156" i="21"/>
  <c r="L158" i="21"/>
  <c r="O158" i="21" s="1"/>
  <c r="M158" i="21"/>
  <c r="P158" i="21" s="1"/>
  <c r="N158" i="21"/>
  <c r="Q158" i="21"/>
  <c r="R158" i="21"/>
  <c r="S158" i="21"/>
  <c r="O161" i="21"/>
  <c r="P161" i="21"/>
  <c r="T161" i="21"/>
  <c r="U161" i="21"/>
  <c r="L162" i="21"/>
  <c r="M162" i="21"/>
  <c r="M160" i="21" s="1"/>
  <c r="N162" i="21"/>
  <c r="N160" i="21" s="1"/>
  <c r="Q162" i="21"/>
  <c r="R162" i="21"/>
  <c r="R159" i="21" s="1"/>
  <c r="U159" i="21" s="1"/>
  <c r="S162" i="21"/>
  <c r="S159" i="21" s="1"/>
  <c r="S157" i="21" s="1"/>
  <c r="Q163" i="21"/>
  <c r="T163" i="21" s="1"/>
  <c r="R163" i="21"/>
  <c r="S163" i="21"/>
  <c r="U163" i="21"/>
  <c r="O164" i="21"/>
  <c r="P164" i="21"/>
  <c r="T164" i="21"/>
  <c r="U164" i="21"/>
  <c r="L165" i="21"/>
  <c r="L163" i="21" s="1"/>
  <c r="O163" i="21" s="1"/>
  <c r="M165" i="21"/>
  <c r="N165" i="21"/>
  <c r="N163" i="21" s="1"/>
  <c r="T165" i="21"/>
  <c r="U165" i="21"/>
  <c r="I167" i="21"/>
  <c r="I169" i="21" s="1"/>
  <c r="K169" i="21" s="1"/>
  <c r="J172" i="21"/>
  <c r="L174" i="21"/>
  <c r="M174" i="21"/>
  <c r="P174" i="21" s="1"/>
  <c r="N174" i="21"/>
  <c r="Q174" i="21"/>
  <c r="T174" i="21" s="1"/>
  <c r="R174" i="21"/>
  <c r="U174" i="21" s="1"/>
  <c r="S174" i="21"/>
  <c r="O177" i="21"/>
  <c r="P177" i="21"/>
  <c r="T177" i="21"/>
  <c r="U177" i="21"/>
  <c r="L178" i="21"/>
  <c r="M178" i="21"/>
  <c r="M176" i="21" s="1"/>
  <c r="N178" i="21"/>
  <c r="N176" i="21" s="1"/>
  <c r="Q178" i="21"/>
  <c r="Q176" i="21" s="1"/>
  <c r="T176" i="21" s="1"/>
  <c r="R178" i="21"/>
  <c r="U178" i="21" s="1"/>
  <c r="S178" i="21"/>
  <c r="S176" i="21" s="1"/>
  <c r="Q179" i="21"/>
  <c r="T179" i="21" s="1"/>
  <c r="R179" i="21"/>
  <c r="U179" i="21" s="1"/>
  <c r="S179" i="21"/>
  <c r="O180" i="21"/>
  <c r="P180" i="21"/>
  <c r="T180" i="21"/>
  <c r="U180" i="21"/>
  <c r="L181" i="21"/>
  <c r="M181" i="21"/>
  <c r="P181" i="21" s="1"/>
  <c r="N181" i="21"/>
  <c r="T181" i="21"/>
  <c r="U181" i="21"/>
  <c r="I183" i="21"/>
  <c r="K184" i="21"/>
  <c r="L187" i="21"/>
  <c r="O187" i="21" s="1"/>
  <c r="M187" i="21"/>
  <c r="P187" i="21" s="1"/>
  <c r="N187" i="21"/>
  <c r="Q187" i="21"/>
  <c r="R187" i="21"/>
  <c r="S187" i="21"/>
  <c r="T187" i="21"/>
  <c r="O190" i="21"/>
  <c r="P190" i="21"/>
  <c r="T190" i="21"/>
  <c r="U190" i="21"/>
  <c r="L191" i="21"/>
  <c r="L189" i="21" s="1"/>
  <c r="M191" i="21"/>
  <c r="N191" i="21"/>
  <c r="Q191" i="21"/>
  <c r="Q188" i="21" s="1"/>
  <c r="R191" i="21"/>
  <c r="S191" i="21"/>
  <c r="S188" i="21" s="1"/>
  <c r="S186" i="21" s="1"/>
  <c r="Q192" i="21"/>
  <c r="T192" i="21" s="1"/>
  <c r="R192" i="21"/>
  <c r="U192" i="21" s="1"/>
  <c r="S192" i="21"/>
  <c r="O193" i="21"/>
  <c r="P193" i="21"/>
  <c r="T193" i="21"/>
  <c r="U193" i="21"/>
  <c r="L194" i="21"/>
  <c r="L192" i="21" s="1"/>
  <c r="O192" i="21" s="1"/>
  <c r="M194" i="21"/>
  <c r="N194" i="21"/>
  <c r="N192" i="21" s="1"/>
  <c r="T194" i="21"/>
  <c r="U194" i="21"/>
  <c r="J195" i="21"/>
  <c r="L196" i="21"/>
  <c r="O196" i="21" s="1"/>
  <c r="P196" i="21"/>
  <c r="I198" i="21"/>
  <c r="J199" i="21"/>
  <c r="J202" i="21"/>
  <c r="N203" i="21"/>
  <c r="P203" i="21"/>
  <c r="S203" i="21"/>
  <c r="U203" i="21"/>
  <c r="L204" i="21"/>
  <c r="L205" i="21"/>
  <c r="L206" i="21"/>
  <c r="Q206" i="21"/>
  <c r="Q203" i="21" s="1"/>
  <c r="T203" i="21" s="1"/>
  <c r="L207" i="21"/>
  <c r="I209" i="2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T214" i="21" s="1"/>
  <c r="I219" i="21"/>
  <c r="K219" i="21" s="1"/>
  <c r="I220" i="21"/>
  <c r="I213" i="21" s="1"/>
  <c r="K213" i="21" s="1"/>
  <c r="J221" i="21"/>
  <c r="N222" i="21"/>
  <c r="P222" i="21"/>
  <c r="L223" i="21"/>
  <c r="L224" i="21"/>
  <c r="L225" i="21"/>
  <c r="I228" i="21"/>
  <c r="K228" i="21" s="1"/>
  <c r="I229" i="21"/>
  <c r="I221" i="21" s="1"/>
  <c r="K221" i="21" s="1"/>
  <c r="I230" i="21"/>
  <c r="K230" i="21" s="1"/>
  <c r="N233" i="21"/>
  <c r="N234" i="21"/>
  <c r="N235" i="21"/>
  <c r="N236" i="21"/>
  <c r="J238" i="21"/>
  <c r="I240" i="21"/>
  <c r="K240" i="21" s="1"/>
  <c r="J240" i="21"/>
  <c r="I241" i="21"/>
  <c r="K241" i="21" s="1"/>
  <c r="J241" i="21"/>
  <c r="J242" i="21"/>
  <c r="J231" i="21" s="1"/>
  <c r="J185" i="21" s="1"/>
  <c r="N243" i="21"/>
  <c r="P243" i="21"/>
  <c r="L244" i="21"/>
  <c r="L245" i="21"/>
  <c r="L246" i="21"/>
  <c r="L247" i="21"/>
  <c r="I249" i="21"/>
  <c r="I242" i="21" s="1"/>
  <c r="K242" i="21" s="1"/>
  <c r="K251" i="21"/>
  <c r="K252" i="21"/>
  <c r="J253" i="21"/>
  <c r="N254" i="21"/>
  <c r="P254" i="21"/>
  <c r="L255" i="21"/>
  <c r="L256" i="21"/>
  <c r="L257" i="21"/>
  <c r="L258" i="21"/>
  <c r="I260" i="21"/>
  <c r="I253" i="21" s="1"/>
  <c r="K253" i="21" s="1"/>
  <c r="K262" i="21"/>
  <c r="K263" i="21"/>
  <c r="J265" i="21"/>
  <c r="L267" i="21"/>
  <c r="O267" i="21" s="1"/>
  <c r="M267" i="21"/>
  <c r="P267" i="21" s="1"/>
  <c r="N267" i="21"/>
  <c r="Q267" i="21"/>
  <c r="R267" i="21"/>
  <c r="S267" i="21"/>
  <c r="T267" i="21"/>
  <c r="U267" i="21"/>
  <c r="O270" i="21"/>
  <c r="P270" i="21"/>
  <c r="T270" i="21"/>
  <c r="U270" i="21"/>
  <c r="L271" i="21"/>
  <c r="M271" i="21"/>
  <c r="M269" i="21" s="1"/>
  <c r="N271" i="21"/>
  <c r="Q271" i="21"/>
  <c r="R271" i="21"/>
  <c r="S271" i="21"/>
  <c r="Q272" i="21"/>
  <c r="T272" i="21" s="1"/>
  <c r="R272" i="21"/>
  <c r="U272" i="21" s="1"/>
  <c r="S272" i="21"/>
  <c r="O273" i="21"/>
  <c r="P273" i="21"/>
  <c r="T273" i="21"/>
  <c r="U273" i="21"/>
  <c r="L274" i="21"/>
  <c r="M274" i="21"/>
  <c r="M272" i="21" s="1"/>
  <c r="P272" i="21" s="1"/>
  <c r="N274" i="21"/>
  <c r="N272" i="21" s="1"/>
  <c r="T274" i="21"/>
  <c r="U274" i="21"/>
  <c r="I276" i="21"/>
  <c r="I265" i="21" s="1"/>
  <c r="K265" i="21" s="1"/>
  <c r="J280" i="21"/>
  <c r="J281" i="21"/>
  <c r="L283" i="21"/>
  <c r="O283" i="21" s="1"/>
  <c r="M283" i="21"/>
  <c r="P283" i="21" s="1"/>
  <c r="N283" i="21"/>
  <c r="Q283" i="21"/>
  <c r="R283" i="21"/>
  <c r="U283" i="21" s="1"/>
  <c r="S283" i="21"/>
  <c r="Q284" i="21"/>
  <c r="T284" i="21" s="1"/>
  <c r="R284" i="21"/>
  <c r="U284" i="21" s="1"/>
  <c r="S284" i="21"/>
  <c r="Q285" i="21"/>
  <c r="T285" i="21" s="1"/>
  <c r="R285" i="21"/>
  <c r="S285" i="21"/>
  <c r="U285" i="21"/>
  <c r="O286" i="21"/>
  <c r="P286" i="21"/>
  <c r="T286" i="21"/>
  <c r="U286" i="21"/>
  <c r="L287" i="21"/>
  <c r="M287" i="21"/>
  <c r="M285" i="21" s="1"/>
  <c r="N287" i="21"/>
  <c r="N285" i="21" s="1"/>
  <c r="T287" i="21"/>
  <c r="U287" i="21"/>
  <c r="Q288" i="21"/>
  <c r="T288" i="21" s="1"/>
  <c r="R288" i="21"/>
  <c r="U288" i="21" s="1"/>
  <c r="S288" i="21"/>
  <c r="O289" i="21"/>
  <c r="P289" i="21"/>
  <c r="T289" i="21"/>
  <c r="U289" i="21"/>
  <c r="L290" i="21"/>
  <c r="O290" i="21" s="1"/>
  <c r="M290" i="21"/>
  <c r="N290" i="21"/>
  <c r="N288" i="21" s="1"/>
  <c r="T290" i="21"/>
  <c r="U290" i="21"/>
  <c r="I292" i="21"/>
  <c r="I293" i="21"/>
  <c r="K293" i="21" s="1"/>
  <c r="J293" i="21"/>
  <c r="I295" i="21"/>
  <c r="K295" i="21" s="1"/>
  <c r="I296" i="21"/>
  <c r="K296" i="21" s="1"/>
  <c r="J302" i="21"/>
  <c r="L304" i="21"/>
  <c r="O304" i="21" s="1"/>
  <c r="M304" i="21"/>
  <c r="P304" i="21" s="1"/>
  <c r="N304" i="21"/>
  <c r="Q304" i="21"/>
  <c r="R304" i="21"/>
  <c r="U304" i="21" s="1"/>
  <c r="S304" i="21"/>
  <c r="T304" i="21"/>
  <c r="O307" i="21"/>
  <c r="P307" i="21"/>
  <c r="T307" i="21"/>
  <c r="U307" i="21"/>
  <c r="L308" i="21"/>
  <c r="M308" i="21"/>
  <c r="N308" i="21"/>
  <c r="Q308" i="21"/>
  <c r="R308" i="21"/>
  <c r="R306" i="21" s="1"/>
  <c r="S308" i="21"/>
  <c r="S305" i="21" s="1"/>
  <c r="Q309" i="21"/>
  <c r="T309" i="21" s="1"/>
  <c r="R309" i="21"/>
  <c r="S309" i="21"/>
  <c r="U309" i="21"/>
  <c r="O310" i="21"/>
  <c r="P310" i="21"/>
  <c r="T310" i="21"/>
  <c r="U310" i="21"/>
  <c r="L311" i="21"/>
  <c r="M311" i="21"/>
  <c r="P311" i="21" s="1"/>
  <c r="N311" i="21"/>
  <c r="N309" i="21" s="1"/>
  <c r="T311" i="21"/>
  <c r="U311" i="21"/>
  <c r="I314" i="21"/>
  <c r="K314" i="21" s="1"/>
  <c r="J319" i="21"/>
  <c r="L321" i="21"/>
  <c r="O321" i="21" s="1"/>
  <c r="M321" i="21"/>
  <c r="P321" i="21" s="1"/>
  <c r="N321" i="21"/>
  <c r="Q321" i="21"/>
  <c r="T321" i="21" s="1"/>
  <c r="R321" i="21"/>
  <c r="U321" i="21" s="1"/>
  <c r="S321" i="21"/>
  <c r="S320" i="21" s="1"/>
  <c r="Q322" i="21"/>
  <c r="R322" i="21"/>
  <c r="U322" i="21" s="1"/>
  <c r="S322" i="21"/>
  <c r="T322" i="21"/>
  <c r="Q323" i="21"/>
  <c r="T323" i="21" s="1"/>
  <c r="R323" i="21"/>
  <c r="U323" i="21" s="1"/>
  <c r="S323" i="21"/>
  <c r="O324" i="21"/>
  <c r="P324" i="21"/>
  <c r="T324" i="21"/>
  <c r="U324" i="21"/>
  <c r="L325" i="21"/>
  <c r="O325" i="21" s="1"/>
  <c r="M325" i="21"/>
  <c r="M323" i="21" s="1"/>
  <c r="P323" i="21" s="1"/>
  <c r="N325" i="21"/>
  <c r="N323" i="21" s="1"/>
  <c r="T325" i="21"/>
  <c r="U325" i="21"/>
  <c r="Q326" i="21"/>
  <c r="R326" i="21"/>
  <c r="U326" i="21" s="1"/>
  <c r="S326" i="21"/>
  <c r="T326" i="21"/>
  <c r="O327" i="21"/>
  <c r="P327" i="21"/>
  <c r="T327" i="21"/>
  <c r="U327" i="21"/>
  <c r="L328" i="21"/>
  <c r="M328" i="21"/>
  <c r="P328" i="21" s="1"/>
  <c r="N328" i="21"/>
  <c r="N326" i="21" s="1"/>
  <c r="T328" i="21"/>
  <c r="U328" i="21"/>
  <c r="I330" i="21"/>
  <c r="I319" i="21" s="1"/>
  <c r="K319" i="21" s="1"/>
  <c r="L334" i="21"/>
  <c r="M334" i="21"/>
  <c r="N334" i="21"/>
  <c r="O334" i="21"/>
  <c r="Q334" i="21"/>
  <c r="T334" i="21" s="1"/>
  <c r="R334" i="21"/>
  <c r="S334" i="21"/>
  <c r="U334" i="21"/>
  <c r="Q335" i="21"/>
  <c r="T335" i="21" s="1"/>
  <c r="R335" i="21"/>
  <c r="U335" i="21" s="1"/>
  <c r="S335" i="21"/>
  <c r="Q336" i="21"/>
  <c r="T336" i="21" s="1"/>
  <c r="R336" i="21"/>
  <c r="S336" i="21"/>
  <c r="U336" i="21"/>
  <c r="O337" i="21"/>
  <c r="P337" i="21"/>
  <c r="T337" i="21"/>
  <c r="U337" i="21"/>
  <c r="L338" i="21"/>
  <c r="M338" i="21"/>
  <c r="M336" i="21" s="1"/>
  <c r="N338" i="21"/>
  <c r="N336" i="21" s="1"/>
  <c r="T338" i="21"/>
  <c r="U338" i="21"/>
  <c r="Q339" i="21"/>
  <c r="T339" i="21" s="1"/>
  <c r="R339" i="21"/>
  <c r="U339" i="21" s="1"/>
  <c r="S339" i="21"/>
  <c r="O340" i="21"/>
  <c r="P340" i="21"/>
  <c r="T340" i="21"/>
  <c r="U340" i="21"/>
  <c r="L341" i="21"/>
  <c r="O341" i="21" s="1"/>
  <c r="M341" i="21"/>
  <c r="M339" i="21" s="1"/>
  <c r="P339" i="21" s="1"/>
  <c r="N341" i="21"/>
  <c r="N339" i="21" s="1"/>
  <c r="T341" i="21"/>
  <c r="U341" i="21"/>
  <c r="I344" i="21"/>
  <c r="I332" i="21" s="1"/>
  <c r="J344" i="21"/>
  <c r="I346" i="21"/>
  <c r="J346" i="21"/>
  <c r="J347" i="21"/>
  <c r="J348" i="21"/>
  <c r="J349" i="21"/>
  <c r="D350" i="21"/>
  <c r="J352" i="21"/>
  <c r="J353" i="21"/>
  <c r="J354" i="21"/>
  <c r="Q356" i="21"/>
  <c r="T356" i="21" s="1"/>
  <c r="L357" i="21"/>
  <c r="O357" i="21" s="1"/>
  <c r="M357" i="21"/>
  <c r="N357" i="21"/>
  <c r="Q357" i="21"/>
  <c r="T357" i="21" s="1"/>
  <c r="R357" i="21"/>
  <c r="U357" i="21" s="1"/>
  <c r="S357" i="21"/>
  <c r="S356" i="21" s="1"/>
  <c r="Q358" i="21"/>
  <c r="T358" i="21" s="1"/>
  <c r="R358" i="21"/>
  <c r="S358" i="21"/>
  <c r="U358" i="21"/>
  <c r="Q359" i="21"/>
  <c r="T359" i="21" s="1"/>
  <c r="R359" i="21"/>
  <c r="U359" i="21" s="1"/>
  <c r="S359" i="21"/>
  <c r="O360" i="21"/>
  <c r="P360" i="21"/>
  <c r="T360" i="21"/>
  <c r="U360" i="21"/>
  <c r="L361" i="21"/>
  <c r="L359" i="21" s="1"/>
  <c r="M361" i="21"/>
  <c r="M359" i="21" s="1"/>
  <c r="N361" i="21"/>
  <c r="N359" i="21" s="1"/>
  <c r="T361" i="21"/>
  <c r="U361" i="21"/>
  <c r="Q362" i="21"/>
  <c r="R362" i="21"/>
  <c r="S362" i="21"/>
  <c r="T362" i="21"/>
  <c r="U362" i="21"/>
  <c r="O363" i="21"/>
  <c r="P363" i="21"/>
  <c r="T363" i="21"/>
  <c r="U363" i="21"/>
  <c r="L364" i="21"/>
  <c r="M364" i="21"/>
  <c r="P364" i="21" s="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J371" i="21"/>
  <c r="J365" i="21" s="1"/>
  <c r="J372" i="21"/>
  <c r="K372" i="21"/>
  <c r="D373" i="21"/>
  <c r="L376" i="21"/>
  <c r="M376" i="21"/>
  <c r="N376" i="21"/>
  <c r="N375" i="21" s="1"/>
  <c r="O376" i="21"/>
  <c r="Q376" i="21"/>
  <c r="R376" i="21"/>
  <c r="S376" i="21"/>
  <c r="U376" i="21"/>
  <c r="L377" i="21"/>
  <c r="O377" i="21" s="1"/>
  <c r="M377" i="21"/>
  <c r="P377" i="21" s="1"/>
  <c r="N377" i="21"/>
  <c r="L378" i="21"/>
  <c r="O378" i="21" s="1"/>
  <c r="M378" i="21"/>
  <c r="P378" i="21" s="1"/>
  <c r="N378" i="21"/>
  <c r="O379" i="21"/>
  <c r="P379" i="21"/>
  <c r="T379" i="21"/>
  <c r="U379" i="21"/>
  <c r="O380" i="21"/>
  <c r="P380" i="21"/>
  <c r="Q380" i="21"/>
  <c r="Q378" i="21" s="1"/>
  <c r="R380" i="21"/>
  <c r="R378" i="21" s="1"/>
  <c r="S380" i="21"/>
  <c r="S377" i="21" s="1"/>
  <c r="L381" i="21"/>
  <c r="O381" i="21" s="1"/>
  <c r="M381" i="21"/>
  <c r="N381" i="21"/>
  <c r="P381" i="21"/>
  <c r="Q381" i="21"/>
  <c r="T381" i="21" s="1"/>
  <c r="R381" i="21"/>
  <c r="U381" i="21" s="1"/>
  <c r="S381" i="21"/>
  <c r="O382" i="21"/>
  <c r="P382" i="21"/>
  <c r="T382" i="21"/>
  <c r="U382" i="21"/>
  <c r="O383" i="21"/>
  <c r="P383" i="21"/>
  <c r="T383" i="21"/>
  <c r="U383" i="21"/>
  <c r="J385" i="21"/>
  <c r="K385" i="21"/>
  <c r="I386" i="21"/>
  <c r="J386" i="21"/>
  <c r="J387" i="21"/>
  <c r="K387" i="21"/>
  <c r="I388" i="21"/>
  <c r="J388" i="21"/>
  <c r="I391" i="21"/>
  <c r="K391" i="21" s="1"/>
  <c r="J391" i="21"/>
  <c r="L393" i="21"/>
  <c r="M393" i="21"/>
  <c r="P393" i="21" s="1"/>
  <c r="N393" i="21"/>
  <c r="Q393" i="21"/>
  <c r="R393" i="21"/>
  <c r="S393" i="21"/>
  <c r="L394" i="21"/>
  <c r="O394" i="21" s="1"/>
  <c r="M394" i="21"/>
  <c r="P394" i="21" s="1"/>
  <c r="N394" i="21"/>
  <c r="Q394" i="21"/>
  <c r="T394" i="21" s="1"/>
  <c r="R394" i="21"/>
  <c r="U394" i="21" s="1"/>
  <c r="S394" i="21"/>
  <c r="L395" i="21"/>
  <c r="M395" i="21"/>
  <c r="N395" i="21"/>
  <c r="O395" i="21"/>
  <c r="P395" i="21"/>
  <c r="Q395" i="21"/>
  <c r="R395" i="21"/>
  <c r="S395" i="21"/>
  <c r="T395" i="21"/>
  <c r="U395" i="21"/>
  <c r="O396" i="21"/>
  <c r="P396" i="21"/>
  <c r="T396" i="21"/>
  <c r="U396" i="21"/>
  <c r="O397" i="21"/>
  <c r="P397" i="21"/>
  <c r="T397" i="21"/>
  <c r="U397" i="21"/>
  <c r="L398" i="21"/>
  <c r="M398" i="21"/>
  <c r="N398" i="21"/>
  <c r="O398" i="21"/>
  <c r="P398" i="21"/>
  <c r="Q398" i="21"/>
  <c r="R398" i="21"/>
  <c r="S398" i="21"/>
  <c r="T398" i="21"/>
  <c r="U398" i="21"/>
  <c r="O399" i="21"/>
  <c r="P399" i="21"/>
  <c r="T399" i="21"/>
  <c r="U399" i="21"/>
  <c r="O400" i="21"/>
  <c r="P400" i="21"/>
  <c r="T400" i="21"/>
  <c r="U400" i="21"/>
  <c r="L414" i="21"/>
  <c r="O414" i="21" s="1"/>
  <c r="M414" i="21"/>
  <c r="N414" i="21"/>
  <c r="N413" i="21" s="1"/>
  <c r="Q414" i="21"/>
  <c r="R414" i="21"/>
  <c r="S414" i="21"/>
  <c r="T414" i="21"/>
  <c r="U414" i="21"/>
  <c r="L415" i="21"/>
  <c r="M415" i="21"/>
  <c r="N415" i="21"/>
  <c r="O415" i="21"/>
  <c r="P415" i="21"/>
  <c r="L416" i="21"/>
  <c r="O416" i="21" s="1"/>
  <c r="M416" i="21"/>
  <c r="P416" i="21" s="1"/>
  <c r="N416" i="21"/>
  <c r="O417" i="21"/>
  <c r="P417" i="21"/>
  <c r="T417" i="21"/>
  <c r="U417" i="21"/>
  <c r="O418" i="21"/>
  <c r="P418" i="21"/>
  <c r="Q418" i="21"/>
  <c r="Q415" i="21" s="1"/>
  <c r="T415" i="21" s="1"/>
  <c r="R418" i="21"/>
  <c r="R416" i="21" s="1"/>
  <c r="U416" i="21" s="1"/>
  <c r="S418" i="21"/>
  <c r="S415" i="21" s="1"/>
  <c r="L419" i="21"/>
  <c r="O419" i="21" s="1"/>
  <c r="M419" i="21"/>
  <c r="P419" i="21" s="1"/>
  <c r="N419" i="21"/>
  <c r="Q419" i="21"/>
  <c r="T419" i="21" s="1"/>
  <c r="R419" i="21"/>
  <c r="S419" i="21"/>
  <c r="U419" i="21"/>
  <c r="O420" i="21"/>
  <c r="P420" i="21"/>
  <c r="T420" i="21"/>
  <c r="U420" i="21"/>
  <c r="O421" i="21"/>
  <c r="P421" i="21"/>
  <c r="T421" i="21"/>
  <c r="U421" i="21"/>
  <c r="I424" i="21"/>
  <c r="K424" i="21" s="1"/>
  <c r="J424" i="21"/>
  <c r="I425" i="21"/>
  <c r="K425" i="21" s="1"/>
  <c r="J425" i="21"/>
  <c r="I432" i="21"/>
  <c r="K432" i="21" s="1"/>
  <c r="J432" i="21"/>
  <c r="I433" i="21"/>
  <c r="K433" i="21" s="1"/>
  <c r="J433" i="21"/>
  <c r="I440" i="21"/>
  <c r="J440" i="21"/>
  <c r="J423" i="21" s="1"/>
  <c r="J412" i="21" s="1"/>
  <c r="I441" i="21"/>
  <c r="K441" i="21" s="1"/>
  <c r="J446" i="21"/>
  <c r="J447" i="21"/>
  <c r="J441" i="21" s="1"/>
  <c r="I457" i="21"/>
  <c r="I456" i="21" s="1"/>
  <c r="K456" i="21" s="1"/>
  <c r="J457" i="21"/>
  <c r="J456" i="21" s="1"/>
  <c r="I458" i="21"/>
  <c r="K458" i="21" s="1"/>
  <c r="J459" i="21"/>
  <c r="J460" i="21"/>
  <c r="J458" i="21" s="1"/>
  <c r="J467" i="21"/>
  <c r="J468" i="21"/>
  <c r="J475" i="21"/>
  <c r="K475" i="21"/>
  <c r="J476" i="21"/>
  <c r="K476" i="21"/>
  <c r="J477" i="21"/>
  <c r="K477" i="21"/>
  <c r="J482" i="21"/>
  <c r="J483" i="21"/>
  <c r="I484" i="21"/>
  <c r="J484" i="21"/>
  <c r="K484" i="21"/>
  <c r="I485" i="21"/>
  <c r="K485" i="21" s="1"/>
  <c r="J485" i="21"/>
  <c r="L494" i="21"/>
  <c r="M494" i="21"/>
  <c r="N494" i="21"/>
  <c r="Q494" i="21"/>
  <c r="T494" i="21" s="1"/>
  <c r="R494" i="21"/>
  <c r="S494" i="21"/>
  <c r="L495" i="21"/>
  <c r="M495" i="21"/>
  <c r="P495" i="21" s="1"/>
  <c r="N495" i="21"/>
  <c r="O495" i="21"/>
  <c r="L496" i="21"/>
  <c r="O496" i="21" s="1"/>
  <c r="M496" i="21"/>
  <c r="P496" i="21" s="1"/>
  <c r="N496" i="21"/>
  <c r="O497" i="21"/>
  <c r="P497" i="21"/>
  <c r="T497" i="21"/>
  <c r="U497" i="21"/>
  <c r="O498" i="21"/>
  <c r="P498" i="21"/>
  <c r="Q498" i="21"/>
  <c r="R498" i="21"/>
  <c r="S498" i="21"/>
  <c r="L499" i="21"/>
  <c r="O499" i="21" s="1"/>
  <c r="M499" i="21"/>
  <c r="P499" i="21" s="1"/>
  <c r="N499" i="21"/>
  <c r="Q499" i="21"/>
  <c r="T499" i="21" s="1"/>
  <c r="R499" i="21"/>
  <c r="U499" i="21" s="1"/>
  <c r="S499" i="21"/>
  <c r="O500" i="21"/>
  <c r="P500" i="21"/>
  <c r="T500" i="21"/>
  <c r="U500" i="21"/>
  <c r="O501" i="21"/>
  <c r="P501" i="21"/>
  <c r="T501" i="21"/>
  <c r="U501" i="21"/>
  <c r="I503" i="21"/>
  <c r="I492" i="21" s="1"/>
  <c r="K492" i="21" s="1"/>
  <c r="I504" i="21"/>
  <c r="K504" i="21" s="1"/>
  <c r="I505" i="21"/>
  <c r="K505" i="21" s="1"/>
  <c r="I506" i="21"/>
  <c r="I507" i="21"/>
  <c r="K507" i="21" s="1"/>
  <c r="K508" i="21"/>
  <c r="I509" i="21"/>
  <c r="K509" i="21" s="1"/>
  <c r="I512" i="21"/>
  <c r="K512" i="21" s="1"/>
  <c r="J512" i="21"/>
  <c r="L514" i="21"/>
  <c r="O514" i="21" s="1"/>
  <c r="M514" i="21"/>
  <c r="N514" i="21"/>
  <c r="P514" i="21"/>
  <c r="Q514" i="21"/>
  <c r="R514" i="21"/>
  <c r="U514" i="21" s="1"/>
  <c r="S514" i="21"/>
  <c r="Q515" i="21"/>
  <c r="T515" i="21" s="1"/>
  <c r="R515" i="21"/>
  <c r="U515" i="21" s="1"/>
  <c r="S515" i="21"/>
  <c r="Q516" i="21"/>
  <c r="T516" i="21" s="1"/>
  <c r="R516" i="21"/>
  <c r="S516" i="21"/>
  <c r="U516" i="21"/>
  <c r="O517" i="21"/>
  <c r="P517" i="21"/>
  <c r="T517" i="21"/>
  <c r="U517" i="21"/>
  <c r="L518" i="21"/>
  <c r="M518" i="21"/>
  <c r="P518" i="21" s="1"/>
  <c r="N518" i="21"/>
  <c r="N516" i="21" s="1"/>
  <c r="T518" i="21"/>
  <c r="U518" i="21"/>
  <c r="Q519" i="21"/>
  <c r="T519" i="21" s="1"/>
  <c r="R519" i="21"/>
  <c r="U519" i="21" s="1"/>
  <c r="S519" i="21"/>
  <c r="O520" i="21"/>
  <c r="P520" i="21"/>
  <c r="T520" i="21"/>
  <c r="U520" i="21"/>
  <c r="L521" i="21"/>
  <c r="O521" i="21" s="1"/>
  <c r="M521" i="21"/>
  <c r="M519" i="21" s="1"/>
  <c r="P519" i="21" s="1"/>
  <c r="N521" i="21"/>
  <c r="N519" i="21" s="1"/>
  <c r="T521" i="21"/>
  <c r="U521" i="21"/>
  <c r="K523" i="21"/>
  <c r="K524" i="21"/>
  <c r="I533" i="21"/>
  <c r="K533" i="21" s="1"/>
  <c r="J533" i="21"/>
  <c r="L535" i="21"/>
  <c r="M535" i="21"/>
  <c r="P535" i="21" s="1"/>
  <c r="N535" i="21"/>
  <c r="Q535" i="21"/>
  <c r="R535" i="21"/>
  <c r="S535" i="21"/>
  <c r="L536" i="21"/>
  <c r="O536" i="21" s="1"/>
  <c r="M536" i="21"/>
  <c r="P536" i="21" s="1"/>
  <c r="N536" i="21"/>
  <c r="Q536" i="21"/>
  <c r="T536" i="21" s="1"/>
  <c r="R536" i="21"/>
  <c r="U536" i="21" s="1"/>
  <c r="S536" i="21"/>
  <c r="L537" i="21"/>
  <c r="O537" i="21" s="1"/>
  <c r="M537" i="21"/>
  <c r="N537" i="21"/>
  <c r="P537" i="21"/>
  <c r="Q537" i="21"/>
  <c r="R537" i="21"/>
  <c r="U537" i="21" s="1"/>
  <c r="S537" i="21"/>
  <c r="T537" i="21"/>
  <c r="O538" i="21"/>
  <c r="P538" i="21"/>
  <c r="T538" i="21"/>
  <c r="U538" i="21"/>
  <c r="O539" i="21"/>
  <c r="P539" i="21"/>
  <c r="T539" i="21"/>
  <c r="U539" i="21"/>
  <c r="L540" i="21"/>
  <c r="O540" i="21" s="1"/>
  <c r="M540" i="21"/>
  <c r="N540" i="21"/>
  <c r="P540" i="21"/>
  <c r="Q540" i="21"/>
  <c r="R540" i="21"/>
  <c r="U540" i="21" s="1"/>
  <c r="S540" i="21"/>
  <c r="T540" i="21"/>
  <c r="O541" i="21"/>
  <c r="P541" i="21"/>
  <c r="T541" i="21"/>
  <c r="U541" i="21"/>
  <c r="O542" i="21"/>
  <c r="P542" i="21"/>
  <c r="T542" i="21"/>
  <c r="U542" i="21"/>
  <c r="I554" i="21"/>
  <c r="K554" i="21" s="1"/>
  <c r="J554" i="21"/>
  <c r="L556" i="21"/>
  <c r="O556" i="21" s="1"/>
  <c r="M556" i="21"/>
  <c r="N556" i="21"/>
  <c r="N555" i="21" s="1"/>
  <c r="Q556" i="21"/>
  <c r="T556" i="21" s="1"/>
  <c r="R556" i="21"/>
  <c r="S556" i="21"/>
  <c r="U556" i="21"/>
  <c r="L557" i="21"/>
  <c r="M557" i="21"/>
  <c r="P557" i="21" s="1"/>
  <c r="N557" i="21"/>
  <c r="O557" i="21"/>
  <c r="Q557" i="21"/>
  <c r="T557" i="21" s="1"/>
  <c r="R557" i="21"/>
  <c r="S557" i="21"/>
  <c r="U557" i="21"/>
  <c r="L558" i="21"/>
  <c r="O558" i="21" s="1"/>
  <c r="M558" i="21"/>
  <c r="P558" i="21" s="1"/>
  <c r="N558" i="21"/>
  <c r="Q558" i="21"/>
  <c r="R558" i="21"/>
  <c r="U558" i="21" s="1"/>
  <c r="S558" i="21"/>
  <c r="T558" i="21"/>
  <c r="O559" i="21"/>
  <c r="P559" i="21"/>
  <c r="T559" i="21"/>
  <c r="U559" i="21"/>
  <c r="O560" i="21"/>
  <c r="P560" i="21"/>
  <c r="T560" i="21"/>
  <c r="U560" i="21"/>
  <c r="L561" i="21"/>
  <c r="O561" i="21" s="1"/>
  <c r="M561" i="21"/>
  <c r="P561" i="21" s="1"/>
  <c r="N561" i="21"/>
  <c r="Q561" i="21"/>
  <c r="T561" i="21" s="1"/>
  <c r="R561" i="21"/>
  <c r="U561" i="21" s="1"/>
  <c r="S561" i="21"/>
  <c r="O562" i="21"/>
  <c r="P562" i="21"/>
  <c r="T562" i="21"/>
  <c r="U562" i="21"/>
  <c r="O563" i="21"/>
  <c r="P563" i="21"/>
  <c r="T563" i="21"/>
  <c r="U563" i="21"/>
  <c r="I575" i="21"/>
  <c r="K575" i="21" s="1"/>
  <c r="J575" i="21"/>
  <c r="L577" i="21"/>
  <c r="M577" i="21"/>
  <c r="N577" i="21"/>
  <c r="P577" i="21"/>
  <c r="Q577" i="21"/>
  <c r="R577" i="21"/>
  <c r="S577" i="21"/>
  <c r="L578" i="21"/>
  <c r="M578" i="21"/>
  <c r="P578" i="21" s="1"/>
  <c r="N578" i="21"/>
  <c r="N576" i="21" s="1"/>
  <c r="O578" i="21"/>
  <c r="Q578" i="21"/>
  <c r="R578" i="21"/>
  <c r="S578" i="21"/>
  <c r="T578" i="21"/>
  <c r="U578" i="21"/>
  <c r="L579" i="21"/>
  <c r="O579" i="21" s="1"/>
  <c r="M579" i="21"/>
  <c r="N579" i="21"/>
  <c r="P579" i="21"/>
  <c r="Q579" i="21"/>
  <c r="T579" i="21" s="1"/>
  <c r="R579" i="21"/>
  <c r="U579" i="21" s="1"/>
  <c r="S579" i="21"/>
  <c r="O580" i="21"/>
  <c r="P580" i="21"/>
  <c r="T580" i="21"/>
  <c r="U580" i="21"/>
  <c r="O581" i="21"/>
  <c r="P581" i="21"/>
  <c r="T581" i="21"/>
  <c r="U581" i="21"/>
  <c r="L582" i="21"/>
  <c r="O582" i="21" s="1"/>
  <c r="M582" i="21"/>
  <c r="P582" i="21" s="1"/>
  <c r="N582" i="21"/>
  <c r="Q582" i="21"/>
  <c r="T582" i="21" s="1"/>
  <c r="R582" i="21"/>
  <c r="U582" i="21" s="1"/>
  <c r="S582" i="21"/>
  <c r="O583" i="21"/>
  <c r="P583" i="21"/>
  <c r="T583" i="21"/>
  <c r="U583" i="21"/>
  <c r="O584" i="21"/>
  <c r="P584" i="21"/>
  <c r="T584" i="21"/>
  <c r="U584" i="21"/>
  <c r="L600" i="21"/>
  <c r="M600" i="21"/>
  <c r="M599" i="21" s="1"/>
  <c r="P599" i="21" s="1"/>
  <c r="N600" i="21"/>
  <c r="P600" i="21"/>
  <c r="Q600" i="21"/>
  <c r="T600" i="21" s="1"/>
  <c r="R600" i="21"/>
  <c r="S600" i="21"/>
  <c r="L601" i="21"/>
  <c r="O601" i="21" s="1"/>
  <c r="M601" i="21"/>
  <c r="P601" i="21" s="1"/>
  <c r="N601" i="21"/>
  <c r="N599" i="21" s="1"/>
  <c r="Q601" i="21"/>
  <c r="T601" i="21" s="1"/>
  <c r="R601" i="21"/>
  <c r="U601" i="21" s="1"/>
  <c r="S601" i="21"/>
  <c r="L602" i="21"/>
  <c r="O602" i="21" s="1"/>
  <c r="M602" i="21"/>
  <c r="N602" i="21"/>
  <c r="P602" i="21"/>
  <c r="Q602" i="21"/>
  <c r="T602" i="21" s="1"/>
  <c r="R602" i="21"/>
  <c r="U602" i="21" s="1"/>
  <c r="S602" i="21"/>
  <c r="O603" i="21"/>
  <c r="P603" i="21"/>
  <c r="T603" i="21"/>
  <c r="U603" i="21"/>
  <c r="O604" i="21"/>
  <c r="P604" i="21"/>
  <c r="T604" i="21"/>
  <c r="U604" i="21"/>
  <c r="L605" i="21"/>
  <c r="O605" i="21" s="1"/>
  <c r="M605" i="21"/>
  <c r="P605" i="21" s="1"/>
  <c r="N605" i="21"/>
  <c r="Q605" i="21"/>
  <c r="T605" i="21" s="1"/>
  <c r="R605" i="21"/>
  <c r="U605" i="21" s="1"/>
  <c r="S605" i="21"/>
  <c r="O606" i="21"/>
  <c r="P606" i="21"/>
  <c r="T606" i="21"/>
  <c r="U606" i="21"/>
  <c r="O607" i="21"/>
  <c r="P607" i="21"/>
  <c r="T607" i="21"/>
  <c r="U607" i="21"/>
  <c r="L616" i="21"/>
  <c r="O616" i="21" s="1"/>
  <c r="L617" i="21"/>
  <c r="M617" i="21"/>
  <c r="M616" i="21" s="1"/>
  <c r="P616" i="21" s="1"/>
  <c r="N617" i="21"/>
  <c r="O617" i="21"/>
  <c r="Q617" i="21"/>
  <c r="R617" i="21"/>
  <c r="U617" i="21" s="1"/>
  <c r="S617" i="21"/>
  <c r="T617" i="21"/>
  <c r="L618" i="21"/>
  <c r="O618" i="21" s="1"/>
  <c r="M618" i="21"/>
  <c r="N618" i="21"/>
  <c r="P618" i="21"/>
  <c r="L619" i="21"/>
  <c r="O619" i="21" s="1"/>
  <c r="M619" i="21"/>
  <c r="P619" i="21" s="1"/>
  <c r="N619" i="21"/>
  <c r="O620" i="21"/>
  <c r="P620" i="21"/>
  <c r="T620" i="21"/>
  <c r="U620" i="21"/>
  <c r="O621" i="21"/>
  <c r="P621" i="21"/>
  <c r="Q621" i="21"/>
  <c r="Q619" i="21" s="1"/>
  <c r="R621" i="21"/>
  <c r="R619" i="21" s="1"/>
  <c r="S621" i="21"/>
  <c r="S618" i="21" s="1"/>
  <c r="L622" i="21"/>
  <c r="O622" i="21" s="1"/>
  <c r="M622" i="21"/>
  <c r="N622" i="21"/>
  <c r="P622" i="21"/>
  <c r="Q622" i="21"/>
  <c r="T622" i="21" s="1"/>
  <c r="R622" i="21"/>
  <c r="U622" i="21" s="1"/>
  <c r="S622" i="21"/>
  <c r="O623" i="21"/>
  <c r="P623" i="21"/>
  <c r="T623" i="21"/>
  <c r="U623" i="21"/>
  <c r="O624" i="21"/>
  <c r="P624" i="21"/>
  <c r="T624" i="21"/>
  <c r="U624" i="21"/>
  <c r="I626" i="21"/>
  <c r="I627" i="21"/>
  <c r="K627" i="21" s="1"/>
  <c r="I628" i="21"/>
  <c r="K628" i="21" s="1"/>
  <c r="J632" i="21"/>
  <c r="J626" i="21" s="1"/>
  <c r="J615" i="21" s="1"/>
  <c r="I635" i="21"/>
  <c r="K635" i="21" s="1"/>
  <c r="J636" i="21"/>
  <c r="J635" i="21" s="1"/>
  <c r="L643" i="21"/>
  <c r="M643" i="21"/>
  <c r="P643" i="21" s="1"/>
  <c r="N643" i="21"/>
  <c r="N642" i="21" s="1"/>
  <c r="O643" i="21"/>
  <c r="Q643" i="21"/>
  <c r="T643" i="21" s="1"/>
  <c r="R643" i="21"/>
  <c r="S643" i="21"/>
  <c r="U643" i="21"/>
  <c r="L644" i="21"/>
  <c r="O644" i="21" s="1"/>
  <c r="M644" i="21"/>
  <c r="P644" i="21" s="1"/>
  <c r="N644" i="21"/>
  <c r="L645" i="21"/>
  <c r="O645" i="21" s="1"/>
  <c r="M645" i="21"/>
  <c r="P645" i="21" s="1"/>
  <c r="N645" i="21"/>
  <c r="O646" i="21"/>
  <c r="P646" i="21"/>
  <c r="T646" i="21"/>
  <c r="U646" i="21"/>
  <c r="O647" i="21"/>
  <c r="P647" i="21"/>
  <c r="Q647" i="21"/>
  <c r="Q644" i="21" s="1"/>
  <c r="R647" i="21"/>
  <c r="S647" i="21"/>
  <c r="S644" i="21" s="1"/>
  <c r="L648" i="21"/>
  <c r="M648" i="21"/>
  <c r="P648" i="21" s="1"/>
  <c r="N648" i="21"/>
  <c r="O648" i="21"/>
  <c r="Q648" i="21"/>
  <c r="T648" i="21" s="1"/>
  <c r="R648" i="21"/>
  <c r="S648" i="21"/>
  <c r="U648" i="21"/>
  <c r="O649" i="21"/>
  <c r="P649" i="21"/>
  <c r="T649" i="21"/>
  <c r="U649" i="21"/>
  <c r="O650" i="21"/>
  <c r="P650" i="21"/>
  <c r="T650" i="21"/>
  <c r="U650" i="21"/>
  <c r="I652" i="21"/>
  <c r="K652" i="21" s="1"/>
  <c r="J652" i="21"/>
  <c r="I653" i="21"/>
  <c r="K653" i="21" s="1"/>
  <c r="J653" i="21"/>
  <c r="I654" i="21"/>
  <c r="K654" i="21" s="1"/>
  <c r="J654" i="21"/>
  <c r="I657" i="21"/>
  <c r="I660" i="21"/>
  <c r="I661" i="21"/>
  <c r="J661" i="21"/>
  <c r="J671" i="21"/>
  <c r="J672" i="21"/>
  <c r="I673" i="21"/>
  <c r="J673" i="21"/>
  <c r="I674" i="21"/>
  <c r="I675" i="21"/>
  <c r="I676" i="21"/>
  <c r="J676" i="21"/>
  <c r="J677" i="21"/>
  <c r="I678" i="21"/>
  <c r="J678" i="21"/>
  <c r="I679" i="21"/>
  <c r="K679" i="21" s="1"/>
  <c r="J679" i="21"/>
  <c r="J680" i="21"/>
  <c r="I681" i="21"/>
  <c r="K681" i="21" s="1"/>
  <c r="J681" i="21"/>
  <c r="I682" i="21"/>
  <c r="J682" i="21"/>
  <c r="M690" i="21"/>
  <c r="P690" i="21" s="1"/>
  <c r="L691" i="21"/>
  <c r="O691" i="21" s="1"/>
  <c r="M691" i="21"/>
  <c r="N691" i="21"/>
  <c r="P691" i="21"/>
  <c r="Q691" i="21"/>
  <c r="T691" i="21" s="1"/>
  <c r="R691" i="21"/>
  <c r="U691" i="21" s="1"/>
  <c r="S691" i="21"/>
  <c r="L692" i="21"/>
  <c r="M692" i="21"/>
  <c r="P692" i="21" s="1"/>
  <c r="N692" i="21"/>
  <c r="L693" i="21"/>
  <c r="O693" i="21" s="1"/>
  <c r="M693" i="21"/>
  <c r="N693" i="21"/>
  <c r="P693" i="21"/>
  <c r="O694" i="21"/>
  <c r="P694" i="21"/>
  <c r="T694" i="21"/>
  <c r="U694" i="21"/>
  <c r="O695" i="21"/>
  <c r="P695" i="21"/>
  <c r="Q695" i="21"/>
  <c r="Q693" i="21" s="1"/>
  <c r="R695" i="21"/>
  <c r="R692" i="21" s="1"/>
  <c r="S695" i="21"/>
  <c r="S692" i="21" s="1"/>
  <c r="S690" i="21" s="1"/>
  <c r="L696" i="21"/>
  <c r="M696" i="21"/>
  <c r="P696" i="21" s="1"/>
  <c r="N696" i="21"/>
  <c r="O696" i="21"/>
  <c r="Q696" i="21"/>
  <c r="R696" i="21"/>
  <c r="U696" i="21" s="1"/>
  <c r="S696" i="21"/>
  <c r="T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K705" i="21" s="1"/>
  <c r="J705" i="21"/>
  <c r="J706" i="21"/>
  <c r="K706" i="21"/>
  <c r="I707" i="21"/>
  <c r="I689" i="21" s="1"/>
  <c r="J707" i="21"/>
  <c r="J689" i="21" s="1"/>
  <c r="J708" i="21"/>
  <c r="K708" i="21"/>
  <c r="I709" i="21"/>
  <c r="K709" i="21" s="1"/>
  <c r="J709" i="21"/>
  <c r="J710" i="21"/>
  <c r="K710" i="21"/>
  <c r="J712" i="21"/>
  <c r="K712" i="21"/>
  <c r="Q714" i="21"/>
  <c r="T714" i="21" s="1"/>
  <c r="L715" i="21"/>
  <c r="O715" i="21" s="1"/>
  <c r="M715" i="21"/>
  <c r="N715" i="21"/>
  <c r="Q715" i="21"/>
  <c r="T715" i="21" s="1"/>
  <c r="R715" i="21"/>
  <c r="U715" i="21" s="1"/>
  <c r="S715" i="21"/>
  <c r="L716" i="21"/>
  <c r="O716" i="21" s="1"/>
  <c r="M716" i="21"/>
  <c r="P716" i="21" s="1"/>
  <c r="N716" i="21"/>
  <c r="Q716" i="21"/>
  <c r="R716" i="21"/>
  <c r="R714" i="21" s="1"/>
  <c r="U714" i="21" s="1"/>
  <c r="S716" i="21"/>
  <c r="T716" i="21"/>
  <c r="L717" i="21"/>
  <c r="O717" i="21" s="1"/>
  <c r="M717" i="21"/>
  <c r="P717" i="21" s="1"/>
  <c r="N717" i="21"/>
  <c r="Q717" i="21"/>
  <c r="T717" i="21" s="1"/>
  <c r="R717" i="21"/>
  <c r="U717" i="21" s="1"/>
  <c r="S717" i="21"/>
  <c r="O718" i="21"/>
  <c r="P718" i="21"/>
  <c r="T718" i="21"/>
  <c r="U718" i="21"/>
  <c r="O719" i="21"/>
  <c r="P719" i="21"/>
  <c r="T719" i="21"/>
  <c r="U719" i="21"/>
  <c r="L720" i="21"/>
  <c r="O720" i="21" s="1"/>
  <c r="M720" i="21"/>
  <c r="P720" i="21" s="1"/>
  <c r="N720" i="21"/>
  <c r="Q720" i="21"/>
  <c r="T720" i="21" s="1"/>
  <c r="R720" i="21"/>
  <c r="S720" i="21"/>
  <c r="U720" i="21"/>
  <c r="O721" i="21"/>
  <c r="P721" i="21"/>
  <c r="T721" i="21"/>
  <c r="U721" i="21"/>
  <c r="O722" i="21"/>
  <c r="P722" i="21"/>
  <c r="T722" i="21"/>
  <c r="U722" i="21"/>
  <c r="I726" i="21"/>
  <c r="K726" i="21" s="1"/>
  <c r="J726" i="21"/>
  <c r="I727" i="21"/>
  <c r="K727" i="21" s="1"/>
  <c r="J727" i="21"/>
  <c r="N728" i="21"/>
  <c r="L729" i="21"/>
  <c r="O729" i="21" s="1"/>
  <c r="M729" i="21"/>
  <c r="M728" i="21" s="1"/>
  <c r="P728" i="21" s="1"/>
  <c r="N729" i="21"/>
  <c r="Q729" i="21"/>
  <c r="T729" i="21" s="1"/>
  <c r="R729" i="21"/>
  <c r="U729" i="21" s="1"/>
  <c r="S729" i="21"/>
  <c r="L730" i="21"/>
  <c r="O730" i="21" s="1"/>
  <c r="M730" i="21"/>
  <c r="N730" i="21"/>
  <c r="P730" i="21"/>
  <c r="L731" i="21"/>
  <c r="O731" i="21" s="1"/>
  <c r="M731" i="21"/>
  <c r="N731" i="21"/>
  <c r="P731" i="21"/>
  <c r="O732" i="21"/>
  <c r="P732" i="21"/>
  <c r="T732" i="21"/>
  <c r="U732" i="21"/>
  <c r="O733" i="21"/>
  <c r="P733" i="21"/>
  <c r="Q733" i="21"/>
  <c r="Q731" i="21" s="1"/>
  <c r="R733" i="21"/>
  <c r="S733" i="21"/>
  <c r="S731" i="21" s="1"/>
  <c r="L734" i="21"/>
  <c r="O734" i="21" s="1"/>
  <c r="M734" i="21"/>
  <c r="P734" i="21" s="1"/>
  <c r="N734" i="21"/>
  <c r="Q734" i="21"/>
  <c r="R734" i="21"/>
  <c r="U734" i="21" s="1"/>
  <c r="S734" i="21"/>
  <c r="T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O761" i="21" s="1"/>
  <c r="M761" i="21"/>
  <c r="P761" i="21" s="1"/>
  <c r="N761" i="21"/>
  <c r="Q761" i="21"/>
  <c r="T761" i="21" s="1"/>
  <c r="R761" i="21"/>
  <c r="U761" i="21" s="1"/>
  <c r="S761" i="21"/>
  <c r="L762" i="21"/>
  <c r="O762" i="21" s="1"/>
  <c r="M762" i="21"/>
  <c r="M760" i="21" s="1"/>
  <c r="P760" i="21" s="1"/>
  <c r="N762" i="21"/>
  <c r="L763" i="21"/>
  <c r="M763" i="21"/>
  <c r="P763" i="21" s="1"/>
  <c r="N763" i="21"/>
  <c r="O763" i="21"/>
  <c r="O764" i="21"/>
  <c r="P764" i="21"/>
  <c r="T764" i="21"/>
  <c r="U764" i="21"/>
  <c r="O765" i="21"/>
  <c r="P765" i="21"/>
  <c r="Q765" i="21"/>
  <c r="Q763" i="21" s="1"/>
  <c r="R765" i="21"/>
  <c r="R762" i="21" s="1"/>
  <c r="S765" i="21"/>
  <c r="S763" i="21" s="1"/>
  <c r="L766" i="21"/>
  <c r="O766" i="21" s="1"/>
  <c r="M766" i="21"/>
  <c r="P766" i="21" s="1"/>
  <c r="N766" i="21"/>
  <c r="Q766" i="21"/>
  <c r="R766" i="21"/>
  <c r="U766" i="21" s="1"/>
  <c r="S766" i="21"/>
  <c r="T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I758" i="21" s="1"/>
  <c r="K758" i="21" s="1"/>
  <c r="I774" i="21"/>
  <c r="I759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L19" i="20" s="1"/>
  <c r="M22" i="20"/>
  <c r="N22" i="20"/>
  <c r="Q22" i="20"/>
  <c r="T22" i="20" s="1"/>
  <c r="R22" i="20"/>
  <c r="S22" i="20"/>
  <c r="L25" i="20"/>
  <c r="M25" i="20"/>
  <c r="N25" i="20"/>
  <c r="O25" i="20"/>
  <c r="Q25" i="20"/>
  <c r="T25" i="20" s="1"/>
  <c r="R25" i="20"/>
  <c r="S25" i="20"/>
  <c r="U25" i="20"/>
  <c r="Q26" i="20"/>
  <c r="T26" i="20" s="1"/>
  <c r="R26" i="20"/>
  <c r="U26" i="20" s="1"/>
  <c r="S26" i="20"/>
  <c r="L45" i="20"/>
  <c r="O45" i="20" s="1"/>
  <c r="M45" i="20"/>
  <c r="P45" i="20" s="1"/>
  <c r="N45" i="20"/>
  <c r="Q45" i="20"/>
  <c r="R45" i="20"/>
  <c r="U45" i="20" s="1"/>
  <c r="S45" i="20"/>
  <c r="S44" i="20" s="1"/>
  <c r="T45" i="20"/>
  <c r="Q46" i="20"/>
  <c r="R46" i="20"/>
  <c r="U46" i="20" s="1"/>
  <c r="S46" i="20"/>
  <c r="T46" i="20"/>
  <c r="Q47" i="20"/>
  <c r="T47" i="20" s="1"/>
  <c r="R47" i="20"/>
  <c r="U47" i="20" s="1"/>
  <c r="S47" i="20"/>
  <c r="O48" i="20"/>
  <c r="P48" i="20"/>
  <c r="T48" i="20"/>
  <c r="U48" i="20"/>
  <c r="L49" i="20"/>
  <c r="L47" i="20" s="1"/>
  <c r="M49" i="20"/>
  <c r="M47" i="20" s="1"/>
  <c r="N49" i="20"/>
  <c r="N47" i="20" s="1"/>
  <c r="T49" i="20"/>
  <c r="U49" i="20"/>
  <c r="Q50" i="20"/>
  <c r="T50" i="20" s="1"/>
  <c r="R50" i="20"/>
  <c r="U50" i="20" s="1"/>
  <c r="S50" i="20"/>
  <c r="O51" i="20"/>
  <c r="P51" i="20"/>
  <c r="T51" i="20"/>
  <c r="U51" i="20"/>
  <c r="L52" i="20"/>
  <c r="M52" i="20"/>
  <c r="N52" i="20"/>
  <c r="T52" i="20"/>
  <c r="U52" i="20"/>
  <c r="L60" i="20"/>
  <c r="O60" i="20" s="1"/>
  <c r="M60" i="20"/>
  <c r="P60" i="20" s="1"/>
  <c r="N60" i="20"/>
  <c r="Q60" i="20"/>
  <c r="Q59" i="20" s="1"/>
  <c r="T59" i="20" s="1"/>
  <c r="R60" i="20"/>
  <c r="U60" i="20" s="1"/>
  <c r="S60" i="20"/>
  <c r="Q61" i="20"/>
  <c r="R61" i="20"/>
  <c r="U61" i="20" s="1"/>
  <c r="S61" i="20"/>
  <c r="T61" i="20"/>
  <c r="Q62" i="20"/>
  <c r="R62" i="20"/>
  <c r="U62" i="20" s="1"/>
  <c r="S62" i="20"/>
  <c r="T62" i="20"/>
  <c r="O63" i="20"/>
  <c r="P63" i="20"/>
  <c r="T63" i="20"/>
  <c r="U63" i="20"/>
  <c r="L64" i="20"/>
  <c r="M64" i="20"/>
  <c r="M62" i="20" s="1"/>
  <c r="N64" i="20"/>
  <c r="N62" i="20" s="1"/>
  <c r="T64" i="20"/>
  <c r="U64" i="20"/>
  <c r="Q65" i="20"/>
  <c r="T65" i="20" s="1"/>
  <c r="R65" i="20"/>
  <c r="S65" i="20"/>
  <c r="U65" i="20"/>
  <c r="O66" i="20"/>
  <c r="P66" i="20"/>
  <c r="T66" i="20"/>
  <c r="U66" i="20"/>
  <c r="L67" i="20"/>
  <c r="L65" i="20" s="1"/>
  <c r="O65" i="20" s="1"/>
  <c r="M67" i="20"/>
  <c r="N67" i="20"/>
  <c r="N65" i="20" s="1"/>
  <c r="T67" i="20"/>
  <c r="U67" i="20"/>
  <c r="L73" i="20"/>
  <c r="O73" i="20" s="1"/>
  <c r="M73" i="20"/>
  <c r="P73" i="20" s="1"/>
  <c r="N73" i="20"/>
  <c r="Q73" i="20"/>
  <c r="R73" i="20"/>
  <c r="U73" i="20" s="1"/>
  <c r="S73" i="20"/>
  <c r="T73" i="20"/>
  <c r="O76" i="20"/>
  <c r="P76" i="20"/>
  <c r="T76" i="20"/>
  <c r="U76" i="20"/>
  <c r="L77" i="20"/>
  <c r="L75" i="20" s="1"/>
  <c r="O75" i="20" s="1"/>
  <c r="M77" i="20"/>
  <c r="M75" i="20" s="1"/>
  <c r="P75" i="20" s="1"/>
  <c r="N77" i="20"/>
  <c r="N75" i="20" s="1"/>
  <c r="Q77" i="20"/>
  <c r="Q74" i="20" s="1"/>
  <c r="T74" i="20" s="1"/>
  <c r="R77" i="20"/>
  <c r="R74" i="20" s="1"/>
  <c r="U74" i="20" s="1"/>
  <c r="S77" i="20"/>
  <c r="S75" i="20" s="1"/>
  <c r="Q78" i="20"/>
  <c r="R78" i="20"/>
  <c r="U78" i="20" s="1"/>
  <c r="S78" i="20"/>
  <c r="T78" i="20"/>
  <c r="O79" i="20"/>
  <c r="P79" i="20"/>
  <c r="T79" i="20"/>
  <c r="U79" i="20"/>
  <c r="L80" i="20"/>
  <c r="O80" i="20" s="1"/>
  <c r="M80" i="20"/>
  <c r="N80" i="20"/>
  <c r="N78" i="20" s="1"/>
  <c r="T80" i="20"/>
  <c r="U80" i="20"/>
  <c r="J82" i="20"/>
  <c r="J70" i="20" s="1"/>
  <c r="J83" i="20"/>
  <c r="J71" i="20" s="1"/>
  <c r="I84" i="20"/>
  <c r="I85" i="20"/>
  <c r="K85" i="20" s="1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O95" i="20" s="1"/>
  <c r="M95" i="20"/>
  <c r="P95" i="20" s="1"/>
  <c r="N95" i="20"/>
  <c r="Q95" i="20"/>
  <c r="R95" i="20"/>
  <c r="S95" i="20"/>
  <c r="U95" i="20"/>
  <c r="O98" i="20"/>
  <c r="P98" i="20"/>
  <c r="T98" i="20"/>
  <c r="U98" i="20"/>
  <c r="L99" i="20"/>
  <c r="M99" i="20"/>
  <c r="M97" i="20" s="1"/>
  <c r="P97" i="20" s="1"/>
  <c r="N99" i="20"/>
  <c r="N97" i="20" s="1"/>
  <c r="Q99" i="20"/>
  <c r="Q96" i="20" s="1"/>
  <c r="T96" i="20" s="1"/>
  <c r="R99" i="20"/>
  <c r="R96" i="20" s="1"/>
  <c r="U96" i="20" s="1"/>
  <c r="S99" i="20"/>
  <c r="Q100" i="20"/>
  <c r="T100" i="20" s="1"/>
  <c r="R100" i="20"/>
  <c r="S100" i="20"/>
  <c r="U100" i="20"/>
  <c r="O101" i="20"/>
  <c r="P101" i="20"/>
  <c r="T101" i="20"/>
  <c r="U101" i="20"/>
  <c r="L102" i="20"/>
  <c r="L100" i="20" s="1"/>
  <c r="O100" i="20" s="1"/>
  <c r="M102" i="20"/>
  <c r="N102" i="20"/>
  <c r="N100" i="20" s="1"/>
  <c r="T102" i="20"/>
  <c r="U102" i="20"/>
  <c r="I108" i="20"/>
  <c r="I92" i="20" s="1"/>
  <c r="K92" i="20" s="1"/>
  <c r="I109" i="20"/>
  <c r="I93" i="20" s="1"/>
  <c r="K93" i="20" s="1"/>
  <c r="I114" i="20"/>
  <c r="K114" i="20" s="1"/>
  <c r="J116" i="20"/>
  <c r="L118" i="20"/>
  <c r="O118" i="20" s="1"/>
  <c r="M118" i="20"/>
  <c r="N118" i="20"/>
  <c r="P118" i="20"/>
  <c r="Q118" i="20"/>
  <c r="R118" i="20"/>
  <c r="U118" i="20" s="1"/>
  <c r="S118" i="20"/>
  <c r="O121" i="20"/>
  <c r="P121" i="20"/>
  <c r="T121" i="20"/>
  <c r="U121" i="20"/>
  <c r="L122" i="20"/>
  <c r="M122" i="20"/>
  <c r="N122" i="20"/>
  <c r="N120" i="20" s="1"/>
  <c r="Q122" i="20"/>
  <c r="R122" i="20"/>
  <c r="R119" i="20" s="1"/>
  <c r="S122" i="20"/>
  <c r="S119" i="20" s="1"/>
  <c r="S117" i="20" s="1"/>
  <c r="Q123" i="20"/>
  <c r="T123" i="20" s="1"/>
  <c r="R123" i="20"/>
  <c r="U123" i="20" s="1"/>
  <c r="S123" i="20"/>
  <c r="O124" i="20"/>
  <c r="P124" i="20"/>
  <c r="T124" i="20"/>
  <c r="U124" i="20"/>
  <c r="L125" i="20"/>
  <c r="O125" i="20" s="1"/>
  <c r="M125" i="20"/>
  <c r="P125" i="20" s="1"/>
  <c r="N125" i="20"/>
  <c r="N123" i="20" s="1"/>
  <c r="T125" i="20"/>
  <c r="U125" i="20"/>
  <c r="I127" i="20"/>
  <c r="I116" i="20" s="1"/>
  <c r="K116" i="20" s="1"/>
  <c r="I128" i="20"/>
  <c r="K128" i="20" s="1"/>
  <c r="I129" i="20"/>
  <c r="K129" i="20" s="1"/>
  <c r="I130" i="20"/>
  <c r="K130" i="20" s="1"/>
  <c r="J136" i="20"/>
  <c r="J137" i="20"/>
  <c r="J138" i="20"/>
  <c r="L140" i="20"/>
  <c r="M140" i="20"/>
  <c r="N140" i="20"/>
  <c r="O140" i="20"/>
  <c r="Q140" i="20"/>
  <c r="T140" i="20" s="1"/>
  <c r="R140" i="20"/>
  <c r="U140" i="20" s="1"/>
  <c r="S140" i="20"/>
  <c r="O143" i="20"/>
  <c r="P143" i="20"/>
  <c r="T143" i="20"/>
  <c r="U143" i="20"/>
  <c r="L144" i="20"/>
  <c r="L142" i="20" s="1"/>
  <c r="O142" i="20" s="1"/>
  <c r="M144" i="20"/>
  <c r="N144" i="20"/>
  <c r="N142" i="20" s="1"/>
  <c r="Q144" i="20"/>
  <c r="Q141" i="20" s="1"/>
  <c r="T141" i="20" s="1"/>
  <c r="R144" i="20"/>
  <c r="R142" i="20" s="1"/>
  <c r="U142" i="20" s="1"/>
  <c r="S144" i="20"/>
  <c r="S141" i="20" s="1"/>
  <c r="Q145" i="20"/>
  <c r="T145" i="20" s="1"/>
  <c r="R145" i="20"/>
  <c r="U145" i="20" s="1"/>
  <c r="S145" i="20"/>
  <c r="O146" i="20"/>
  <c r="P146" i="20"/>
  <c r="T146" i="20"/>
  <c r="U146" i="20"/>
  <c r="L147" i="20"/>
  <c r="L145" i="20" s="1"/>
  <c r="O145" i="20" s="1"/>
  <c r="M147" i="20"/>
  <c r="M145" i="20" s="1"/>
  <c r="P145" i="20" s="1"/>
  <c r="N147" i="20"/>
  <c r="N145" i="20" s="1"/>
  <c r="T147" i="20"/>
  <c r="U147" i="20"/>
  <c r="I150" i="20"/>
  <c r="K150" i="20" s="1"/>
  <c r="I151" i="20"/>
  <c r="K151" i="20" s="1"/>
  <c r="I152" i="20"/>
  <c r="I137" i="20" s="1"/>
  <c r="K137" i="20" s="1"/>
  <c r="I153" i="20"/>
  <c r="I138" i="20" s="1"/>
  <c r="K138" i="20" s="1"/>
  <c r="I154" i="20"/>
  <c r="J156" i="20"/>
  <c r="L158" i="20"/>
  <c r="M158" i="20"/>
  <c r="N158" i="20"/>
  <c r="O158" i="20"/>
  <c r="Q158" i="20"/>
  <c r="R158" i="20"/>
  <c r="S158" i="20"/>
  <c r="T158" i="20"/>
  <c r="U158" i="20"/>
  <c r="O161" i="20"/>
  <c r="P161" i="20"/>
  <c r="T161" i="20"/>
  <c r="U161" i="20"/>
  <c r="L162" i="20"/>
  <c r="O162" i="20" s="1"/>
  <c r="M162" i="20"/>
  <c r="P162" i="20" s="1"/>
  <c r="N162" i="20"/>
  <c r="N160" i="20" s="1"/>
  <c r="Q162" i="20"/>
  <c r="R162" i="20"/>
  <c r="R159" i="20" s="1"/>
  <c r="U159" i="20" s="1"/>
  <c r="S162" i="20"/>
  <c r="S159" i="20" s="1"/>
  <c r="S157" i="20" s="1"/>
  <c r="Q163" i="20"/>
  <c r="T163" i="20" s="1"/>
  <c r="R163" i="20"/>
  <c r="U163" i="20" s="1"/>
  <c r="S163" i="20"/>
  <c r="O164" i="20"/>
  <c r="P164" i="20"/>
  <c r="T164" i="20"/>
  <c r="U164" i="20"/>
  <c r="L165" i="20"/>
  <c r="O165" i="20" s="1"/>
  <c r="M165" i="20"/>
  <c r="P165" i="20" s="1"/>
  <c r="N165" i="20"/>
  <c r="N163" i="20" s="1"/>
  <c r="T165" i="20"/>
  <c r="U165" i="20"/>
  <c r="I167" i="20"/>
  <c r="K167" i="20" s="1"/>
  <c r="I168" i="20"/>
  <c r="K168" i="20" s="1"/>
  <c r="I169" i="20"/>
  <c r="J172" i="20"/>
  <c r="L174" i="20"/>
  <c r="M174" i="20"/>
  <c r="P174" i="20" s="1"/>
  <c r="N174" i="20"/>
  <c r="Q174" i="20"/>
  <c r="R174" i="20"/>
  <c r="S174" i="20"/>
  <c r="O177" i="20"/>
  <c r="P177" i="20"/>
  <c r="T177" i="20"/>
  <c r="U177" i="20"/>
  <c r="L178" i="20"/>
  <c r="M178" i="20"/>
  <c r="N178" i="20"/>
  <c r="N176" i="20" s="1"/>
  <c r="Q178" i="20"/>
  <c r="Q175" i="20" s="1"/>
  <c r="T175" i="20" s="1"/>
  <c r="R178" i="20"/>
  <c r="R175" i="20" s="1"/>
  <c r="U175" i="20" s="1"/>
  <c r="S178" i="20"/>
  <c r="S175" i="20" s="1"/>
  <c r="Q179" i="20"/>
  <c r="R179" i="20"/>
  <c r="U179" i="20" s="1"/>
  <c r="S179" i="20"/>
  <c r="T179" i="20"/>
  <c r="O180" i="20"/>
  <c r="P180" i="20"/>
  <c r="T180" i="20"/>
  <c r="U180" i="20"/>
  <c r="L181" i="20"/>
  <c r="O181" i="20" s="1"/>
  <c r="M181" i="20"/>
  <c r="P181" i="20" s="1"/>
  <c r="N181" i="20"/>
  <c r="N179" i="20" s="1"/>
  <c r="T181" i="20"/>
  <c r="U181" i="20"/>
  <c r="I183" i="20"/>
  <c r="I172" i="20" s="1"/>
  <c r="K172" i="20" s="1"/>
  <c r="K184" i="20"/>
  <c r="L187" i="20"/>
  <c r="M187" i="20"/>
  <c r="N187" i="20"/>
  <c r="Q187" i="20"/>
  <c r="T187" i="20" s="1"/>
  <c r="R187" i="20"/>
  <c r="S187" i="20"/>
  <c r="O190" i="20"/>
  <c r="P190" i="20"/>
  <c r="T190" i="20"/>
  <c r="U190" i="20"/>
  <c r="L191" i="20"/>
  <c r="L189" i="20" s="1"/>
  <c r="M191" i="20"/>
  <c r="M189" i="20" s="1"/>
  <c r="N191" i="20"/>
  <c r="Q191" i="20"/>
  <c r="R191" i="20"/>
  <c r="R189" i="20" s="1"/>
  <c r="U189" i="20" s="1"/>
  <c r="S191" i="20"/>
  <c r="S189" i="20" s="1"/>
  <c r="Q192" i="20"/>
  <c r="T192" i="20" s="1"/>
  <c r="R192" i="20"/>
  <c r="U192" i="20" s="1"/>
  <c r="S192" i="20"/>
  <c r="O193" i="20"/>
  <c r="P193" i="20"/>
  <c r="T193" i="20"/>
  <c r="U193" i="20"/>
  <c r="L194" i="20"/>
  <c r="M194" i="20"/>
  <c r="M192" i="20" s="1"/>
  <c r="P192" i="20" s="1"/>
  <c r="N194" i="20"/>
  <c r="N192" i="20" s="1"/>
  <c r="T194" i="20"/>
  <c r="U194" i="20"/>
  <c r="J195" i="20"/>
  <c r="L196" i="20"/>
  <c r="O196" i="20" s="1"/>
  <c r="P196" i="20"/>
  <c r="I198" i="20"/>
  <c r="I195" i="20" s="1"/>
  <c r="J199" i="20"/>
  <c r="J202" i="20"/>
  <c r="N203" i="20"/>
  <c r="P203" i="20"/>
  <c r="S203" i="20"/>
  <c r="U203" i="20"/>
  <c r="L204" i="20"/>
  <c r="L205" i="20"/>
  <c r="L206" i="20"/>
  <c r="Q206" i="20"/>
  <c r="Q203" i="20" s="1"/>
  <c r="T203" i="20" s="1"/>
  <c r="L207" i="20"/>
  <c r="I209" i="20"/>
  <c r="I202" i="20" s="1"/>
  <c r="K202" i="20" s="1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I213" i="20" s="1"/>
  <c r="K213" i="20" s="1"/>
  <c r="J221" i="20"/>
  <c r="N222" i="20"/>
  <c r="P222" i="20"/>
  <c r="L223" i="20"/>
  <c r="L224" i="20"/>
  <c r="L225" i="20"/>
  <c r="I228" i="20"/>
  <c r="K228" i="20" s="1"/>
  <c r="I229" i="20"/>
  <c r="I221" i="20" s="1"/>
  <c r="K221" i="20" s="1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J231" i="20" s="1"/>
  <c r="J185" i="20" s="1"/>
  <c r="N243" i="20"/>
  <c r="N232" i="20" s="1"/>
  <c r="P243" i="20"/>
  <c r="L244" i="20"/>
  <c r="L245" i="20"/>
  <c r="L246" i="20"/>
  <c r="L247" i="20"/>
  <c r="I249" i="20"/>
  <c r="K251" i="20"/>
  <c r="K252" i="20"/>
  <c r="J253" i="20"/>
  <c r="N254" i="20"/>
  <c r="P254" i="20"/>
  <c r="L255" i="20"/>
  <c r="L256" i="20"/>
  <c r="L257" i="20"/>
  <c r="L258" i="20"/>
  <c r="I260" i="20"/>
  <c r="I253" i="20" s="1"/>
  <c r="K253" i="20" s="1"/>
  <c r="K262" i="20"/>
  <c r="K263" i="20"/>
  <c r="J265" i="20"/>
  <c r="L267" i="20"/>
  <c r="M267" i="20"/>
  <c r="P267" i="20" s="1"/>
  <c r="N267" i="20"/>
  <c r="Q267" i="20"/>
  <c r="T267" i="20" s="1"/>
  <c r="R267" i="20"/>
  <c r="S267" i="20"/>
  <c r="O270" i="20"/>
  <c r="P270" i="20"/>
  <c r="T270" i="20"/>
  <c r="U270" i="20"/>
  <c r="L271" i="20"/>
  <c r="L269" i="20" s="1"/>
  <c r="O269" i="20" s="1"/>
  <c r="M271" i="20"/>
  <c r="M269" i="20" s="1"/>
  <c r="N271" i="20"/>
  <c r="N269" i="20" s="1"/>
  <c r="Q271" i="20"/>
  <c r="Q269" i="20" s="1"/>
  <c r="R271" i="20"/>
  <c r="R269" i="20" s="1"/>
  <c r="S271" i="20"/>
  <c r="S268" i="20" s="1"/>
  <c r="S266" i="20" s="1"/>
  <c r="Q272" i="20"/>
  <c r="T272" i="20" s="1"/>
  <c r="R272" i="20"/>
  <c r="S272" i="20"/>
  <c r="U272" i="20"/>
  <c r="O273" i="20"/>
  <c r="P273" i="20"/>
  <c r="T273" i="20"/>
  <c r="U273" i="20"/>
  <c r="L274" i="20"/>
  <c r="L272" i="20" s="1"/>
  <c r="O272" i="20" s="1"/>
  <c r="M274" i="20"/>
  <c r="P274" i="20" s="1"/>
  <c r="N274" i="20"/>
  <c r="N272" i="20" s="1"/>
  <c r="T274" i="20"/>
  <c r="U274" i="20"/>
  <c r="I276" i="20"/>
  <c r="I265" i="20" s="1"/>
  <c r="K265" i="20" s="1"/>
  <c r="J281" i="20"/>
  <c r="L283" i="20"/>
  <c r="O283" i="20" s="1"/>
  <c r="M283" i="20"/>
  <c r="N283" i="20"/>
  <c r="Q283" i="20"/>
  <c r="Q282" i="20" s="1"/>
  <c r="T282" i="20" s="1"/>
  <c r="R283" i="20"/>
  <c r="U283" i="20" s="1"/>
  <c r="S283" i="20"/>
  <c r="Q284" i="20"/>
  <c r="R284" i="20"/>
  <c r="S284" i="20"/>
  <c r="T284" i="20"/>
  <c r="U284" i="20"/>
  <c r="Q285" i="20"/>
  <c r="T285" i="20" s="1"/>
  <c r="R285" i="20"/>
  <c r="U285" i="20" s="1"/>
  <c r="S285" i="20"/>
  <c r="O286" i="20"/>
  <c r="P286" i="20"/>
  <c r="T286" i="20"/>
  <c r="U286" i="20"/>
  <c r="L287" i="20"/>
  <c r="L285" i="20" s="1"/>
  <c r="O285" i="20" s="1"/>
  <c r="M287" i="20"/>
  <c r="M285" i="20" s="1"/>
  <c r="P285" i="20" s="1"/>
  <c r="N287" i="20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M290" i="20"/>
  <c r="P290" i="20" s="1"/>
  <c r="N290" i="20"/>
  <c r="N288" i="20" s="1"/>
  <c r="T290" i="20"/>
  <c r="U290" i="20"/>
  <c r="I292" i="20"/>
  <c r="K292" i="20" s="1"/>
  <c r="I293" i="20"/>
  <c r="I280" i="20" s="1"/>
  <c r="K280" i="20" s="1"/>
  <c r="J293" i="20"/>
  <c r="J280" i="20" s="1"/>
  <c r="I295" i="20"/>
  <c r="K295" i="20" s="1"/>
  <c r="I296" i="20"/>
  <c r="K296" i="20" s="1"/>
  <c r="J302" i="20"/>
  <c r="L304" i="20"/>
  <c r="O304" i="20" s="1"/>
  <c r="M304" i="20"/>
  <c r="N304" i="20"/>
  <c r="Q304" i="20"/>
  <c r="T304" i="20" s="1"/>
  <c r="R304" i="20"/>
  <c r="U304" i="20" s="1"/>
  <c r="S304" i="20"/>
  <c r="O307" i="20"/>
  <c r="P307" i="20"/>
  <c r="T307" i="20"/>
  <c r="U307" i="20"/>
  <c r="L308" i="20"/>
  <c r="L306" i="20" s="1"/>
  <c r="O306" i="20" s="1"/>
  <c r="M308" i="20"/>
  <c r="M306" i="20" s="1"/>
  <c r="P306" i="20" s="1"/>
  <c r="N308" i="20"/>
  <c r="Q308" i="20"/>
  <c r="Q305" i="20" s="1"/>
  <c r="R308" i="20"/>
  <c r="R306" i="20" s="1"/>
  <c r="U306" i="20" s="1"/>
  <c r="S308" i="20"/>
  <c r="S306" i="20" s="1"/>
  <c r="Q309" i="20"/>
  <c r="T309" i="20" s="1"/>
  <c r="R309" i="20"/>
  <c r="U309" i="20" s="1"/>
  <c r="S309" i="20"/>
  <c r="O310" i="20"/>
  <c r="P310" i="20"/>
  <c r="T310" i="20"/>
  <c r="U310" i="20"/>
  <c r="L311" i="20"/>
  <c r="L309" i="20" s="1"/>
  <c r="O309" i="20" s="1"/>
  <c r="M311" i="20"/>
  <c r="M309" i="20" s="1"/>
  <c r="P309" i="20" s="1"/>
  <c r="N311" i="20"/>
  <c r="N309" i="20" s="1"/>
  <c r="T311" i="20"/>
  <c r="U311" i="20"/>
  <c r="I314" i="20"/>
  <c r="I302" i="20" s="1"/>
  <c r="K302" i="20" s="1"/>
  <c r="J319" i="20"/>
  <c r="L321" i="20"/>
  <c r="O321" i="20" s="1"/>
  <c r="M321" i="20"/>
  <c r="P321" i="20" s="1"/>
  <c r="N321" i="20"/>
  <c r="Q321" i="20"/>
  <c r="R321" i="20"/>
  <c r="S321" i="20"/>
  <c r="U321" i="20"/>
  <c r="Q322" i="20"/>
  <c r="T322" i="20" s="1"/>
  <c r="R322" i="20"/>
  <c r="U322" i="20" s="1"/>
  <c r="S322" i="20"/>
  <c r="Q323" i="20"/>
  <c r="T323" i="20" s="1"/>
  <c r="R323" i="20"/>
  <c r="S323" i="20"/>
  <c r="U323" i="20"/>
  <c r="O324" i="20"/>
  <c r="P324" i="20"/>
  <c r="T324" i="20"/>
  <c r="U324" i="20"/>
  <c r="L325" i="20"/>
  <c r="O325" i="20" s="1"/>
  <c r="M325" i="20"/>
  <c r="N325" i="20"/>
  <c r="T325" i="20"/>
  <c r="U325" i="20"/>
  <c r="Q326" i="20"/>
  <c r="T326" i="20" s="1"/>
  <c r="R326" i="20"/>
  <c r="U326" i="20" s="1"/>
  <c r="S326" i="20"/>
  <c r="O327" i="20"/>
  <c r="P327" i="20"/>
  <c r="T327" i="20"/>
  <c r="U327" i="20"/>
  <c r="L328" i="20"/>
  <c r="O328" i="20" s="1"/>
  <c r="M328" i="20"/>
  <c r="M326" i="20" s="1"/>
  <c r="P326" i="20" s="1"/>
  <c r="N328" i="20"/>
  <c r="N326" i="20" s="1"/>
  <c r="T328" i="20"/>
  <c r="U328" i="20"/>
  <c r="I330" i="20"/>
  <c r="K330" i="20" s="1"/>
  <c r="L334" i="20"/>
  <c r="M334" i="20"/>
  <c r="N334" i="20"/>
  <c r="P334" i="20"/>
  <c r="Q334" i="20"/>
  <c r="Q333" i="20" s="1"/>
  <c r="T333" i="20" s="1"/>
  <c r="R334" i="20"/>
  <c r="S334" i="20"/>
  <c r="S333" i="20" s="1"/>
  <c r="Q335" i="20"/>
  <c r="R335" i="20"/>
  <c r="U335" i="20" s="1"/>
  <c r="S335" i="20"/>
  <c r="T335" i="20"/>
  <c r="Q336" i="20"/>
  <c r="R336" i="20"/>
  <c r="S336" i="20"/>
  <c r="T336" i="20"/>
  <c r="U336" i="20"/>
  <c r="O337" i="20"/>
  <c r="P337" i="20"/>
  <c r="T337" i="20"/>
  <c r="U337" i="20"/>
  <c r="L338" i="20"/>
  <c r="M338" i="20"/>
  <c r="M336" i="20" s="1"/>
  <c r="N338" i="20"/>
  <c r="N336" i="20" s="1"/>
  <c r="T338" i="20"/>
  <c r="U338" i="20"/>
  <c r="Q339" i="20"/>
  <c r="T339" i="20" s="1"/>
  <c r="R339" i="20"/>
  <c r="U339" i="20" s="1"/>
  <c r="S339" i="20"/>
  <c r="O340" i="20"/>
  <c r="P340" i="20"/>
  <c r="T340" i="20"/>
  <c r="U340" i="20"/>
  <c r="L341" i="20"/>
  <c r="M341" i="20"/>
  <c r="M339" i="20" s="1"/>
  <c r="P339" i="20" s="1"/>
  <c r="N341" i="20"/>
  <c r="N339" i="20" s="1"/>
  <c r="T341" i="20"/>
  <c r="U341" i="20"/>
  <c r="I344" i="20"/>
  <c r="I332" i="20" s="1"/>
  <c r="J344" i="20"/>
  <c r="I346" i="20"/>
  <c r="J346" i="20"/>
  <c r="J347" i="20"/>
  <c r="J348" i="20"/>
  <c r="J349" i="20"/>
  <c r="D350" i="20"/>
  <c r="J352" i="20"/>
  <c r="J353" i="20"/>
  <c r="J354" i="20"/>
  <c r="S356" i="20"/>
  <c r="L357" i="20"/>
  <c r="M357" i="20"/>
  <c r="P357" i="20" s="1"/>
  <c r="N357" i="20"/>
  <c r="O357" i="20"/>
  <c r="Q357" i="20"/>
  <c r="T357" i="20" s="1"/>
  <c r="R357" i="20"/>
  <c r="S357" i="20"/>
  <c r="Q358" i="20"/>
  <c r="R358" i="20"/>
  <c r="U358" i="20" s="1"/>
  <c r="S358" i="20"/>
  <c r="Q359" i="20"/>
  <c r="T359" i="20" s="1"/>
  <c r="R359" i="20"/>
  <c r="U359" i="20" s="1"/>
  <c r="S359" i="20"/>
  <c r="O360" i="20"/>
  <c r="P360" i="20"/>
  <c r="T360" i="20"/>
  <c r="U360" i="20"/>
  <c r="L361" i="20"/>
  <c r="M361" i="20"/>
  <c r="N361" i="20"/>
  <c r="N359" i="20" s="1"/>
  <c r="T361" i="20"/>
  <c r="U361" i="20"/>
  <c r="Q362" i="20"/>
  <c r="T362" i="20" s="1"/>
  <c r="R362" i="20"/>
  <c r="U362" i="20" s="1"/>
  <c r="S362" i="20"/>
  <c r="O363" i="20"/>
  <c r="P363" i="20"/>
  <c r="T363" i="20"/>
  <c r="U363" i="20"/>
  <c r="L364" i="20"/>
  <c r="O364" i="20" s="1"/>
  <c r="M364" i="20"/>
  <c r="P364" i="20" s="1"/>
  <c r="N364" i="20"/>
  <c r="N362" i="20" s="1"/>
  <c r="T364" i="20"/>
  <c r="U364" i="20"/>
  <c r="J367" i="20"/>
  <c r="K367" i="20"/>
  <c r="I368" i="20"/>
  <c r="K368" i="20" s="1"/>
  <c r="J368" i="20"/>
  <c r="I369" i="20"/>
  <c r="K369" i="20" s="1"/>
  <c r="J369" i="20"/>
  <c r="J370" i="20"/>
  <c r="K370" i="20"/>
  <c r="I371" i="20"/>
  <c r="J371" i="20"/>
  <c r="J365" i="20" s="1"/>
  <c r="J372" i="20"/>
  <c r="K372" i="20"/>
  <c r="D373" i="20"/>
  <c r="J374" i="20"/>
  <c r="L375" i="20"/>
  <c r="O375" i="20" s="1"/>
  <c r="L376" i="20"/>
  <c r="M376" i="20"/>
  <c r="P376" i="20" s="1"/>
  <c r="N376" i="20"/>
  <c r="N375" i="20" s="1"/>
  <c r="O376" i="20"/>
  <c r="Q376" i="20"/>
  <c r="R376" i="20"/>
  <c r="S376" i="20"/>
  <c r="U376" i="20"/>
  <c r="L377" i="20"/>
  <c r="O377" i="20" s="1"/>
  <c r="M377" i="20"/>
  <c r="N377" i="20"/>
  <c r="L378" i="20"/>
  <c r="O378" i="20" s="1"/>
  <c r="M378" i="20"/>
  <c r="P378" i="20" s="1"/>
  <c r="N378" i="20"/>
  <c r="O379" i="20"/>
  <c r="P379" i="20"/>
  <c r="T379" i="20"/>
  <c r="U379" i="20"/>
  <c r="O380" i="20"/>
  <c r="P380" i="20"/>
  <c r="Q380" i="20"/>
  <c r="Q378" i="20" s="1"/>
  <c r="T378" i="20" s="1"/>
  <c r="R380" i="20"/>
  <c r="S380" i="20"/>
  <c r="S378" i="20" s="1"/>
  <c r="L381" i="20"/>
  <c r="O381" i="20" s="1"/>
  <c r="M381" i="20"/>
  <c r="P381" i="20" s="1"/>
  <c r="N381" i="20"/>
  <c r="Q381" i="20"/>
  <c r="T381" i="20" s="1"/>
  <c r="R381" i="20"/>
  <c r="S381" i="20"/>
  <c r="U381" i="20"/>
  <c r="O382" i="20"/>
  <c r="P382" i="20"/>
  <c r="T382" i="20"/>
  <c r="U382" i="20"/>
  <c r="O383" i="20"/>
  <c r="P383" i="20"/>
  <c r="T383" i="20"/>
  <c r="U383" i="20"/>
  <c r="I385" i="20"/>
  <c r="K385" i="20" s="1"/>
  <c r="I386" i="20"/>
  <c r="K386" i="20" s="1"/>
  <c r="K387" i="20"/>
  <c r="K388" i="20"/>
  <c r="I391" i="20"/>
  <c r="K391" i="20" s="1"/>
  <c r="J391" i="20"/>
  <c r="L393" i="20"/>
  <c r="O393" i="20" s="1"/>
  <c r="M393" i="20"/>
  <c r="P393" i="20" s="1"/>
  <c r="N393" i="20"/>
  <c r="Q393" i="20"/>
  <c r="R393" i="20"/>
  <c r="U393" i="20" s="1"/>
  <c r="S393" i="20"/>
  <c r="L394" i="20"/>
  <c r="O394" i="20" s="1"/>
  <c r="M394" i="20"/>
  <c r="P394" i="20" s="1"/>
  <c r="N394" i="20"/>
  <c r="Q394" i="20"/>
  <c r="R394" i="20"/>
  <c r="U394" i="20" s="1"/>
  <c r="S394" i="20"/>
  <c r="T394" i="20"/>
  <c r="L395" i="20"/>
  <c r="M395" i="20"/>
  <c r="N395" i="20"/>
  <c r="O395" i="20"/>
  <c r="P395" i="20"/>
  <c r="Q395" i="20"/>
  <c r="R395" i="20"/>
  <c r="S395" i="20"/>
  <c r="T395" i="20"/>
  <c r="U395" i="20"/>
  <c r="O396" i="20"/>
  <c r="P396" i="20"/>
  <c r="T396" i="20"/>
  <c r="U396" i="20"/>
  <c r="O397" i="20"/>
  <c r="P397" i="20"/>
  <c r="T397" i="20"/>
  <c r="U397" i="20"/>
  <c r="L398" i="20"/>
  <c r="M398" i="20"/>
  <c r="N398" i="20"/>
  <c r="O398" i="20"/>
  <c r="P398" i="20"/>
  <c r="Q398" i="20"/>
  <c r="R398" i="20"/>
  <c r="S398" i="20"/>
  <c r="T398" i="20"/>
  <c r="U398" i="20"/>
  <c r="O399" i="20"/>
  <c r="P399" i="20"/>
  <c r="T399" i="20"/>
  <c r="U399" i="20"/>
  <c r="O400" i="20"/>
  <c r="P400" i="20"/>
  <c r="T400" i="20"/>
  <c r="U400" i="20"/>
  <c r="L413" i="20"/>
  <c r="O413" i="20" s="1"/>
  <c r="L414" i="20"/>
  <c r="O414" i="20" s="1"/>
  <c r="M414" i="20"/>
  <c r="P414" i="20" s="1"/>
  <c r="N414" i="20"/>
  <c r="N413" i="20" s="1"/>
  <c r="Q414" i="20"/>
  <c r="R414" i="20"/>
  <c r="S414" i="20"/>
  <c r="T414" i="20"/>
  <c r="U414" i="20"/>
  <c r="L415" i="20"/>
  <c r="M415" i="20"/>
  <c r="N415" i="20"/>
  <c r="O415" i="20"/>
  <c r="P415" i="20"/>
  <c r="L416" i="20"/>
  <c r="O416" i="20" s="1"/>
  <c r="M416" i="20"/>
  <c r="P416" i="20" s="1"/>
  <c r="N416" i="20"/>
  <c r="O417" i="20"/>
  <c r="P417" i="20"/>
  <c r="T417" i="20"/>
  <c r="U417" i="20"/>
  <c r="O418" i="20"/>
  <c r="P418" i="20"/>
  <c r="Q418" i="20"/>
  <c r="Q415" i="20" s="1"/>
  <c r="T415" i="20" s="1"/>
  <c r="R418" i="20"/>
  <c r="R415" i="20" s="1"/>
  <c r="U415" i="20" s="1"/>
  <c r="S418" i="20"/>
  <c r="L419" i="20"/>
  <c r="M419" i="20"/>
  <c r="P419" i="20" s="1"/>
  <c r="N419" i="20"/>
  <c r="O419" i="20"/>
  <c r="Q419" i="20"/>
  <c r="R419" i="20"/>
  <c r="S419" i="20"/>
  <c r="T419" i="20"/>
  <c r="U419" i="20"/>
  <c r="O420" i="20"/>
  <c r="P420" i="20"/>
  <c r="T420" i="20"/>
  <c r="U420" i="20"/>
  <c r="O421" i="20"/>
  <c r="P421" i="20"/>
  <c r="T421" i="20"/>
  <c r="U421" i="20"/>
  <c r="I424" i="20"/>
  <c r="K424" i="20" s="1"/>
  <c r="J424" i="20"/>
  <c r="I425" i="20"/>
  <c r="K425" i="20" s="1"/>
  <c r="J425" i="20"/>
  <c r="I432" i="20"/>
  <c r="K432" i="20" s="1"/>
  <c r="J432" i="20"/>
  <c r="I433" i="20"/>
  <c r="K433" i="20" s="1"/>
  <c r="J433" i="20"/>
  <c r="I440" i="20"/>
  <c r="I441" i="20"/>
  <c r="K441" i="20" s="1"/>
  <c r="J446" i="20"/>
  <c r="J440" i="20" s="1"/>
  <c r="J423" i="20" s="1"/>
  <c r="J412" i="20" s="1"/>
  <c r="J447" i="20"/>
  <c r="J441" i="20" s="1"/>
  <c r="I457" i="20"/>
  <c r="I456" i="20" s="1"/>
  <c r="K456" i="20" s="1"/>
  <c r="I458" i="20"/>
  <c r="K458" i="20" s="1"/>
  <c r="J459" i="20"/>
  <c r="J460" i="20"/>
  <c r="J467" i="20"/>
  <c r="J457" i="20" s="1"/>
  <c r="J456" i="20" s="1"/>
  <c r="J468" i="20"/>
  <c r="J475" i="20"/>
  <c r="K475" i="20"/>
  <c r="J476" i="20"/>
  <c r="K476" i="20"/>
  <c r="J477" i="20"/>
  <c r="K477" i="20"/>
  <c r="J482" i="20"/>
  <c r="J483" i="20"/>
  <c r="I484" i="20"/>
  <c r="J484" i="20"/>
  <c r="K484" i="20"/>
  <c r="I485" i="20"/>
  <c r="K485" i="20" s="1"/>
  <c r="J485" i="20"/>
  <c r="L494" i="20"/>
  <c r="M494" i="20"/>
  <c r="P494" i="20" s="1"/>
  <c r="N494" i="20"/>
  <c r="Q494" i="20"/>
  <c r="R494" i="20"/>
  <c r="S494" i="20"/>
  <c r="L495" i="20"/>
  <c r="O495" i="20" s="1"/>
  <c r="M495" i="20"/>
  <c r="P495" i="20" s="1"/>
  <c r="N495" i="20"/>
  <c r="N493" i="20" s="1"/>
  <c r="L496" i="20"/>
  <c r="O496" i="20" s="1"/>
  <c r="M496" i="20"/>
  <c r="P496" i="20" s="1"/>
  <c r="N496" i="20"/>
  <c r="O497" i="20"/>
  <c r="P497" i="20"/>
  <c r="T497" i="20"/>
  <c r="U497" i="20"/>
  <c r="O498" i="20"/>
  <c r="P498" i="20"/>
  <c r="Q498" i="20"/>
  <c r="R498" i="20"/>
  <c r="R496" i="20" s="1"/>
  <c r="U496" i="20" s="1"/>
  <c r="S498" i="20"/>
  <c r="S495" i="20" s="1"/>
  <c r="L499" i="20"/>
  <c r="O499" i="20" s="1"/>
  <c r="M499" i="20"/>
  <c r="P499" i="20" s="1"/>
  <c r="N499" i="20"/>
  <c r="Q499" i="20"/>
  <c r="T499" i="20" s="1"/>
  <c r="R499" i="20"/>
  <c r="U499" i="20" s="1"/>
  <c r="S499" i="20"/>
  <c r="O500" i="20"/>
  <c r="P500" i="20"/>
  <c r="T500" i="20"/>
  <c r="U500" i="20"/>
  <c r="O501" i="20"/>
  <c r="P501" i="20"/>
  <c r="T501" i="20"/>
  <c r="U501" i="20"/>
  <c r="I503" i="20"/>
  <c r="I492" i="20" s="1"/>
  <c r="K492" i="20" s="1"/>
  <c r="I504" i="20"/>
  <c r="K504" i="20" s="1"/>
  <c r="I505" i="20"/>
  <c r="K505" i="20" s="1"/>
  <c r="I506" i="20"/>
  <c r="K506" i="20" s="1"/>
  <c r="I507" i="20"/>
  <c r="K507" i="20" s="1"/>
  <c r="K508" i="20"/>
  <c r="I509" i="20"/>
  <c r="K509" i="20" s="1"/>
  <c r="I512" i="20"/>
  <c r="K512" i="20" s="1"/>
  <c r="J512" i="20"/>
  <c r="L514" i="20"/>
  <c r="M514" i="20"/>
  <c r="N514" i="20"/>
  <c r="O514" i="20"/>
  <c r="Q514" i="20"/>
  <c r="T514" i="20" s="1"/>
  <c r="R514" i="20"/>
  <c r="S514" i="20"/>
  <c r="S513" i="20" s="1"/>
  <c r="U514" i="20"/>
  <c r="Q515" i="20"/>
  <c r="T515" i="20" s="1"/>
  <c r="R515" i="20"/>
  <c r="S515" i="20"/>
  <c r="Q516" i="20"/>
  <c r="T516" i="20" s="1"/>
  <c r="R516" i="20"/>
  <c r="U516" i="20" s="1"/>
  <c r="S516" i="20"/>
  <c r="O517" i="20"/>
  <c r="P517" i="20"/>
  <c r="T517" i="20"/>
  <c r="U517" i="20"/>
  <c r="L518" i="20"/>
  <c r="M518" i="20"/>
  <c r="N518" i="20"/>
  <c r="T518" i="20"/>
  <c r="U518" i="20"/>
  <c r="Q519" i="20"/>
  <c r="T519" i="20" s="1"/>
  <c r="R519" i="20"/>
  <c r="U519" i="20" s="1"/>
  <c r="S519" i="20"/>
  <c r="O520" i="20"/>
  <c r="P520" i="20"/>
  <c r="T520" i="20"/>
  <c r="U520" i="20"/>
  <c r="L521" i="20"/>
  <c r="L519" i="20" s="1"/>
  <c r="O519" i="20" s="1"/>
  <c r="M521" i="20"/>
  <c r="M519" i="20" s="1"/>
  <c r="P519" i="20" s="1"/>
  <c r="N521" i="20"/>
  <c r="N519" i="20" s="1"/>
  <c r="T521" i="20"/>
  <c r="U521" i="20"/>
  <c r="K523" i="20"/>
  <c r="K524" i="20"/>
  <c r="I533" i="20"/>
  <c r="K533" i="20" s="1"/>
  <c r="J533" i="20"/>
  <c r="L535" i="20"/>
  <c r="O535" i="20" s="1"/>
  <c r="M535" i="20"/>
  <c r="N535" i="20"/>
  <c r="P535" i="20"/>
  <c r="Q535" i="20"/>
  <c r="R535" i="20"/>
  <c r="S535" i="20"/>
  <c r="L536" i="20"/>
  <c r="O536" i="20" s="1"/>
  <c r="M536" i="20"/>
  <c r="P536" i="20" s="1"/>
  <c r="N536" i="20"/>
  <c r="Q536" i="20"/>
  <c r="T536" i="20" s="1"/>
  <c r="R536" i="20"/>
  <c r="U536" i="20" s="1"/>
  <c r="S536" i="20"/>
  <c r="L537" i="20"/>
  <c r="M537" i="20"/>
  <c r="N537" i="20"/>
  <c r="O537" i="20"/>
  <c r="P537" i="20"/>
  <c r="Q537" i="20"/>
  <c r="R537" i="20"/>
  <c r="S537" i="20"/>
  <c r="T537" i="20"/>
  <c r="U537" i="20"/>
  <c r="O538" i="20"/>
  <c r="P538" i="20"/>
  <c r="T538" i="20"/>
  <c r="U538" i="20"/>
  <c r="O539" i="20"/>
  <c r="P539" i="20"/>
  <c r="T539" i="20"/>
  <c r="U539" i="20"/>
  <c r="L540" i="20"/>
  <c r="M540" i="20"/>
  <c r="N540" i="20"/>
  <c r="O540" i="20"/>
  <c r="P540" i="20"/>
  <c r="Q540" i="20"/>
  <c r="R540" i="20"/>
  <c r="S540" i="20"/>
  <c r="T540" i="20"/>
  <c r="U540" i="20"/>
  <c r="O541" i="20"/>
  <c r="P541" i="20"/>
  <c r="T541" i="20"/>
  <c r="U541" i="20"/>
  <c r="O542" i="20"/>
  <c r="P542" i="20"/>
  <c r="T542" i="20"/>
  <c r="U542" i="20"/>
  <c r="I554" i="20"/>
  <c r="K554" i="20" s="1"/>
  <c r="J554" i="20"/>
  <c r="L555" i="20"/>
  <c r="O555" i="20" s="1"/>
  <c r="L556" i="20"/>
  <c r="M556" i="20"/>
  <c r="P556" i="20" s="1"/>
  <c r="N556" i="20"/>
  <c r="O556" i="20"/>
  <c r="Q556" i="20"/>
  <c r="Q555" i="20" s="1"/>
  <c r="T555" i="20" s="1"/>
  <c r="R556" i="20"/>
  <c r="U556" i="20" s="1"/>
  <c r="S556" i="20"/>
  <c r="L557" i="20"/>
  <c r="M557" i="20"/>
  <c r="M555" i="20" s="1"/>
  <c r="P555" i="20" s="1"/>
  <c r="N557" i="20"/>
  <c r="O557" i="20"/>
  <c r="Q557" i="20"/>
  <c r="T557" i="20" s="1"/>
  <c r="R557" i="20"/>
  <c r="S557" i="20"/>
  <c r="S555" i="20" s="1"/>
  <c r="U557" i="20"/>
  <c r="L558" i="20"/>
  <c r="O558" i="20" s="1"/>
  <c r="M558" i="20"/>
  <c r="P558" i="20" s="1"/>
  <c r="N558" i="20"/>
  <c r="Q558" i="20"/>
  <c r="T558" i="20" s="1"/>
  <c r="R558" i="20"/>
  <c r="U558" i="20" s="1"/>
  <c r="S558" i="20"/>
  <c r="O559" i="20"/>
  <c r="P559" i="20"/>
  <c r="T559" i="20"/>
  <c r="U559" i="20"/>
  <c r="O560" i="20"/>
  <c r="P560" i="20"/>
  <c r="T560" i="20"/>
  <c r="U560" i="20"/>
  <c r="L561" i="20"/>
  <c r="O561" i="20" s="1"/>
  <c r="M561" i="20"/>
  <c r="P561" i="20" s="1"/>
  <c r="N561" i="20"/>
  <c r="Q561" i="20"/>
  <c r="T561" i="20" s="1"/>
  <c r="R561" i="20"/>
  <c r="U561" i="20" s="1"/>
  <c r="S561" i="20"/>
  <c r="O562" i="20"/>
  <c r="P562" i="20"/>
  <c r="T562" i="20"/>
  <c r="U562" i="20"/>
  <c r="O563" i="20"/>
  <c r="P563" i="20"/>
  <c r="T563" i="20"/>
  <c r="U563" i="20"/>
  <c r="I575" i="20"/>
  <c r="K575" i="20" s="1"/>
  <c r="J575" i="20"/>
  <c r="L577" i="20"/>
  <c r="O577" i="20" s="1"/>
  <c r="M577" i="20"/>
  <c r="P577" i="20" s="1"/>
  <c r="N577" i="20"/>
  <c r="N576" i="20" s="1"/>
  <c r="Q577" i="20"/>
  <c r="R577" i="20"/>
  <c r="U577" i="20" s="1"/>
  <c r="S577" i="20"/>
  <c r="L578" i="20"/>
  <c r="O578" i="20" s="1"/>
  <c r="M578" i="20"/>
  <c r="P578" i="20" s="1"/>
  <c r="N578" i="20"/>
  <c r="Q578" i="20"/>
  <c r="R578" i="20"/>
  <c r="U578" i="20" s="1"/>
  <c r="S578" i="20"/>
  <c r="T578" i="20"/>
  <c r="L579" i="20"/>
  <c r="M579" i="20"/>
  <c r="N579" i="20"/>
  <c r="O579" i="20"/>
  <c r="P579" i="20"/>
  <c r="Q579" i="20"/>
  <c r="T579" i="20" s="1"/>
  <c r="R579" i="20"/>
  <c r="S579" i="20"/>
  <c r="U579" i="20"/>
  <c r="O580" i="20"/>
  <c r="P580" i="20"/>
  <c r="T580" i="20"/>
  <c r="U580" i="20"/>
  <c r="O581" i="20"/>
  <c r="P581" i="20"/>
  <c r="T581" i="20"/>
  <c r="U581" i="20"/>
  <c r="L582" i="20"/>
  <c r="M582" i="20"/>
  <c r="N582" i="20"/>
  <c r="O582" i="20"/>
  <c r="P582" i="20"/>
  <c r="Q582" i="20"/>
  <c r="T582" i="20" s="1"/>
  <c r="R582" i="20"/>
  <c r="S582" i="20"/>
  <c r="U582" i="20"/>
  <c r="O583" i="20"/>
  <c r="P583" i="20"/>
  <c r="T583" i="20"/>
  <c r="U583" i="20"/>
  <c r="O584" i="20"/>
  <c r="P584" i="20"/>
  <c r="T584" i="20"/>
  <c r="U584" i="20"/>
  <c r="L600" i="20"/>
  <c r="O600" i="20" s="1"/>
  <c r="M600" i="20"/>
  <c r="P600" i="20" s="1"/>
  <c r="N600" i="20"/>
  <c r="Q600" i="20"/>
  <c r="R600" i="20"/>
  <c r="U600" i="20" s="1"/>
  <c r="S600" i="20"/>
  <c r="L601" i="20"/>
  <c r="O601" i="20" s="1"/>
  <c r="M601" i="20"/>
  <c r="P601" i="20" s="1"/>
  <c r="N601" i="20"/>
  <c r="Q601" i="20"/>
  <c r="R601" i="20"/>
  <c r="U601" i="20" s="1"/>
  <c r="S601" i="20"/>
  <c r="T601" i="20"/>
  <c r="L602" i="20"/>
  <c r="M602" i="20"/>
  <c r="N602" i="20"/>
  <c r="O602" i="20"/>
  <c r="P602" i="20"/>
  <c r="Q602" i="20"/>
  <c r="T602" i="20" s="1"/>
  <c r="R602" i="20"/>
  <c r="S602" i="20"/>
  <c r="U602" i="20"/>
  <c r="O603" i="20"/>
  <c r="P603" i="20"/>
  <c r="T603" i="20"/>
  <c r="U603" i="20"/>
  <c r="O604" i="20"/>
  <c r="P604" i="20"/>
  <c r="T604" i="20"/>
  <c r="U604" i="20"/>
  <c r="L605" i="20"/>
  <c r="M605" i="20"/>
  <c r="N605" i="20"/>
  <c r="O605" i="20"/>
  <c r="P605" i="20"/>
  <c r="Q605" i="20"/>
  <c r="T605" i="20" s="1"/>
  <c r="R605" i="20"/>
  <c r="S605" i="20"/>
  <c r="U605" i="20"/>
  <c r="O606" i="20"/>
  <c r="P606" i="20"/>
  <c r="T606" i="20"/>
  <c r="U606" i="20"/>
  <c r="O607" i="20"/>
  <c r="P607" i="20"/>
  <c r="T607" i="20"/>
  <c r="U607" i="20"/>
  <c r="L617" i="20"/>
  <c r="M617" i="20"/>
  <c r="N617" i="20"/>
  <c r="O617" i="20"/>
  <c r="Q617" i="20"/>
  <c r="R617" i="20"/>
  <c r="U617" i="20" s="1"/>
  <c r="S617" i="20"/>
  <c r="L618" i="20"/>
  <c r="L616" i="20" s="1"/>
  <c r="O616" i="20" s="1"/>
  <c r="M618" i="20"/>
  <c r="P618" i="20" s="1"/>
  <c r="N618" i="20"/>
  <c r="L619" i="20"/>
  <c r="O619" i="20" s="1"/>
  <c r="M619" i="20"/>
  <c r="P619" i="20" s="1"/>
  <c r="N619" i="20"/>
  <c r="O620" i="20"/>
  <c r="P620" i="20"/>
  <c r="T620" i="20"/>
  <c r="U620" i="20"/>
  <c r="O621" i="20"/>
  <c r="P621" i="20"/>
  <c r="Q621" i="20"/>
  <c r="Q619" i="20" s="1"/>
  <c r="R621" i="20"/>
  <c r="R618" i="20" s="1"/>
  <c r="R616" i="20" s="1"/>
  <c r="S621" i="20"/>
  <c r="L622" i="20"/>
  <c r="M622" i="20"/>
  <c r="N622" i="20"/>
  <c r="O622" i="20"/>
  <c r="P622" i="20"/>
  <c r="Q622" i="20"/>
  <c r="T622" i="20" s="1"/>
  <c r="R622" i="20"/>
  <c r="S622" i="20"/>
  <c r="U622" i="20"/>
  <c r="O623" i="20"/>
  <c r="P623" i="20"/>
  <c r="T623" i="20"/>
  <c r="U623" i="20"/>
  <c r="O624" i="20"/>
  <c r="P624" i="20"/>
  <c r="T624" i="20"/>
  <c r="U624" i="20"/>
  <c r="I626" i="20"/>
  <c r="K631" i="20" s="1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L643" i="20"/>
  <c r="O643" i="20" s="1"/>
  <c r="M643" i="20"/>
  <c r="M642" i="20" s="1"/>
  <c r="P642" i="20" s="1"/>
  <c r="N643" i="20"/>
  <c r="N642" i="20" s="1"/>
  <c r="Q643" i="20"/>
  <c r="R643" i="20"/>
  <c r="U643" i="20" s="1"/>
  <c r="S643" i="20"/>
  <c r="T643" i="20"/>
  <c r="L644" i="20"/>
  <c r="M644" i="20"/>
  <c r="P644" i="20" s="1"/>
  <c r="N644" i="20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Q644" i="20" s="1"/>
  <c r="R647" i="20"/>
  <c r="R645" i="20" s="1"/>
  <c r="S647" i="20"/>
  <c r="S645" i="20" s="1"/>
  <c r="L648" i="20"/>
  <c r="M648" i="20"/>
  <c r="P648" i="20" s="1"/>
  <c r="N648" i="20"/>
  <c r="O648" i="20"/>
  <c r="Q648" i="20"/>
  <c r="T648" i="20" s="1"/>
  <c r="R648" i="20"/>
  <c r="U648" i="20" s="1"/>
  <c r="S648" i="20"/>
  <c r="O649" i="20"/>
  <c r="P649" i="20"/>
  <c r="T649" i="20"/>
  <c r="U649" i="20"/>
  <c r="O650" i="20"/>
  <c r="P650" i="20"/>
  <c r="T650" i="20"/>
  <c r="U650" i="20"/>
  <c r="I652" i="20"/>
  <c r="K652" i="20" s="1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I675" i="20"/>
  <c r="I676" i="20"/>
  <c r="J676" i="20"/>
  <c r="J677" i="20"/>
  <c r="I678" i="20"/>
  <c r="J678" i="20"/>
  <c r="I679" i="20"/>
  <c r="J679" i="20"/>
  <c r="J680" i="20"/>
  <c r="I681" i="20"/>
  <c r="J681" i="20"/>
  <c r="I682" i="20"/>
  <c r="K682" i="20" s="1"/>
  <c r="J682" i="20"/>
  <c r="L691" i="20"/>
  <c r="O691" i="20" s="1"/>
  <c r="M691" i="20"/>
  <c r="N691" i="20"/>
  <c r="N690" i="20" s="1"/>
  <c r="Q691" i="20"/>
  <c r="R691" i="20"/>
  <c r="U691" i="20" s="1"/>
  <c r="S691" i="20"/>
  <c r="T691" i="20"/>
  <c r="L692" i="20"/>
  <c r="L690" i="20" s="1"/>
  <c r="O690" i="20" s="1"/>
  <c r="M692" i="20"/>
  <c r="P692" i="20" s="1"/>
  <c r="N692" i="20"/>
  <c r="L693" i="20"/>
  <c r="O693" i="20" s="1"/>
  <c r="M693" i="20"/>
  <c r="P693" i="20" s="1"/>
  <c r="N693" i="20"/>
  <c r="O694" i="20"/>
  <c r="P694" i="20"/>
  <c r="T694" i="20"/>
  <c r="U694" i="20"/>
  <c r="O695" i="20"/>
  <c r="P695" i="20"/>
  <c r="Q695" i="20"/>
  <c r="Q692" i="20" s="1"/>
  <c r="T692" i="20" s="1"/>
  <c r="R695" i="20"/>
  <c r="R693" i="20" s="1"/>
  <c r="U693" i="20" s="1"/>
  <c r="S695" i="20"/>
  <c r="S693" i="20" s="1"/>
  <c r="L696" i="20"/>
  <c r="O696" i="20" s="1"/>
  <c r="M696" i="20"/>
  <c r="P696" i="20" s="1"/>
  <c r="N696" i="20"/>
  <c r="Q696" i="20"/>
  <c r="T696" i="20" s="1"/>
  <c r="R696" i="20"/>
  <c r="U696" i="20" s="1"/>
  <c r="S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J703" i="20"/>
  <c r="J704" i="20"/>
  <c r="K704" i="20"/>
  <c r="I705" i="20"/>
  <c r="K705" i="20" s="1"/>
  <c r="J705" i="20"/>
  <c r="J706" i="20"/>
  <c r="K706" i="20"/>
  <c r="I707" i="20"/>
  <c r="J707" i="20"/>
  <c r="J689" i="20" s="1"/>
  <c r="J708" i="20"/>
  <c r="K708" i="20"/>
  <c r="I709" i="20"/>
  <c r="K709" i="20" s="1"/>
  <c r="J709" i="20"/>
  <c r="J710" i="20"/>
  <c r="K710" i="20"/>
  <c r="J712" i="20"/>
  <c r="K712" i="20"/>
  <c r="L715" i="20"/>
  <c r="O715" i="20" s="1"/>
  <c r="M715" i="20"/>
  <c r="M714" i="20" s="1"/>
  <c r="P714" i="20" s="1"/>
  <c r="N715" i="20"/>
  <c r="N714" i="20" s="1"/>
  <c r="Q715" i="20"/>
  <c r="R715" i="20"/>
  <c r="U715" i="20" s="1"/>
  <c r="S715" i="20"/>
  <c r="T715" i="20"/>
  <c r="L716" i="20"/>
  <c r="O716" i="20" s="1"/>
  <c r="M716" i="20"/>
  <c r="P716" i="20" s="1"/>
  <c r="N716" i="20"/>
  <c r="Q716" i="20"/>
  <c r="R716" i="20"/>
  <c r="U716" i="20" s="1"/>
  <c r="S716" i="20"/>
  <c r="T716" i="20"/>
  <c r="L717" i="20"/>
  <c r="M717" i="20"/>
  <c r="N717" i="20"/>
  <c r="O717" i="20"/>
  <c r="P717" i="20"/>
  <c r="Q717" i="20"/>
  <c r="T717" i="20" s="1"/>
  <c r="R717" i="20"/>
  <c r="S717" i="20"/>
  <c r="U717" i="20"/>
  <c r="O718" i="20"/>
  <c r="P718" i="20"/>
  <c r="T718" i="20"/>
  <c r="U718" i="20"/>
  <c r="O719" i="20"/>
  <c r="P719" i="20"/>
  <c r="T719" i="20"/>
  <c r="U719" i="20"/>
  <c r="L720" i="20"/>
  <c r="M720" i="20"/>
  <c r="N720" i="20"/>
  <c r="O720" i="20"/>
  <c r="P720" i="20"/>
  <c r="Q720" i="20"/>
  <c r="T720" i="20" s="1"/>
  <c r="R720" i="20"/>
  <c r="S720" i="20"/>
  <c r="U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9" i="20"/>
  <c r="O729" i="20" s="1"/>
  <c r="M729" i="20"/>
  <c r="P729" i="20" s="1"/>
  <c r="N729" i="20"/>
  <c r="Q729" i="20"/>
  <c r="R729" i="20"/>
  <c r="U729" i="20" s="1"/>
  <c r="S729" i="20"/>
  <c r="T729" i="20"/>
  <c r="L730" i="20"/>
  <c r="O730" i="20" s="1"/>
  <c r="M730" i="20"/>
  <c r="N730" i="20"/>
  <c r="L731" i="20"/>
  <c r="O731" i="20" s="1"/>
  <c r="M731" i="20"/>
  <c r="P731" i="20" s="1"/>
  <c r="N731" i="20"/>
  <c r="O732" i="20"/>
  <c r="P732" i="20"/>
  <c r="T732" i="20"/>
  <c r="U732" i="20"/>
  <c r="O733" i="20"/>
  <c r="P733" i="20"/>
  <c r="Q733" i="20"/>
  <c r="R733" i="20"/>
  <c r="S733" i="20"/>
  <c r="S731" i="20" s="1"/>
  <c r="L734" i="20"/>
  <c r="O734" i="20" s="1"/>
  <c r="M734" i="20"/>
  <c r="P734" i="20" s="1"/>
  <c r="N734" i="20"/>
  <c r="Q734" i="20"/>
  <c r="T734" i="20" s="1"/>
  <c r="R734" i="20"/>
  <c r="U734" i="20" s="1"/>
  <c r="S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1" i="20"/>
  <c r="M761" i="20"/>
  <c r="P761" i="20" s="1"/>
  <c r="N761" i="20"/>
  <c r="O761" i="20"/>
  <c r="Q761" i="20"/>
  <c r="T761" i="20" s="1"/>
  <c r="R761" i="20"/>
  <c r="U761" i="20" s="1"/>
  <c r="S761" i="20"/>
  <c r="L762" i="20"/>
  <c r="M762" i="20"/>
  <c r="P762" i="20" s="1"/>
  <c r="N762" i="20"/>
  <c r="O762" i="20"/>
  <c r="L763" i="20"/>
  <c r="M763" i="20"/>
  <c r="P763" i="20" s="1"/>
  <c r="N763" i="20"/>
  <c r="O763" i="20"/>
  <c r="O764" i="20"/>
  <c r="P764" i="20"/>
  <c r="T764" i="20"/>
  <c r="U764" i="20"/>
  <c r="O765" i="20"/>
  <c r="P765" i="20"/>
  <c r="Q765" i="20"/>
  <c r="Q762" i="20" s="1"/>
  <c r="R765" i="20"/>
  <c r="U765" i="20" s="1"/>
  <c r="S765" i="20"/>
  <c r="S762" i="20" s="1"/>
  <c r="S760" i="20" s="1"/>
  <c r="L766" i="20"/>
  <c r="O766" i="20" s="1"/>
  <c r="M766" i="20"/>
  <c r="N766" i="20"/>
  <c r="P766" i="20"/>
  <c r="Q766" i="20"/>
  <c r="T766" i="20" s="1"/>
  <c r="R766" i="20"/>
  <c r="U766" i="20" s="1"/>
  <c r="S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I758" i="20" s="1"/>
  <c r="K758" i="20" s="1"/>
  <c r="I774" i="20"/>
  <c r="I759" i="20" s="1"/>
  <c r="K759" i="20" s="1"/>
  <c r="I775" i="20"/>
  <c r="I776" i="20"/>
  <c r="H777" i="20"/>
  <c r="I778" i="20"/>
  <c r="J778" i="20"/>
  <c r="I779" i="20"/>
  <c r="J779" i="20"/>
  <c r="I780" i="20"/>
  <c r="J780" i="20"/>
  <c r="I781" i="20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M22" i="19"/>
  <c r="M19" i="19" s="1"/>
  <c r="N22" i="19"/>
  <c r="N19" i="19" s="1"/>
  <c r="P22" i="19"/>
  <c r="Q22" i="19"/>
  <c r="T22" i="19" s="1"/>
  <c r="R22" i="19"/>
  <c r="S22" i="19"/>
  <c r="L25" i="19"/>
  <c r="L19" i="19" s="1"/>
  <c r="M25" i="19"/>
  <c r="P25" i="19" s="1"/>
  <c r="N25" i="19"/>
  <c r="Q25" i="19"/>
  <c r="T25" i="19" s="1"/>
  <c r="R25" i="19"/>
  <c r="S25" i="19"/>
  <c r="S24" i="19" s="1"/>
  <c r="Q26" i="19"/>
  <c r="R26" i="19"/>
  <c r="U26" i="19" s="1"/>
  <c r="S26" i="19"/>
  <c r="L45" i="19"/>
  <c r="O45" i="19" s="1"/>
  <c r="M45" i="19"/>
  <c r="N45" i="19"/>
  <c r="Q45" i="19"/>
  <c r="R45" i="19"/>
  <c r="U45" i="19" s="1"/>
  <c r="S45" i="19"/>
  <c r="T45" i="19"/>
  <c r="Q46" i="19"/>
  <c r="R46" i="19"/>
  <c r="S46" i="19"/>
  <c r="T46" i="19"/>
  <c r="U46" i="19"/>
  <c r="Q47" i="19"/>
  <c r="T47" i="19" s="1"/>
  <c r="R47" i="19"/>
  <c r="U47" i="19" s="1"/>
  <c r="S47" i="19"/>
  <c r="O48" i="19"/>
  <c r="P48" i="19"/>
  <c r="T48" i="19"/>
  <c r="U48" i="19"/>
  <c r="L49" i="19"/>
  <c r="L47" i="19" s="1"/>
  <c r="M49" i="19"/>
  <c r="N49" i="19"/>
  <c r="N47" i="19" s="1"/>
  <c r="T49" i="19"/>
  <c r="U49" i="19"/>
  <c r="Q50" i="19"/>
  <c r="T50" i="19" s="1"/>
  <c r="R50" i="19"/>
  <c r="U50" i="19" s="1"/>
  <c r="S50" i="19"/>
  <c r="O51" i="19"/>
  <c r="P51" i="19"/>
  <c r="T51" i="19"/>
  <c r="U51" i="19"/>
  <c r="L52" i="19"/>
  <c r="O52" i="19" s="1"/>
  <c r="M52" i="19"/>
  <c r="P52" i="19" s="1"/>
  <c r="N52" i="19"/>
  <c r="N50" i="19" s="1"/>
  <c r="T52" i="19"/>
  <c r="U52" i="19"/>
  <c r="L60" i="19"/>
  <c r="O60" i="19" s="1"/>
  <c r="M60" i="19"/>
  <c r="N60" i="19"/>
  <c r="Q60" i="19"/>
  <c r="R60" i="19"/>
  <c r="U60" i="19" s="1"/>
  <c r="S60" i="19"/>
  <c r="Q61" i="19"/>
  <c r="T61" i="19" s="1"/>
  <c r="R61" i="19"/>
  <c r="U61" i="19" s="1"/>
  <c r="S61" i="19"/>
  <c r="Q62" i="19"/>
  <c r="T62" i="19" s="1"/>
  <c r="R62" i="19"/>
  <c r="U62" i="19" s="1"/>
  <c r="S62" i="19"/>
  <c r="O63" i="19"/>
  <c r="P63" i="19"/>
  <c r="T63" i="19"/>
  <c r="U63" i="19"/>
  <c r="L64" i="19"/>
  <c r="M64" i="19"/>
  <c r="N64" i="19"/>
  <c r="T64" i="19"/>
  <c r="U64" i="19"/>
  <c r="Q65" i="19"/>
  <c r="R65" i="19"/>
  <c r="S65" i="19"/>
  <c r="T65" i="19"/>
  <c r="U65" i="19"/>
  <c r="O66" i="19"/>
  <c r="P66" i="19"/>
  <c r="T66" i="19"/>
  <c r="U66" i="19"/>
  <c r="L67" i="19"/>
  <c r="O67" i="19" s="1"/>
  <c r="M67" i="19"/>
  <c r="N67" i="19"/>
  <c r="N65" i="19" s="1"/>
  <c r="T67" i="19"/>
  <c r="U67" i="19"/>
  <c r="L73" i="19"/>
  <c r="O73" i="19" s="1"/>
  <c r="M73" i="19"/>
  <c r="N73" i="19"/>
  <c r="Q73" i="19"/>
  <c r="T73" i="19" s="1"/>
  <c r="R73" i="19"/>
  <c r="U73" i="19" s="1"/>
  <c r="S73" i="19"/>
  <c r="O76" i="19"/>
  <c r="P76" i="19"/>
  <c r="T76" i="19"/>
  <c r="U76" i="19"/>
  <c r="L77" i="19"/>
  <c r="M77" i="19"/>
  <c r="N77" i="19"/>
  <c r="N75" i="19" s="1"/>
  <c r="Q77" i="19"/>
  <c r="Q74" i="19" s="1"/>
  <c r="T74" i="19" s="1"/>
  <c r="R77" i="19"/>
  <c r="R74" i="19" s="1"/>
  <c r="U74" i="19" s="1"/>
  <c r="S77" i="19"/>
  <c r="Q78" i="19"/>
  <c r="T78" i="19" s="1"/>
  <c r="R78" i="19"/>
  <c r="U78" i="19" s="1"/>
  <c r="S78" i="19"/>
  <c r="O79" i="19"/>
  <c r="P79" i="19"/>
  <c r="T79" i="19"/>
  <c r="U79" i="19"/>
  <c r="L80" i="19"/>
  <c r="O80" i="19" s="1"/>
  <c r="M80" i="19"/>
  <c r="N80" i="19"/>
  <c r="N78" i="19" s="1"/>
  <c r="T80" i="19"/>
  <c r="U80" i="19"/>
  <c r="J82" i="19"/>
  <c r="J70" i="19" s="1"/>
  <c r="J83" i="19"/>
  <c r="J71" i="19" s="1"/>
  <c r="I84" i="19"/>
  <c r="I85" i="19"/>
  <c r="K85" i="19" s="1"/>
  <c r="I86" i="19"/>
  <c r="K86" i="19" s="1"/>
  <c r="I87" i="19"/>
  <c r="I88" i="19"/>
  <c r="K88" i="19" s="1"/>
  <c r="I89" i="19"/>
  <c r="K89" i="19" s="1"/>
  <c r="I90" i="19"/>
  <c r="K90" i="19" s="1"/>
  <c r="J92" i="19"/>
  <c r="J93" i="19"/>
  <c r="L95" i="19"/>
  <c r="O95" i="19" s="1"/>
  <c r="M95" i="19"/>
  <c r="N95" i="19"/>
  <c r="Q95" i="19"/>
  <c r="R95" i="19"/>
  <c r="U95" i="19" s="1"/>
  <c r="S95" i="19"/>
  <c r="T95" i="19"/>
  <c r="O98" i="19"/>
  <c r="P98" i="19"/>
  <c r="T98" i="19"/>
  <c r="U98" i="19"/>
  <c r="L99" i="19"/>
  <c r="L97" i="19" s="1"/>
  <c r="O97" i="19" s="1"/>
  <c r="M99" i="19"/>
  <c r="M97" i="19" s="1"/>
  <c r="P97" i="19" s="1"/>
  <c r="N99" i="19"/>
  <c r="N97" i="19" s="1"/>
  <c r="Q99" i="19"/>
  <c r="R99" i="19"/>
  <c r="R97" i="19" s="1"/>
  <c r="U97" i="19" s="1"/>
  <c r="S99" i="19"/>
  <c r="S96" i="19" s="1"/>
  <c r="Q100" i="19"/>
  <c r="T100" i="19" s="1"/>
  <c r="R100" i="19"/>
  <c r="U100" i="19" s="1"/>
  <c r="S100" i="19"/>
  <c r="O101" i="19"/>
  <c r="P101" i="19"/>
  <c r="T101" i="19"/>
  <c r="U101" i="19"/>
  <c r="L102" i="19"/>
  <c r="M102" i="19"/>
  <c r="P102" i="19" s="1"/>
  <c r="N102" i="19"/>
  <c r="T102" i="19"/>
  <c r="U102" i="19"/>
  <c r="I108" i="19"/>
  <c r="K108" i="19" s="1"/>
  <c r="I109" i="19"/>
  <c r="I93" i="19" s="1"/>
  <c r="K93" i="19" s="1"/>
  <c r="I114" i="19"/>
  <c r="K114" i="19" s="1"/>
  <c r="J116" i="19"/>
  <c r="L118" i="19"/>
  <c r="O118" i="19" s="1"/>
  <c r="M118" i="19"/>
  <c r="N118" i="19"/>
  <c r="Q118" i="19"/>
  <c r="R118" i="19"/>
  <c r="S118" i="19"/>
  <c r="O121" i="19"/>
  <c r="P121" i="19"/>
  <c r="T121" i="19"/>
  <c r="U121" i="19"/>
  <c r="L122" i="19"/>
  <c r="O122" i="19" s="1"/>
  <c r="M122" i="19"/>
  <c r="N122" i="19"/>
  <c r="N120" i="19" s="1"/>
  <c r="Q122" i="19"/>
  <c r="Q120" i="19" s="1"/>
  <c r="R122" i="19"/>
  <c r="R119" i="19" s="1"/>
  <c r="S122" i="19"/>
  <c r="S119" i="19" s="1"/>
  <c r="Q123" i="19"/>
  <c r="T123" i="19" s="1"/>
  <c r="R123" i="19"/>
  <c r="U123" i="19" s="1"/>
  <c r="S123" i="19"/>
  <c r="O124" i="19"/>
  <c r="P124" i="19"/>
  <c r="T124" i="19"/>
  <c r="U124" i="19"/>
  <c r="L125" i="19"/>
  <c r="M125" i="19"/>
  <c r="M123" i="19" s="1"/>
  <c r="P123" i="19" s="1"/>
  <c r="N125" i="19"/>
  <c r="N123" i="19" s="1"/>
  <c r="T125" i="19"/>
  <c r="U125" i="19"/>
  <c r="I127" i="19"/>
  <c r="I116" i="19" s="1"/>
  <c r="I128" i="19"/>
  <c r="K128" i="19" s="1"/>
  <c r="I129" i="19"/>
  <c r="K129" i="19" s="1"/>
  <c r="I130" i="19"/>
  <c r="K130" i="19" s="1"/>
  <c r="J136" i="19"/>
  <c r="J137" i="19"/>
  <c r="J138" i="19"/>
  <c r="L140" i="19"/>
  <c r="O140" i="19" s="1"/>
  <c r="M140" i="19"/>
  <c r="N140" i="19"/>
  <c r="Q140" i="19"/>
  <c r="R140" i="19"/>
  <c r="U140" i="19" s="1"/>
  <c r="S140" i="19"/>
  <c r="O143" i="19"/>
  <c r="P143" i="19"/>
  <c r="T143" i="19"/>
  <c r="U143" i="19"/>
  <c r="L144" i="19"/>
  <c r="L142" i="19" s="1"/>
  <c r="M144" i="19"/>
  <c r="M142" i="19" s="1"/>
  <c r="N144" i="19"/>
  <c r="Q144" i="19"/>
  <c r="Q141" i="19" s="1"/>
  <c r="T141" i="19" s="1"/>
  <c r="R144" i="19"/>
  <c r="R141" i="19" s="1"/>
  <c r="S144" i="19"/>
  <c r="Q145" i="19"/>
  <c r="T145" i="19" s="1"/>
  <c r="R145" i="19"/>
  <c r="U145" i="19" s="1"/>
  <c r="S145" i="19"/>
  <c r="O146" i="19"/>
  <c r="P146" i="19"/>
  <c r="T146" i="19"/>
  <c r="U146" i="19"/>
  <c r="L147" i="19"/>
  <c r="M147" i="19"/>
  <c r="N147" i="19"/>
  <c r="N145" i="19" s="1"/>
  <c r="T147" i="19"/>
  <c r="U147" i="19"/>
  <c r="I150" i="19"/>
  <c r="K150" i="19" s="1"/>
  <c r="I151" i="19"/>
  <c r="K151" i="19" s="1"/>
  <c r="I152" i="19"/>
  <c r="I137" i="19" s="1"/>
  <c r="K137" i="19" s="1"/>
  <c r="I153" i="19"/>
  <c r="I138" i="19" s="1"/>
  <c r="I154" i="19"/>
  <c r="I136" i="19" s="1"/>
  <c r="K136" i="19" s="1"/>
  <c r="J156" i="19"/>
  <c r="L158" i="19"/>
  <c r="M158" i="19"/>
  <c r="P158" i="19" s="1"/>
  <c r="N158" i="19"/>
  <c r="Q158" i="19"/>
  <c r="T158" i="19" s="1"/>
  <c r="R158" i="19"/>
  <c r="S158" i="19"/>
  <c r="O161" i="19"/>
  <c r="P161" i="19"/>
  <c r="T161" i="19"/>
  <c r="U161" i="19"/>
  <c r="L162" i="19"/>
  <c r="M162" i="19"/>
  <c r="N162" i="19"/>
  <c r="N160" i="19" s="1"/>
  <c r="Q162" i="19"/>
  <c r="R162" i="19"/>
  <c r="S162" i="19"/>
  <c r="S159" i="19" s="1"/>
  <c r="Q163" i="19"/>
  <c r="R163" i="19"/>
  <c r="U163" i="19" s="1"/>
  <c r="S163" i="19"/>
  <c r="T163" i="19"/>
  <c r="O164" i="19"/>
  <c r="P164" i="19"/>
  <c r="T164" i="19"/>
  <c r="U164" i="19"/>
  <c r="L165" i="19"/>
  <c r="L163" i="19" s="1"/>
  <c r="O163" i="19" s="1"/>
  <c r="M165" i="19"/>
  <c r="P165" i="19" s="1"/>
  <c r="N165" i="19"/>
  <c r="T165" i="19"/>
  <c r="U165" i="19"/>
  <c r="I167" i="19"/>
  <c r="I156" i="19" s="1"/>
  <c r="K156" i="19" s="1"/>
  <c r="J172" i="19"/>
  <c r="L174" i="19"/>
  <c r="M174" i="19"/>
  <c r="N174" i="19"/>
  <c r="O174" i="19"/>
  <c r="P174" i="19"/>
  <c r="Q174" i="19"/>
  <c r="T174" i="19" s="1"/>
  <c r="R174" i="19"/>
  <c r="S174" i="19"/>
  <c r="U174" i="19"/>
  <c r="O177" i="19"/>
  <c r="P177" i="19"/>
  <c r="T177" i="19"/>
  <c r="U177" i="19"/>
  <c r="L178" i="19"/>
  <c r="L176" i="19" s="1"/>
  <c r="M178" i="19"/>
  <c r="M176" i="19" s="1"/>
  <c r="N178" i="19"/>
  <c r="Q178" i="19"/>
  <c r="Q175" i="19" s="1"/>
  <c r="T175" i="19" s="1"/>
  <c r="R178" i="19"/>
  <c r="R176" i="19" s="1"/>
  <c r="U176" i="19" s="1"/>
  <c r="S178" i="19"/>
  <c r="S175" i="19" s="1"/>
  <c r="S173" i="19" s="1"/>
  <c r="Q179" i="19"/>
  <c r="T179" i="19" s="1"/>
  <c r="R179" i="19"/>
  <c r="U179" i="19" s="1"/>
  <c r="S179" i="19"/>
  <c r="O180" i="19"/>
  <c r="P180" i="19"/>
  <c r="T180" i="19"/>
  <c r="U180" i="19"/>
  <c r="L181" i="19"/>
  <c r="O181" i="19" s="1"/>
  <c r="M181" i="19"/>
  <c r="M179" i="19" s="1"/>
  <c r="P179" i="19" s="1"/>
  <c r="N181" i="19"/>
  <c r="N179" i="19" s="1"/>
  <c r="T181" i="19"/>
  <c r="U181" i="19"/>
  <c r="I183" i="19"/>
  <c r="I172" i="19" s="1"/>
  <c r="K172" i="19" s="1"/>
  <c r="K184" i="19"/>
  <c r="L187" i="19"/>
  <c r="M187" i="19"/>
  <c r="P187" i="19" s="1"/>
  <c r="N187" i="19"/>
  <c r="Q187" i="19"/>
  <c r="R187" i="19"/>
  <c r="S187" i="19"/>
  <c r="O190" i="19"/>
  <c r="P190" i="19"/>
  <c r="T190" i="19"/>
  <c r="U190" i="19"/>
  <c r="L191" i="19"/>
  <c r="M191" i="19"/>
  <c r="N191" i="19"/>
  <c r="N189" i="19" s="1"/>
  <c r="Q191" i="19"/>
  <c r="Q189" i="19" s="1"/>
  <c r="R191" i="19"/>
  <c r="S191" i="19"/>
  <c r="Q192" i="19"/>
  <c r="R192" i="19"/>
  <c r="U192" i="19" s="1"/>
  <c r="S192" i="19"/>
  <c r="T192" i="19"/>
  <c r="O193" i="19"/>
  <c r="P193" i="19"/>
  <c r="T193" i="19"/>
  <c r="U193" i="19"/>
  <c r="L194" i="19"/>
  <c r="M194" i="19"/>
  <c r="N194" i="19"/>
  <c r="T194" i="19"/>
  <c r="U194" i="19"/>
  <c r="J195" i="19"/>
  <c r="L196" i="19"/>
  <c r="O196" i="19" s="1"/>
  <c r="P196" i="19"/>
  <c r="I198" i="19"/>
  <c r="I195" i="19" s="1"/>
  <c r="J199" i="19"/>
  <c r="J202" i="19"/>
  <c r="N203" i="19"/>
  <c r="P203" i="19"/>
  <c r="S203" i="19"/>
  <c r="U203" i="19"/>
  <c r="L204" i="19"/>
  <c r="L205" i="19"/>
  <c r="L206" i="19"/>
  <c r="Q206" i="19"/>
  <c r="Q203" i="19" s="1"/>
  <c r="L207" i="19"/>
  <c r="I209" i="19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I213" i="19" s="1"/>
  <c r="K213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K230" i="19" s="1"/>
  <c r="N233" i="19"/>
  <c r="N234" i="19"/>
  <c r="N235" i="19"/>
  <c r="N236" i="19"/>
  <c r="J238" i="19"/>
  <c r="I240" i="19"/>
  <c r="J240" i="19"/>
  <c r="K240" i="19"/>
  <c r="I241" i="19"/>
  <c r="K241" i="19" s="1"/>
  <c r="J241" i="19"/>
  <c r="J242" i="19"/>
  <c r="J231" i="19" s="1"/>
  <c r="J185" i="19" s="1"/>
  <c r="N243" i="19"/>
  <c r="N232" i="19" s="1"/>
  <c r="P243" i="19"/>
  <c r="L244" i="19"/>
  <c r="L245" i="19"/>
  <c r="L246" i="19"/>
  <c r="L247" i="19"/>
  <c r="I249" i="19"/>
  <c r="I242" i="19" s="1"/>
  <c r="K251" i="19"/>
  <c r="K252" i="19"/>
  <c r="J253" i="19"/>
  <c r="N254" i="19"/>
  <c r="P254" i="19"/>
  <c r="L255" i="19"/>
  <c r="L256" i="19"/>
  <c r="L257" i="19"/>
  <c r="L258" i="19"/>
  <c r="I260" i="19"/>
  <c r="K262" i="19"/>
  <c r="K263" i="19"/>
  <c r="J265" i="19"/>
  <c r="L267" i="19"/>
  <c r="O267" i="19" s="1"/>
  <c r="M267" i="19"/>
  <c r="N267" i="19"/>
  <c r="Q267" i="19"/>
  <c r="T267" i="19" s="1"/>
  <c r="R267" i="19"/>
  <c r="U267" i="19" s="1"/>
  <c r="S267" i="19"/>
  <c r="O270" i="19"/>
  <c r="P270" i="19"/>
  <c r="T270" i="19"/>
  <c r="U270" i="19"/>
  <c r="L271" i="19"/>
  <c r="O271" i="19" s="1"/>
  <c r="M271" i="19"/>
  <c r="N271" i="19"/>
  <c r="Q271" i="19"/>
  <c r="Q268" i="19" s="1"/>
  <c r="R271" i="19"/>
  <c r="R268" i="19" s="1"/>
  <c r="S271" i="19"/>
  <c r="S269" i="19" s="1"/>
  <c r="Q272" i="19"/>
  <c r="R272" i="19"/>
  <c r="U272" i="19" s="1"/>
  <c r="S272" i="19"/>
  <c r="T272" i="19"/>
  <c r="O273" i="19"/>
  <c r="P273" i="19"/>
  <c r="T273" i="19"/>
  <c r="U273" i="19"/>
  <c r="L274" i="19"/>
  <c r="O274" i="19" s="1"/>
  <c r="M274" i="19"/>
  <c r="N274" i="19"/>
  <c r="N272" i="19" s="1"/>
  <c r="T274" i="19"/>
  <c r="U274" i="19"/>
  <c r="I276" i="19"/>
  <c r="I265" i="19" s="1"/>
  <c r="J281" i="19"/>
  <c r="L283" i="19"/>
  <c r="O283" i="19" s="1"/>
  <c r="M283" i="19"/>
  <c r="P283" i="19" s="1"/>
  <c r="N283" i="19"/>
  <c r="Q283" i="19"/>
  <c r="R283" i="19"/>
  <c r="S283" i="19"/>
  <c r="S282" i="19" s="1"/>
  <c r="U283" i="19"/>
  <c r="Q284" i="19"/>
  <c r="T284" i="19" s="1"/>
  <c r="R284" i="19"/>
  <c r="R282" i="19" s="1"/>
  <c r="U282" i="19" s="1"/>
  <c r="S284" i="19"/>
  <c r="Q285" i="19"/>
  <c r="T285" i="19" s="1"/>
  <c r="R285" i="19"/>
  <c r="U285" i="19" s="1"/>
  <c r="S285" i="19"/>
  <c r="O286" i="19"/>
  <c r="P286" i="19"/>
  <c r="T286" i="19"/>
  <c r="U286" i="19"/>
  <c r="L287" i="19"/>
  <c r="L285" i="19" s="1"/>
  <c r="O285" i="19" s="1"/>
  <c r="M287" i="19"/>
  <c r="P287" i="19" s="1"/>
  <c r="N287" i="19"/>
  <c r="T287" i="19"/>
  <c r="U287" i="19"/>
  <c r="Q288" i="19"/>
  <c r="T288" i="19" s="1"/>
  <c r="R288" i="19"/>
  <c r="U288" i="19" s="1"/>
  <c r="S288" i="19"/>
  <c r="O289" i="19"/>
  <c r="P289" i="19"/>
  <c r="T289" i="19"/>
  <c r="U289" i="19"/>
  <c r="L290" i="19"/>
  <c r="M290" i="19"/>
  <c r="N290" i="19"/>
  <c r="N288" i="19" s="1"/>
  <c r="T290" i="19"/>
  <c r="U290" i="19"/>
  <c r="I292" i="19"/>
  <c r="I281" i="19" s="1"/>
  <c r="K281" i="19" s="1"/>
  <c r="I293" i="19"/>
  <c r="I280" i="19" s="1"/>
  <c r="K280" i="19" s="1"/>
  <c r="J293" i="19"/>
  <c r="J280" i="19" s="1"/>
  <c r="I295" i="19"/>
  <c r="K295" i="19" s="1"/>
  <c r="I296" i="19"/>
  <c r="K296" i="19" s="1"/>
  <c r="J302" i="19"/>
  <c r="L304" i="19"/>
  <c r="M304" i="19"/>
  <c r="N304" i="19"/>
  <c r="P304" i="19"/>
  <c r="Q304" i="19"/>
  <c r="R304" i="19"/>
  <c r="S304" i="19"/>
  <c r="O307" i="19"/>
  <c r="P307" i="19"/>
  <c r="T307" i="19"/>
  <c r="U307" i="19"/>
  <c r="L308" i="19"/>
  <c r="M308" i="19"/>
  <c r="N308" i="19"/>
  <c r="N306" i="19" s="1"/>
  <c r="Q308" i="19"/>
  <c r="Q305" i="19" s="1"/>
  <c r="R308" i="19"/>
  <c r="S308" i="19"/>
  <c r="S306" i="19" s="1"/>
  <c r="Q309" i="19"/>
  <c r="T309" i="19" s="1"/>
  <c r="R309" i="19"/>
  <c r="U309" i="19" s="1"/>
  <c r="S309" i="19"/>
  <c r="O310" i="19"/>
  <c r="P310" i="19"/>
  <c r="T310" i="19"/>
  <c r="U310" i="19"/>
  <c r="L311" i="19"/>
  <c r="M311" i="19"/>
  <c r="N311" i="19"/>
  <c r="N309" i="19" s="1"/>
  <c r="T311" i="19"/>
  <c r="U311" i="19"/>
  <c r="I314" i="19"/>
  <c r="I302" i="19" s="1"/>
  <c r="J319" i="19"/>
  <c r="S320" i="19"/>
  <c r="L321" i="19"/>
  <c r="M321" i="19"/>
  <c r="N321" i="19"/>
  <c r="P321" i="19"/>
  <c r="Q321" i="19"/>
  <c r="T321" i="19" s="1"/>
  <c r="R321" i="19"/>
  <c r="U321" i="19" s="1"/>
  <c r="S321" i="19"/>
  <c r="Q322" i="19"/>
  <c r="T322" i="19" s="1"/>
  <c r="R322" i="19"/>
  <c r="U322" i="19" s="1"/>
  <c r="S322" i="19"/>
  <c r="Q323" i="19"/>
  <c r="T323" i="19" s="1"/>
  <c r="R323" i="19"/>
  <c r="U323" i="19" s="1"/>
  <c r="S323" i="19"/>
  <c r="O324" i="19"/>
  <c r="P324" i="19"/>
  <c r="T324" i="19"/>
  <c r="U324" i="19"/>
  <c r="L325" i="19"/>
  <c r="M325" i="19"/>
  <c r="P325" i="19" s="1"/>
  <c r="N325" i="19"/>
  <c r="N323" i="19" s="1"/>
  <c r="T325" i="19"/>
  <c r="U325" i="19"/>
  <c r="Q326" i="19"/>
  <c r="T326" i="19" s="1"/>
  <c r="R326" i="19"/>
  <c r="S326" i="19"/>
  <c r="U326" i="19"/>
  <c r="O327" i="19"/>
  <c r="P327" i="19"/>
  <c r="T327" i="19"/>
  <c r="U327" i="19"/>
  <c r="L328" i="19"/>
  <c r="O328" i="19" s="1"/>
  <c r="M328" i="19"/>
  <c r="N328" i="19"/>
  <c r="N326" i="19" s="1"/>
  <c r="T328" i="19"/>
  <c r="U328" i="19"/>
  <c r="I330" i="19"/>
  <c r="I319" i="19" s="1"/>
  <c r="K319" i="19" s="1"/>
  <c r="L334" i="19"/>
  <c r="O334" i="19" s="1"/>
  <c r="M334" i="19"/>
  <c r="N334" i="19"/>
  <c r="P334" i="19"/>
  <c r="Q334" i="19"/>
  <c r="R334" i="19"/>
  <c r="U334" i="19" s="1"/>
  <c r="S334" i="19"/>
  <c r="Q335" i="19"/>
  <c r="T335" i="19" s="1"/>
  <c r="R335" i="19"/>
  <c r="U335" i="19" s="1"/>
  <c r="S335" i="19"/>
  <c r="S333" i="19" s="1"/>
  <c r="Q336" i="19"/>
  <c r="R336" i="19"/>
  <c r="S336" i="19"/>
  <c r="T336" i="19"/>
  <c r="U336" i="19"/>
  <c r="O337" i="19"/>
  <c r="P337" i="19"/>
  <c r="T337" i="19"/>
  <c r="U337" i="19"/>
  <c r="L338" i="19"/>
  <c r="M338" i="19"/>
  <c r="N338" i="19"/>
  <c r="T338" i="19"/>
  <c r="U338" i="19"/>
  <c r="Q339" i="19"/>
  <c r="T339" i="19" s="1"/>
  <c r="R339" i="19"/>
  <c r="U339" i="19" s="1"/>
  <c r="S339" i="19"/>
  <c r="O340" i="19"/>
  <c r="P340" i="19"/>
  <c r="T340" i="19"/>
  <c r="U340" i="19"/>
  <c r="L341" i="19"/>
  <c r="L339" i="19" s="1"/>
  <c r="O339" i="19" s="1"/>
  <c r="M341" i="19"/>
  <c r="M339" i="19" s="1"/>
  <c r="P339" i="19" s="1"/>
  <c r="N341" i="19"/>
  <c r="N339" i="19" s="1"/>
  <c r="T341" i="19"/>
  <c r="U341" i="19"/>
  <c r="I344" i="19"/>
  <c r="I332" i="19" s="1"/>
  <c r="J344" i="19"/>
  <c r="I346" i="19"/>
  <c r="J346" i="19"/>
  <c r="J347" i="19"/>
  <c r="J348" i="19"/>
  <c r="J349" i="19"/>
  <c r="D350" i="19"/>
  <c r="J352" i="19"/>
  <c r="J353" i="19"/>
  <c r="J354" i="19"/>
  <c r="R356" i="19"/>
  <c r="U356" i="19" s="1"/>
  <c r="L357" i="19"/>
  <c r="O357" i="19" s="1"/>
  <c r="M357" i="19"/>
  <c r="N357" i="19"/>
  <c r="Q357" i="19"/>
  <c r="Q356" i="19" s="1"/>
  <c r="T356" i="19" s="1"/>
  <c r="R357" i="19"/>
  <c r="U357" i="19" s="1"/>
  <c r="S357" i="19"/>
  <c r="S356" i="19" s="1"/>
  <c r="T357" i="19"/>
  <c r="Q358" i="19"/>
  <c r="T358" i="19" s="1"/>
  <c r="R358" i="19"/>
  <c r="S358" i="19"/>
  <c r="U358" i="19"/>
  <c r="Q359" i="19"/>
  <c r="T359" i="19" s="1"/>
  <c r="R359" i="19"/>
  <c r="U359" i="19" s="1"/>
  <c r="S359" i="19"/>
  <c r="O360" i="19"/>
  <c r="P360" i="19"/>
  <c r="T360" i="19"/>
  <c r="U360" i="19"/>
  <c r="L361" i="19"/>
  <c r="L359" i="19" s="1"/>
  <c r="M361" i="19"/>
  <c r="M359" i="19" s="1"/>
  <c r="N361" i="19"/>
  <c r="N359" i="19" s="1"/>
  <c r="T361" i="19"/>
  <c r="U361" i="19"/>
  <c r="Q362" i="19"/>
  <c r="T362" i="19" s="1"/>
  <c r="R362" i="19"/>
  <c r="S362" i="19"/>
  <c r="U362" i="19"/>
  <c r="O363" i="19"/>
  <c r="P363" i="19"/>
  <c r="T363" i="19"/>
  <c r="U363" i="19"/>
  <c r="L364" i="19"/>
  <c r="M364" i="19"/>
  <c r="P364" i="19" s="1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J371" i="19"/>
  <c r="J365" i="19" s="1"/>
  <c r="J372" i="19"/>
  <c r="K372" i="19"/>
  <c r="D373" i="19"/>
  <c r="M375" i="19"/>
  <c r="P375" i="19" s="1"/>
  <c r="L376" i="19"/>
  <c r="M376" i="19"/>
  <c r="N376" i="19"/>
  <c r="O376" i="19"/>
  <c r="P376" i="19"/>
  <c r="Q376" i="19"/>
  <c r="T376" i="19" s="1"/>
  <c r="R376" i="19"/>
  <c r="S376" i="19"/>
  <c r="U376" i="19"/>
  <c r="L377" i="19"/>
  <c r="O377" i="19" s="1"/>
  <c r="M377" i="19"/>
  <c r="P377" i="19" s="1"/>
  <c r="N377" i="19"/>
  <c r="L378" i="19"/>
  <c r="O378" i="19" s="1"/>
  <c r="M378" i="19"/>
  <c r="P378" i="19" s="1"/>
  <c r="N378" i="19"/>
  <c r="O379" i="19"/>
  <c r="P379" i="19"/>
  <c r="T379" i="19"/>
  <c r="U379" i="19"/>
  <c r="O380" i="19"/>
  <c r="P380" i="19"/>
  <c r="Q380" i="19"/>
  <c r="Q378" i="19" s="1"/>
  <c r="R380" i="19"/>
  <c r="U380" i="19" s="1"/>
  <c r="S380" i="19"/>
  <c r="S377" i="19" s="1"/>
  <c r="S375" i="19" s="1"/>
  <c r="L381" i="19"/>
  <c r="M381" i="19"/>
  <c r="N381" i="19"/>
  <c r="O381" i="19"/>
  <c r="P381" i="19"/>
  <c r="Q381" i="19"/>
  <c r="T381" i="19" s="1"/>
  <c r="R381" i="19"/>
  <c r="S381" i="19"/>
  <c r="U381" i="19"/>
  <c r="O382" i="19"/>
  <c r="P382" i="19"/>
  <c r="T382" i="19"/>
  <c r="U382" i="19"/>
  <c r="O383" i="19"/>
  <c r="P383" i="19"/>
  <c r="T383" i="19"/>
  <c r="U383" i="19"/>
  <c r="J385" i="19"/>
  <c r="K385" i="19"/>
  <c r="I386" i="19"/>
  <c r="J386" i="19"/>
  <c r="J387" i="19"/>
  <c r="K387" i="19"/>
  <c r="I388" i="19"/>
  <c r="J388" i="19"/>
  <c r="I391" i="19"/>
  <c r="K391" i="19" s="1"/>
  <c r="J391" i="19"/>
  <c r="L393" i="19"/>
  <c r="M393" i="19"/>
  <c r="N393" i="19"/>
  <c r="P393" i="19"/>
  <c r="Q393" i="19"/>
  <c r="R393" i="19"/>
  <c r="S393" i="19"/>
  <c r="L394" i="19"/>
  <c r="O394" i="19" s="1"/>
  <c r="M394" i="19"/>
  <c r="P394" i="19" s="1"/>
  <c r="N394" i="19"/>
  <c r="N392" i="19" s="1"/>
  <c r="Q394" i="19"/>
  <c r="T394" i="19" s="1"/>
  <c r="R394" i="19"/>
  <c r="U394" i="19" s="1"/>
  <c r="S394" i="19"/>
  <c r="L395" i="19"/>
  <c r="O395" i="19" s="1"/>
  <c r="M395" i="19"/>
  <c r="P395" i="19" s="1"/>
  <c r="N395" i="19"/>
  <c r="Q395" i="19"/>
  <c r="R395" i="19"/>
  <c r="U395" i="19" s="1"/>
  <c r="S395" i="19"/>
  <c r="T395" i="19"/>
  <c r="O396" i="19"/>
  <c r="P396" i="19"/>
  <c r="T396" i="19"/>
  <c r="U396" i="19"/>
  <c r="O397" i="19"/>
  <c r="P397" i="19"/>
  <c r="T397" i="19"/>
  <c r="U397" i="19"/>
  <c r="L398" i="19"/>
  <c r="O398" i="19" s="1"/>
  <c r="M398" i="19"/>
  <c r="P398" i="19" s="1"/>
  <c r="N398" i="19"/>
  <c r="Q398" i="19"/>
  <c r="R398" i="19"/>
  <c r="U398" i="19" s="1"/>
  <c r="S398" i="19"/>
  <c r="T398" i="19"/>
  <c r="O399" i="19"/>
  <c r="P399" i="19"/>
  <c r="T399" i="19"/>
  <c r="U399" i="19"/>
  <c r="O400" i="19"/>
  <c r="P400" i="19"/>
  <c r="T400" i="19"/>
  <c r="U400" i="19"/>
  <c r="L414" i="19"/>
  <c r="M414" i="19"/>
  <c r="P414" i="19" s="1"/>
  <c r="N414" i="19"/>
  <c r="O414" i="19"/>
  <c r="Q414" i="19"/>
  <c r="T414" i="19" s="1"/>
  <c r="R414" i="19"/>
  <c r="U414" i="19" s="1"/>
  <c r="S414" i="19"/>
  <c r="L415" i="19"/>
  <c r="O415" i="19" s="1"/>
  <c r="M415" i="19"/>
  <c r="P415" i="19" s="1"/>
  <c r="N415" i="19"/>
  <c r="L416" i="19"/>
  <c r="O416" i="19" s="1"/>
  <c r="M416" i="19"/>
  <c r="P416" i="19" s="1"/>
  <c r="N416" i="19"/>
  <c r="O417" i="19"/>
  <c r="P417" i="19"/>
  <c r="T417" i="19"/>
  <c r="U417" i="19"/>
  <c r="O418" i="19"/>
  <c r="P418" i="19"/>
  <c r="Q418" i="19"/>
  <c r="Q416" i="19" s="1"/>
  <c r="T416" i="19" s="1"/>
  <c r="R418" i="19"/>
  <c r="R416" i="19" s="1"/>
  <c r="U416" i="19" s="1"/>
  <c r="S418" i="19"/>
  <c r="L419" i="19"/>
  <c r="M419" i="19"/>
  <c r="N419" i="19"/>
  <c r="O419" i="19"/>
  <c r="P419" i="19"/>
  <c r="Q419" i="19"/>
  <c r="T419" i="19" s="1"/>
  <c r="R419" i="19"/>
  <c r="S419" i="19"/>
  <c r="U419" i="19"/>
  <c r="O420" i="19"/>
  <c r="P420" i="19"/>
  <c r="T420" i="19"/>
  <c r="U420" i="19"/>
  <c r="O421" i="19"/>
  <c r="P421" i="19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K440" i="19" s="1"/>
  <c r="J440" i="19"/>
  <c r="J423" i="19" s="1"/>
  <c r="J412" i="19" s="1"/>
  <c r="I441" i="19"/>
  <c r="K441" i="19" s="1"/>
  <c r="J446" i="19"/>
  <c r="J447" i="19"/>
  <c r="J441" i="19" s="1"/>
  <c r="I457" i="19"/>
  <c r="I456" i="19" s="1"/>
  <c r="K456" i="19" s="1"/>
  <c r="I458" i="19"/>
  <c r="K458" i="19" s="1"/>
  <c r="J459" i="19"/>
  <c r="J460" i="19"/>
  <c r="J467" i="19"/>
  <c r="J468" i="19"/>
  <c r="J475" i="19"/>
  <c r="K475" i="19"/>
  <c r="J476" i="19"/>
  <c r="K476" i="19"/>
  <c r="J477" i="19"/>
  <c r="K477" i="19"/>
  <c r="J482" i="19"/>
  <c r="J483" i="19"/>
  <c r="I484" i="19"/>
  <c r="K484" i="19" s="1"/>
  <c r="J484" i="19"/>
  <c r="I485" i="19"/>
  <c r="K485" i="19" s="1"/>
  <c r="J485" i="19"/>
  <c r="L494" i="19"/>
  <c r="M494" i="19"/>
  <c r="P494" i="19" s="1"/>
  <c r="N494" i="19"/>
  <c r="Q494" i="19"/>
  <c r="T494" i="19" s="1"/>
  <c r="R494" i="19"/>
  <c r="S494" i="19"/>
  <c r="L495" i="19"/>
  <c r="M495" i="19"/>
  <c r="P495" i="19" s="1"/>
  <c r="N495" i="19"/>
  <c r="O495" i="19"/>
  <c r="L496" i="19"/>
  <c r="M496" i="19"/>
  <c r="P496" i="19" s="1"/>
  <c r="N496" i="19"/>
  <c r="O496" i="19"/>
  <c r="O497" i="19"/>
  <c r="P497" i="19"/>
  <c r="T497" i="19"/>
  <c r="U497" i="19"/>
  <c r="O498" i="19"/>
  <c r="P498" i="19"/>
  <c r="Q498" i="19"/>
  <c r="Q495" i="19" s="1"/>
  <c r="R498" i="19"/>
  <c r="S498" i="19"/>
  <c r="S496" i="19" s="1"/>
  <c r="L499" i="19"/>
  <c r="M499" i="19"/>
  <c r="P499" i="19" s="1"/>
  <c r="N499" i="19"/>
  <c r="O499" i="19"/>
  <c r="Q499" i="19"/>
  <c r="R499" i="19"/>
  <c r="S499" i="19"/>
  <c r="T499" i="19"/>
  <c r="U499" i="19"/>
  <c r="O500" i="19"/>
  <c r="P500" i="19"/>
  <c r="T500" i="19"/>
  <c r="U500" i="19"/>
  <c r="O501" i="19"/>
  <c r="P501" i="19"/>
  <c r="T501" i="19"/>
  <c r="U501" i="19"/>
  <c r="I503" i="19"/>
  <c r="K503" i="19" s="1"/>
  <c r="I504" i="19"/>
  <c r="I505" i="19"/>
  <c r="K505" i="19" s="1"/>
  <c r="I506" i="19"/>
  <c r="K506" i="19" s="1"/>
  <c r="I507" i="19"/>
  <c r="K507" i="19" s="1"/>
  <c r="K508" i="19"/>
  <c r="I509" i="19"/>
  <c r="K509" i="19" s="1"/>
  <c r="I512" i="19"/>
  <c r="K512" i="19" s="1"/>
  <c r="J512" i="19"/>
  <c r="L514" i="19"/>
  <c r="M514" i="19"/>
  <c r="N514" i="19"/>
  <c r="Q514" i="19"/>
  <c r="T514" i="19" s="1"/>
  <c r="R514" i="19"/>
  <c r="R513" i="19" s="1"/>
  <c r="U513" i="19" s="1"/>
  <c r="S514" i="19"/>
  <c r="S513" i="19" s="1"/>
  <c r="Q515" i="19"/>
  <c r="Q513" i="19" s="1"/>
  <c r="T513" i="19" s="1"/>
  <c r="R515" i="19"/>
  <c r="U515" i="19" s="1"/>
  <c r="S515" i="19"/>
  <c r="Q516" i="19"/>
  <c r="T516" i="19" s="1"/>
  <c r="R516" i="19"/>
  <c r="S516" i="19"/>
  <c r="U516" i="19"/>
  <c r="O517" i="19"/>
  <c r="P517" i="19"/>
  <c r="T517" i="19"/>
  <c r="U517" i="19"/>
  <c r="L518" i="19"/>
  <c r="L516" i="19" s="1"/>
  <c r="O516" i="19" s="1"/>
  <c r="M518" i="19"/>
  <c r="M516" i="19" s="1"/>
  <c r="P516" i="19" s="1"/>
  <c r="N518" i="19"/>
  <c r="N516" i="19" s="1"/>
  <c r="T518" i="19"/>
  <c r="U518" i="19"/>
  <c r="Q519" i="19"/>
  <c r="R519" i="19"/>
  <c r="U519" i="19" s="1"/>
  <c r="S519" i="19"/>
  <c r="T519" i="19"/>
  <c r="O520" i="19"/>
  <c r="P520" i="19"/>
  <c r="T520" i="19"/>
  <c r="U520" i="19"/>
  <c r="L521" i="19"/>
  <c r="O521" i="19" s="1"/>
  <c r="M521" i="19"/>
  <c r="M519" i="19" s="1"/>
  <c r="P519" i="19" s="1"/>
  <c r="N521" i="19"/>
  <c r="N519" i="19" s="1"/>
  <c r="T521" i="19"/>
  <c r="U521" i="19"/>
  <c r="K523" i="19"/>
  <c r="K524" i="19"/>
  <c r="I533" i="19"/>
  <c r="J533" i="19"/>
  <c r="K533" i="19"/>
  <c r="L535" i="19"/>
  <c r="L534" i="19" s="1"/>
  <c r="O534" i="19" s="1"/>
  <c r="M535" i="19"/>
  <c r="M534" i="19" s="1"/>
  <c r="P534" i="19" s="1"/>
  <c r="N535" i="19"/>
  <c r="N534" i="19" s="1"/>
  <c r="Q535" i="19"/>
  <c r="Q534" i="19" s="1"/>
  <c r="T534" i="19" s="1"/>
  <c r="R535" i="19"/>
  <c r="U535" i="19" s="1"/>
  <c r="S535" i="19"/>
  <c r="S534" i="19" s="1"/>
  <c r="T535" i="19"/>
  <c r="L536" i="19"/>
  <c r="M536" i="19"/>
  <c r="N536" i="19"/>
  <c r="O536" i="19"/>
  <c r="P536" i="19"/>
  <c r="Q536" i="19"/>
  <c r="T536" i="19" s="1"/>
  <c r="R536" i="19"/>
  <c r="S536" i="19"/>
  <c r="U536" i="19"/>
  <c r="L537" i="19"/>
  <c r="O537" i="19" s="1"/>
  <c r="M537" i="19"/>
  <c r="P537" i="19" s="1"/>
  <c r="N537" i="19"/>
  <c r="Q537" i="19"/>
  <c r="T537" i="19" s="1"/>
  <c r="R537" i="19"/>
  <c r="U537" i="19" s="1"/>
  <c r="S537" i="19"/>
  <c r="O538" i="19"/>
  <c r="P538" i="19"/>
  <c r="T538" i="19"/>
  <c r="U538" i="19"/>
  <c r="O539" i="19"/>
  <c r="P539" i="19"/>
  <c r="T539" i="19"/>
  <c r="U539" i="19"/>
  <c r="L540" i="19"/>
  <c r="O540" i="19" s="1"/>
  <c r="M540" i="19"/>
  <c r="P540" i="19" s="1"/>
  <c r="N540" i="19"/>
  <c r="Q540" i="19"/>
  <c r="T540" i="19" s="1"/>
  <c r="R540" i="19"/>
  <c r="U540" i="19" s="1"/>
  <c r="S540" i="19"/>
  <c r="O541" i="19"/>
  <c r="P541" i="19"/>
  <c r="T541" i="19"/>
  <c r="U541" i="19"/>
  <c r="O542" i="19"/>
  <c r="P542" i="19"/>
  <c r="T542" i="19"/>
  <c r="U542" i="19"/>
  <c r="I554" i="19"/>
  <c r="K554" i="19" s="1"/>
  <c r="J554" i="19"/>
  <c r="N555" i="19"/>
  <c r="L556" i="19"/>
  <c r="O556" i="19" s="1"/>
  <c r="M556" i="19"/>
  <c r="P556" i="19" s="1"/>
  <c r="N556" i="19"/>
  <c r="Q556" i="19"/>
  <c r="R556" i="19"/>
  <c r="U556" i="19" s="1"/>
  <c r="S556" i="19"/>
  <c r="L557" i="19"/>
  <c r="O557" i="19" s="1"/>
  <c r="M557" i="19"/>
  <c r="P557" i="19" s="1"/>
  <c r="N557" i="19"/>
  <c r="Q557" i="19"/>
  <c r="R557" i="19"/>
  <c r="U557" i="19" s="1"/>
  <c r="S557" i="19"/>
  <c r="S555" i="19" s="1"/>
  <c r="T557" i="19"/>
  <c r="L558" i="19"/>
  <c r="M558" i="19"/>
  <c r="N558" i="19"/>
  <c r="O558" i="19"/>
  <c r="P558" i="19"/>
  <c r="Q558" i="19"/>
  <c r="T558" i="19" s="1"/>
  <c r="R558" i="19"/>
  <c r="S558" i="19"/>
  <c r="U558" i="19"/>
  <c r="O559" i="19"/>
  <c r="P559" i="19"/>
  <c r="T559" i="19"/>
  <c r="U559" i="19"/>
  <c r="O560" i="19"/>
  <c r="P560" i="19"/>
  <c r="T560" i="19"/>
  <c r="U560" i="19"/>
  <c r="L561" i="19"/>
  <c r="M561" i="19"/>
  <c r="N561" i="19"/>
  <c r="O561" i="19"/>
  <c r="P561" i="19"/>
  <c r="Q561" i="19"/>
  <c r="T561" i="19" s="1"/>
  <c r="R561" i="19"/>
  <c r="S561" i="19"/>
  <c r="U561" i="19"/>
  <c r="O562" i="19"/>
  <c r="P562" i="19"/>
  <c r="T562" i="19"/>
  <c r="U562" i="19"/>
  <c r="O563" i="19"/>
  <c r="P563" i="19"/>
  <c r="T563" i="19"/>
  <c r="U563" i="19"/>
  <c r="I575" i="19"/>
  <c r="J575" i="19"/>
  <c r="K575" i="19"/>
  <c r="L576" i="19"/>
  <c r="O576" i="19" s="1"/>
  <c r="Q576" i="19"/>
  <c r="T576" i="19" s="1"/>
  <c r="R576" i="19"/>
  <c r="U576" i="19" s="1"/>
  <c r="L577" i="19"/>
  <c r="O577" i="19" s="1"/>
  <c r="M577" i="19"/>
  <c r="N577" i="19"/>
  <c r="N576" i="19" s="1"/>
  <c r="Q577" i="19"/>
  <c r="T577" i="19" s="1"/>
  <c r="R577" i="19"/>
  <c r="U577" i="19" s="1"/>
  <c r="S577" i="19"/>
  <c r="L578" i="19"/>
  <c r="M578" i="19"/>
  <c r="P578" i="19" s="1"/>
  <c r="N578" i="19"/>
  <c r="O578" i="19"/>
  <c r="Q578" i="19"/>
  <c r="R578" i="19"/>
  <c r="S578" i="19"/>
  <c r="T578" i="19"/>
  <c r="U578" i="19"/>
  <c r="L579" i="19"/>
  <c r="O579" i="19" s="1"/>
  <c r="M579" i="19"/>
  <c r="N579" i="19"/>
  <c r="P579" i="19"/>
  <c r="Q579" i="19"/>
  <c r="T579" i="19" s="1"/>
  <c r="R579" i="19"/>
  <c r="U579" i="19" s="1"/>
  <c r="S579" i="19"/>
  <c r="O580" i="19"/>
  <c r="P580" i="19"/>
  <c r="T580" i="19"/>
  <c r="U580" i="19"/>
  <c r="O581" i="19"/>
  <c r="P581" i="19"/>
  <c r="T581" i="19"/>
  <c r="U581" i="19"/>
  <c r="L582" i="19"/>
  <c r="O582" i="19" s="1"/>
  <c r="M582" i="19"/>
  <c r="N582" i="19"/>
  <c r="P582" i="19"/>
  <c r="Q582" i="19"/>
  <c r="T582" i="19" s="1"/>
  <c r="R582" i="19"/>
  <c r="U582" i="19" s="1"/>
  <c r="S582" i="19"/>
  <c r="O583" i="19"/>
  <c r="P583" i="19"/>
  <c r="T583" i="19"/>
  <c r="U583" i="19"/>
  <c r="O584" i="19"/>
  <c r="P584" i="19"/>
  <c r="T584" i="19"/>
  <c r="U584" i="19"/>
  <c r="L600" i="19"/>
  <c r="O600" i="19" s="1"/>
  <c r="M600" i="19"/>
  <c r="N600" i="19"/>
  <c r="N599" i="19" s="1"/>
  <c r="Q600" i="19"/>
  <c r="Q599" i="19" s="1"/>
  <c r="T599" i="19" s="1"/>
  <c r="R600" i="19"/>
  <c r="U600" i="19" s="1"/>
  <c r="S600" i="19"/>
  <c r="T600" i="19"/>
  <c r="L601" i="19"/>
  <c r="O601" i="19" s="1"/>
  <c r="M601" i="19"/>
  <c r="P601" i="19" s="1"/>
  <c r="N601" i="19"/>
  <c r="Q601" i="19"/>
  <c r="T601" i="19" s="1"/>
  <c r="R601" i="19"/>
  <c r="U601" i="19" s="1"/>
  <c r="S601" i="19"/>
  <c r="L602" i="19"/>
  <c r="O602" i="19" s="1"/>
  <c r="M602" i="19"/>
  <c r="P602" i="19" s="1"/>
  <c r="N602" i="19"/>
  <c r="Q602" i="19"/>
  <c r="T602" i="19" s="1"/>
  <c r="R602" i="19"/>
  <c r="U602" i="19" s="1"/>
  <c r="S602" i="19"/>
  <c r="O603" i="19"/>
  <c r="P603" i="19"/>
  <c r="T603" i="19"/>
  <c r="U603" i="19"/>
  <c r="O604" i="19"/>
  <c r="P604" i="19"/>
  <c r="T604" i="19"/>
  <c r="U604" i="19"/>
  <c r="L605" i="19"/>
  <c r="O605" i="19" s="1"/>
  <c r="M605" i="19"/>
  <c r="P605" i="19" s="1"/>
  <c r="N605" i="19"/>
  <c r="Q605" i="19"/>
  <c r="T605" i="19" s="1"/>
  <c r="R605" i="19"/>
  <c r="U605" i="19" s="1"/>
  <c r="S605" i="19"/>
  <c r="O606" i="19"/>
  <c r="P606" i="19"/>
  <c r="T606" i="19"/>
  <c r="U606" i="19"/>
  <c r="O607" i="19"/>
  <c r="P607" i="19"/>
  <c r="T607" i="19"/>
  <c r="U607" i="19"/>
  <c r="L617" i="19"/>
  <c r="M617" i="19"/>
  <c r="P617" i="19" s="1"/>
  <c r="N617" i="19"/>
  <c r="N616" i="19" s="1"/>
  <c r="O617" i="19"/>
  <c r="Q617" i="19"/>
  <c r="R617" i="19"/>
  <c r="S617" i="19"/>
  <c r="U617" i="19"/>
  <c r="L618" i="19"/>
  <c r="O618" i="19" s="1"/>
  <c r="M618" i="19"/>
  <c r="P618" i="19" s="1"/>
  <c r="N618" i="19"/>
  <c r="L619" i="19"/>
  <c r="M619" i="19"/>
  <c r="P619" i="19" s="1"/>
  <c r="N619" i="19"/>
  <c r="O619" i="19"/>
  <c r="O620" i="19"/>
  <c r="P620" i="19"/>
  <c r="T620" i="19"/>
  <c r="U620" i="19"/>
  <c r="O621" i="19"/>
  <c r="P621" i="19"/>
  <c r="Q621" i="19"/>
  <c r="Q619" i="19" s="1"/>
  <c r="R621" i="19"/>
  <c r="R618" i="19" s="1"/>
  <c r="S621" i="19"/>
  <c r="L622" i="19"/>
  <c r="O622" i="19" s="1"/>
  <c r="M622" i="19"/>
  <c r="N622" i="19"/>
  <c r="P622" i="19"/>
  <c r="Q622" i="19"/>
  <c r="T622" i="19" s="1"/>
  <c r="R622" i="19"/>
  <c r="U622" i="19" s="1"/>
  <c r="S622" i="19"/>
  <c r="O623" i="19"/>
  <c r="P623" i="19"/>
  <c r="T623" i="19"/>
  <c r="U623" i="19"/>
  <c r="O624" i="19"/>
  <c r="P624" i="19"/>
  <c r="T624" i="19"/>
  <c r="U624" i="19"/>
  <c r="I626" i="19"/>
  <c r="K629" i="19" s="1"/>
  <c r="I627" i="19"/>
  <c r="K627" i="19" s="1"/>
  <c r="I628" i="19"/>
  <c r="K628" i="19" s="1"/>
  <c r="J632" i="19"/>
  <c r="J626" i="19" s="1"/>
  <c r="J615" i="19" s="1"/>
  <c r="I635" i="19"/>
  <c r="K635" i="19" s="1"/>
  <c r="J636" i="19"/>
  <c r="J635" i="19" s="1"/>
  <c r="M642" i="19"/>
  <c r="P642" i="19" s="1"/>
  <c r="L643" i="19"/>
  <c r="M643" i="19"/>
  <c r="N643" i="19"/>
  <c r="N642" i="19" s="1"/>
  <c r="O643" i="19"/>
  <c r="P643" i="19"/>
  <c r="Q643" i="19"/>
  <c r="R643" i="19"/>
  <c r="S643" i="19"/>
  <c r="T643" i="19"/>
  <c r="U643" i="19"/>
  <c r="L644" i="19"/>
  <c r="O644" i="19" s="1"/>
  <c r="M644" i="19"/>
  <c r="P644" i="19" s="1"/>
  <c r="N644" i="19"/>
  <c r="L645" i="19"/>
  <c r="O645" i="19" s="1"/>
  <c r="M645" i="19"/>
  <c r="P645" i="19" s="1"/>
  <c r="N645" i="19"/>
  <c r="O646" i="19"/>
  <c r="P646" i="19"/>
  <c r="T646" i="19"/>
  <c r="U646" i="19"/>
  <c r="O647" i="19"/>
  <c r="P647" i="19"/>
  <c r="Q647" i="19"/>
  <c r="Q645" i="19" s="1"/>
  <c r="R647" i="19"/>
  <c r="R645" i="19" s="1"/>
  <c r="S647" i="19"/>
  <c r="S644" i="19" s="1"/>
  <c r="S642" i="19" s="1"/>
  <c r="L648" i="19"/>
  <c r="O648" i="19" s="1"/>
  <c r="M648" i="19"/>
  <c r="N648" i="19"/>
  <c r="P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I675" i="19"/>
  <c r="I676" i="19"/>
  <c r="J676" i="19"/>
  <c r="J677" i="19"/>
  <c r="I678" i="19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L691" i="19"/>
  <c r="O691" i="19" s="1"/>
  <c r="M691" i="19"/>
  <c r="N691" i="19"/>
  <c r="P691" i="19"/>
  <c r="Q691" i="19"/>
  <c r="T691" i="19" s="1"/>
  <c r="R691" i="19"/>
  <c r="S691" i="19"/>
  <c r="U691" i="19"/>
  <c r="L692" i="19"/>
  <c r="O692" i="19" s="1"/>
  <c r="M692" i="19"/>
  <c r="N692" i="19"/>
  <c r="N690" i="19" s="1"/>
  <c r="L693" i="19"/>
  <c r="O693" i="19" s="1"/>
  <c r="M693" i="19"/>
  <c r="P693" i="19" s="1"/>
  <c r="N693" i="19"/>
  <c r="O694" i="19"/>
  <c r="P694" i="19"/>
  <c r="T694" i="19"/>
  <c r="U694" i="19"/>
  <c r="O695" i="19"/>
  <c r="P695" i="19"/>
  <c r="Q695" i="19"/>
  <c r="R695" i="19"/>
  <c r="R693" i="19" s="1"/>
  <c r="S695" i="19"/>
  <c r="S692" i="19" s="1"/>
  <c r="S690" i="19" s="1"/>
  <c r="L696" i="19"/>
  <c r="M696" i="19"/>
  <c r="P696" i="19" s="1"/>
  <c r="N696" i="19"/>
  <c r="O696" i="19"/>
  <c r="Q696" i="19"/>
  <c r="T696" i="19" s="1"/>
  <c r="R696" i="19"/>
  <c r="S696" i="19"/>
  <c r="U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I689" i="19" s="1"/>
  <c r="J707" i="19"/>
  <c r="J689" i="19" s="1"/>
  <c r="J708" i="19"/>
  <c r="K708" i="19"/>
  <c r="I709" i="19"/>
  <c r="J709" i="19"/>
  <c r="J710" i="19"/>
  <c r="K710" i="19"/>
  <c r="J712" i="19"/>
  <c r="K712" i="19"/>
  <c r="Q714" i="19"/>
  <c r="T714" i="19" s="1"/>
  <c r="L715" i="19"/>
  <c r="O715" i="19" s="1"/>
  <c r="M715" i="19"/>
  <c r="M714" i="19" s="1"/>
  <c r="P714" i="19" s="1"/>
  <c r="N715" i="19"/>
  <c r="Q715" i="19"/>
  <c r="T715" i="19" s="1"/>
  <c r="R715" i="19"/>
  <c r="U715" i="19" s="1"/>
  <c r="S715" i="19"/>
  <c r="S714" i="19" s="1"/>
  <c r="L716" i="19"/>
  <c r="L714" i="19" s="1"/>
  <c r="O714" i="19" s="1"/>
  <c r="M716" i="19"/>
  <c r="N716" i="19"/>
  <c r="P716" i="19"/>
  <c r="Q716" i="19"/>
  <c r="R716" i="19"/>
  <c r="U716" i="19" s="1"/>
  <c r="S716" i="19"/>
  <c r="T716" i="19"/>
  <c r="L717" i="19"/>
  <c r="O717" i="19" s="1"/>
  <c r="M717" i="19"/>
  <c r="N717" i="19"/>
  <c r="P717" i="19"/>
  <c r="Q717" i="19"/>
  <c r="T717" i="19" s="1"/>
  <c r="R717" i="19"/>
  <c r="U717" i="19" s="1"/>
  <c r="S717" i="19"/>
  <c r="O718" i="19"/>
  <c r="P718" i="19"/>
  <c r="T718" i="19"/>
  <c r="U718" i="19"/>
  <c r="O719" i="19"/>
  <c r="P719" i="19"/>
  <c r="T719" i="19"/>
  <c r="U719" i="19"/>
  <c r="L720" i="19"/>
  <c r="O720" i="19" s="1"/>
  <c r="M720" i="19"/>
  <c r="N720" i="19"/>
  <c r="P720" i="19"/>
  <c r="Q720" i="19"/>
  <c r="T720" i="19" s="1"/>
  <c r="R720" i="19"/>
  <c r="U720" i="19" s="1"/>
  <c r="S720" i="19"/>
  <c r="O721" i="19"/>
  <c r="P721" i="19"/>
  <c r="T721" i="19"/>
  <c r="U721" i="19"/>
  <c r="O722" i="19"/>
  <c r="P722" i="19"/>
  <c r="T722" i="19"/>
  <c r="U722" i="19"/>
  <c r="I726" i="19"/>
  <c r="K726" i="19" s="1"/>
  <c r="J726" i="19"/>
  <c r="I727" i="19"/>
  <c r="K727" i="19" s="1"/>
  <c r="J727" i="19"/>
  <c r="L729" i="19"/>
  <c r="O729" i="19" s="1"/>
  <c r="M729" i="19"/>
  <c r="N729" i="19"/>
  <c r="N728" i="19" s="1"/>
  <c r="Q729" i="19"/>
  <c r="R729" i="19"/>
  <c r="U729" i="19" s="1"/>
  <c r="S729" i="19"/>
  <c r="T729" i="19"/>
  <c r="L730" i="19"/>
  <c r="M730" i="19"/>
  <c r="P730" i="19" s="1"/>
  <c r="N730" i="19"/>
  <c r="O730" i="19"/>
  <c r="L731" i="19"/>
  <c r="O731" i="19" s="1"/>
  <c r="M731" i="19"/>
  <c r="N731" i="19"/>
  <c r="P731" i="19"/>
  <c r="O732" i="19"/>
  <c r="P732" i="19"/>
  <c r="T732" i="19"/>
  <c r="U732" i="19"/>
  <c r="O733" i="19"/>
  <c r="P733" i="19"/>
  <c r="Q733" i="19"/>
  <c r="Q730" i="19" s="1"/>
  <c r="R733" i="19"/>
  <c r="R730" i="19" s="1"/>
  <c r="S733" i="19"/>
  <c r="S731" i="19" s="1"/>
  <c r="L734" i="19"/>
  <c r="M734" i="19"/>
  <c r="P734" i="19" s="1"/>
  <c r="N734" i="19"/>
  <c r="O734" i="19"/>
  <c r="Q734" i="19"/>
  <c r="R734" i="19"/>
  <c r="U734" i="19" s="1"/>
  <c r="S734" i="19"/>
  <c r="T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L760" i="19"/>
  <c r="O760" i="19" s="1"/>
  <c r="L761" i="19"/>
  <c r="M761" i="19"/>
  <c r="P761" i="19" s="1"/>
  <c r="N761" i="19"/>
  <c r="N760" i="19" s="1"/>
  <c r="O761" i="19"/>
  <c r="Q761" i="19"/>
  <c r="T761" i="19" s="1"/>
  <c r="R761" i="19"/>
  <c r="S761" i="19"/>
  <c r="U761" i="19"/>
  <c r="L762" i="19"/>
  <c r="O762" i="19" s="1"/>
  <c r="M762" i="19"/>
  <c r="N762" i="19"/>
  <c r="P762" i="19"/>
  <c r="L763" i="19"/>
  <c r="O763" i="19" s="1"/>
  <c r="M763" i="19"/>
  <c r="P763" i="19" s="1"/>
  <c r="N763" i="19"/>
  <c r="O764" i="19"/>
  <c r="P764" i="19"/>
  <c r="T764" i="19"/>
  <c r="U764" i="19"/>
  <c r="O765" i="19"/>
  <c r="P765" i="19"/>
  <c r="Q765" i="19"/>
  <c r="R765" i="19"/>
  <c r="R762" i="19" s="1"/>
  <c r="S765" i="19"/>
  <c r="S762" i="19" s="1"/>
  <c r="S760" i="19" s="1"/>
  <c r="L766" i="19"/>
  <c r="O766" i="19" s="1"/>
  <c r="M766" i="19"/>
  <c r="N766" i="19"/>
  <c r="P766" i="19"/>
  <c r="Q766" i="19"/>
  <c r="R766" i="19"/>
  <c r="U766" i="19" s="1"/>
  <c r="S766" i="19"/>
  <c r="T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I758" i="19" s="1"/>
  <c r="K758" i="19" s="1"/>
  <c r="I774" i="19"/>
  <c r="K774" i="19" s="1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J782" i="19"/>
  <c r="I783" i="19"/>
  <c r="J783" i="19"/>
  <c r="I784" i="19"/>
  <c r="J784" i="19"/>
  <c r="I785" i="19"/>
  <c r="J785" i="19"/>
  <c r="A788" i="19"/>
  <c r="A789" i="19"/>
  <c r="L22" i="18"/>
  <c r="M22" i="18"/>
  <c r="N22" i="18"/>
  <c r="O22" i="18"/>
  <c r="Q22" i="18"/>
  <c r="T22" i="18" s="1"/>
  <c r="R22" i="18"/>
  <c r="S22" i="18"/>
  <c r="L25" i="18"/>
  <c r="M25" i="18"/>
  <c r="N25" i="18"/>
  <c r="O25" i="18"/>
  <c r="Q25" i="18"/>
  <c r="T25" i="18" s="1"/>
  <c r="R25" i="18"/>
  <c r="S25" i="18"/>
  <c r="U25" i="18"/>
  <c r="Q26" i="18"/>
  <c r="T26" i="18" s="1"/>
  <c r="R26" i="18"/>
  <c r="R24" i="18" s="1"/>
  <c r="U24" i="18" s="1"/>
  <c r="S26" i="18"/>
  <c r="L45" i="18"/>
  <c r="O45" i="18" s="1"/>
  <c r="M45" i="18"/>
  <c r="P45" i="18" s="1"/>
  <c r="N45" i="18"/>
  <c r="Q45" i="18"/>
  <c r="R45" i="18"/>
  <c r="U45" i="18" s="1"/>
  <c r="S45" i="18"/>
  <c r="T45" i="18"/>
  <c r="Q46" i="18"/>
  <c r="T46" i="18" s="1"/>
  <c r="R46" i="18"/>
  <c r="U46" i="18" s="1"/>
  <c r="S46" i="18"/>
  <c r="Q47" i="18"/>
  <c r="T47" i="18" s="1"/>
  <c r="R47" i="18"/>
  <c r="U47" i="18" s="1"/>
  <c r="S47" i="18"/>
  <c r="O48" i="18"/>
  <c r="P48" i="18"/>
  <c r="T48" i="18"/>
  <c r="U48" i="18"/>
  <c r="L49" i="18"/>
  <c r="L47" i="18" s="1"/>
  <c r="M49" i="18"/>
  <c r="M47" i="18" s="1"/>
  <c r="N49" i="18"/>
  <c r="N47" i="18" s="1"/>
  <c r="T49" i="18"/>
  <c r="U49" i="18"/>
  <c r="Q50" i="18"/>
  <c r="T50" i="18" s="1"/>
  <c r="R50" i="18"/>
  <c r="U50" i="18" s="1"/>
  <c r="S50" i="18"/>
  <c r="O51" i="18"/>
  <c r="P51" i="18"/>
  <c r="T51" i="18"/>
  <c r="U51" i="18"/>
  <c r="L52" i="18"/>
  <c r="M52" i="18"/>
  <c r="N52" i="18"/>
  <c r="T52" i="18"/>
  <c r="U52" i="18"/>
  <c r="L60" i="18"/>
  <c r="O60" i="18" s="1"/>
  <c r="M60" i="18"/>
  <c r="N60" i="18"/>
  <c r="P60" i="18"/>
  <c r="Q60" i="18"/>
  <c r="R60" i="18"/>
  <c r="U60" i="18" s="1"/>
  <c r="S60" i="18"/>
  <c r="Q61" i="18"/>
  <c r="R61" i="18"/>
  <c r="U61" i="18" s="1"/>
  <c r="S61" i="18"/>
  <c r="S59" i="18" s="1"/>
  <c r="T61" i="18"/>
  <c r="Q62" i="18"/>
  <c r="R62" i="18"/>
  <c r="U62" i="18" s="1"/>
  <c r="S62" i="18"/>
  <c r="T62" i="18"/>
  <c r="O63" i="18"/>
  <c r="P63" i="18"/>
  <c r="T63" i="18"/>
  <c r="U63" i="18"/>
  <c r="L64" i="18"/>
  <c r="M64" i="18"/>
  <c r="N64" i="18"/>
  <c r="N62" i="18" s="1"/>
  <c r="T64" i="18"/>
  <c r="U64" i="18"/>
  <c r="Q65" i="18"/>
  <c r="T65" i="18" s="1"/>
  <c r="R65" i="18"/>
  <c r="S65" i="18"/>
  <c r="U65" i="18"/>
  <c r="O66" i="18"/>
  <c r="P66" i="18"/>
  <c r="T66" i="18"/>
  <c r="U66" i="18"/>
  <c r="L67" i="18"/>
  <c r="L65" i="18" s="1"/>
  <c r="O65" i="18" s="1"/>
  <c r="M67" i="18"/>
  <c r="N67" i="18"/>
  <c r="N65" i="18" s="1"/>
  <c r="T67" i="18"/>
  <c r="U67" i="18"/>
  <c r="L73" i="18"/>
  <c r="M73" i="18"/>
  <c r="P73" i="18" s="1"/>
  <c r="N73" i="18"/>
  <c r="Q73" i="18"/>
  <c r="R73" i="18"/>
  <c r="U73" i="18" s="1"/>
  <c r="S73" i="18"/>
  <c r="T73" i="18"/>
  <c r="O76" i="18"/>
  <c r="P76" i="18"/>
  <c r="T76" i="18"/>
  <c r="U76" i="18"/>
  <c r="L77" i="18"/>
  <c r="M77" i="18"/>
  <c r="M75" i="18" s="1"/>
  <c r="N77" i="18"/>
  <c r="N75" i="18" s="1"/>
  <c r="Q77" i="18"/>
  <c r="R77" i="18"/>
  <c r="S77" i="18"/>
  <c r="S75" i="18" s="1"/>
  <c r="Q78" i="18"/>
  <c r="T78" i="18" s="1"/>
  <c r="R78" i="18"/>
  <c r="U78" i="18" s="1"/>
  <c r="S78" i="18"/>
  <c r="O79" i="18"/>
  <c r="P79" i="18"/>
  <c r="T79" i="18"/>
  <c r="U79" i="18"/>
  <c r="L80" i="18"/>
  <c r="L78" i="18" s="1"/>
  <c r="O78" i="18" s="1"/>
  <c r="M80" i="18"/>
  <c r="M78" i="18" s="1"/>
  <c r="P78" i="18" s="1"/>
  <c r="N80" i="18"/>
  <c r="N78" i="18" s="1"/>
  <c r="T80" i="18"/>
  <c r="U80" i="18"/>
  <c r="J82" i="18"/>
  <c r="J70" i="18" s="1"/>
  <c r="J83" i="18"/>
  <c r="J71" i="18" s="1"/>
  <c r="I84" i="18"/>
  <c r="K84" i="18" s="1"/>
  <c r="I85" i="18"/>
  <c r="K85" i="18" s="1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O95" i="18" s="1"/>
  <c r="M95" i="18"/>
  <c r="P95" i="18" s="1"/>
  <c r="N95" i="18"/>
  <c r="Q95" i="18"/>
  <c r="T95" i="18" s="1"/>
  <c r="R95" i="18"/>
  <c r="U95" i="18" s="1"/>
  <c r="S95" i="18"/>
  <c r="O98" i="18"/>
  <c r="P98" i="18"/>
  <c r="T98" i="18"/>
  <c r="U98" i="18"/>
  <c r="L99" i="18"/>
  <c r="O99" i="18" s="1"/>
  <c r="M99" i="18"/>
  <c r="N99" i="18"/>
  <c r="N97" i="18" s="1"/>
  <c r="Q99" i="18"/>
  <c r="T99" i="18" s="1"/>
  <c r="R99" i="18"/>
  <c r="R96" i="18" s="1"/>
  <c r="U96" i="18" s="1"/>
  <c r="S99" i="18"/>
  <c r="S96" i="18" s="1"/>
  <c r="S94" i="18" s="1"/>
  <c r="Q100" i="18"/>
  <c r="T100" i="18" s="1"/>
  <c r="R100" i="18"/>
  <c r="S100" i="18"/>
  <c r="U100" i="18"/>
  <c r="O101" i="18"/>
  <c r="P101" i="18"/>
  <c r="T101" i="18"/>
  <c r="U101" i="18"/>
  <c r="L102" i="18"/>
  <c r="L100" i="18" s="1"/>
  <c r="O100" i="18" s="1"/>
  <c r="M102" i="18"/>
  <c r="P102" i="18" s="1"/>
  <c r="N102" i="18"/>
  <c r="N100" i="18" s="1"/>
  <c r="T102" i="18"/>
  <c r="U102" i="18"/>
  <c r="I108" i="18"/>
  <c r="I109" i="18"/>
  <c r="I114" i="18"/>
  <c r="K114" i="18" s="1"/>
  <c r="J116" i="18"/>
  <c r="L118" i="18"/>
  <c r="M118" i="18"/>
  <c r="P118" i="18" s="1"/>
  <c r="N118" i="18"/>
  <c r="O118" i="18"/>
  <c r="Q118" i="18"/>
  <c r="T118" i="18" s="1"/>
  <c r="R118" i="18"/>
  <c r="S118" i="18"/>
  <c r="O121" i="18"/>
  <c r="P121" i="18"/>
  <c r="T121" i="18"/>
  <c r="U121" i="18"/>
  <c r="L122" i="18"/>
  <c r="M122" i="18"/>
  <c r="N122" i="18"/>
  <c r="N120" i="18" s="1"/>
  <c r="Q122" i="18"/>
  <c r="Q119" i="18" s="1"/>
  <c r="R122" i="18"/>
  <c r="S122" i="18"/>
  <c r="Q123" i="18"/>
  <c r="T123" i="18" s="1"/>
  <c r="R123" i="18"/>
  <c r="U123" i="18" s="1"/>
  <c r="S123" i="18"/>
  <c r="O124" i="18"/>
  <c r="P124" i="18"/>
  <c r="T124" i="18"/>
  <c r="U124" i="18"/>
  <c r="L125" i="18"/>
  <c r="M125" i="18"/>
  <c r="P125" i="18" s="1"/>
  <c r="N125" i="18"/>
  <c r="N123" i="18" s="1"/>
  <c r="T125" i="18"/>
  <c r="U125" i="18"/>
  <c r="I127" i="18"/>
  <c r="I116" i="18" s="1"/>
  <c r="K116" i="18" s="1"/>
  <c r="I128" i="18"/>
  <c r="K128" i="18" s="1"/>
  <c r="I129" i="18"/>
  <c r="K129" i="18" s="1"/>
  <c r="I130" i="18"/>
  <c r="K130" i="18" s="1"/>
  <c r="J136" i="18"/>
  <c r="J137" i="18"/>
  <c r="J138" i="18"/>
  <c r="L140" i="18"/>
  <c r="O140" i="18" s="1"/>
  <c r="M140" i="18"/>
  <c r="P140" i="18" s="1"/>
  <c r="N140" i="18"/>
  <c r="Q140" i="18"/>
  <c r="T140" i="18" s="1"/>
  <c r="R140" i="18"/>
  <c r="S140" i="18"/>
  <c r="U140" i="18"/>
  <c r="O143" i="18"/>
  <c r="P143" i="18"/>
  <c r="T143" i="18"/>
  <c r="U143" i="18"/>
  <c r="L144" i="18"/>
  <c r="L142" i="18" s="1"/>
  <c r="O142" i="18" s="1"/>
  <c r="M144" i="18"/>
  <c r="P144" i="18" s="1"/>
  <c r="N144" i="18"/>
  <c r="Q144" i="18"/>
  <c r="T144" i="18" s="1"/>
  <c r="R144" i="18"/>
  <c r="S144" i="18"/>
  <c r="S141" i="18" s="1"/>
  <c r="S139" i="18" s="1"/>
  <c r="Q145" i="18"/>
  <c r="R145" i="18"/>
  <c r="U145" i="18" s="1"/>
  <c r="S145" i="18"/>
  <c r="T145" i="18"/>
  <c r="O146" i="18"/>
  <c r="P146" i="18"/>
  <c r="T146" i="18"/>
  <c r="U146" i="18"/>
  <c r="L147" i="18"/>
  <c r="L145" i="18" s="1"/>
  <c r="O145" i="18" s="1"/>
  <c r="M147" i="18"/>
  <c r="P147" i="18" s="1"/>
  <c r="N147" i="18"/>
  <c r="N145" i="18" s="1"/>
  <c r="T147" i="18"/>
  <c r="U147" i="18"/>
  <c r="I150" i="18"/>
  <c r="K150" i="18" s="1"/>
  <c r="I151" i="18"/>
  <c r="K151" i="18" s="1"/>
  <c r="I152" i="18"/>
  <c r="I137" i="18" s="1"/>
  <c r="K137" i="18" s="1"/>
  <c r="I153" i="18"/>
  <c r="K153" i="18" s="1"/>
  <c r="I154" i="18"/>
  <c r="K154" i="18" s="1"/>
  <c r="J156" i="18"/>
  <c r="L158" i="18"/>
  <c r="M158" i="18"/>
  <c r="P158" i="18" s="1"/>
  <c r="N158" i="18"/>
  <c r="Q158" i="18"/>
  <c r="T158" i="18" s="1"/>
  <c r="R158" i="18"/>
  <c r="U158" i="18" s="1"/>
  <c r="S158" i="18"/>
  <c r="O161" i="18"/>
  <c r="P161" i="18"/>
  <c r="T161" i="18"/>
  <c r="U161" i="18"/>
  <c r="L162" i="18"/>
  <c r="M162" i="18"/>
  <c r="P162" i="18" s="1"/>
  <c r="N162" i="18"/>
  <c r="N160" i="18" s="1"/>
  <c r="Q162" i="18"/>
  <c r="T162" i="18" s="1"/>
  <c r="R162" i="18"/>
  <c r="S162" i="18"/>
  <c r="Q163" i="18"/>
  <c r="T163" i="18" s="1"/>
  <c r="R163" i="18"/>
  <c r="U163" i="18" s="1"/>
  <c r="S163" i="18"/>
  <c r="O164" i="18"/>
  <c r="P164" i="18"/>
  <c r="T164" i="18"/>
  <c r="U164" i="18"/>
  <c r="L165" i="18"/>
  <c r="L163" i="18" s="1"/>
  <c r="O163" i="18" s="1"/>
  <c r="M165" i="18"/>
  <c r="P165" i="18" s="1"/>
  <c r="N165" i="18"/>
  <c r="N163" i="18" s="1"/>
  <c r="T165" i="18"/>
  <c r="U165" i="18"/>
  <c r="I167" i="18"/>
  <c r="K167" i="18" s="1"/>
  <c r="I168" i="18"/>
  <c r="K168" i="18" s="1"/>
  <c r="I169" i="18"/>
  <c r="K169" i="18" s="1"/>
  <c r="J172" i="18"/>
  <c r="L174" i="18"/>
  <c r="O174" i="18" s="1"/>
  <c r="M174" i="18"/>
  <c r="N174" i="18"/>
  <c r="P174" i="18"/>
  <c r="Q174" i="18"/>
  <c r="T174" i="18" s="1"/>
  <c r="R174" i="18"/>
  <c r="U174" i="18" s="1"/>
  <c r="S174" i="18"/>
  <c r="O177" i="18"/>
  <c r="P177" i="18"/>
  <c r="T177" i="18"/>
  <c r="U177" i="18"/>
  <c r="L178" i="18"/>
  <c r="L176" i="18" s="1"/>
  <c r="M178" i="18"/>
  <c r="M176" i="18" s="1"/>
  <c r="N178" i="18"/>
  <c r="N176" i="18" s="1"/>
  <c r="Q178" i="18"/>
  <c r="Q175" i="18" s="1"/>
  <c r="T175" i="18" s="1"/>
  <c r="R178" i="18"/>
  <c r="R176" i="18" s="1"/>
  <c r="U176" i="18" s="1"/>
  <c r="S178" i="18"/>
  <c r="Q179" i="18"/>
  <c r="T179" i="18" s="1"/>
  <c r="R179" i="18"/>
  <c r="S179" i="18"/>
  <c r="U179" i="18"/>
  <c r="O180" i="18"/>
  <c r="P180" i="18"/>
  <c r="T180" i="18"/>
  <c r="U180" i="18"/>
  <c r="L181" i="18"/>
  <c r="L179" i="18" s="1"/>
  <c r="O179" i="18" s="1"/>
  <c r="M181" i="18"/>
  <c r="N181" i="18"/>
  <c r="N179" i="18" s="1"/>
  <c r="T181" i="18"/>
  <c r="U181" i="18"/>
  <c r="I183" i="18"/>
  <c r="I172" i="18" s="1"/>
  <c r="K184" i="18"/>
  <c r="L187" i="18"/>
  <c r="O187" i="18" s="1"/>
  <c r="M187" i="18"/>
  <c r="P187" i="18" s="1"/>
  <c r="N187" i="18"/>
  <c r="Q187" i="18"/>
  <c r="R187" i="18"/>
  <c r="U187" i="18" s="1"/>
  <c r="S187" i="18"/>
  <c r="T187" i="18"/>
  <c r="O190" i="18"/>
  <c r="P190" i="18"/>
  <c r="T190" i="18"/>
  <c r="U190" i="18"/>
  <c r="L191" i="18"/>
  <c r="M191" i="18"/>
  <c r="N191" i="18"/>
  <c r="Q191" i="18"/>
  <c r="Q188" i="18" s="1"/>
  <c r="R191" i="18"/>
  <c r="R189" i="18" s="1"/>
  <c r="S191" i="18"/>
  <c r="S189" i="18" s="1"/>
  <c r="Q192" i="18"/>
  <c r="T192" i="18" s="1"/>
  <c r="R192" i="18"/>
  <c r="U192" i="18" s="1"/>
  <c r="S192" i="18"/>
  <c r="O193" i="18"/>
  <c r="P193" i="18"/>
  <c r="T193" i="18"/>
  <c r="U193" i="18"/>
  <c r="L194" i="18"/>
  <c r="L192" i="18" s="1"/>
  <c r="O192" i="18" s="1"/>
  <c r="M194" i="18"/>
  <c r="M192" i="18" s="1"/>
  <c r="P192" i="18" s="1"/>
  <c r="N194" i="18"/>
  <c r="N192" i="18" s="1"/>
  <c r="T194" i="18"/>
  <c r="U194" i="18"/>
  <c r="J195" i="18"/>
  <c r="L196" i="18"/>
  <c r="O196" i="18" s="1"/>
  <c r="P196" i="18"/>
  <c r="I198" i="18"/>
  <c r="I195" i="18" s="1"/>
  <c r="K195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L207" i="18"/>
  <c r="I209" i="18"/>
  <c r="K209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I213" i="18" s="1"/>
  <c r="J221" i="18"/>
  <c r="N222" i="18"/>
  <c r="P222" i="18"/>
  <c r="L223" i="18"/>
  <c r="L224" i="18"/>
  <c r="L225" i="18"/>
  <c r="I228" i="18"/>
  <c r="K228" i="18" s="1"/>
  <c r="I229" i="18"/>
  <c r="I230" i="18"/>
  <c r="K230" i="18" s="1"/>
  <c r="N234" i="18"/>
  <c r="N236" i="18"/>
  <c r="J238" i="18"/>
  <c r="J240" i="18"/>
  <c r="J241" i="18"/>
  <c r="J242" i="18"/>
  <c r="N243" i="18"/>
  <c r="P243" i="18"/>
  <c r="L244" i="18"/>
  <c r="L245" i="18"/>
  <c r="L246" i="18"/>
  <c r="L247" i="18"/>
  <c r="I249" i="18"/>
  <c r="I242" i="18" s="1"/>
  <c r="I251" i="18"/>
  <c r="I252" i="18"/>
  <c r="J253" i="18"/>
  <c r="P254" i="18"/>
  <c r="L255" i="18"/>
  <c r="N255" i="18"/>
  <c r="L256" i="18"/>
  <c r="L257" i="18"/>
  <c r="N257" i="18"/>
  <c r="N235" i="18" s="1"/>
  <c r="L258" i="18"/>
  <c r="I260" i="18"/>
  <c r="I262" i="18"/>
  <c r="K262" i="18" s="1"/>
  <c r="I263" i="18"/>
  <c r="K263" i="18" s="1"/>
  <c r="J265" i="18"/>
  <c r="L267" i="18"/>
  <c r="O267" i="18" s="1"/>
  <c r="M267" i="18"/>
  <c r="N267" i="18"/>
  <c r="P267" i="18"/>
  <c r="Q267" i="18"/>
  <c r="T267" i="18" s="1"/>
  <c r="R267" i="18"/>
  <c r="U267" i="18" s="1"/>
  <c r="S267" i="18"/>
  <c r="O270" i="18"/>
  <c r="P270" i="18"/>
  <c r="T270" i="18"/>
  <c r="U270" i="18"/>
  <c r="L271" i="18"/>
  <c r="M271" i="18"/>
  <c r="N271" i="18"/>
  <c r="Q271" i="18"/>
  <c r="Q268" i="18" s="1"/>
  <c r="R271" i="18"/>
  <c r="R268" i="18" s="1"/>
  <c r="S271" i="18"/>
  <c r="S268" i="18" s="1"/>
  <c r="S266" i="18" s="1"/>
  <c r="Q272" i="18"/>
  <c r="T272" i="18" s="1"/>
  <c r="R272" i="18"/>
  <c r="U272" i="18" s="1"/>
  <c r="S272" i="18"/>
  <c r="O273" i="18"/>
  <c r="P273" i="18"/>
  <c r="T273" i="18"/>
  <c r="U273" i="18"/>
  <c r="L274" i="18"/>
  <c r="O274" i="18" s="1"/>
  <c r="M274" i="18"/>
  <c r="M272" i="18" s="1"/>
  <c r="P272" i="18" s="1"/>
  <c r="N274" i="18"/>
  <c r="N272" i="18" s="1"/>
  <c r="T274" i="18"/>
  <c r="U274" i="18"/>
  <c r="I276" i="18"/>
  <c r="I265" i="18" s="1"/>
  <c r="J281" i="18"/>
  <c r="L283" i="18"/>
  <c r="M283" i="18"/>
  <c r="N283" i="18"/>
  <c r="O283" i="18"/>
  <c r="Q283" i="18"/>
  <c r="R283" i="18"/>
  <c r="S283" i="18"/>
  <c r="U283" i="18"/>
  <c r="Q284" i="18"/>
  <c r="T284" i="18" s="1"/>
  <c r="R284" i="18"/>
  <c r="S284" i="18"/>
  <c r="Q285" i="18"/>
  <c r="R285" i="18"/>
  <c r="U285" i="18" s="1"/>
  <c r="S285" i="18"/>
  <c r="T285" i="18"/>
  <c r="O286" i="18"/>
  <c r="P286" i="18"/>
  <c r="T286" i="18"/>
  <c r="U286" i="18"/>
  <c r="L287" i="18"/>
  <c r="M287" i="18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L288" i="18" s="1"/>
  <c r="O288" i="18" s="1"/>
  <c r="M290" i="18"/>
  <c r="M288" i="18" s="1"/>
  <c r="P288" i="18" s="1"/>
  <c r="N290" i="18"/>
  <c r="N288" i="18" s="1"/>
  <c r="T290" i="18"/>
  <c r="U290" i="18"/>
  <c r="I292" i="18"/>
  <c r="K292" i="18" s="1"/>
  <c r="I293" i="18"/>
  <c r="J293" i="18"/>
  <c r="J280" i="18" s="1"/>
  <c r="I295" i="18"/>
  <c r="K295" i="18" s="1"/>
  <c r="I296" i="18"/>
  <c r="K296" i="18" s="1"/>
  <c r="J302" i="18"/>
  <c r="L304" i="18"/>
  <c r="O304" i="18" s="1"/>
  <c r="M304" i="18"/>
  <c r="N304" i="18"/>
  <c r="Q304" i="18"/>
  <c r="T304" i="18" s="1"/>
  <c r="R304" i="18"/>
  <c r="S304" i="18"/>
  <c r="U304" i="18"/>
  <c r="O307" i="18"/>
  <c r="P307" i="18"/>
  <c r="T307" i="18"/>
  <c r="U307" i="18"/>
  <c r="L308" i="18"/>
  <c r="M308" i="18"/>
  <c r="N308" i="18"/>
  <c r="Q308" i="18"/>
  <c r="Q306" i="18" s="1"/>
  <c r="T306" i="18" s="1"/>
  <c r="R308" i="18"/>
  <c r="S308" i="18"/>
  <c r="S305" i="18" s="1"/>
  <c r="Q309" i="18"/>
  <c r="T309" i="18" s="1"/>
  <c r="R309" i="18"/>
  <c r="U309" i="18" s="1"/>
  <c r="S309" i="18"/>
  <c r="O310" i="18"/>
  <c r="P310" i="18"/>
  <c r="T310" i="18"/>
  <c r="U310" i="18"/>
  <c r="L311" i="18"/>
  <c r="L309" i="18" s="1"/>
  <c r="O309" i="18" s="1"/>
  <c r="M311" i="18"/>
  <c r="P311" i="18" s="1"/>
  <c r="N311" i="18"/>
  <c r="N309" i="18" s="1"/>
  <c r="T311" i="18"/>
  <c r="U311" i="18"/>
  <c r="I314" i="18"/>
  <c r="J319" i="18"/>
  <c r="L321" i="18"/>
  <c r="M321" i="18"/>
  <c r="P321" i="18" s="1"/>
  <c r="N321" i="18"/>
  <c r="O321" i="18"/>
  <c r="Q321" i="18"/>
  <c r="R321" i="18"/>
  <c r="R320" i="18" s="1"/>
  <c r="U320" i="18" s="1"/>
  <c r="S321" i="18"/>
  <c r="T321" i="18"/>
  <c r="U321" i="18"/>
  <c r="Q322" i="18"/>
  <c r="R322" i="18"/>
  <c r="S322" i="18"/>
  <c r="U322" i="18"/>
  <c r="Q323" i="18"/>
  <c r="T323" i="18" s="1"/>
  <c r="R323" i="18"/>
  <c r="U323" i="18" s="1"/>
  <c r="S323" i="18"/>
  <c r="O324" i="18"/>
  <c r="P324" i="18"/>
  <c r="T324" i="18"/>
  <c r="U324" i="18"/>
  <c r="L325" i="18"/>
  <c r="L323" i="18" s="1"/>
  <c r="M325" i="18"/>
  <c r="M323" i="18" s="1"/>
  <c r="N325" i="18"/>
  <c r="T325" i="18"/>
  <c r="U325" i="18"/>
  <c r="Q326" i="18"/>
  <c r="T326" i="18" s="1"/>
  <c r="R326" i="18"/>
  <c r="U326" i="18" s="1"/>
  <c r="S326" i="18"/>
  <c r="O327" i="18"/>
  <c r="P327" i="18"/>
  <c r="T327" i="18"/>
  <c r="U327" i="18"/>
  <c r="L328" i="18"/>
  <c r="O328" i="18" s="1"/>
  <c r="M328" i="18"/>
  <c r="N328" i="18"/>
  <c r="N326" i="18" s="1"/>
  <c r="T328" i="18"/>
  <c r="U328" i="18"/>
  <c r="I330" i="18"/>
  <c r="L334" i="18"/>
  <c r="M334" i="18"/>
  <c r="P334" i="18" s="1"/>
  <c r="N334" i="18"/>
  <c r="Q334" i="18"/>
  <c r="R334" i="18"/>
  <c r="S334" i="18"/>
  <c r="T334" i="18"/>
  <c r="Q335" i="18"/>
  <c r="Q333" i="18" s="1"/>
  <c r="T333" i="18" s="1"/>
  <c r="R335" i="18"/>
  <c r="U335" i="18" s="1"/>
  <c r="S335" i="18"/>
  <c r="T335" i="18"/>
  <c r="Q336" i="18"/>
  <c r="T336" i="18" s="1"/>
  <c r="R336" i="18"/>
  <c r="U336" i="18" s="1"/>
  <c r="S336" i="18"/>
  <c r="O337" i="18"/>
  <c r="P337" i="18"/>
  <c r="T337" i="18"/>
  <c r="U337" i="18"/>
  <c r="L338" i="18"/>
  <c r="M338" i="18"/>
  <c r="M336" i="18" s="1"/>
  <c r="N338" i="18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L339" i="18" s="1"/>
  <c r="O339" i="18" s="1"/>
  <c r="M341" i="18"/>
  <c r="P341" i="18" s="1"/>
  <c r="N341" i="18"/>
  <c r="N339" i="18" s="1"/>
  <c r="T341" i="18"/>
  <c r="U341" i="18"/>
  <c r="I344" i="18"/>
  <c r="I332" i="18" s="1"/>
  <c r="J344" i="18"/>
  <c r="I346" i="18"/>
  <c r="J346" i="18"/>
  <c r="J347" i="18"/>
  <c r="J348" i="18"/>
  <c r="J349" i="18"/>
  <c r="D350" i="18"/>
  <c r="J352" i="18"/>
  <c r="J353" i="18"/>
  <c r="J354" i="18"/>
  <c r="L357" i="18"/>
  <c r="M357" i="18"/>
  <c r="P357" i="18" s="1"/>
  <c r="N357" i="18"/>
  <c r="O357" i="18"/>
  <c r="Q357" i="18"/>
  <c r="T357" i="18" s="1"/>
  <c r="R357" i="18"/>
  <c r="U357" i="18" s="1"/>
  <c r="S357" i="18"/>
  <c r="Q358" i="18"/>
  <c r="R358" i="18"/>
  <c r="U358" i="18" s="1"/>
  <c r="S358" i="18"/>
  <c r="Q359" i="18"/>
  <c r="R359" i="18"/>
  <c r="U359" i="18" s="1"/>
  <c r="S359" i="18"/>
  <c r="T359" i="18"/>
  <c r="O360" i="18"/>
  <c r="P360" i="18"/>
  <c r="T360" i="18"/>
  <c r="U360" i="18"/>
  <c r="L361" i="18"/>
  <c r="L359" i="18" s="1"/>
  <c r="M361" i="18"/>
  <c r="N361" i="18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L362" i="18" s="1"/>
  <c r="O362" i="18" s="1"/>
  <c r="M364" i="18"/>
  <c r="M362" i="18" s="1"/>
  <c r="P362" i="18" s="1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J374" i="18"/>
  <c r="M375" i="18"/>
  <c r="P375" i="18" s="1"/>
  <c r="L376" i="18"/>
  <c r="M376" i="18"/>
  <c r="P376" i="18" s="1"/>
  <c r="N376" i="18"/>
  <c r="Q376" i="18"/>
  <c r="T376" i="18" s="1"/>
  <c r="R376" i="18"/>
  <c r="U376" i="18" s="1"/>
  <c r="S376" i="18"/>
  <c r="L377" i="18"/>
  <c r="M377" i="18"/>
  <c r="P377" i="18" s="1"/>
  <c r="N377" i="18"/>
  <c r="N375" i="18" s="1"/>
  <c r="O377" i="18"/>
  <c r="L378" i="18"/>
  <c r="M378" i="18"/>
  <c r="N378" i="18"/>
  <c r="O378" i="18"/>
  <c r="P378" i="18"/>
  <c r="O379" i="18"/>
  <c r="P379" i="18"/>
  <c r="T379" i="18"/>
  <c r="U379" i="18"/>
  <c r="O380" i="18"/>
  <c r="P380" i="18"/>
  <c r="Q380" i="18"/>
  <c r="Q378" i="18" s="1"/>
  <c r="T378" i="18" s="1"/>
  <c r="R380" i="18"/>
  <c r="S380" i="18"/>
  <c r="L381" i="18"/>
  <c r="O381" i="18" s="1"/>
  <c r="M381" i="18"/>
  <c r="P381" i="18" s="1"/>
  <c r="N381" i="18"/>
  <c r="Q381" i="18"/>
  <c r="T381" i="18" s="1"/>
  <c r="R381" i="18"/>
  <c r="U381" i="18" s="1"/>
  <c r="S381" i="18"/>
  <c r="O382" i="18"/>
  <c r="P382" i="18"/>
  <c r="T382" i="18"/>
  <c r="U382" i="18"/>
  <c r="O383" i="18"/>
  <c r="P383" i="18"/>
  <c r="T383" i="18"/>
  <c r="U383" i="18"/>
  <c r="I385" i="18"/>
  <c r="I374" i="18" s="1"/>
  <c r="K374" i="18" s="1"/>
  <c r="I386" i="18"/>
  <c r="K386" i="18" s="1"/>
  <c r="K387" i="18"/>
  <c r="K388" i="18"/>
  <c r="I391" i="18"/>
  <c r="J391" i="18"/>
  <c r="K391" i="18"/>
  <c r="L393" i="18"/>
  <c r="M393" i="18"/>
  <c r="P393" i="18" s="1"/>
  <c r="N393" i="18"/>
  <c r="Q393" i="18"/>
  <c r="T393" i="18" s="1"/>
  <c r="R393" i="18"/>
  <c r="S393" i="18"/>
  <c r="S392" i="18" s="1"/>
  <c r="L394" i="18"/>
  <c r="M394" i="18"/>
  <c r="P394" i="18" s="1"/>
  <c r="N394" i="18"/>
  <c r="N392" i="18" s="1"/>
  <c r="O394" i="18"/>
  <c r="Q394" i="18"/>
  <c r="T394" i="18" s="1"/>
  <c r="R394" i="18"/>
  <c r="U394" i="18" s="1"/>
  <c r="S394" i="18"/>
  <c r="L395" i="18"/>
  <c r="O395" i="18" s="1"/>
  <c r="M395" i="18"/>
  <c r="P395" i="18" s="1"/>
  <c r="N395" i="18"/>
  <c r="Q395" i="18"/>
  <c r="T395" i="18" s="1"/>
  <c r="R395" i="18"/>
  <c r="S395" i="18"/>
  <c r="U395" i="18"/>
  <c r="O396" i="18"/>
  <c r="P396" i="18"/>
  <c r="T396" i="18"/>
  <c r="U396" i="18"/>
  <c r="O397" i="18"/>
  <c r="P397" i="18"/>
  <c r="T397" i="18"/>
  <c r="U397" i="18"/>
  <c r="L398" i="18"/>
  <c r="M398" i="18"/>
  <c r="P398" i="18" s="1"/>
  <c r="N398" i="18"/>
  <c r="O398" i="18"/>
  <c r="Q398" i="18"/>
  <c r="T398" i="18" s="1"/>
  <c r="R398" i="18"/>
  <c r="U398" i="18" s="1"/>
  <c r="S398" i="18"/>
  <c r="O399" i="18"/>
  <c r="P399" i="18"/>
  <c r="T399" i="18"/>
  <c r="U399" i="18"/>
  <c r="O400" i="18"/>
  <c r="P400" i="18"/>
  <c r="T400" i="18"/>
  <c r="U400" i="18"/>
  <c r="L414" i="18"/>
  <c r="O414" i="18" s="1"/>
  <c r="M414" i="18"/>
  <c r="N414" i="18"/>
  <c r="N413" i="18" s="1"/>
  <c r="Q414" i="18"/>
  <c r="R414" i="18"/>
  <c r="U414" i="18" s="1"/>
  <c r="S414" i="18"/>
  <c r="T414" i="18"/>
  <c r="L415" i="18"/>
  <c r="O415" i="18" s="1"/>
  <c r="M415" i="18"/>
  <c r="N415" i="18"/>
  <c r="P415" i="18"/>
  <c r="L416" i="18"/>
  <c r="O416" i="18" s="1"/>
  <c r="M416" i="18"/>
  <c r="N416" i="18"/>
  <c r="P416" i="18"/>
  <c r="O417" i="18"/>
  <c r="P417" i="18"/>
  <c r="T417" i="18"/>
  <c r="U417" i="18"/>
  <c r="O418" i="18"/>
  <c r="P418" i="18"/>
  <c r="Q418" i="18"/>
  <c r="Q416" i="18" s="1"/>
  <c r="T416" i="18" s="1"/>
  <c r="R418" i="18"/>
  <c r="R415" i="18" s="1"/>
  <c r="U415" i="18" s="1"/>
  <c r="S418" i="18"/>
  <c r="L419" i="18"/>
  <c r="M419" i="18"/>
  <c r="N419" i="18"/>
  <c r="O419" i="18"/>
  <c r="P419" i="18"/>
  <c r="Q419" i="18"/>
  <c r="T419" i="18" s="1"/>
  <c r="R419" i="18"/>
  <c r="U419" i="18" s="1"/>
  <c r="S419" i="18"/>
  <c r="O420" i="18"/>
  <c r="P420" i="18"/>
  <c r="T420" i="18"/>
  <c r="U420" i="18"/>
  <c r="O421" i="18"/>
  <c r="P421" i="18"/>
  <c r="T421" i="18"/>
  <c r="U421" i="18"/>
  <c r="I424" i="18"/>
  <c r="K424" i="18" s="1"/>
  <c r="J424" i="18"/>
  <c r="I425" i="18"/>
  <c r="K425" i="18" s="1"/>
  <c r="J425" i="18"/>
  <c r="I432" i="18"/>
  <c r="K432" i="18" s="1"/>
  <c r="J432" i="18"/>
  <c r="I433" i="18"/>
  <c r="K433" i="18" s="1"/>
  <c r="J433" i="18"/>
  <c r="I440" i="18"/>
  <c r="I423" i="18" s="1"/>
  <c r="I441" i="18"/>
  <c r="K441" i="18" s="1"/>
  <c r="J441" i="18"/>
  <c r="J446" i="18"/>
  <c r="J440" i="18" s="1"/>
  <c r="J423" i="18" s="1"/>
  <c r="J412" i="18" s="1"/>
  <c r="J447" i="18"/>
  <c r="I457" i="18"/>
  <c r="I458" i="18"/>
  <c r="K458" i="18" s="1"/>
  <c r="J459" i="18"/>
  <c r="J460" i="18"/>
  <c r="J467" i="18"/>
  <c r="J457" i="18" s="1"/>
  <c r="J456" i="18" s="1"/>
  <c r="J468" i="18"/>
  <c r="J475" i="18"/>
  <c r="K475" i="18"/>
  <c r="J476" i="18"/>
  <c r="K476" i="18"/>
  <c r="J477" i="18"/>
  <c r="K477" i="18"/>
  <c r="J482" i="18"/>
  <c r="J483" i="18"/>
  <c r="I484" i="18"/>
  <c r="J484" i="18"/>
  <c r="K484" i="18"/>
  <c r="I485" i="18"/>
  <c r="K485" i="18" s="1"/>
  <c r="J485" i="18"/>
  <c r="L494" i="18"/>
  <c r="O494" i="18" s="1"/>
  <c r="M494" i="18"/>
  <c r="N494" i="18"/>
  <c r="Q494" i="18"/>
  <c r="T494" i="18" s="1"/>
  <c r="R494" i="18"/>
  <c r="U494" i="18" s="1"/>
  <c r="S494" i="18"/>
  <c r="L495" i="18"/>
  <c r="O495" i="18" s="1"/>
  <c r="M495" i="18"/>
  <c r="P495" i="18" s="1"/>
  <c r="N495" i="18"/>
  <c r="L496" i="18"/>
  <c r="O496" i="18" s="1"/>
  <c r="M496" i="18"/>
  <c r="N496" i="18"/>
  <c r="P496" i="18"/>
  <c r="O497" i="18"/>
  <c r="P497" i="18"/>
  <c r="T497" i="18"/>
  <c r="U497" i="18"/>
  <c r="O498" i="18"/>
  <c r="P498" i="18"/>
  <c r="Q498" i="18"/>
  <c r="Q495" i="18" s="1"/>
  <c r="R498" i="18"/>
  <c r="R495" i="18" s="1"/>
  <c r="S498" i="18"/>
  <c r="L499" i="18"/>
  <c r="M499" i="18"/>
  <c r="P499" i="18" s="1"/>
  <c r="N499" i="18"/>
  <c r="O499" i="18"/>
  <c r="Q499" i="18"/>
  <c r="T499" i="18" s="1"/>
  <c r="R499" i="18"/>
  <c r="U499" i="18" s="1"/>
  <c r="S499" i="18"/>
  <c r="O500" i="18"/>
  <c r="P500" i="18"/>
  <c r="T500" i="18"/>
  <c r="U500" i="18"/>
  <c r="O501" i="18"/>
  <c r="P501" i="18"/>
  <c r="T501" i="18"/>
  <c r="U501" i="18"/>
  <c r="I503" i="18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K512" i="18" s="1"/>
  <c r="J512" i="18"/>
  <c r="L514" i="18"/>
  <c r="O514" i="18" s="1"/>
  <c r="M514" i="18"/>
  <c r="N514" i="18"/>
  <c r="P514" i="18"/>
  <c r="Q514" i="18"/>
  <c r="R514" i="18"/>
  <c r="U514" i="18" s="1"/>
  <c r="S514" i="18"/>
  <c r="Q515" i="18"/>
  <c r="T515" i="18" s="1"/>
  <c r="R515" i="18"/>
  <c r="U515" i="18" s="1"/>
  <c r="S515" i="18"/>
  <c r="S513" i="18" s="1"/>
  <c r="Q516" i="18"/>
  <c r="T516" i="18" s="1"/>
  <c r="R516" i="18"/>
  <c r="U516" i="18" s="1"/>
  <c r="S516" i="18"/>
  <c r="O517" i="18"/>
  <c r="P517" i="18"/>
  <c r="T517" i="18"/>
  <c r="U517" i="18"/>
  <c r="L518" i="18"/>
  <c r="M518" i="18"/>
  <c r="M516" i="18" s="1"/>
  <c r="P516" i="18" s="1"/>
  <c r="N518" i="18"/>
  <c r="N516" i="18" s="1"/>
  <c r="T518" i="18"/>
  <c r="U518" i="18"/>
  <c r="Q519" i="18"/>
  <c r="T519" i="18" s="1"/>
  <c r="R519" i="18"/>
  <c r="U519" i="18" s="1"/>
  <c r="S519" i="18"/>
  <c r="O520" i="18"/>
  <c r="P520" i="18"/>
  <c r="T520" i="18"/>
  <c r="U520" i="18"/>
  <c r="L521" i="18"/>
  <c r="O521" i="18" s="1"/>
  <c r="M521" i="18"/>
  <c r="M515" i="18" s="1"/>
  <c r="N521" i="18"/>
  <c r="N519" i="18" s="1"/>
  <c r="T521" i="18"/>
  <c r="U521" i="18"/>
  <c r="K523" i="18"/>
  <c r="K524" i="18"/>
  <c r="I533" i="18"/>
  <c r="K533" i="18" s="1"/>
  <c r="J533" i="18"/>
  <c r="L535" i="18"/>
  <c r="L534" i="18" s="1"/>
  <c r="O534" i="18" s="1"/>
  <c r="M535" i="18"/>
  <c r="N535" i="18"/>
  <c r="Q535" i="18"/>
  <c r="T535" i="18" s="1"/>
  <c r="R535" i="18"/>
  <c r="S535" i="18"/>
  <c r="U535" i="18"/>
  <c r="L536" i="18"/>
  <c r="O536" i="18" s="1"/>
  <c r="M536" i="18"/>
  <c r="P536" i="18" s="1"/>
  <c r="N536" i="18"/>
  <c r="N534" i="18" s="1"/>
  <c r="Q536" i="18"/>
  <c r="T536" i="18" s="1"/>
  <c r="R536" i="18"/>
  <c r="U536" i="18" s="1"/>
  <c r="S536" i="18"/>
  <c r="L537" i="18"/>
  <c r="M537" i="18"/>
  <c r="P537" i="18" s="1"/>
  <c r="N537" i="18"/>
  <c r="O537" i="18"/>
  <c r="Q537" i="18"/>
  <c r="T537" i="18" s="1"/>
  <c r="R537" i="18"/>
  <c r="U537" i="18" s="1"/>
  <c r="S537" i="18"/>
  <c r="O538" i="18"/>
  <c r="P538" i="18"/>
  <c r="T538" i="18"/>
  <c r="U538" i="18"/>
  <c r="O539" i="18"/>
  <c r="P539" i="18"/>
  <c r="T539" i="18"/>
  <c r="U539" i="18"/>
  <c r="L540" i="18"/>
  <c r="O540" i="18" s="1"/>
  <c r="M540" i="18"/>
  <c r="N540" i="18"/>
  <c r="P540" i="18"/>
  <c r="Q540" i="18"/>
  <c r="T540" i="18" s="1"/>
  <c r="R540" i="18"/>
  <c r="U540" i="18" s="1"/>
  <c r="S540" i="18"/>
  <c r="O541" i="18"/>
  <c r="P541" i="18"/>
  <c r="T541" i="18"/>
  <c r="U541" i="18"/>
  <c r="O542" i="18"/>
  <c r="P542" i="18"/>
  <c r="T542" i="18"/>
  <c r="U542" i="18"/>
  <c r="I554" i="18"/>
  <c r="K554" i="18" s="1"/>
  <c r="J554" i="18"/>
  <c r="L556" i="18"/>
  <c r="O556" i="18" s="1"/>
  <c r="M556" i="18"/>
  <c r="N556" i="18"/>
  <c r="Q556" i="18"/>
  <c r="T556" i="18" s="1"/>
  <c r="R556" i="18"/>
  <c r="U556" i="18" s="1"/>
  <c r="S556" i="18"/>
  <c r="S555" i="18" s="1"/>
  <c r="L557" i="18"/>
  <c r="O557" i="18" s="1"/>
  <c r="M557" i="18"/>
  <c r="P557" i="18" s="1"/>
  <c r="N557" i="18"/>
  <c r="Q557" i="18"/>
  <c r="T557" i="18" s="1"/>
  <c r="R557" i="18"/>
  <c r="U557" i="18" s="1"/>
  <c r="S557" i="18"/>
  <c r="L558" i="18"/>
  <c r="O558" i="18" s="1"/>
  <c r="M558" i="18"/>
  <c r="P558" i="18" s="1"/>
  <c r="N558" i="18"/>
  <c r="Q558" i="18"/>
  <c r="R558" i="18"/>
  <c r="U558" i="18" s="1"/>
  <c r="S558" i="18"/>
  <c r="T558" i="18"/>
  <c r="O559" i="18"/>
  <c r="P559" i="18"/>
  <c r="T559" i="18"/>
  <c r="U559" i="18"/>
  <c r="O560" i="18"/>
  <c r="P560" i="18"/>
  <c r="T560" i="18"/>
  <c r="U560" i="18"/>
  <c r="L561" i="18"/>
  <c r="O561" i="18" s="1"/>
  <c r="M561" i="18"/>
  <c r="N561" i="18"/>
  <c r="P561" i="18"/>
  <c r="Q561" i="18"/>
  <c r="T561" i="18" s="1"/>
  <c r="R561" i="18"/>
  <c r="U561" i="18" s="1"/>
  <c r="S561" i="18"/>
  <c r="O562" i="18"/>
  <c r="P562" i="18"/>
  <c r="T562" i="18"/>
  <c r="U562" i="18"/>
  <c r="O563" i="18"/>
  <c r="P563" i="18"/>
  <c r="T563" i="18"/>
  <c r="U563" i="18"/>
  <c r="I575" i="18"/>
  <c r="K575" i="18" s="1"/>
  <c r="J575" i="18"/>
  <c r="L577" i="18"/>
  <c r="M577" i="18"/>
  <c r="P577" i="18" s="1"/>
  <c r="N577" i="18"/>
  <c r="N576" i="18" s="1"/>
  <c r="O577" i="18"/>
  <c r="Q577" i="18"/>
  <c r="T577" i="18" s="1"/>
  <c r="R577" i="18"/>
  <c r="S577" i="18"/>
  <c r="L578" i="18"/>
  <c r="O578" i="18" s="1"/>
  <c r="M578" i="18"/>
  <c r="P578" i="18" s="1"/>
  <c r="N578" i="18"/>
  <c r="Q578" i="18"/>
  <c r="R578" i="18"/>
  <c r="S578" i="18"/>
  <c r="S576" i="18" s="1"/>
  <c r="T578" i="18"/>
  <c r="U578" i="18"/>
  <c r="L579" i="18"/>
  <c r="M579" i="18"/>
  <c r="N579" i="18"/>
  <c r="O579" i="18"/>
  <c r="P579" i="18"/>
  <c r="Q579" i="18"/>
  <c r="T579" i="18" s="1"/>
  <c r="R579" i="18"/>
  <c r="U579" i="18" s="1"/>
  <c r="S579" i="18"/>
  <c r="O580" i="18"/>
  <c r="P580" i="18"/>
  <c r="T580" i="18"/>
  <c r="U580" i="18"/>
  <c r="O581" i="18"/>
  <c r="P581" i="18"/>
  <c r="T581" i="18"/>
  <c r="U581" i="18"/>
  <c r="L582" i="18"/>
  <c r="O582" i="18" s="1"/>
  <c r="M582" i="18"/>
  <c r="N582" i="18"/>
  <c r="P582" i="18"/>
  <c r="Q582" i="18"/>
  <c r="T582" i="18" s="1"/>
  <c r="R582" i="18"/>
  <c r="U582" i="18" s="1"/>
  <c r="S582" i="18"/>
  <c r="O583" i="18"/>
  <c r="P583" i="18"/>
  <c r="T583" i="18"/>
  <c r="U583" i="18"/>
  <c r="O584" i="18"/>
  <c r="P584" i="18"/>
  <c r="T584" i="18"/>
  <c r="U584" i="18"/>
  <c r="L600" i="18"/>
  <c r="M600" i="18"/>
  <c r="P600" i="18" s="1"/>
  <c r="N600" i="18"/>
  <c r="Q600" i="18"/>
  <c r="T600" i="18" s="1"/>
  <c r="R600" i="18"/>
  <c r="S600" i="18"/>
  <c r="L601" i="18"/>
  <c r="O601" i="18" s="1"/>
  <c r="M601" i="18"/>
  <c r="P601" i="18" s="1"/>
  <c r="N601" i="18"/>
  <c r="Q601" i="18"/>
  <c r="T601" i="18" s="1"/>
  <c r="R601" i="18"/>
  <c r="U601" i="18" s="1"/>
  <c r="S601" i="18"/>
  <c r="L602" i="18"/>
  <c r="O602" i="18" s="1"/>
  <c r="M602" i="18"/>
  <c r="P602" i="18" s="1"/>
  <c r="N602" i="18"/>
  <c r="Q602" i="18"/>
  <c r="T602" i="18" s="1"/>
  <c r="R602" i="18"/>
  <c r="U602" i="18" s="1"/>
  <c r="S602" i="18"/>
  <c r="O603" i="18"/>
  <c r="P603" i="18"/>
  <c r="T603" i="18"/>
  <c r="U603" i="18"/>
  <c r="O604" i="18"/>
  <c r="P604" i="18"/>
  <c r="T604" i="18"/>
  <c r="U604" i="18"/>
  <c r="L605" i="18"/>
  <c r="O605" i="18" s="1"/>
  <c r="M605" i="18"/>
  <c r="P605" i="18" s="1"/>
  <c r="N605" i="18"/>
  <c r="Q605" i="18"/>
  <c r="R605" i="18"/>
  <c r="U605" i="18" s="1"/>
  <c r="S605" i="18"/>
  <c r="T605" i="18"/>
  <c r="O606" i="18"/>
  <c r="P606" i="18"/>
  <c r="T606" i="18"/>
  <c r="U606" i="18"/>
  <c r="O607" i="18"/>
  <c r="P607" i="18"/>
  <c r="T607" i="18"/>
  <c r="U607" i="18"/>
  <c r="L617" i="18"/>
  <c r="M617" i="18"/>
  <c r="N617" i="18"/>
  <c r="Q617" i="18"/>
  <c r="R617" i="18"/>
  <c r="U617" i="18" s="1"/>
  <c r="S617" i="18"/>
  <c r="L618" i="18"/>
  <c r="O618" i="18" s="1"/>
  <c r="M618" i="18"/>
  <c r="P618" i="18" s="1"/>
  <c r="N618" i="18"/>
  <c r="L619" i="18"/>
  <c r="M619" i="18"/>
  <c r="P619" i="18" s="1"/>
  <c r="N619" i="18"/>
  <c r="O619" i="18"/>
  <c r="O620" i="18"/>
  <c r="P620" i="18"/>
  <c r="T620" i="18"/>
  <c r="U620" i="18"/>
  <c r="O621" i="18"/>
  <c r="P621" i="18"/>
  <c r="Q621" i="18"/>
  <c r="R621" i="18"/>
  <c r="S621" i="18"/>
  <c r="L622" i="18"/>
  <c r="O622" i="18" s="1"/>
  <c r="M622" i="18"/>
  <c r="P622" i="18" s="1"/>
  <c r="N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K629" i="18" s="1"/>
  <c r="J626" i="18"/>
  <c r="J615" i="18" s="1"/>
  <c r="I627" i="18"/>
  <c r="K627" i="18" s="1"/>
  <c r="I628" i="18"/>
  <c r="K628" i="18" s="1"/>
  <c r="J632" i="18"/>
  <c r="I635" i="18"/>
  <c r="K635" i="18" s="1"/>
  <c r="J636" i="18"/>
  <c r="J635" i="18" s="1"/>
  <c r="N642" i="18"/>
  <c r="L643" i="18"/>
  <c r="M643" i="18"/>
  <c r="N643" i="18"/>
  <c r="P643" i="18"/>
  <c r="Q643" i="18"/>
  <c r="T643" i="18" s="1"/>
  <c r="R643" i="18"/>
  <c r="S643" i="18"/>
  <c r="L644" i="18"/>
  <c r="O644" i="18" s="1"/>
  <c r="M644" i="18"/>
  <c r="P644" i="18" s="1"/>
  <c r="N644" i="18"/>
  <c r="L645" i="18"/>
  <c r="M645" i="18"/>
  <c r="N645" i="18"/>
  <c r="O645" i="18"/>
  <c r="P645" i="18"/>
  <c r="O646" i="18"/>
  <c r="P646" i="18"/>
  <c r="T646" i="18"/>
  <c r="U646" i="18"/>
  <c r="O647" i="18"/>
  <c r="P647" i="18"/>
  <c r="Q647" i="18"/>
  <c r="Q644" i="18" s="1"/>
  <c r="R647" i="18"/>
  <c r="R645" i="18" s="1"/>
  <c r="U645" i="18" s="1"/>
  <c r="S647" i="18"/>
  <c r="S645" i="18" s="1"/>
  <c r="L648" i="18"/>
  <c r="O648" i="18" s="1"/>
  <c r="M648" i="18"/>
  <c r="P648" i="18" s="1"/>
  <c r="N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N690" i="18"/>
  <c r="L691" i="18"/>
  <c r="M691" i="18"/>
  <c r="N691" i="18"/>
  <c r="Q691" i="18"/>
  <c r="T691" i="18" s="1"/>
  <c r="R691" i="18"/>
  <c r="S691" i="18"/>
  <c r="L692" i="18"/>
  <c r="O692" i="18" s="1"/>
  <c r="M692" i="18"/>
  <c r="P692" i="18" s="1"/>
  <c r="N692" i="18"/>
  <c r="L693" i="18"/>
  <c r="O693" i="18" s="1"/>
  <c r="M693" i="18"/>
  <c r="P693" i="18" s="1"/>
  <c r="N693" i="18"/>
  <c r="O694" i="18"/>
  <c r="P694" i="18"/>
  <c r="T694" i="18"/>
  <c r="U694" i="18"/>
  <c r="O695" i="18"/>
  <c r="P695" i="18"/>
  <c r="Q695" i="18"/>
  <c r="Q693" i="18" s="1"/>
  <c r="R695" i="18"/>
  <c r="S695" i="18"/>
  <c r="S693" i="18" s="1"/>
  <c r="L696" i="18"/>
  <c r="O696" i="18" s="1"/>
  <c r="M696" i="18"/>
  <c r="P696" i="18" s="1"/>
  <c r="N696" i="18"/>
  <c r="Q696" i="18"/>
  <c r="T696" i="18" s="1"/>
  <c r="R696" i="18"/>
  <c r="U696" i="18" s="1"/>
  <c r="S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I689" i="18" s="1"/>
  <c r="J707" i="18"/>
  <c r="J689" i="18" s="1"/>
  <c r="J708" i="18"/>
  <c r="K708" i="18"/>
  <c r="I709" i="18"/>
  <c r="J709" i="18"/>
  <c r="J710" i="18"/>
  <c r="K710" i="18"/>
  <c r="J712" i="18"/>
  <c r="K712" i="18"/>
  <c r="L715" i="18"/>
  <c r="O715" i="18" s="1"/>
  <c r="M715" i="18"/>
  <c r="N715" i="18"/>
  <c r="P715" i="18"/>
  <c r="Q715" i="18"/>
  <c r="R715" i="18"/>
  <c r="U715" i="18" s="1"/>
  <c r="S715" i="18"/>
  <c r="L716" i="18"/>
  <c r="O716" i="18" s="1"/>
  <c r="M716" i="18"/>
  <c r="N716" i="18"/>
  <c r="Q716" i="18"/>
  <c r="T716" i="18" s="1"/>
  <c r="R716" i="18"/>
  <c r="U716" i="18" s="1"/>
  <c r="S716" i="18"/>
  <c r="S714" i="18" s="1"/>
  <c r="L717" i="18"/>
  <c r="O717" i="18" s="1"/>
  <c r="M717" i="18"/>
  <c r="P717" i="18" s="1"/>
  <c r="N717" i="18"/>
  <c r="Q717" i="18"/>
  <c r="R717" i="18"/>
  <c r="U717" i="18" s="1"/>
  <c r="S717" i="18"/>
  <c r="T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P720" i="18" s="1"/>
  <c r="N720" i="18"/>
  <c r="Q720" i="18"/>
  <c r="T720" i="18" s="1"/>
  <c r="R720" i="18"/>
  <c r="U720" i="18" s="1"/>
  <c r="S720" i="18"/>
  <c r="O721" i="18"/>
  <c r="P721" i="18"/>
  <c r="T721" i="18"/>
  <c r="U721" i="18"/>
  <c r="O722" i="18"/>
  <c r="P722" i="18"/>
  <c r="T722" i="18"/>
  <c r="U722" i="18"/>
  <c r="I726" i="18"/>
  <c r="J726" i="18"/>
  <c r="I727" i="18"/>
  <c r="K727" i="18" s="1"/>
  <c r="J727" i="18"/>
  <c r="L729" i="18"/>
  <c r="M729" i="18"/>
  <c r="P729" i="18" s="1"/>
  <c r="N729" i="18"/>
  <c r="Q729" i="18"/>
  <c r="T729" i="18" s="1"/>
  <c r="R729" i="18"/>
  <c r="S729" i="18"/>
  <c r="U729" i="18"/>
  <c r="L730" i="18"/>
  <c r="O730" i="18" s="1"/>
  <c r="M730" i="18"/>
  <c r="N730" i="18"/>
  <c r="P730" i="18"/>
  <c r="L731" i="18"/>
  <c r="O731" i="18" s="1"/>
  <c r="M731" i="18"/>
  <c r="P731" i="18" s="1"/>
  <c r="N731" i="18"/>
  <c r="O732" i="18"/>
  <c r="P732" i="18"/>
  <c r="T732" i="18"/>
  <c r="U732" i="18"/>
  <c r="O733" i="18"/>
  <c r="P733" i="18"/>
  <c r="Q733" i="18"/>
  <c r="Q731" i="18" s="1"/>
  <c r="R733" i="18"/>
  <c r="R731" i="18" s="1"/>
  <c r="S733" i="18"/>
  <c r="S731" i="18" s="1"/>
  <c r="L734" i="18"/>
  <c r="M734" i="18"/>
  <c r="N734" i="18"/>
  <c r="O734" i="18"/>
  <c r="P734" i="18"/>
  <c r="Q734" i="18"/>
  <c r="T734" i="18" s="1"/>
  <c r="R734" i="18"/>
  <c r="U734" i="18" s="1"/>
  <c r="S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L761" i="18"/>
  <c r="M761" i="18"/>
  <c r="M760" i="18" s="1"/>
  <c r="P760" i="18" s="1"/>
  <c r="N761" i="18"/>
  <c r="O761" i="18"/>
  <c r="Q761" i="18"/>
  <c r="R761" i="18"/>
  <c r="S761" i="18"/>
  <c r="U761" i="18"/>
  <c r="L762" i="18"/>
  <c r="O762" i="18" s="1"/>
  <c r="M762" i="18"/>
  <c r="P762" i="18" s="1"/>
  <c r="N762" i="18"/>
  <c r="L763" i="18"/>
  <c r="O763" i="18" s="1"/>
  <c r="M763" i="18"/>
  <c r="P763" i="18" s="1"/>
  <c r="N763" i="18"/>
  <c r="O764" i="18"/>
  <c r="P764" i="18"/>
  <c r="T764" i="18"/>
  <c r="U764" i="18"/>
  <c r="O765" i="18"/>
  <c r="P765" i="18"/>
  <c r="Q765" i="18"/>
  <c r="Q763" i="18" s="1"/>
  <c r="T763" i="18" s="1"/>
  <c r="R765" i="18"/>
  <c r="R763" i="18" s="1"/>
  <c r="U763" i="18" s="1"/>
  <c r="S765" i="18"/>
  <c r="S763" i="18" s="1"/>
  <c r="L766" i="18"/>
  <c r="O766" i="18" s="1"/>
  <c r="M766" i="18"/>
  <c r="P766" i="18" s="1"/>
  <c r="N766" i="18"/>
  <c r="Q766" i="18"/>
  <c r="T766" i="18" s="1"/>
  <c r="R766" i="18"/>
  <c r="U766" i="18" s="1"/>
  <c r="S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I758" i="18" s="1"/>
  <c r="K758" i="18" s="1"/>
  <c r="I774" i="18"/>
  <c r="K774" i="18" s="1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J782" i="18"/>
  <c r="I783" i="18"/>
  <c r="J783" i="18"/>
  <c r="I784" i="18"/>
  <c r="J784" i="18"/>
  <c r="I785" i="18"/>
  <c r="J785" i="18"/>
  <c r="A788" i="18"/>
  <c r="A789" i="18"/>
  <c r="L22" i="17"/>
  <c r="M22" i="17"/>
  <c r="M19" i="17" s="1"/>
  <c r="N22" i="17"/>
  <c r="Q22" i="17"/>
  <c r="T22" i="17" s="1"/>
  <c r="R22" i="17"/>
  <c r="S22" i="17"/>
  <c r="L25" i="17"/>
  <c r="M25" i="17"/>
  <c r="N25" i="17"/>
  <c r="Q25" i="17"/>
  <c r="R25" i="17"/>
  <c r="S25" i="17"/>
  <c r="S24" i="17" s="1"/>
  <c r="Q26" i="17"/>
  <c r="R26" i="17"/>
  <c r="S26" i="17"/>
  <c r="T26" i="17"/>
  <c r="U26" i="17"/>
  <c r="Q44" i="17"/>
  <c r="T44" i="17" s="1"/>
  <c r="L45" i="17"/>
  <c r="O45" i="17" s="1"/>
  <c r="M45" i="17"/>
  <c r="N45" i="17"/>
  <c r="Q45" i="17"/>
  <c r="T45" i="17" s="1"/>
  <c r="R45" i="17"/>
  <c r="U45" i="17" s="1"/>
  <c r="S45" i="17"/>
  <c r="S44" i="17" s="1"/>
  <c r="Q46" i="17"/>
  <c r="R46" i="17"/>
  <c r="U46" i="17" s="1"/>
  <c r="S46" i="17"/>
  <c r="T46" i="17"/>
  <c r="Q47" i="17"/>
  <c r="T47" i="17" s="1"/>
  <c r="R47" i="17"/>
  <c r="U47" i="17" s="1"/>
  <c r="S47" i="17"/>
  <c r="O48" i="17"/>
  <c r="P48" i="17"/>
  <c r="T48" i="17"/>
  <c r="U48" i="17"/>
  <c r="L49" i="17"/>
  <c r="L47" i="17" s="1"/>
  <c r="M49" i="17"/>
  <c r="M47" i="17" s="1"/>
  <c r="N49" i="17"/>
  <c r="N47" i="17" s="1"/>
  <c r="T49" i="17"/>
  <c r="U49" i="17"/>
  <c r="Q50" i="17"/>
  <c r="R50" i="17"/>
  <c r="S50" i="17"/>
  <c r="T50" i="17"/>
  <c r="U50" i="17"/>
  <c r="O51" i="17"/>
  <c r="P51" i="17"/>
  <c r="T51" i="17"/>
  <c r="U51" i="17"/>
  <c r="L52" i="17"/>
  <c r="M52" i="17"/>
  <c r="N52" i="17"/>
  <c r="N50" i="17" s="1"/>
  <c r="T52" i="17"/>
  <c r="U52" i="17"/>
  <c r="L60" i="17"/>
  <c r="O60" i="17" s="1"/>
  <c r="M60" i="17"/>
  <c r="N60" i="17"/>
  <c r="Q60" i="17"/>
  <c r="Q59" i="17" s="1"/>
  <c r="T59" i="17" s="1"/>
  <c r="R60" i="17"/>
  <c r="S60" i="17"/>
  <c r="T60" i="17"/>
  <c r="Q61" i="17"/>
  <c r="T61" i="17" s="1"/>
  <c r="R61" i="17"/>
  <c r="U61" i="17" s="1"/>
  <c r="S61" i="17"/>
  <c r="Q62" i="17"/>
  <c r="T62" i="17" s="1"/>
  <c r="R62" i="17"/>
  <c r="U62" i="17" s="1"/>
  <c r="S62" i="17"/>
  <c r="O63" i="17"/>
  <c r="P63" i="17"/>
  <c r="T63" i="17"/>
  <c r="U63" i="17"/>
  <c r="L64" i="17"/>
  <c r="L62" i="17" s="1"/>
  <c r="M64" i="17"/>
  <c r="M62" i="17" s="1"/>
  <c r="N64" i="17"/>
  <c r="T64" i="17"/>
  <c r="U64" i="17"/>
  <c r="Q65" i="17"/>
  <c r="R65" i="17"/>
  <c r="S65" i="17"/>
  <c r="T65" i="17"/>
  <c r="U65" i="17"/>
  <c r="O66" i="17"/>
  <c r="P66" i="17"/>
  <c r="T66" i="17"/>
  <c r="U66" i="17"/>
  <c r="L67" i="17"/>
  <c r="M67" i="17"/>
  <c r="N67" i="17"/>
  <c r="N65" i="17" s="1"/>
  <c r="T67" i="17"/>
  <c r="U67" i="17"/>
  <c r="J71" i="17"/>
  <c r="L73" i="17"/>
  <c r="O73" i="17" s="1"/>
  <c r="M73" i="17"/>
  <c r="N73" i="17"/>
  <c r="Q73" i="17"/>
  <c r="R73" i="17"/>
  <c r="U73" i="17" s="1"/>
  <c r="S73" i="17"/>
  <c r="T73" i="17"/>
  <c r="O76" i="17"/>
  <c r="P76" i="17"/>
  <c r="T76" i="17"/>
  <c r="U76" i="17"/>
  <c r="L77" i="17"/>
  <c r="L75" i="17" s="1"/>
  <c r="M77" i="17"/>
  <c r="N77" i="17"/>
  <c r="N75" i="17" s="1"/>
  <c r="Q77" i="17"/>
  <c r="R77" i="17"/>
  <c r="R74" i="17" s="1"/>
  <c r="S77" i="17"/>
  <c r="S74" i="17" s="1"/>
  <c r="Q78" i="17"/>
  <c r="T78" i="17" s="1"/>
  <c r="R78" i="17"/>
  <c r="U78" i="17" s="1"/>
  <c r="S78" i="17"/>
  <c r="O79" i="17"/>
  <c r="P79" i="17"/>
  <c r="T79" i="17"/>
  <c r="U79" i="17"/>
  <c r="L80" i="17"/>
  <c r="L78" i="17" s="1"/>
  <c r="O78" i="17" s="1"/>
  <c r="M80" i="17"/>
  <c r="M78" i="17" s="1"/>
  <c r="P78" i="17" s="1"/>
  <c r="N80" i="17"/>
  <c r="T80" i="17"/>
  <c r="U80" i="17"/>
  <c r="J82" i="17"/>
  <c r="J70" i="17" s="1"/>
  <c r="J83" i="17"/>
  <c r="I84" i="17"/>
  <c r="K84" i="17" s="1"/>
  <c r="I85" i="17"/>
  <c r="K85" i="17" s="1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O95" i="17" s="1"/>
  <c r="M95" i="17"/>
  <c r="P95" i="17" s="1"/>
  <c r="N95" i="17"/>
  <c r="Q95" i="17"/>
  <c r="T95" i="17" s="1"/>
  <c r="R95" i="17"/>
  <c r="U95" i="17" s="1"/>
  <c r="S95" i="17"/>
  <c r="O98" i="17"/>
  <c r="P98" i="17"/>
  <c r="T98" i="17"/>
  <c r="U98" i="17"/>
  <c r="L99" i="17"/>
  <c r="O99" i="17" s="1"/>
  <c r="M99" i="17"/>
  <c r="M97" i="17" s="1"/>
  <c r="P97" i="17" s="1"/>
  <c r="N99" i="17"/>
  <c r="Q99" i="17"/>
  <c r="R99" i="17"/>
  <c r="R96" i="17" s="1"/>
  <c r="R94" i="17" s="1"/>
  <c r="S99" i="17"/>
  <c r="S96" i="17" s="1"/>
  <c r="Q100" i="17"/>
  <c r="T100" i="17" s="1"/>
  <c r="R100" i="17"/>
  <c r="U100" i="17" s="1"/>
  <c r="S100" i="17"/>
  <c r="O101" i="17"/>
  <c r="P101" i="17"/>
  <c r="T101" i="17"/>
  <c r="U101" i="17"/>
  <c r="L102" i="17"/>
  <c r="L100" i="17" s="1"/>
  <c r="O100" i="17" s="1"/>
  <c r="M102" i="17"/>
  <c r="N102" i="17"/>
  <c r="N100" i="17" s="1"/>
  <c r="T102" i="17"/>
  <c r="U102" i="17"/>
  <c r="I108" i="17"/>
  <c r="I109" i="17"/>
  <c r="I93" i="17" s="1"/>
  <c r="K93" i="17" s="1"/>
  <c r="I113" i="17"/>
  <c r="K113" i="17" s="1"/>
  <c r="I114" i="17"/>
  <c r="K114" i="17" s="1"/>
  <c r="J116" i="17"/>
  <c r="L118" i="17"/>
  <c r="M118" i="17"/>
  <c r="N118" i="17"/>
  <c r="Q118" i="17"/>
  <c r="R118" i="17"/>
  <c r="S118" i="17"/>
  <c r="O121" i="17"/>
  <c r="P121" i="17"/>
  <c r="T121" i="17"/>
  <c r="U121" i="17"/>
  <c r="L122" i="17"/>
  <c r="L120" i="17" s="1"/>
  <c r="O120" i="17" s="1"/>
  <c r="M122" i="17"/>
  <c r="N122" i="17"/>
  <c r="N120" i="17" s="1"/>
  <c r="Q122" i="17"/>
  <c r="Q119" i="17" s="1"/>
  <c r="R122" i="17"/>
  <c r="R119" i="17" s="1"/>
  <c r="S122" i="17"/>
  <c r="S119" i="17" s="1"/>
  <c r="Q123" i="17"/>
  <c r="T123" i="17" s="1"/>
  <c r="R123" i="17"/>
  <c r="U123" i="17" s="1"/>
  <c r="S123" i="17"/>
  <c r="O124" i="17"/>
  <c r="P124" i="17"/>
  <c r="T124" i="17"/>
  <c r="U124" i="17"/>
  <c r="L125" i="17"/>
  <c r="L123" i="17" s="1"/>
  <c r="O123" i="17" s="1"/>
  <c r="M125" i="17"/>
  <c r="P125" i="17" s="1"/>
  <c r="N125" i="17"/>
  <c r="N123" i="17" s="1"/>
  <c r="T125" i="17"/>
  <c r="U125" i="17"/>
  <c r="I127" i="17"/>
  <c r="I116" i="17" s="1"/>
  <c r="K116" i="17" s="1"/>
  <c r="I128" i="17"/>
  <c r="K128" i="17" s="1"/>
  <c r="I129" i="17"/>
  <c r="K129" i="17" s="1"/>
  <c r="I130" i="17"/>
  <c r="K130" i="17" s="1"/>
  <c r="J136" i="17"/>
  <c r="J137" i="17"/>
  <c r="J138" i="17"/>
  <c r="L140" i="17"/>
  <c r="O140" i="17" s="1"/>
  <c r="M140" i="17"/>
  <c r="N140" i="17"/>
  <c r="P140" i="17"/>
  <c r="Q140" i="17"/>
  <c r="R140" i="17"/>
  <c r="U140" i="17" s="1"/>
  <c r="S140" i="17"/>
  <c r="O143" i="17"/>
  <c r="P143" i="17"/>
  <c r="T143" i="17"/>
  <c r="U143" i="17"/>
  <c r="L144" i="17"/>
  <c r="M144" i="17"/>
  <c r="N144" i="17"/>
  <c r="Q144" i="17"/>
  <c r="T144" i="17" s="1"/>
  <c r="R144" i="17"/>
  <c r="R142" i="17" s="1"/>
  <c r="U142" i="17" s="1"/>
  <c r="S144" i="17"/>
  <c r="Q145" i="17"/>
  <c r="T145" i="17" s="1"/>
  <c r="R145" i="17"/>
  <c r="U145" i="17" s="1"/>
  <c r="S145" i="17"/>
  <c r="O146" i="17"/>
  <c r="P146" i="17"/>
  <c r="T146" i="17"/>
  <c r="U146" i="17"/>
  <c r="L147" i="17"/>
  <c r="M147" i="17"/>
  <c r="P147" i="17" s="1"/>
  <c r="N147" i="17"/>
  <c r="N145" i="17" s="1"/>
  <c r="T147" i="17"/>
  <c r="U147" i="17"/>
  <c r="I150" i="17"/>
  <c r="K150" i="17" s="1"/>
  <c r="I151" i="17"/>
  <c r="K151" i="17" s="1"/>
  <c r="I152" i="17"/>
  <c r="I137" i="17" s="1"/>
  <c r="K137" i="17" s="1"/>
  <c r="I153" i="17"/>
  <c r="I154" i="17"/>
  <c r="K154" i="17" s="1"/>
  <c r="J156" i="17"/>
  <c r="L158" i="17"/>
  <c r="M158" i="17"/>
  <c r="N158" i="17"/>
  <c r="O158" i="17"/>
  <c r="Q158" i="17"/>
  <c r="T158" i="17" s="1"/>
  <c r="R158" i="17"/>
  <c r="U158" i="17" s="1"/>
  <c r="S158" i="17"/>
  <c r="O161" i="17"/>
  <c r="P161" i="17"/>
  <c r="T161" i="17"/>
  <c r="U161" i="17"/>
  <c r="L162" i="17"/>
  <c r="L160" i="17" s="1"/>
  <c r="M162" i="17"/>
  <c r="N162" i="17"/>
  <c r="Q162" i="17"/>
  <c r="Q159" i="17" s="1"/>
  <c r="T159" i="17" s="1"/>
  <c r="R162" i="17"/>
  <c r="R160" i="17" s="1"/>
  <c r="U160" i="17" s="1"/>
  <c r="S162" i="17"/>
  <c r="Q163" i="17"/>
  <c r="T163" i="17" s="1"/>
  <c r="R163" i="17"/>
  <c r="U163" i="17" s="1"/>
  <c r="S163" i="17"/>
  <c r="O164" i="17"/>
  <c r="P164" i="17"/>
  <c r="T164" i="17"/>
  <c r="U164" i="17"/>
  <c r="L165" i="17"/>
  <c r="L163" i="17" s="1"/>
  <c r="O163" i="17" s="1"/>
  <c r="M165" i="17"/>
  <c r="P165" i="17" s="1"/>
  <c r="N165" i="17"/>
  <c r="N163" i="17" s="1"/>
  <c r="T165" i="17"/>
  <c r="U165" i="17"/>
  <c r="I167" i="17"/>
  <c r="J172" i="17"/>
  <c r="L174" i="17"/>
  <c r="O174" i="17" s="1"/>
  <c r="M174" i="17"/>
  <c r="P174" i="17" s="1"/>
  <c r="N174" i="17"/>
  <c r="Q174" i="17"/>
  <c r="T174" i="17" s="1"/>
  <c r="R174" i="17"/>
  <c r="S174" i="17"/>
  <c r="O177" i="17"/>
  <c r="P177" i="17"/>
  <c r="T177" i="17"/>
  <c r="U177" i="17"/>
  <c r="L178" i="17"/>
  <c r="M178" i="17"/>
  <c r="M176" i="17" s="1"/>
  <c r="N178" i="17"/>
  <c r="N176" i="17" s="1"/>
  <c r="Q178" i="17"/>
  <c r="Q176" i="17" s="1"/>
  <c r="T176" i="17" s="1"/>
  <c r="R178" i="17"/>
  <c r="U178" i="17" s="1"/>
  <c r="S178" i="17"/>
  <c r="S175" i="17" s="1"/>
  <c r="Q179" i="17"/>
  <c r="T179" i="17" s="1"/>
  <c r="R179" i="17"/>
  <c r="S179" i="17"/>
  <c r="U179" i="17"/>
  <c r="O180" i="17"/>
  <c r="P180" i="17"/>
  <c r="T180" i="17"/>
  <c r="U180" i="17"/>
  <c r="L181" i="17"/>
  <c r="M181" i="17"/>
  <c r="M179" i="17" s="1"/>
  <c r="P179" i="17" s="1"/>
  <c r="N181" i="17"/>
  <c r="N179" i="17" s="1"/>
  <c r="T181" i="17"/>
  <c r="U181" i="17"/>
  <c r="I183" i="17"/>
  <c r="K183" i="17" s="1"/>
  <c r="K184" i="17"/>
  <c r="L187" i="17"/>
  <c r="M187" i="17"/>
  <c r="N187" i="17"/>
  <c r="P187" i="17"/>
  <c r="Q187" i="17"/>
  <c r="R187" i="17"/>
  <c r="S187" i="17"/>
  <c r="O190" i="17"/>
  <c r="P190" i="17"/>
  <c r="T190" i="17"/>
  <c r="U190" i="17"/>
  <c r="L191" i="17"/>
  <c r="M191" i="17"/>
  <c r="N191" i="17"/>
  <c r="N189" i="17" s="1"/>
  <c r="Q191" i="17"/>
  <c r="Q188" i="17" s="1"/>
  <c r="R191" i="17"/>
  <c r="R188" i="17" s="1"/>
  <c r="S191" i="17"/>
  <c r="S189" i="17" s="1"/>
  <c r="Q192" i="17"/>
  <c r="T192" i="17" s="1"/>
  <c r="R192" i="17"/>
  <c r="U192" i="17" s="1"/>
  <c r="S192" i="17"/>
  <c r="O193" i="17"/>
  <c r="P193" i="17"/>
  <c r="T193" i="17"/>
  <c r="U193" i="17"/>
  <c r="L194" i="17"/>
  <c r="M194" i="17"/>
  <c r="N194" i="17"/>
  <c r="N192" i="17" s="1"/>
  <c r="T194" i="17"/>
  <c r="U194" i="17"/>
  <c r="J195" i="17"/>
  <c r="L196" i="17"/>
  <c r="O196" i="17" s="1"/>
  <c r="P196" i="17"/>
  <c r="I198" i="17"/>
  <c r="K198" i="17" s="1"/>
  <c r="J199" i="17"/>
  <c r="J202" i="17"/>
  <c r="N203" i="17"/>
  <c r="P203" i="17"/>
  <c r="S203" i="17"/>
  <c r="U203" i="17"/>
  <c r="L204" i="17"/>
  <c r="L205" i="17"/>
  <c r="L206" i="17"/>
  <c r="Q206" i="17"/>
  <c r="Q203" i="17" s="1"/>
  <c r="L207" i="17"/>
  <c r="I209" i="17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K220" i="17" s="1"/>
  <c r="J221" i="17"/>
  <c r="N222" i="17"/>
  <c r="P222" i="17"/>
  <c r="L223" i="17"/>
  <c r="L224" i="17"/>
  <c r="L225" i="17"/>
  <c r="I228" i="17"/>
  <c r="K228" i="17" s="1"/>
  <c r="I229" i="17"/>
  <c r="I221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J231" i="17" s="1"/>
  <c r="J185" i="17" s="1"/>
  <c r="N243" i="17"/>
  <c r="P243" i="17"/>
  <c r="L244" i="17"/>
  <c r="L245" i="17"/>
  <c r="L246" i="17"/>
  <c r="L247" i="17"/>
  <c r="I249" i="17"/>
  <c r="I242" i="17" s="1"/>
  <c r="K251" i="17"/>
  <c r="K252" i="17"/>
  <c r="J253" i="17"/>
  <c r="N254" i="17"/>
  <c r="P254" i="17"/>
  <c r="L255" i="17"/>
  <c r="L256" i="17"/>
  <c r="L257" i="17"/>
  <c r="L258" i="17"/>
  <c r="I260" i="17"/>
  <c r="K262" i="17"/>
  <c r="K263" i="17"/>
  <c r="J265" i="17"/>
  <c r="L267" i="17"/>
  <c r="O267" i="17" s="1"/>
  <c r="M267" i="17"/>
  <c r="N267" i="17"/>
  <c r="Q267" i="17"/>
  <c r="R267" i="17"/>
  <c r="U267" i="17" s="1"/>
  <c r="S267" i="17"/>
  <c r="T267" i="17"/>
  <c r="O270" i="17"/>
  <c r="P270" i="17"/>
  <c r="T270" i="17"/>
  <c r="U270" i="17"/>
  <c r="L271" i="17"/>
  <c r="M271" i="17"/>
  <c r="N271" i="17"/>
  <c r="N269" i="17" s="1"/>
  <c r="Q271" i="17"/>
  <c r="Q268" i="17" s="1"/>
  <c r="Q266" i="17" s="1"/>
  <c r="R271" i="17"/>
  <c r="R268" i="17" s="1"/>
  <c r="S271" i="17"/>
  <c r="S268" i="17" s="1"/>
  <c r="Q272" i="17"/>
  <c r="T272" i="17" s="1"/>
  <c r="R272" i="17"/>
  <c r="U272" i="17" s="1"/>
  <c r="S272" i="17"/>
  <c r="O273" i="17"/>
  <c r="P273" i="17"/>
  <c r="T273" i="17"/>
  <c r="U273" i="17"/>
  <c r="L274" i="17"/>
  <c r="L272" i="17" s="1"/>
  <c r="O272" i="17" s="1"/>
  <c r="M274" i="17"/>
  <c r="P274" i="17" s="1"/>
  <c r="N274" i="17"/>
  <c r="T274" i="17"/>
  <c r="U274" i="17"/>
  <c r="I276" i="17"/>
  <c r="I265" i="17" s="1"/>
  <c r="K265" i="17" s="1"/>
  <c r="J281" i="17"/>
  <c r="L283" i="17"/>
  <c r="O283" i="17" s="1"/>
  <c r="M283" i="17"/>
  <c r="P283" i="17" s="1"/>
  <c r="N283" i="17"/>
  <c r="Q283" i="17"/>
  <c r="R283" i="17"/>
  <c r="R282" i="17" s="1"/>
  <c r="U282" i="17" s="1"/>
  <c r="S283" i="17"/>
  <c r="S282" i="17" s="1"/>
  <c r="T283" i="17"/>
  <c r="U283" i="17"/>
  <c r="Q284" i="17"/>
  <c r="T284" i="17" s="1"/>
  <c r="R284" i="17"/>
  <c r="S284" i="17"/>
  <c r="U284" i="17"/>
  <c r="Q285" i="17"/>
  <c r="T285" i="17" s="1"/>
  <c r="R285" i="17"/>
  <c r="U285" i="17" s="1"/>
  <c r="S285" i="17"/>
  <c r="O286" i="17"/>
  <c r="P286" i="17"/>
  <c r="T286" i="17"/>
  <c r="U286" i="17"/>
  <c r="L287" i="17"/>
  <c r="L285" i="17" s="1"/>
  <c r="O285" i="17" s="1"/>
  <c r="M287" i="17"/>
  <c r="N287" i="17"/>
  <c r="N285" i="17" s="1"/>
  <c r="T287" i="17"/>
  <c r="U287" i="17"/>
  <c r="Q288" i="17"/>
  <c r="T288" i="17" s="1"/>
  <c r="R288" i="17"/>
  <c r="U288" i="17" s="1"/>
  <c r="S288" i="17"/>
  <c r="O289" i="17"/>
  <c r="P289" i="17"/>
  <c r="T289" i="17"/>
  <c r="U289" i="17"/>
  <c r="L290" i="17"/>
  <c r="M290" i="17"/>
  <c r="N290" i="17"/>
  <c r="N288" i="17" s="1"/>
  <c r="T290" i="17"/>
  <c r="U290" i="17"/>
  <c r="I292" i="17"/>
  <c r="I281" i="17" s="1"/>
  <c r="K281" i="17" s="1"/>
  <c r="I293" i="17"/>
  <c r="K293" i="17" s="1"/>
  <c r="J293" i="17"/>
  <c r="J280" i="17" s="1"/>
  <c r="I295" i="17"/>
  <c r="K295" i="17" s="1"/>
  <c r="I296" i="17"/>
  <c r="K296" i="17" s="1"/>
  <c r="J302" i="17"/>
  <c r="L304" i="17"/>
  <c r="M304" i="17"/>
  <c r="P304" i="17" s="1"/>
  <c r="N304" i="17"/>
  <c r="O304" i="17"/>
  <c r="Q304" i="17"/>
  <c r="R304" i="17"/>
  <c r="S304" i="17"/>
  <c r="T304" i="17"/>
  <c r="U304" i="17"/>
  <c r="O307" i="17"/>
  <c r="P307" i="17"/>
  <c r="T307" i="17"/>
  <c r="U307" i="17"/>
  <c r="L308" i="17"/>
  <c r="M308" i="17"/>
  <c r="M306" i="17" s="1"/>
  <c r="N308" i="17"/>
  <c r="N306" i="17" s="1"/>
  <c r="Q308" i="17"/>
  <c r="Q305" i="17" s="1"/>
  <c r="R308" i="17"/>
  <c r="R306" i="17" s="1"/>
  <c r="S308" i="17"/>
  <c r="S305" i="17" s="1"/>
  <c r="Q309" i="17"/>
  <c r="T309" i="17" s="1"/>
  <c r="R309" i="17"/>
  <c r="U309" i="17" s="1"/>
  <c r="S309" i="17"/>
  <c r="O310" i="17"/>
  <c r="P310" i="17"/>
  <c r="T310" i="17"/>
  <c r="U310" i="17"/>
  <c r="L311" i="17"/>
  <c r="L309" i="17" s="1"/>
  <c r="O309" i="17" s="1"/>
  <c r="M311" i="17"/>
  <c r="M309" i="17" s="1"/>
  <c r="P309" i="17" s="1"/>
  <c r="N311" i="17"/>
  <c r="N309" i="17" s="1"/>
  <c r="T311" i="17"/>
  <c r="U311" i="17"/>
  <c r="I314" i="17"/>
  <c r="I302" i="17" s="1"/>
  <c r="K302" i="17" s="1"/>
  <c r="J319" i="17"/>
  <c r="L321" i="17"/>
  <c r="M321" i="17"/>
  <c r="N321" i="17"/>
  <c r="Q321" i="17"/>
  <c r="T321" i="17" s="1"/>
  <c r="R321" i="17"/>
  <c r="S321" i="17"/>
  <c r="Q322" i="17"/>
  <c r="T322" i="17" s="1"/>
  <c r="R322" i="17"/>
  <c r="U322" i="17" s="1"/>
  <c r="S322" i="17"/>
  <c r="Q323" i="17"/>
  <c r="T323" i="17" s="1"/>
  <c r="R323" i="17"/>
  <c r="U323" i="17" s="1"/>
  <c r="S323" i="17"/>
  <c r="O324" i="17"/>
  <c r="P324" i="17"/>
  <c r="T324" i="17"/>
  <c r="U324" i="17"/>
  <c r="L325" i="17"/>
  <c r="O325" i="17" s="1"/>
  <c r="M325" i="17"/>
  <c r="N325" i="17"/>
  <c r="T325" i="17"/>
  <c r="U325" i="17"/>
  <c r="Q326" i="17"/>
  <c r="T326" i="17" s="1"/>
  <c r="R326" i="17"/>
  <c r="U326" i="17" s="1"/>
  <c r="S326" i="17"/>
  <c r="O327" i="17"/>
  <c r="P327" i="17"/>
  <c r="T327" i="17"/>
  <c r="U327" i="17"/>
  <c r="L328" i="17"/>
  <c r="O328" i="17" s="1"/>
  <c r="M328" i="17"/>
  <c r="M326" i="17" s="1"/>
  <c r="P326" i="17" s="1"/>
  <c r="N328" i="17"/>
  <c r="N326" i="17" s="1"/>
  <c r="T328" i="17"/>
  <c r="U328" i="17"/>
  <c r="I330" i="17"/>
  <c r="K330" i="17" s="1"/>
  <c r="L334" i="17"/>
  <c r="M334" i="17"/>
  <c r="N334" i="17"/>
  <c r="O334" i="17"/>
  <c r="Q334" i="17"/>
  <c r="T334" i="17" s="1"/>
  <c r="R334" i="17"/>
  <c r="U334" i="17" s="1"/>
  <c r="S334" i="17"/>
  <c r="Q335" i="17"/>
  <c r="Q333" i="17" s="1"/>
  <c r="T333" i="17" s="1"/>
  <c r="R335" i="17"/>
  <c r="S335" i="17"/>
  <c r="Q336" i="17"/>
  <c r="R336" i="17"/>
  <c r="U336" i="17" s="1"/>
  <c r="S336" i="17"/>
  <c r="T336" i="17"/>
  <c r="O337" i="17"/>
  <c r="P337" i="17"/>
  <c r="T337" i="17"/>
  <c r="U337" i="17"/>
  <c r="L338" i="17"/>
  <c r="M338" i="17"/>
  <c r="M336" i="17" s="1"/>
  <c r="N338" i="17"/>
  <c r="N336" i="17" s="1"/>
  <c r="T338" i="17"/>
  <c r="U338" i="17"/>
  <c r="Q339" i="17"/>
  <c r="T339" i="17" s="1"/>
  <c r="R339" i="17"/>
  <c r="U339" i="17" s="1"/>
  <c r="S339" i="17"/>
  <c r="O340" i="17"/>
  <c r="P340" i="17"/>
  <c r="T340" i="17"/>
  <c r="U340" i="17"/>
  <c r="L341" i="17"/>
  <c r="L339" i="17" s="1"/>
  <c r="O339" i="17" s="1"/>
  <c r="M341" i="17"/>
  <c r="P341" i="17" s="1"/>
  <c r="N341" i="17"/>
  <c r="N339" i="17" s="1"/>
  <c r="T341" i="17"/>
  <c r="U341" i="17"/>
  <c r="I344" i="17"/>
  <c r="J344" i="17"/>
  <c r="I346" i="17"/>
  <c r="J346" i="17"/>
  <c r="J347" i="17"/>
  <c r="J348" i="17"/>
  <c r="J349" i="17"/>
  <c r="D350" i="17"/>
  <c r="J352" i="17"/>
  <c r="J353" i="17"/>
  <c r="J354" i="17"/>
  <c r="L357" i="17"/>
  <c r="M357" i="17"/>
  <c r="N357" i="17"/>
  <c r="Q357" i="17"/>
  <c r="R357" i="17"/>
  <c r="S357" i="17"/>
  <c r="Q358" i="17"/>
  <c r="T358" i="17" s="1"/>
  <c r="R358" i="17"/>
  <c r="U358" i="17" s="1"/>
  <c r="S358" i="17"/>
  <c r="S356" i="17" s="1"/>
  <c r="Q359" i="17"/>
  <c r="T359" i="17" s="1"/>
  <c r="R359" i="17"/>
  <c r="S359" i="17"/>
  <c r="U359" i="17"/>
  <c r="O360" i="17"/>
  <c r="P360" i="17"/>
  <c r="T360" i="17"/>
  <c r="U360" i="17"/>
  <c r="L361" i="17"/>
  <c r="L359" i="17" s="1"/>
  <c r="M361" i="17"/>
  <c r="N361" i="17"/>
  <c r="N359" i="17" s="1"/>
  <c r="T361" i="17"/>
  <c r="U361" i="17"/>
  <c r="Q362" i="17"/>
  <c r="R362" i="17"/>
  <c r="U362" i="17" s="1"/>
  <c r="S362" i="17"/>
  <c r="T362" i="17"/>
  <c r="O363" i="17"/>
  <c r="P363" i="17"/>
  <c r="T363" i="17"/>
  <c r="U363" i="17"/>
  <c r="L364" i="17"/>
  <c r="L362" i="17" s="1"/>
  <c r="O362" i="17" s="1"/>
  <c r="M364" i="17"/>
  <c r="M362" i="17" s="1"/>
  <c r="P362" i="17" s="1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J374" i="17"/>
  <c r="M375" i="17"/>
  <c r="P375" i="17" s="1"/>
  <c r="L376" i="17"/>
  <c r="O376" i="17" s="1"/>
  <c r="M376" i="17"/>
  <c r="P376" i="17" s="1"/>
  <c r="N376" i="17"/>
  <c r="Q376" i="17"/>
  <c r="R376" i="17"/>
  <c r="S376" i="17"/>
  <c r="T376" i="17"/>
  <c r="L377" i="17"/>
  <c r="O377" i="17" s="1"/>
  <c r="M377" i="17"/>
  <c r="N377" i="17"/>
  <c r="P377" i="17"/>
  <c r="L378" i="17"/>
  <c r="O378" i="17" s="1"/>
  <c r="M378" i="17"/>
  <c r="P378" i="17" s="1"/>
  <c r="N378" i="17"/>
  <c r="O379" i="17"/>
  <c r="P379" i="17"/>
  <c r="T379" i="17"/>
  <c r="U379" i="17"/>
  <c r="O380" i="17"/>
  <c r="P380" i="17"/>
  <c r="Q380" i="17"/>
  <c r="R380" i="17"/>
  <c r="S380" i="17"/>
  <c r="L381" i="17"/>
  <c r="O381" i="17" s="1"/>
  <c r="M381" i="17"/>
  <c r="N381" i="17"/>
  <c r="P381" i="17"/>
  <c r="Q381" i="17"/>
  <c r="T381" i="17" s="1"/>
  <c r="R381" i="17"/>
  <c r="U381" i="17" s="1"/>
  <c r="S381" i="17"/>
  <c r="O382" i="17"/>
  <c r="P382" i="17"/>
  <c r="T382" i="17"/>
  <c r="U382" i="17"/>
  <c r="O383" i="17"/>
  <c r="P383" i="17"/>
  <c r="T383" i="17"/>
  <c r="U383" i="17"/>
  <c r="I385" i="17"/>
  <c r="I374" i="17" s="1"/>
  <c r="K374" i="17" s="1"/>
  <c r="I386" i="17"/>
  <c r="K386" i="17" s="1"/>
  <c r="K387" i="17"/>
  <c r="K388" i="17"/>
  <c r="I391" i="17"/>
  <c r="K391" i="17" s="1"/>
  <c r="J391" i="17"/>
  <c r="L392" i="17"/>
  <c r="O392" i="17" s="1"/>
  <c r="L393" i="17"/>
  <c r="O393" i="17" s="1"/>
  <c r="M393" i="17"/>
  <c r="P393" i="17" s="1"/>
  <c r="N393" i="17"/>
  <c r="Q393" i="17"/>
  <c r="Q392" i="17" s="1"/>
  <c r="T392" i="17" s="1"/>
  <c r="R393" i="17"/>
  <c r="S393" i="17"/>
  <c r="L394" i="17"/>
  <c r="M394" i="17"/>
  <c r="N394" i="17"/>
  <c r="O394" i="17"/>
  <c r="Q394" i="17"/>
  <c r="R394" i="17"/>
  <c r="S394" i="17"/>
  <c r="S392" i="17" s="1"/>
  <c r="T394" i="17"/>
  <c r="U394" i="17"/>
  <c r="L395" i="17"/>
  <c r="O395" i="17" s="1"/>
  <c r="M395" i="17"/>
  <c r="N395" i="17"/>
  <c r="P395" i="17"/>
  <c r="Q395" i="17"/>
  <c r="T395" i="17" s="1"/>
  <c r="R395" i="17"/>
  <c r="U395" i="17" s="1"/>
  <c r="S395" i="17"/>
  <c r="O396" i="17"/>
  <c r="P396" i="17"/>
  <c r="T396" i="17"/>
  <c r="U396" i="17"/>
  <c r="O397" i="17"/>
  <c r="P397" i="17"/>
  <c r="T397" i="17"/>
  <c r="U397" i="17"/>
  <c r="L398" i="17"/>
  <c r="O398" i="17" s="1"/>
  <c r="M398" i="17"/>
  <c r="P398" i="17" s="1"/>
  <c r="N398" i="17"/>
  <c r="Q398" i="17"/>
  <c r="T398" i="17" s="1"/>
  <c r="R398" i="17"/>
  <c r="S398" i="17"/>
  <c r="U398" i="17"/>
  <c r="O399" i="17"/>
  <c r="P399" i="17"/>
  <c r="T399" i="17"/>
  <c r="U399" i="17"/>
  <c r="O400" i="17"/>
  <c r="P400" i="17"/>
  <c r="T400" i="17"/>
  <c r="U400" i="17"/>
  <c r="L414" i="17"/>
  <c r="M414" i="17"/>
  <c r="P414" i="17" s="1"/>
  <c r="N414" i="17"/>
  <c r="Q414" i="17"/>
  <c r="R414" i="17"/>
  <c r="S414" i="17"/>
  <c r="L415" i="17"/>
  <c r="M415" i="17"/>
  <c r="P415" i="17" s="1"/>
  <c r="N415" i="17"/>
  <c r="O415" i="17"/>
  <c r="L416" i="17"/>
  <c r="O416" i="17" s="1"/>
  <c r="M416" i="17"/>
  <c r="P416" i="17" s="1"/>
  <c r="N416" i="17"/>
  <c r="O417" i="17"/>
  <c r="P417" i="17"/>
  <c r="T417" i="17"/>
  <c r="U417" i="17"/>
  <c r="O418" i="17"/>
  <c r="P418" i="17"/>
  <c r="Q418" i="17"/>
  <c r="R418" i="17"/>
  <c r="R415" i="17" s="1"/>
  <c r="U415" i="17" s="1"/>
  <c r="S418" i="17"/>
  <c r="S416" i="17" s="1"/>
  <c r="L419" i="17"/>
  <c r="O419" i="17" s="1"/>
  <c r="M419" i="17"/>
  <c r="P419" i="17" s="1"/>
  <c r="N419" i="17"/>
  <c r="Q419" i="17"/>
  <c r="T419" i="17" s="1"/>
  <c r="R419" i="17"/>
  <c r="S419" i="17"/>
  <c r="U419" i="17"/>
  <c r="O420" i="17"/>
  <c r="P420" i="17"/>
  <c r="T420" i="17"/>
  <c r="U420" i="17"/>
  <c r="O421" i="17"/>
  <c r="P421" i="17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K440" i="17" s="1"/>
  <c r="I441" i="17"/>
  <c r="K441" i="17" s="1"/>
  <c r="J446" i="17"/>
  <c r="J440" i="17" s="1"/>
  <c r="J423" i="17" s="1"/>
  <c r="J412" i="17" s="1"/>
  <c r="J447" i="17"/>
  <c r="J441" i="17" s="1"/>
  <c r="I457" i="17"/>
  <c r="I458" i="17"/>
  <c r="K458" i="17" s="1"/>
  <c r="J459" i="17"/>
  <c r="J460" i="17"/>
  <c r="J458" i="17" s="1"/>
  <c r="J467" i="17"/>
  <c r="J457" i="17" s="1"/>
  <c r="J456" i="17" s="1"/>
  <c r="J468" i="17"/>
  <c r="J475" i="17"/>
  <c r="K475" i="17"/>
  <c r="J476" i="17"/>
  <c r="K476" i="17"/>
  <c r="J477" i="17"/>
  <c r="K477" i="17"/>
  <c r="J482" i="17"/>
  <c r="J483" i="17"/>
  <c r="I484" i="17"/>
  <c r="J484" i="17"/>
  <c r="K484" i="17"/>
  <c r="I485" i="17"/>
  <c r="K485" i="17" s="1"/>
  <c r="J485" i="17"/>
  <c r="L494" i="17"/>
  <c r="L493" i="17" s="1"/>
  <c r="O493" i="17" s="1"/>
  <c r="M494" i="17"/>
  <c r="M493" i="17" s="1"/>
  <c r="P493" i="17" s="1"/>
  <c r="N494" i="17"/>
  <c r="P494" i="17"/>
  <c r="Q494" i="17"/>
  <c r="R494" i="17"/>
  <c r="S494" i="17"/>
  <c r="T494" i="17"/>
  <c r="L495" i="17"/>
  <c r="O495" i="17" s="1"/>
  <c r="M495" i="17"/>
  <c r="P495" i="17" s="1"/>
  <c r="N495" i="17"/>
  <c r="L496" i="17"/>
  <c r="O496" i="17" s="1"/>
  <c r="M496" i="17"/>
  <c r="P496" i="17" s="1"/>
  <c r="N496" i="17"/>
  <c r="O497" i="17"/>
  <c r="P497" i="17"/>
  <c r="T497" i="17"/>
  <c r="U497" i="17"/>
  <c r="O498" i="17"/>
  <c r="P498" i="17"/>
  <c r="Q498" i="17"/>
  <c r="R498" i="17"/>
  <c r="R495" i="17" s="1"/>
  <c r="U495" i="17" s="1"/>
  <c r="S498" i="17"/>
  <c r="S495" i="17" s="1"/>
  <c r="L499" i="17"/>
  <c r="M499" i="17"/>
  <c r="P499" i="17" s="1"/>
  <c r="N499" i="17"/>
  <c r="O499" i="17"/>
  <c r="Q499" i="17"/>
  <c r="T499" i="17" s="1"/>
  <c r="R499" i="17"/>
  <c r="U499" i="17" s="1"/>
  <c r="S499" i="17"/>
  <c r="O500" i="17"/>
  <c r="P500" i="17"/>
  <c r="T500" i="17"/>
  <c r="U500" i="17"/>
  <c r="O501" i="17"/>
  <c r="P501" i="17"/>
  <c r="T501" i="17"/>
  <c r="U501" i="17"/>
  <c r="I503" i="17"/>
  <c r="I492" i="17" s="1"/>
  <c r="K492" i="17" s="1"/>
  <c r="I504" i="17"/>
  <c r="K504" i="17" s="1"/>
  <c r="I505" i="17"/>
  <c r="K505" i="17" s="1"/>
  <c r="I506" i="17"/>
  <c r="K506" i="17" s="1"/>
  <c r="I507" i="17"/>
  <c r="K507" i="17" s="1"/>
  <c r="K508" i="17"/>
  <c r="I509" i="17"/>
  <c r="K509" i="17" s="1"/>
  <c r="I512" i="17"/>
  <c r="K512" i="17" s="1"/>
  <c r="J512" i="17"/>
  <c r="L514" i="17"/>
  <c r="O514" i="17" s="1"/>
  <c r="M514" i="17"/>
  <c r="N514" i="17"/>
  <c r="P514" i="17"/>
  <c r="Q514" i="17"/>
  <c r="T514" i="17" s="1"/>
  <c r="R514" i="17"/>
  <c r="U514" i="17" s="1"/>
  <c r="S514" i="17"/>
  <c r="Q515" i="17"/>
  <c r="R515" i="17"/>
  <c r="S515" i="17"/>
  <c r="Q516" i="17"/>
  <c r="T516" i="17" s="1"/>
  <c r="R516" i="17"/>
  <c r="U516" i="17" s="1"/>
  <c r="S516" i="17"/>
  <c r="O517" i="17"/>
  <c r="P517" i="17"/>
  <c r="T517" i="17"/>
  <c r="U517" i="17"/>
  <c r="L518" i="17"/>
  <c r="M518" i="17"/>
  <c r="M516" i="17" s="1"/>
  <c r="P516" i="17" s="1"/>
  <c r="N518" i="17"/>
  <c r="N516" i="17" s="1"/>
  <c r="T518" i="17"/>
  <c r="U518" i="17"/>
  <c r="Q519" i="17"/>
  <c r="T519" i="17" s="1"/>
  <c r="R519" i="17"/>
  <c r="U519" i="17" s="1"/>
  <c r="S519" i="17"/>
  <c r="O520" i="17"/>
  <c r="P520" i="17"/>
  <c r="T520" i="17"/>
  <c r="U520" i="17"/>
  <c r="L521" i="17"/>
  <c r="L519" i="17" s="1"/>
  <c r="O519" i="17" s="1"/>
  <c r="M521" i="17"/>
  <c r="N521" i="17"/>
  <c r="N519" i="17" s="1"/>
  <c r="T521" i="17"/>
  <c r="U521" i="17"/>
  <c r="K523" i="17"/>
  <c r="K524" i="17"/>
  <c r="I533" i="17"/>
  <c r="K533" i="17" s="1"/>
  <c r="J533" i="17"/>
  <c r="L535" i="17"/>
  <c r="M535" i="17"/>
  <c r="P535" i="17" s="1"/>
  <c r="N535" i="17"/>
  <c r="N534" i="17" s="1"/>
  <c r="O535" i="17"/>
  <c r="Q535" i="17"/>
  <c r="T535" i="17" s="1"/>
  <c r="R535" i="17"/>
  <c r="R534" i="17" s="1"/>
  <c r="U534" i="17" s="1"/>
  <c r="S535" i="17"/>
  <c r="U535" i="17"/>
  <c r="L536" i="17"/>
  <c r="L534" i="17" s="1"/>
  <c r="O534" i="17" s="1"/>
  <c r="M536" i="17"/>
  <c r="M534" i="17" s="1"/>
  <c r="P534" i="17" s="1"/>
  <c r="N536" i="17"/>
  <c r="Q536" i="17"/>
  <c r="T536" i="17" s="1"/>
  <c r="R536" i="17"/>
  <c r="S536" i="17"/>
  <c r="S534" i="17" s="1"/>
  <c r="U536" i="17"/>
  <c r="L537" i="17"/>
  <c r="O537" i="17" s="1"/>
  <c r="M537" i="17"/>
  <c r="P537" i="17" s="1"/>
  <c r="N537" i="17"/>
  <c r="Q537" i="17"/>
  <c r="T537" i="17" s="1"/>
  <c r="R537" i="17"/>
  <c r="U537" i="17" s="1"/>
  <c r="S537" i="17"/>
  <c r="O538" i="17"/>
  <c r="P538" i="17"/>
  <c r="T538" i="17"/>
  <c r="U538" i="17"/>
  <c r="O539" i="17"/>
  <c r="P539" i="17"/>
  <c r="T539" i="17"/>
  <c r="U539" i="17"/>
  <c r="L540" i="17"/>
  <c r="O540" i="17" s="1"/>
  <c r="M540" i="17"/>
  <c r="P540" i="17" s="1"/>
  <c r="N540" i="17"/>
  <c r="Q540" i="17"/>
  <c r="R540" i="17"/>
  <c r="U540" i="17" s="1"/>
  <c r="S540" i="17"/>
  <c r="T540" i="17"/>
  <c r="O541" i="17"/>
  <c r="P541" i="17"/>
  <c r="T541" i="17"/>
  <c r="U541" i="17"/>
  <c r="O542" i="17"/>
  <c r="P542" i="17"/>
  <c r="T542" i="17"/>
  <c r="U542" i="17"/>
  <c r="I554" i="17"/>
  <c r="K554" i="17" s="1"/>
  <c r="J554" i="17"/>
  <c r="L556" i="17"/>
  <c r="O556" i="17" s="1"/>
  <c r="M556" i="17"/>
  <c r="N556" i="17"/>
  <c r="Q556" i="17"/>
  <c r="R556" i="17"/>
  <c r="U556" i="17" s="1"/>
  <c r="S556" i="17"/>
  <c r="L557" i="17"/>
  <c r="O557" i="17" s="1"/>
  <c r="M557" i="17"/>
  <c r="P557" i="17" s="1"/>
  <c r="N557" i="17"/>
  <c r="Q557" i="17"/>
  <c r="T557" i="17" s="1"/>
  <c r="R557" i="17"/>
  <c r="U557" i="17" s="1"/>
  <c r="S557" i="17"/>
  <c r="L558" i="17"/>
  <c r="M558" i="17"/>
  <c r="P558" i="17" s="1"/>
  <c r="N558" i="17"/>
  <c r="O558" i="17"/>
  <c r="Q558" i="17"/>
  <c r="T558" i="17" s="1"/>
  <c r="R558" i="17"/>
  <c r="U558" i="17" s="1"/>
  <c r="S558" i="17"/>
  <c r="O559" i="17"/>
  <c r="P559" i="17"/>
  <c r="T559" i="17"/>
  <c r="U559" i="17"/>
  <c r="O560" i="17"/>
  <c r="P560" i="17"/>
  <c r="T560" i="17"/>
  <c r="U560" i="17"/>
  <c r="L561" i="17"/>
  <c r="O561" i="17" s="1"/>
  <c r="M561" i="17"/>
  <c r="N561" i="17"/>
  <c r="P561" i="17"/>
  <c r="Q561" i="17"/>
  <c r="T561" i="17" s="1"/>
  <c r="R561" i="17"/>
  <c r="U561" i="17" s="1"/>
  <c r="S561" i="17"/>
  <c r="O562" i="17"/>
  <c r="P562" i="17"/>
  <c r="T562" i="17"/>
  <c r="U562" i="17"/>
  <c r="O563" i="17"/>
  <c r="P563" i="17"/>
  <c r="T563" i="17"/>
  <c r="U563" i="17"/>
  <c r="I575" i="17"/>
  <c r="K575" i="17" s="1"/>
  <c r="J575" i="17"/>
  <c r="L577" i="17"/>
  <c r="M577" i="17"/>
  <c r="P577" i="17" s="1"/>
  <c r="N577" i="17"/>
  <c r="N576" i="17" s="1"/>
  <c r="O577" i="17"/>
  <c r="Q577" i="17"/>
  <c r="Q576" i="17" s="1"/>
  <c r="T576" i="17" s="1"/>
  <c r="R577" i="17"/>
  <c r="R576" i="17" s="1"/>
  <c r="U576" i="17" s="1"/>
  <c r="S577" i="17"/>
  <c r="L578" i="17"/>
  <c r="M578" i="17"/>
  <c r="M576" i="17" s="1"/>
  <c r="P576" i="17" s="1"/>
  <c r="N578" i="17"/>
  <c r="Q578" i="17"/>
  <c r="T578" i="17" s="1"/>
  <c r="R578" i="17"/>
  <c r="S578" i="17"/>
  <c r="S576" i="17" s="1"/>
  <c r="U578" i="17"/>
  <c r="L579" i="17"/>
  <c r="O579" i="17" s="1"/>
  <c r="M579" i="17"/>
  <c r="P579" i="17" s="1"/>
  <c r="N579" i="17"/>
  <c r="Q579" i="17"/>
  <c r="T579" i="17" s="1"/>
  <c r="R579" i="17"/>
  <c r="U579" i="17" s="1"/>
  <c r="S579" i="17"/>
  <c r="O580" i="17"/>
  <c r="P580" i="17"/>
  <c r="T580" i="17"/>
  <c r="U580" i="17"/>
  <c r="O581" i="17"/>
  <c r="P581" i="17"/>
  <c r="T581" i="17"/>
  <c r="U581" i="17"/>
  <c r="L582" i="17"/>
  <c r="O582" i="17" s="1"/>
  <c r="M582" i="17"/>
  <c r="P582" i="17" s="1"/>
  <c r="N582" i="17"/>
  <c r="Q582" i="17"/>
  <c r="T582" i="17" s="1"/>
  <c r="R582" i="17"/>
  <c r="U582" i="17" s="1"/>
  <c r="S582" i="17"/>
  <c r="O583" i="17"/>
  <c r="P583" i="17"/>
  <c r="T583" i="17"/>
  <c r="U583" i="17"/>
  <c r="O584" i="17"/>
  <c r="P584" i="17"/>
  <c r="T584" i="17"/>
  <c r="U584" i="17"/>
  <c r="L600" i="17"/>
  <c r="M600" i="17"/>
  <c r="N600" i="17"/>
  <c r="N599" i="17" s="1"/>
  <c r="O600" i="17"/>
  <c r="Q600" i="17"/>
  <c r="R600" i="17"/>
  <c r="R599" i="17" s="1"/>
  <c r="U599" i="17" s="1"/>
  <c r="S600" i="17"/>
  <c r="T600" i="17"/>
  <c r="U600" i="17"/>
  <c r="L601" i="17"/>
  <c r="L599" i="17" s="1"/>
  <c r="O599" i="17" s="1"/>
  <c r="M601" i="17"/>
  <c r="N601" i="17"/>
  <c r="P601" i="17"/>
  <c r="Q601" i="17"/>
  <c r="T601" i="17" s="1"/>
  <c r="R601" i="17"/>
  <c r="U601" i="17" s="1"/>
  <c r="S601" i="17"/>
  <c r="S599" i="17" s="1"/>
  <c r="L602" i="17"/>
  <c r="O602" i="17" s="1"/>
  <c r="M602" i="17"/>
  <c r="P602" i="17" s="1"/>
  <c r="N602" i="17"/>
  <c r="Q602" i="17"/>
  <c r="T602" i="17" s="1"/>
  <c r="R602" i="17"/>
  <c r="U602" i="17" s="1"/>
  <c r="S602" i="17"/>
  <c r="O603" i="17"/>
  <c r="P603" i="17"/>
  <c r="T603" i="17"/>
  <c r="U603" i="17"/>
  <c r="O604" i="17"/>
  <c r="P604" i="17"/>
  <c r="T604" i="17"/>
  <c r="U604" i="17"/>
  <c r="L605" i="17"/>
  <c r="O605" i="17" s="1"/>
  <c r="M605" i="17"/>
  <c r="P605" i="17" s="1"/>
  <c r="N605" i="17"/>
  <c r="Q605" i="17"/>
  <c r="T605" i="17" s="1"/>
  <c r="R605" i="17"/>
  <c r="U605" i="17" s="1"/>
  <c r="S605" i="17"/>
  <c r="O606" i="17"/>
  <c r="P606" i="17"/>
  <c r="T606" i="17"/>
  <c r="U606" i="17"/>
  <c r="O607" i="17"/>
  <c r="P607" i="17"/>
  <c r="T607" i="17"/>
  <c r="U607" i="17"/>
  <c r="L617" i="17"/>
  <c r="O617" i="17" s="1"/>
  <c r="M617" i="17"/>
  <c r="N617" i="17"/>
  <c r="Q617" i="17"/>
  <c r="R617" i="17"/>
  <c r="U617" i="17" s="1"/>
  <c r="S617" i="17"/>
  <c r="L618" i="17"/>
  <c r="O618" i="17" s="1"/>
  <c r="M618" i="17"/>
  <c r="P618" i="17" s="1"/>
  <c r="N618" i="17"/>
  <c r="L619" i="17"/>
  <c r="O619" i="17" s="1"/>
  <c r="M619" i="17"/>
  <c r="N619" i="17"/>
  <c r="P619" i="17"/>
  <c r="O620" i="17"/>
  <c r="P620" i="17"/>
  <c r="T620" i="17"/>
  <c r="U620" i="17"/>
  <c r="O621" i="17"/>
  <c r="P621" i="17"/>
  <c r="Q621" i="17"/>
  <c r="R621" i="17"/>
  <c r="R619" i="17" s="1"/>
  <c r="S621" i="17"/>
  <c r="S618" i="17" s="1"/>
  <c r="L622" i="17"/>
  <c r="O622" i="17" s="1"/>
  <c r="M622" i="17"/>
  <c r="P622" i="17" s="1"/>
  <c r="N622" i="17"/>
  <c r="Q622" i="17"/>
  <c r="R622" i="17"/>
  <c r="S622" i="17"/>
  <c r="T622" i="17"/>
  <c r="U622" i="17"/>
  <c r="O623" i="17"/>
  <c r="P623" i="17"/>
  <c r="T623" i="17"/>
  <c r="U623" i="17"/>
  <c r="O624" i="17"/>
  <c r="P624" i="17"/>
  <c r="T624" i="17"/>
  <c r="U624" i="17"/>
  <c r="I626" i="17"/>
  <c r="I615" i="17" s="1"/>
  <c r="J626" i="17"/>
  <c r="I627" i="17"/>
  <c r="K627" i="17" s="1"/>
  <c r="I628" i="17"/>
  <c r="K628" i="17" s="1"/>
  <c r="J632" i="17"/>
  <c r="I635" i="17"/>
  <c r="K635" i="17" s="1"/>
  <c r="J635" i="17"/>
  <c r="J636" i="17"/>
  <c r="L643" i="17"/>
  <c r="M643" i="17"/>
  <c r="N643" i="17"/>
  <c r="Q643" i="17"/>
  <c r="R643" i="17"/>
  <c r="S643" i="17"/>
  <c r="L644" i="17"/>
  <c r="O644" i="17" s="1"/>
  <c r="M644" i="17"/>
  <c r="P644" i="17" s="1"/>
  <c r="N644" i="17"/>
  <c r="L645" i="17"/>
  <c r="M645" i="17"/>
  <c r="P645" i="17" s="1"/>
  <c r="N645" i="17"/>
  <c r="O645" i="17"/>
  <c r="O646" i="17"/>
  <c r="P646" i="17"/>
  <c r="T646" i="17"/>
  <c r="U646" i="17"/>
  <c r="O647" i="17"/>
  <c r="P647" i="17"/>
  <c r="Q647" i="17"/>
  <c r="Q645" i="17" s="1"/>
  <c r="R647" i="17"/>
  <c r="S647" i="17"/>
  <c r="S645" i="17" s="1"/>
  <c r="L648" i="17"/>
  <c r="O648" i="17" s="1"/>
  <c r="M648" i="17"/>
  <c r="P648" i="17" s="1"/>
  <c r="N648" i="17"/>
  <c r="Q648" i="17"/>
  <c r="R648" i="17"/>
  <c r="U648" i="17" s="1"/>
  <c r="S648" i="17"/>
  <c r="T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K654" i="17" s="1"/>
  <c r="J654" i="17"/>
  <c r="I657" i="17"/>
  <c r="I660" i="17"/>
  <c r="I661" i="17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J682" i="17"/>
  <c r="L691" i="17"/>
  <c r="M691" i="17"/>
  <c r="N691" i="17"/>
  <c r="Q691" i="17"/>
  <c r="R691" i="17"/>
  <c r="S691" i="17"/>
  <c r="L692" i="17"/>
  <c r="M692" i="17"/>
  <c r="P692" i="17" s="1"/>
  <c r="N692" i="17"/>
  <c r="O692" i="17"/>
  <c r="L693" i="17"/>
  <c r="M693" i="17"/>
  <c r="N693" i="17"/>
  <c r="O693" i="17"/>
  <c r="P693" i="17"/>
  <c r="O694" i="17"/>
  <c r="P694" i="17"/>
  <c r="T694" i="17"/>
  <c r="U694" i="17"/>
  <c r="O695" i="17"/>
  <c r="P695" i="17"/>
  <c r="Q695" i="17"/>
  <c r="Q693" i="17" s="1"/>
  <c r="R695" i="17"/>
  <c r="S695" i="17"/>
  <c r="S693" i="17" s="1"/>
  <c r="L696" i="17"/>
  <c r="O696" i="17" s="1"/>
  <c r="M696" i="17"/>
  <c r="P696" i="17" s="1"/>
  <c r="N696" i="17"/>
  <c r="Q696" i="17"/>
  <c r="R696" i="17"/>
  <c r="U696" i="17" s="1"/>
  <c r="S696" i="17"/>
  <c r="T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K705" i="17" s="1"/>
  <c r="J705" i="17"/>
  <c r="J706" i="17"/>
  <c r="K706" i="17"/>
  <c r="I707" i="17"/>
  <c r="I689" i="17" s="1"/>
  <c r="J707" i="17"/>
  <c r="J708" i="17"/>
  <c r="K708" i="17"/>
  <c r="I709" i="17"/>
  <c r="K709" i="17" s="1"/>
  <c r="J709" i="17"/>
  <c r="J710" i="17"/>
  <c r="K710" i="17"/>
  <c r="J712" i="17"/>
  <c r="K712" i="17"/>
  <c r="L715" i="17"/>
  <c r="M715" i="17"/>
  <c r="N715" i="17"/>
  <c r="N714" i="17" s="1"/>
  <c r="O715" i="17"/>
  <c r="Q715" i="17"/>
  <c r="R715" i="17"/>
  <c r="S715" i="17"/>
  <c r="S714" i="17" s="1"/>
  <c r="U715" i="17"/>
  <c r="L716" i="17"/>
  <c r="O716" i="17" s="1"/>
  <c r="M716" i="17"/>
  <c r="P716" i="17" s="1"/>
  <c r="N716" i="17"/>
  <c r="Q716" i="17"/>
  <c r="T716" i="17" s="1"/>
  <c r="R716" i="17"/>
  <c r="U716" i="17" s="1"/>
  <c r="S716" i="17"/>
  <c r="L717" i="17"/>
  <c r="O717" i="17" s="1"/>
  <c r="M717" i="17"/>
  <c r="P717" i="17" s="1"/>
  <c r="N717" i="17"/>
  <c r="Q717" i="17"/>
  <c r="T717" i="17" s="1"/>
  <c r="R717" i="17"/>
  <c r="U717" i="17" s="1"/>
  <c r="S717" i="17"/>
  <c r="O718" i="17"/>
  <c r="P718" i="17"/>
  <c r="T718" i="17"/>
  <c r="U718" i="17"/>
  <c r="O719" i="17"/>
  <c r="P719" i="17"/>
  <c r="T719" i="17"/>
  <c r="U719" i="17"/>
  <c r="L720" i="17"/>
  <c r="O720" i="17" s="1"/>
  <c r="M720" i="17"/>
  <c r="P720" i="17" s="1"/>
  <c r="N720" i="17"/>
  <c r="Q720" i="17"/>
  <c r="R720" i="17"/>
  <c r="U720" i="17" s="1"/>
  <c r="S720" i="17"/>
  <c r="T720" i="17"/>
  <c r="O721" i="17"/>
  <c r="P721" i="17"/>
  <c r="T721" i="17"/>
  <c r="U721" i="17"/>
  <c r="O722" i="17"/>
  <c r="P722" i="17"/>
  <c r="T722" i="17"/>
  <c r="U722" i="17"/>
  <c r="I726" i="17"/>
  <c r="J726" i="17"/>
  <c r="I727" i="17"/>
  <c r="K727" i="17" s="1"/>
  <c r="J727" i="17"/>
  <c r="L729" i="17"/>
  <c r="L728" i="17" s="1"/>
  <c r="O728" i="17" s="1"/>
  <c r="M729" i="17"/>
  <c r="M728" i="17" s="1"/>
  <c r="P728" i="17" s="1"/>
  <c r="N729" i="17"/>
  <c r="Q729" i="17"/>
  <c r="R729" i="17"/>
  <c r="U729" i="17" s="1"/>
  <c r="S729" i="17"/>
  <c r="L730" i="17"/>
  <c r="O730" i="17" s="1"/>
  <c r="M730" i="17"/>
  <c r="P730" i="17" s="1"/>
  <c r="N730" i="17"/>
  <c r="L731" i="17"/>
  <c r="M731" i="17"/>
  <c r="P731" i="17" s="1"/>
  <c r="N731" i="17"/>
  <c r="O731" i="17"/>
  <c r="O732" i="17"/>
  <c r="P732" i="17"/>
  <c r="T732" i="17"/>
  <c r="U732" i="17"/>
  <c r="O733" i="17"/>
  <c r="P733" i="17"/>
  <c r="Q733" i="17"/>
  <c r="Q731" i="17" s="1"/>
  <c r="R733" i="17"/>
  <c r="R731" i="17" s="1"/>
  <c r="S733" i="17"/>
  <c r="S730" i="17" s="1"/>
  <c r="S728" i="17" s="1"/>
  <c r="L734" i="17"/>
  <c r="O734" i="17" s="1"/>
  <c r="M734" i="17"/>
  <c r="P734" i="17" s="1"/>
  <c r="N734" i="17"/>
  <c r="Q734" i="17"/>
  <c r="T734" i="17" s="1"/>
  <c r="R734" i="17"/>
  <c r="U734" i="17" s="1"/>
  <c r="S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1" i="17"/>
  <c r="M761" i="17"/>
  <c r="M760" i="17" s="1"/>
  <c r="P760" i="17" s="1"/>
  <c r="N761" i="17"/>
  <c r="N760" i="17" s="1"/>
  <c r="Q761" i="17"/>
  <c r="R761" i="17"/>
  <c r="S761" i="17"/>
  <c r="L762" i="17"/>
  <c r="O762" i="17" s="1"/>
  <c r="M762" i="17"/>
  <c r="P762" i="17" s="1"/>
  <c r="N762" i="17"/>
  <c r="L763" i="17"/>
  <c r="O763" i="17" s="1"/>
  <c r="M763" i="17"/>
  <c r="N763" i="17"/>
  <c r="P763" i="17"/>
  <c r="O764" i="17"/>
  <c r="P764" i="17"/>
  <c r="T764" i="17"/>
  <c r="U764" i="17"/>
  <c r="O765" i="17"/>
  <c r="P765" i="17"/>
  <c r="Q765" i="17"/>
  <c r="Q762" i="17" s="1"/>
  <c r="R765" i="17"/>
  <c r="R763" i="17" s="1"/>
  <c r="S765" i="17"/>
  <c r="S763" i="17" s="1"/>
  <c r="L766" i="17"/>
  <c r="O766" i="17" s="1"/>
  <c r="M766" i="17"/>
  <c r="P766" i="17" s="1"/>
  <c r="N766" i="17"/>
  <c r="Q766" i="17"/>
  <c r="T766" i="17" s="1"/>
  <c r="R766" i="17"/>
  <c r="U766" i="17" s="1"/>
  <c r="S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K758" i="17" s="1"/>
  <c r="I774" i="17"/>
  <c r="I759" i="17" s="1"/>
  <c r="K759" i="17" s="1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L22" i="16"/>
  <c r="M22" i="16"/>
  <c r="M19" i="16" s="1"/>
  <c r="N22" i="16"/>
  <c r="Q22" i="16"/>
  <c r="R22" i="16"/>
  <c r="S22" i="16"/>
  <c r="T22" i="16"/>
  <c r="Q24" i="16"/>
  <c r="T24" i="16" s="1"/>
  <c r="L25" i="16"/>
  <c r="M25" i="16"/>
  <c r="N25" i="16"/>
  <c r="Q25" i="16"/>
  <c r="R25" i="16"/>
  <c r="S25" i="16"/>
  <c r="S24" i="16" s="1"/>
  <c r="T25" i="16"/>
  <c r="Q26" i="16"/>
  <c r="T26" i="16" s="1"/>
  <c r="R26" i="16"/>
  <c r="U26" i="16" s="1"/>
  <c r="S26" i="16"/>
  <c r="L45" i="16"/>
  <c r="O45" i="16" s="1"/>
  <c r="M45" i="16"/>
  <c r="N45" i="16"/>
  <c r="Q45" i="16"/>
  <c r="T45" i="16" s="1"/>
  <c r="R45" i="16"/>
  <c r="U45" i="16" s="1"/>
  <c r="S45" i="16"/>
  <c r="S44" i="16" s="1"/>
  <c r="Q46" i="16"/>
  <c r="T46" i="16" s="1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L47" i="16" s="1"/>
  <c r="M49" i="16"/>
  <c r="M47" i="16" s="1"/>
  <c r="N49" i="16"/>
  <c r="N47" i="16" s="1"/>
  <c r="T49" i="16"/>
  <c r="U49" i="16"/>
  <c r="Q50" i="16"/>
  <c r="T50" i="16" s="1"/>
  <c r="R50" i="16"/>
  <c r="U50" i="16" s="1"/>
  <c r="S50" i="16"/>
  <c r="O51" i="16"/>
  <c r="P51" i="16"/>
  <c r="T51" i="16"/>
  <c r="U51" i="16"/>
  <c r="L52" i="16"/>
  <c r="M52" i="16"/>
  <c r="N52" i="16"/>
  <c r="N50" i="16" s="1"/>
  <c r="T52" i="16"/>
  <c r="U52" i="16"/>
  <c r="L60" i="16"/>
  <c r="M60" i="16"/>
  <c r="N60" i="16"/>
  <c r="O60" i="16"/>
  <c r="Q60" i="16"/>
  <c r="Q59" i="16" s="1"/>
  <c r="T59" i="16" s="1"/>
  <c r="R60" i="16"/>
  <c r="R59" i="16" s="1"/>
  <c r="U59" i="16" s="1"/>
  <c r="S60" i="16"/>
  <c r="S59" i="16" s="1"/>
  <c r="T60" i="16"/>
  <c r="U60" i="16"/>
  <c r="Q61" i="16"/>
  <c r="T61" i="16" s="1"/>
  <c r="R61" i="16"/>
  <c r="S61" i="16"/>
  <c r="U61" i="16"/>
  <c r="Q62" i="16"/>
  <c r="T62" i="16" s="1"/>
  <c r="R62" i="16"/>
  <c r="U62" i="16" s="1"/>
  <c r="S62" i="16"/>
  <c r="O63" i="16"/>
  <c r="P63" i="16"/>
  <c r="T63" i="16"/>
  <c r="U63" i="16"/>
  <c r="L64" i="16"/>
  <c r="M64" i="16"/>
  <c r="M62" i="16" s="1"/>
  <c r="N64" i="16"/>
  <c r="N62" i="16" s="1"/>
  <c r="T64" i="16"/>
  <c r="U64" i="16"/>
  <c r="Q65" i="16"/>
  <c r="R65" i="16"/>
  <c r="S65" i="16"/>
  <c r="T65" i="16"/>
  <c r="U65" i="16"/>
  <c r="O66" i="16"/>
  <c r="P66" i="16"/>
  <c r="T66" i="16"/>
  <c r="U66" i="16"/>
  <c r="L67" i="16"/>
  <c r="M67" i="16"/>
  <c r="N67" i="16"/>
  <c r="N65" i="16" s="1"/>
  <c r="T67" i="16"/>
  <c r="U67" i="16"/>
  <c r="J70" i="16"/>
  <c r="L73" i="16"/>
  <c r="M73" i="16"/>
  <c r="N73" i="16"/>
  <c r="O73" i="16"/>
  <c r="Q73" i="16"/>
  <c r="T73" i="16" s="1"/>
  <c r="R73" i="16"/>
  <c r="S73" i="16"/>
  <c r="U73" i="16"/>
  <c r="O76" i="16"/>
  <c r="P76" i="16"/>
  <c r="T76" i="16"/>
  <c r="U76" i="16"/>
  <c r="L77" i="16"/>
  <c r="L75" i="16" s="1"/>
  <c r="O75" i="16" s="1"/>
  <c r="M77" i="16"/>
  <c r="M75" i="16" s="1"/>
  <c r="P75" i="16" s="1"/>
  <c r="N77" i="16"/>
  <c r="N75" i="16" s="1"/>
  <c r="Q77" i="16"/>
  <c r="Q74" i="16" s="1"/>
  <c r="T74" i="16" s="1"/>
  <c r="R77" i="16"/>
  <c r="R74" i="16" s="1"/>
  <c r="U74" i="16" s="1"/>
  <c r="S77" i="16"/>
  <c r="S75" i="16" s="1"/>
  <c r="Q78" i="16"/>
  <c r="T78" i="16" s="1"/>
  <c r="R78" i="16"/>
  <c r="U78" i="16" s="1"/>
  <c r="S78" i="16"/>
  <c r="O79" i="16"/>
  <c r="P79" i="16"/>
  <c r="T79" i="16"/>
  <c r="U79" i="16"/>
  <c r="L80" i="16"/>
  <c r="L78" i="16" s="1"/>
  <c r="O78" i="16" s="1"/>
  <c r="M80" i="16"/>
  <c r="M78" i="16" s="1"/>
  <c r="P78" i="16" s="1"/>
  <c r="N80" i="16"/>
  <c r="N78" i="16" s="1"/>
  <c r="T80" i="16"/>
  <c r="U80" i="16"/>
  <c r="J82" i="16"/>
  <c r="J83" i="16"/>
  <c r="J71" i="16" s="1"/>
  <c r="I84" i="16"/>
  <c r="I85" i="16"/>
  <c r="K85" i="16" s="1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P95" i="16" s="1"/>
  <c r="N95" i="16"/>
  <c r="O95" i="16"/>
  <c r="Q95" i="16"/>
  <c r="T95" i="16" s="1"/>
  <c r="R95" i="16"/>
  <c r="S95" i="16"/>
  <c r="U95" i="16"/>
  <c r="O98" i="16"/>
  <c r="P98" i="16"/>
  <c r="T98" i="16"/>
  <c r="U98" i="16"/>
  <c r="L99" i="16"/>
  <c r="M99" i="16"/>
  <c r="N99" i="16"/>
  <c r="N97" i="16" s="1"/>
  <c r="Q99" i="16"/>
  <c r="R99" i="16"/>
  <c r="R96" i="16" s="1"/>
  <c r="S99" i="16"/>
  <c r="S96" i="16" s="1"/>
  <c r="S94" i="16" s="1"/>
  <c r="Q100" i="16"/>
  <c r="R100" i="16"/>
  <c r="U100" i="16" s="1"/>
  <c r="S100" i="16"/>
  <c r="T100" i="16"/>
  <c r="O101" i="16"/>
  <c r="P101" i="16"/>
  <c r="T101" i="16"/>
  <c r="U101" i="16"/>
  <c r="L102" i="16"/>
  <c r="O102" i="16" s="1"/>
  <c r="M102" i="16"/>
  <c r="M100" i="16" s="1"/>
  <c r="P100" i="16" s="1"/>
  <c r="N102" i="16"/>
  <c r="N100" i="16" s="1"/>
  <c r="T102" i="16"/>
  <c r="U102" i="16"/>
  <c r="I108" i="16"/>
  <c r="I92" i="16" s="1"/>
  <c r="I109" i="16"/>
  <c r="I93" i="16" s="1"/>
  <c r="I113" i="16"/>
  <c r="K113" i="16" s="1"/>
  <c r="I114" i="16"/>
  <c r="K114" i="16" s="1"/>
  <c r="J116" i="16"/>
  <c r="L118" i="16"/>
  <c r="M118" i="16"/>
  <c r="N118" i="16"/>
  <c r="Q118" i="16"/>
  <c r="T118" i="16" s="1"/>
  <c r="R118" i="16"/>
  <c r="S118" i="16"/>
  <c r="O121" i="16"/>
  <c r="P121" i="16"/>
  <c r="T121" i="16"/>
  <c r="U121" i="16"/>
  <c r="L122" i="16"/>
  <c r="L120" i="16" s="1"/>
  <c r="O120" i="16" s="1"/>
  <c r="M122" i="16"/>
  <c r="M120" i="16" s="1"/>
  <c r="P120" i="16" s="1"/>
  <c r="N122" i="16"/>
  <c r="Q122" i="16"/>
  <c r="Q119" i="16" s="1"/>
  <c r="R122" i="16"/>
  <c r="R120" i="16" s="1"/>
  <c r="S122" i="16"/>
  <c r="S120" i="16" s="1"/>
  <c r="Q123" i="16"/>
  <c r="T123" i="16" s="1"/>
  <c r="R123" i="16"/>
  <c r="U123" i="16" s="1"/>
  <c r="S123" i="16"/>
  <c r="O124" i="16"/>
  <c r="P124" i="16"/>
  <c r="T124" i="16"/>
  <c r="U124" i="16"/>
  <c r="L125" i="16"/>
  <c r="L123" i="16" s="1"/>
  <c r="O123" i="16" s="1"/>
  <c r="M125" i="16"/>
  <c r="N125" i="16"/>
  <c r="N123" i="16" s="1"/>
  <c r="T125" i="16"/>
  <c r="U125" i="16"/>
  <c r="I127" i="16"/>
  <c r="I116" i="16" s="1"/>
  <c r="I128" i="16"/>
  <c r="K128" i="16" s="1"/>
  <c r="I129" i="16"/>
  <c r="K129" i="16" s="1"/>
  <c r="I130" i="16"/>
  <c r="K130" i="16" s="1"/>
  <c r="J136" i="16"/>
  <c r="J137" i="16"/>
  <c r="J138" i="16"/>
  <c r="L140" i="16"/>
  <c r="O140" i="16" s="1"/>
  <c r="M140" i="16"/>
  <c r="N140" i="16"/>
  <c r="P140" i="16"/>
  <c r="Q140" i="16"/>
  <c r="R140" i="16"/>
  <c r="U140" i="16" s="1"/>
  <c r="S140" i="16"/>
  <c r="T140" i="16"/>
  <c r="O143" i="16"/>
  <c r="P143" i="16"/>
  <c r="T143" i="16"/>
  <c r="U143" i="16"/>
  <c r="L144" i="16"/>
  <c r="M144" i="16"/>
  <c r="N144" i="16"/>
  <c r="N142" i="16" s="1"/>
  <c r="Q144" i="16"/>
  <c r="Q142" i="16" s="1"/>
  <c r="T142" i="16" s="1"/>
  <c r="R144" i="16"/>
  <c r="U144" i="16" s="1"/>
  <c r="S144" i="16"/>
  <c r="S142" i="16" s="1"/>
  <c r="Q145" i="16"/>
  <c r="T145" i="16" s="1"/>
  <c r="R145" i="16"/>
  <c r="S145" i="16"/>
  <c r="U145" i="16"/>
  <c r="O146" i="16"/>
  <c r="P146" i="16"/>
  <c r="T146" i="16"/>
  <c r="U146" i="16"/>
  <c r="L147" i="16"/>
  <c r="M147" i="16"/>
  <c r="N147" i="16"/>
  <c r="N145" i="16" s="1"/>
  <c r="T147" i="16"/>
  <c r="U147" i="16"/>
  <c r="I150" i="16"/>
  <c r="K150" i="16" s="1"/>
  <c r="I151" i="16"/>
  <c r="K151" i="16" s="1"/>
  <c r="I152" i="16"/>
  <c r="K152" i="16" s="1"/>
  <c r="I153" i="16"/>
  <c r="K153" i="16" s="1"/>
  <c r="I154" i="16"/>
  <c r="I136" i="16" s="1"/>
  <c r="K136" i="16" s="1"/>
  <c r="J156" i="16"/>
  <c r="L158" i="16"/>
  <c r="M158" i="16"/>
  <c r="N158" i="16"/>
  <c r="P158" i="16"/>
  <c r="Q158" i="16"/>
  <c r="R158" i="16"/>
  <c r="S158" i="16"/>
  <c r="T158" i="16"/>
  <c r="O161" i="16"/>
  <c r="P161" i="16"/>
  <c r="T161" i="16"/>
  <c r="U161" i="16"/>
  <c r="L162" i="16"/>
  <c r="M162" i="16"/>
  <c r="M160" i="16" s="1"/>
  <c r="N162" i="16"/>
  <c r="Q162" i="16"/>
  <c r="R162" i="16"/>
  <c r="S162" i="16"/>
  <c r="S160" i="16" s="1"/>
  <c r="Q163" i="16"/>
  <c r="T163" i="16" s="1"/>
  <c r="R163" i="16"/>
  <c r="U163" i="16" s="1"/>
  <c r="S163" i="16"/>
  <c r="O164" i="16"/>
  <c r="P164" i="16"/>
  <c r="T164" i="16"/>
  <c r="U164" i="16"/>
  <c r="L165" i="16"/>
  <c r="M165" i="16"/>
  <c r="M163" i="16" s="1"/>
  <c r="P163" i="16" s="1"/>
  <c r="N165" i="16"/>
  <c r="N163" i="16" s="1"/>
  <c r="T165" i="16"/>
  <c r="U165" i="16"/>
  <c r="I167" i="16"/>
  <c r="I169" i="16" s="1"/>
  <c r="K169" i="16" s="1"/>
  <c r="J172" i="16"/>
  <c r="L174" i="16"/>
  <c r="M174" i="16"/>
  <c r="N174" i="16"/>
  <c r="Q174" i="16"/>
  <c r="T174" i="16" s="1"/>
  <c r="R174" i="16"/>
  <c r="S174" i="16"/>
  <c r="O177" i="16"/>
  <c r="P177" i="16"/>
  <c r="T177" i="16"/>
  <c r="U177" i="16"/>
  <c r="L178" i="16"/>
  <c r="M178" i="16"/>
  <c r="M176" i="16" s="1"/>
  <c r="N178" i="16"/>
  <c r="Q178" i="16"/>
  <c r="Q175" i="16" s="1"/>
  <c r="Q173" i="16" s="1"/>
  <c r="T173" i="16" s="1"/>
  <c r="R178" i="16"/>
  <c r="R176" i="16" s="1"/>
  <c r="U176" i="16" s="1"/>
  <c r="S178" i="16"/>
  <c r="S176" i="16" s="1"/>
  <c r="Q179" i="16"/>
  <c r="R179" i="16"/>
  <c r="U179" i="16" s="1"/>
  <c r="S179" i="16"/>
  <c r="T179" i="16"/>
  <c r="O180" i="16"/>
  <c r="P180" i="16"/>
  <c r="T180" i="16"/>
  <c r="U180" i="16"/>
  <c r="L181" i="16"/>
  <c r="M181" i="16"/>
  <c r="M179" i="16" s="1"/>
  <c r="P179" i="16" s="1"/>
  <c r="N181" i="16"/>
  <c r="N179" i="16" s="1"/>
  <c r="T181" i="16"/>
  <c r="U181" i="16"/>
  <c r="I183" i="16"/>
  <c r="I172" i="16" s="1"/>
  <c r="K184" i="16"/>
  <c r="L187" i="16"/>
  <c r="M187" i="16"/>
  <c r="P187" i="16" s="1"/>
  <c r="N187" i="16"/>
  <c r="O187" i="16"/>
  <c r="Q187" i="16"/>
  <c r="T187" i="16" s="1"/>
  <c r="R187" i="16"/>
  <c r="S187" i="16"/>
  <c r="U187" i="16"/>
  <c r="O190" i="16"/>
  <c r="P190" i="16"/>
  <c r="T190" i="16"/>
  <c r="U190" i="16"/>
  <c r="L191" i="16"/>
  <c r="M191" i="16"/>
  <c r="M189" i="16" s="1"/>
  <c r="N191" i="16"/>
  <c r="Q191" i="16"/>
  <c r="R191" i="16"/>
  <c r="R188" i="16" s="1"/>
  <c r="R186" i="16" s="1"/>
  <c r="S191" i="16"/>
  <c r="Q192" i="16"/>
  <c r="T192" i="16" s="1"/>
  <c r="R192" i="16"/>
  <c r="U192" i="16" s="1"/>
  <c r="S192" i="16"/>
  <c r="O193" i="16"/>
  <c r="P193" i="16"/>
  <c r="T193" i="16"/>
  <c r="U193" i="16"/>
  <c r="L194" i="16"/>
  <c r="O194" i="16" s="1"/>
  <c r="M194" i="16"/>
  <c r="N194" i="16"/>
  <c r="N192" i="16" s="1"/>
  <c r="T194" i="16"/>
  <c r="U194" i="16"/>
  <c r="J195" i="16"/>
  <c r="L196" i="16"/>
  <c r="O196" i="16" s="1"/>
  <c r="P196" i="16"/>
  <c r="I198" i="16"/>
  <c r="K198" i="16" s="1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I202" i="16" s="1"/>
  <c r="K202" i="16" s="1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J221" i="16"/>
  <c r="N222" i="16"/>
  <c r="P222" i="16"/>
  <c r="L223" i="16"/>
  <c r="L224" i="16"/>
  <c r="L225" i="16"/>
  <c r="I228" i="16"/>
  <c r="K228" i="16" s="1"/>
  <c r="I229" i="16"/>
  <c r="I221" i="16" s="1"/>
  <c r="K221" i="16" s="1"/>
  <c r="I230" i="16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J231" i="16" s="1"/>
  <c r="J185" i="16" s="1"/>
  <c r="N243" i="16"/>
  <c r="N232" i="16" s="1"/>
  <c r="P243" i="16"/>
  <c r="L244" i="16"/>
  <c r="L245" i="16"/>
  <c r="L246" i="16"/>
  <c r="L247" i="16"/>
  <c r="I249" i="16"/>
  <c r="K249" i="16" s="1"/>
  <c r="K251" i="16"/>
  <c r="K252" i="16"/>
  <c r="J253" i="16"/>
  <c r="N254" i="16"/>
  <c r="P254" i="16"/>
  <c r="L255" i="16"/>
  <c r="L256" i="16"/>
  <c r="L257" i="16"/>
  <c r="L258" i="16"/>
  <c r="I260" i="16"/>
  <c r="K262" i="16"/>
  <c r="K263" i="16"/>
  <c r="J265" i="16"/>
  <c r="L267" i="16"/>
  <c r="O267" i="16" s="1"/>
  <c r="M267" i="16"/>
  <c r="N267" i="16"/>
  <c r="P267" i="16"/>
  <c r="Q267" i="16"/>
  <c r="T267" i="16" s="1"/>
  <c r="R267" i="16"/>
  <c r="S267" i="16"/>
  <c r="U267" i="16"/>
  <c r="O270" i="16"/>
  <c r="P270" i="16"/>
  <c r="T270" i="16"/>
  <c r="U270" i="16"/>
  <c r="L271" i="16"/>
  <c r="L269" i="16" s="1"/>
  <c r="O269" i="16" s="1"/>
  <c r="M271" i="16"/>
  <c r="N271" i="16"/>
  <c r="Q271" i="16"/>
  <c r="Q269" i="16" s="1"/>
  <c r="R271" i="16"/>
  <c r="R269" i="16" s="1"/>
  <c r="S271" i="16"/>
  <c r="Q272" i="16"/>
  <c r="T272" i="16" s="1"/>
  <c r="R272" i="16"/>
  <c r="S272" i="16"/>
  <c r="U272" i="16"/>
  <c r="O273" i="16"/>
  <c r="P273" i="16"/>
  <c r="T273" i="16"/>
  <c r="U273" i="16"/>
  <c r="L274" i="16"/>
  <c r="L272" i="16" s="1"/>
  <c r="O272" i="16" s="1"/>
  <c r="M274" i="16"/>
  <c r="P274" i="16" s="1"/>
  <c r="N274" i="16"/>
  <c r="N272" i="16" s="1"/>
  <c r="T274" i="16"/>
  <c r="U274" i="16"/>
  <c r="I276" i="16"/>
  <c r="K276" i="16" s="1"/>
  <c r="J281" i="16"/>
  <c r="L283" i="16"/>
  <c r="O283" i="16" s="1"/>
  <c r="M283" i="16"/>
  <c r="N283" i="16"/>
  <c r="Q283" i="16"/>
  <c r="R283" i="16"/>
  <c r="U283" i="16" s="1"/>
  <c r="S283" i="16"/>
  <c r="T283" i="16"/>
  <c r="Q284" i="16"/>
  <c r="Q282" i="16" s="1"/>
  <c r="T282" i="16" s="1"/>
  <c r="R284" i="16"/>
  <c r="S284" i="16"/>
  <c r="Q285" i="16"/>
  <c r="R285" i="16"/>
  <c r="U285" i="16" s="1"/>
  <c r="S285" i="16"/>
  <c r="T285" i="16"/>
  <c r="O286" i="16"/>
  <c r="P286" i="16"/>
  <c r="T286" i="16"/>
  <c r="U286" i="16"/>
  <c r="L287" i="16"/>
  <c r="M287" i="16"/>
  <c r="N287" i="16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O290" i="16" s="1"/>
  <c r="M290" i="16"/>
  <c r="P290" i="16" s="1"/>
  <c r="N290" i="16"/>
  <c r="N288" i="16" s="1"/>
  <c r="T290" i="16"/>
  <c r="U290" i="16"/>
  <c r="I292" i="16"/>
  <c r="K292" i="16" s="1"/>
  <c r="I293" i="16"/>
  <c r="I280" i="16" s="1"/>
  <c r="K280" i="16" s="1"/>
  <c r="J293" i="16"/>
  <c r="J280" i="16" s="1"/>
  <c r="I295" i="16"/>
  <c r="K295" i="16" s="1"/>
  <c r="I296" i="16"/>
  <c r="K296" i="16" s="1"/>
  <c r="J302" i="16"/>
  <c r="L304" i="16"/>
  <c r="O304" i="16" s="1"/>
  <c r="M304" i="16"/>
  <c r="N304" i="16"/>
  <c r="P304" i="16"/>
  <c r="Q304" i="16"/>
  <c r="T304" i="16" s="1"/>
  <c r="R304" i="16"/>
  <c r="U304" i="16" s="1"/>
  <c r="S304" i="16"/>
  <c r="O307" i="16"/>
  <c r="P307" i="16"/>
  <c r="T307" i="16"/>
  <c r="U307" i="16"/>
  <c r="L308" i="16"/>
  <c r="L306" i="16" s="1"/>
  <c r="O306" i="16" s="1"/>
  <c r="M308" i="16"/>
  <c r="M306" i="16" s="1"/>
  <c r="P306" i="16" s="1"/>
  <c r="N308" i="16"/>
  <c r="N306" i="16" s="1"/>
  <c r="Q308" i="16"/>
  <c r="Q305" i="16" s="1"/>
  <c r="R308" i="16"/>
  <c r="R306" i="16" s="1"/>
  <c r="S308" i="16"/>
  <c r="S306" i="16" s="1"/>
  <c r="Q309" i="16"/>
  <c r="T309" i="16" s="1"/>
  <c r="R309" i="16"/>
  <c r="U309" i="16" s="1"/>
  <c r="S309" i="16"/>
  <c r="O310" i="16"/>
  <c r="P310" i="16"/>
  <c r="T310" i="16"/>
  <c r="U310" i="16"/>
  <c r="L311" i="16"/>
  <c r="O311" i="16" s="1"/>
  <c r="M311" i="16"/>
  <c r="M309" i="16" s="1"/>
  <c r="P309" i="16" s="1"/>
  <c r="N311" i="16"/>
  <c r="N309" i="16" s="1"/>
  <c r="T311" i="16"/>
  <c r="U311" i="16"/>
  <c r="I314" i="16"/>
  <c r="K314" i="16" s="1"/>
  <c r="J319" i="16"/>
  <c r="S320" i="16"/>
  <c r="L321" i="16"/>
  <c r="M321" i="16"/>
  <c r="P321" i="16" s="1"/>
  <c r="N321" i="16"/>
  <c r="O321" i="16"/>
  <c r="Q321" i="16"/>
  <c r="T321" i="16" s="1"/>
  <c r="R321" i="16"/>
  <c r="S321" i="16"/>
  <c r="U321" i="16"/>
  <c r="Q322" i="16"/>
  <c r="T322" i="16" s="1"/>
  <c r="R322" i="16"/>
  <c r="S322" i="16"/>
  <c r="Q323" i="16"/>
  <c r="R323" i="16"/>
  <c r="U323" i="16" s="1"/>
  <c r="S323" i="16"/>
  <c r="T323" i="16"/>
  <c r="O324" i="16"/>
  <c r="P324" i="16"/>
  <c r="T324" i="16"/>
  <c r="U324" i="16"/>
  <c r="L325" i="16"/>
  <c r="M325" i="16"/>
  <c r="N325" i="16"/>
  <c r="T325" i="16"/>
  <c r="U325" i="16"/>
  <c r="Q326" i="16"/>
  <c r="T326" i="16" s="1"/>
  <c r="R326" i="16"/>
  <c r="U326" i="16" s="1"/>
  <c r="S326" i="16"/>
  <c r="O327" i="16"/>
  <c r="P327" i="16"/>
  <c r="T327" i="16"/>
  <c r="U327" i="16"/>
  <c r="L328" i="16"/>
  <c r="L326" i="16" s="1"/>
  <c r="O326" i="16" s="1"/>
  <c r="M328" i="16"/>
  <c r="N328" i="16"/>
  <c r="N326" i="16" s="1"/>
  <c r="T328" i="16"/>
  <c r="U328" i="16"/>
  <c r="I330" i="16"/>
  <c r="L334" i="16"/>
  <c r="O334" i="16" s="1"/>
  <c r="M334" i="16"/>
  <c r="N334" i="16"/>
  <c r="P334" i="16"/>
  <c r="Q334" i="16"/>
  <c r="R334" i="16"/>
  <c r="S334" i="16"/>
  <c r="Q335" i="16"/>
  <c r="T335" i="16" s="1"/>
  <c r="R335" i="16"/>
  <c r="S335" i="16"/>
  <c r="U335" i="16"/>
  <c r="Q336" i="16"/>
  <c r="T336" i="16" s="1"/>
  <c r="R336" i="16"/>
  <c r="U336" i="16" s="1"/>
  <c r="S336" i="16"/>
  <c r="O337" i="16"/>
  <c r="P337" i="16"/>
  <c r="T337" i="16"/>
  <c r="U337" i="16"/>
  <c r="L338" i="16"/>
  <c r="M338" i="16"/>
  <c r="M336" i="16" s="1"/>
  <c r="N338" i="16"/>
  <c r="N336" i="16" s="1"/>
  <c r="T338" i="16"/>
  <c r="U338" i="16"/>
  <c r="Q339" i="16"/>
  <c r="R339" i="16"/>
  <c r="U339" i="16" s="1"/>
  <c r="S339" i="16"/>
  <c r="T339" i="16"/>
  <c r="O340" i="16"/>
  <c r="P340" i="16"/>
  <c r="T340" i="16"/>
  <c r="U340" i="16"/>
  <c r="L341" i="16"/>
  <c r="M341" i="16"/>
  <c r="N341" i="16"/>
  <c r="N339" i="16" s="1"/>
  <c r="T341" i="16"/>
  <c r="U341" i="16"/>
  <c r="I344" i="16"/>
  <c r="I332" i="16" s="1"/>
  <c r="J344" i="16"/>
  <c r="I346" i="16"/>
  <c r="J346" i="16"/>
  <c r="J347" i="16"/>
  <c r="J348" i="16"/>
  <c r="J349" i="16"/>
  <c r="D350" i="16"/>
  <c r="J352" i="16"/>
  <c r="J353" i="16"/>
  <c r="J354" i="16"/>
  <c r="L357" i="16"/>
  <c r="M357" i="16"/>
  <c r="N357" i="16"/>
  <c r="P357" i="16"/>
  <c r="Q357" i="16"/>
  <c r="R357" i="16"/>
  <c r="S357" i="16"/>
  <c r="Q358" i="16"/>
  <c r="R358" i="16"/>
  <c r="U358" i="16" s="1"/>
  <c r="S358" i="16"/>
  <c r="T358" i="16"/>
  <c r="Q359" i="16"/>
  <c r="T359" i="16" s="1"/>
  <c r="R359" i="16"/>
  <c r="S359" i="16"/>
  <c r="U359" i="16"/>
  <c r="O360" i="16"/>
  <c r="P360" i="16"/>
  <c r="T360" i="16"/>
  <c r="U360" i="16"/>
  <c r="L361" i="16"/>
  <c r="M361" i="16"/>
  <c r="N361" i="16"/>
  <c r="T361" i="16"/>
  <c r="U361" i="16"/>
  <c r="Q362" i="16"/>
  <c r="T362" i="16" s="1"/>
  <c r="R362" i="16"/>
  <c r="U362" i="16" s="1"/>
  <c r="S362" i="16"/>
  <c r="O363" i="16"/>
  <c r="P363" i="16"/>
  <c r="T363" i="16"/>
  <c r="U363" i="16"/>
  <c r="L364" i="16"/>
  <c r="O364" i="16" s="1"/>
  <c r="M364" i="16"/>
  <c r="M362" i="16" s="1"/>
  <c r="P362" i="16" s="1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I365" i="16" s="1"/>
  <c r="J371" i="16"/>
  <c r="J372" i="16"/>
  <c r="K372" i="16"/>
  <c r="D373" i="16"/>
  <c r="L376" i="16"/>
  <c r="M376" i="16"/>
  <c r="N376" i="16"/>
  <c r="Q376" i="16"/>
  <c r="R376" i="16"/>
  <c r="S376" i="16"/>
  <c r="T376" i="16"/>
  <c r="L377" i="16"/>
  <c r="M377" i="16"/>
  <c r="N377" i="16"/>
  <c r="O377" i="16"/>
  <c r="P377" i="16"/>
  <c r="L378" i="16"/>
  <c r="O378" i="16" s="1"/>
  <c r="M378" i="16"/>
  <c r="P378" i="16" s="1"/>
  <c r="N378" i="16"/>
  <c r="O379" i="16"/>
  <c r="P379" i="16"/>
  <c r="T379" i="16"/>
  <c r="U379" i="16"/>
  <c r="O380" i="16"/>
  <c r="P380" i="16"/>
  <c r="Q380" i="16"/>
  <c r="R380" i="16"/>
  <c r="S380" i="16"/>
  <c r="S378" i="16" s="1"/>
  <c r="L381" i="16"/>
  <c r="M381" i="16"/>
  <c r="P381" i="16" s="1"/>
  <c r="N381" i="16"/>
  <c r="O381" i="16"/>
  <c r="Q381" i="16"/>
  <c r="T381" i="16" s="1"/>
  <c r="R381" i="16"/>
  <c r="U381" i="16" s="1"/>
  <c r="S381" i="16"/>
  <c r="O382" i="16"/>
  <c r="P382" i="16"/>
  <c r="T382" i="16"/>
  <c r="U382" i="16"/>
  <c r="O383" i="16"/>
  <c r="P383" i="16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L392" i="16"/>
  <c r="O392" i="16" s="1"/>
  <c r="S392" i="16"/>
  <c r="L393" i="16"/>
  <c r="M393" i="16"/>
  <c r="M392" i="16" s="1"/>
  <c r="P392" i="16" s="1"/>
  <c r="N393" i="16"/>
  <c r="N392" i="16" s="1"/>
  <c r="O393" i="16"/>
  <c r="Q393" i="16"/>
  <c r="R393" i="16"/>
  <c r="R392" i="16" s="1"/>
  <c r="U392" i="16" s="1"/>
  <c r="S393" i="16"/>
  <c r="T393" i="16"/>
  <c r="U393" i="16"/>
  <c r="L394" i="16"/>
  <c r="O394" i="16" s="1"/>
  <c r="M394" i="16"/>
  <c r="P394" i="16" s="1"/>
  <c r="N394" i="16"/>
  <c r="Q394" i="16"/>
  <c r="R394" i="16"/>
  <c r="U394" i="16" s="1"/>
  <c r="S394" i="16"/>
  <c r="L395" i="16"/>
  <c r="O395" i="16" s="1"/>
  <c r="M395" i="16"/>
  <c r="P395" i="16" s="1"/>
  <c r="N395" i="16"/>
  <c r="Q395" i="16"/>
  <c r="T395" i="16" s="1"/>
  <c r="R395" i="16"/>
  <c r="U395" i="16" s="1"/>
  <c r="S395" i="16"/>
  <c r="O396" i="16"/>
  <c r="P396" i="16"/>
  <c r="T396" i="16"/>
  <c r="U396" i="16"/>
  <c r="O397" i="16"/>
  <c r="P397" i="16"/>
  <c r="T397" i="16"/>
  <c r="U397" i="16"/>
  <c r="L398" i="16"/>
  <c r="O398" i="16" s="1"/>
  <c r="M398" i="16"/>
  <c r="P398" i="16" s="1"/>
  <c r="N398" i="16"/>
  <c r="Q398" i="16"/>
  <c r="R398" i="16"/>
  <c r="U398" i="16" s="1"/>
  <c r="S398" i="16"/>
  <c r="T398" i="16"/>
  <c r="O399" i="16"/>
  <c r="P399" i="16"/>
  <c r="T399" i="16"/>
  <c r="U399" i="16"/>
  <c r="O400" i="16"/>
  <c r="P400" i="16"/>
  <c r="T400" i="16"/>
  <c r="U400" i="16"/>
  <c r="L414" i="16"/>
  <c r="M414" i="16"/>
  <c r="N414" i="16"/>
  <c r="Q414" i="16"/>
  <c r="R414" i="16"/>
  <c r="S414" i="16"/>
  <c r="L415" i="16"/>
  <c r="M415" i="16"/>
  <c r="P415" i="16" s="1"/>
  <c r="N415" i="16"/>
  <c r="N413" i="16" s="1"/>
  <c r="O415" i="16"/>
  <c r="L416" i="16"/>
  <c r="M416" i="16"/>
  <c r="N416" i="16"/>
  <c r="O416" i="16"/>
  <c r="P416" i="16"/>
  <c r="O417" i="16"/>
  <c r="P417" i="16"/>
  <c r="T417" i="16"/>
  <c r="U417" i="16"/>
  <c r="O418" i="16"/>
  <c r="P418" i="16"/>
  <c r="Q418" i="16"/>
  <c r="R418" i="16"/>
  <c r="R416" i="16" s="1"/>
  <c r="U416" i="16" s="1"/>
  <c r="S418" i="16"/>
  <c r="S416" i="16" s="1"/>
  <c r="L419" i="16"/>
  <c r="O419" i="16" s="1"/>
  <c r="M419" i="16"/>
  <c r="P419" i="16" s="1"/>
  <c r="N419" i="16"/>
  <c r="Q419" i="16"/>
  <c r="R419" i="16"/>
  <c r="U419" i="16" s="1"/>
  <c r="S419" i="16"/>
  <c r="T419" i="16"/>
  <c r="O420" i="16"/>
  <c r="P420" i="16"/>
  <c r="T420" i="16"/>
  <c r="U420" i="16"/>
  <c r="O421" i="16"/>
  <c r="P421" i="16"/>
  <c r="T421" i="16"/>
  <c r="U421" i="16"/>
  <c r="I424" i="16"/>
  <c r="K424" i="16" s="1"/>
  <c r="J424" i="16"/>
  <c r="I425" i="16"/>
  <c r="K425" i="16" s="1"/>
  <c r="J425" i="16"/>
  <c r="I432" i="16"/>
  <c r="K432" i="16" s="1"/>
  <c r="J432" i="16"/>
  <c r="I433" i="16"/>
  <c r="K433" i="16" s="1"/>
  <c r="J433" i="16"/>
  <c r="I440" i="16"/>
  <c r="K440" i="16" s="1"/>
  <c r="I441" i="16"/>
  <c r="K441" i="16" s="1"/>
  <c r="J441" i="16"/>
  <c r="J446" i="16"/>
  <c r="J440" i="16" s="1"/>
  <c r="J423" i="16" s="1"/>
  <c r="J412" i="16" s="1"/>
  <c r="J447" i="16"/>
  <c r="I457" i="16"/>
  <c r="K457" i="16" s="1"/>
  <c r="I458" i="16"/>
  <c r="K458" i="16" s="1"/>
  <c r="J459" i="16"/>
  <c r="J457" i="16" s="1"/>
  <c r="J456" i="16" s="1"/>
  <c r="J460" i="16"/>
  <c r="J458" i="16" s="1"/>
  <c r="J467" i="16"/>
  <c r="J468" i="16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J485" i="16"/>
  <c r="K485" i="16"/>
  <c r="N493" i="16"/>
  <c r="L494" i="16"/>
  <c r="M494" i="16"/>
  <c r="M493" i="16" s="1"/>
  <c r="P493" i="16" s="1"/>
  <c r="N494" i="16"/>
  <c r="O494" i="16"/>
  <c r="P494" i="16"/>
  <c r="Q494" i="16"/>
  <c r="R494" i="16"/>
  <c r="S494" i="16"/>
  <c r="U494" i="16"/>
  <c r="L495" i="16"/>
  <c r="M495" i="16"/>
  <c r="P495" i="16" s="1"/>
  <c r="N495" i="16"/>
  <c r="L496" i="16"/>
  <c r="O496" i="16" s="1"/>
  <c r="M496" i="16"/>
  <c r="P496" i="16" s="1"/>
  <c r="N496" i="16"/>
  <c r="O497" i="16"/>
  <c r="P497" i="16"/>
  <c r="T497" i="16"/>
  <c r="U497" i="16"/>
  <c r="O498" i="16"/>
  <c r="P498" i="16"/>
  <c r="Q498" i="16"/>
  <c r="R498" i="16"/>
  <c r="U498" i="16" s="1"/>
  <c r="S498" i="16"/>
  <c r="S495" i="16" s="1"/>
  <c r="L499" i="16"/>
  <c r="O499" i="16" s="1"/>
  <c r="M499" i="16"/>
  <c r="N499" i="16"/>
  <c r="P499" i="16"/>
  <c r="Q499" i="16"/>
  <c r="T499" i="16" s="1"/>
  <c r="R499" i="16"/>
  <c r="U499" i="16" s="1"/>
  <c r="S499" i="16"/>
  <c r="O500" i="16"/>
  <c r="P500" i="16"/>
  <c r="T500" i="16"/>
  <c r="U500" i="16"/>
  <c r="O501" i="16"/>
  <c r="P501" i="16"/>
  <c r="T501" i="16"/>
  <c r="U501" i="16"/>
  <c r="I503" i="16"/>
  <c r="I492" i="16" s="1"/>
  <c r="K492" i="16" s="1"/>
  <c r="I504" i="16"/>
  <c r="K504" i="16" s="1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L514" i="16"/>
  <c r="M514" i="16"/>
  <c r="N514" i="16"/>
  <c r="Q514" i="16"/>
  <c r="Q513" i="16" s="1"/>
  <c r="T513" i="16" s="1"/>
  <c r="R514" i="16"/>
  <c r="U514" i="16" s="1"/>
  <c r="S514" i="16"/>
  <c r="T514" i="16"/>
  <c r="Q515" i="16"/>
  <c r="T515" i="16" s="1"/>
  <c r="R515" i="16"/>
  <c r="S515" i="16"/>
  <c r="U515" i="16"/>
  <c r="Q516" i="16"/>
  <c r="T516" i="16" s="1"/>
  <c r="R516" i="16"/>
  <c r="U516" i="16" s="1"/>
  <c r="S516" i="16"/>
  <c r="O517" i="16"/>
  <c r="P517" i="16"/>
  <c r="T517" i="16"/>
  <c r="U517" i="16"/>
  <c r="L518" i="16"/>
  <c r="M518" i="16"/>
  <c r="M516" i="16" s="1"/>
  <c r="P516" i="16" s="1"/>
  <c r="N518" i="16"/>
  <c r="N516" i="16" s="1"/>
  <c r="T518" i="16"/>
  <c r="U518" i="16"/>
  <c r="Q519" i="16"/>
  <c r="T519" i="16" s="1"/>
  <c r="R519" i="16"/>
  <c r="S519" i="16"/>
  <c r="U519" i="16"/>
  <c r="O520" i="16"/>
  <c r="P520" i="16"/>
  <c r="T520" i="16"/>
  <c r="U520" i="16"/>
  <c r="L521" i="16"/>
  <c r="M521" i="16"/>
  <c r="N521" i="16"/>
  <c r="N519" i="16" s="1"/>
  <c r="T521" i="16"/>
  <c r="U521" i="16"/>
  <c r="K523" i="16"/>
  <c r="K524" i="16"/>
  <c r="I533" i="16"/>
  <c r="J533" i="16"/>
  <c r="K533" i="16"/>
  <c r="L535" i="16"/>
  <c r="M535" i="16"/>
  <c r="M534" i="16" s="1"/>
  <c r="P534" i="16" s="1"/>
  <c r="N535" i="16"/>
  <c r="N534" i="16" s="1"/>
  <c r="O535" i="16"/>
  <c r="Q535" i="16"/>
  <c r="R535" i="16"/>
  <c r="S535" i="16"/>
  <c r="S534" i="16" s="1"/>
  <c r="T535" i="16"/>
  <c r="U535" i="16"/>
  <c r="L536" i="16"/>
  <c r="M536" i="16"/>
  <c r="N536" i="16"/>
  <c r="P536" i="16"/>
  <c r="Q536" i="16"/>
  <c r="R536" i="16"/>
  <c r="U536" i="16" s="1"/>
  <c r="S536" i="16"/>
  <c r="L537" i="16"/>
  <c r="O537" i="16" s="1"/>
  <c r="M537" i="16"/>
  <c r="P537" i="16" s="1"/>
  <c r="N537" i="16"/>
  <c r="Q537" i="16"/>
  <c r="T537" i="16" s="1"/>
  <c r="R537" i="16"/>
  <c r="U537" i="16" s="1"/>
  <c r="S537" i="16"/>
  <c r="O538" i="16"/>
  <c r="P538" i="16"/>
  <c r="T538" i="16"/>
  <c r="U538" i="16"/>
  <c r="O539" i="16"/>
  <c r="P539" i="16"/>
  <c r="T539" i="16"/>
  <c r="U539" i="16"/>
  <c r="L540" i="16"/>
  <c r="O540" i="16" s="1"/>
  <c r="M540" i="16"/>
  <c r="P540" i="16" s="1"/>
  <c r="N540" i="16"/>
  <c r="Q540" i="16"/>
  <c r="R540" i="16"/>
  <c r="U540" i="16" s="1"/>
  <c r="S540" i="16"/>
  <c r="T540" i="16"/>
  <c r="O541" i="16"/>
  <c r="P541" i="16"/>
  <c r="T541" i="16"/>
  <c r="U541" i="16"/>
  <c r="O542" i="16"/>
  <c r="P542" i="16"/>
  <c r="T542" i="16"/>
  <c r="U542" i="16"/>
  <c r="I554" i="16"/>
  <c r="K554" i="16" s="1"/>
  <c r="J554" i="16"/>
  <c r="L556" i="16"/>
  <c r="M556" i="16"/>
  <c r="N556" i="16"/>
  <c r="Q556" i="16"/>
  <c r="T556" i="16" s="1"/>
  <c r="R556" i="16"/>
  <c r="S556" i="16"/>
  <c r="L557" i="16"/>
  <c r="M557" i="16"/>
  <c r="P557" i="16" s="1"/>
  <c r="N557" i="16"/>
  <c r="N555" i="16" s="1"/>
  <c r="O557" i="16"/>
  <c r="Q557" i="16"/>
  <c r="R557" i="16"/>
  <c r="U557" i="16" s="1"/>
  <c r="S557" i="16"/>
  <c r="T557" i="16"/>
  <c r="L558" i="16"/>
  <c r="O558" i="16" s="1"/>
  <c r="M558" i="16"/>
  <c r="N558" i="16"/>
  <c r="P558" i="16"/>
  <c r="Q558" i="16"/>
  <c r="T558" i="16" s="1"/>
  <c r="R558" i="16"/>
  <c r="S558" i="16"/>
  <c r="U558" i="16"/>
  <c r="O559" i="16"/>
  <c r="P559" i="16"/>
  <c r="T559" i="16"/>
  <c r="U559" i="16"/>
  <c r="O560" i="16"/>
  <c r="P560" i="16"/>
  <c r="T560" i="16"/>
  <c r="U560" i="16"/>
  <c r="L561" i="16"/>
  <c r="M561" i="16"/>
  <c r="N561" i="16"/>
  <c r="O561" i="16"/>
  <c r="P561" i="16"/>
  <c r="Q561" i="16"/>
  <c r="T561" i="16" s="1"/>
  <c r="R561" i="16"/>
  <c r="S561" i="16"/>
  <c r="U561" i="16"/>
  <c r="O562" i="16"/>
  <c r="P562" i="16"/>
  <c r="T562" i="16"/>
  <c r="U562" i="16"/>
  <c r="O563" i="16"/>
  <c r="P563" i="16"/>
  <c r="T563" i="16"/>
  <c r="U563" i="16"/>
  <c r="I575" i="16"/>
  <c r="K575" i="16" s="1"/>
  <c r="J575" i="16"/>
  <c r="S576" i="16"/>
  <c r="L577" i="16"/>
  <c r="L576" i="16" s="1"/>
  <c r="O576" i="16" s="1"/>
  <c r="M577" i="16"/>
  <c r="N577" i="16"/>
  <c r="O577" i="16"/>
  <c r="P577" i="16"/>
  <c r="Q577" i="16"/>
  <c r="T577" i="16" s="1"/>
  <c r="R577" i="16"/>
  <c r="S577" i="16"/>
  <c r="U577" i="16"/>
  <c r="L578" i="16"/>
  <c r="O578" i="16" s="1"/>
  <c r="M578" i="16"/>
  <c r="P578" i="16" s="1"/>
  <c r="N578" i="16"/>
  <c r="N576" i="16" s="1"/>
  <c r="Q578" i="16"/>
  <c r="R578" i="16"/>
  <c r="U578" i="16" s="1"/>
  <c r="S578" i="16"/>
  <c r="L579" i="16"/>
  <c r="O579" i="16" s="1"/>
  <c r="M579" i="16"/>
  <c r="P579" i="16" s="1"/>
  <c r="N579" i="16"/>
  <c r="Q579" i="16"/>
  <c r="T579" i="16" s="1"/>
  <c r="R579" i="16"/>
  <c r="U579" i="16" s="1"/>
  <c r="S579" i="16"/>
  <c r="O580" i="16"/>
  <c r="P580" i="16"/>
  <c r="T580" i="16"/>
  <c r="U580" i="16"/>
  <c r="O581" i="16"/>
  <c r="P581" i="16"/>
  <c r="T581" i="16"/>
  <c r="U581" i="16"/>
  <c r="L582" i="16"/>
  <c r="O582" i="16" s="1"/>
  <c r="M582" i="16"/>
  <c r="P582" i="16" s="1"/>
  <c r="N582" i="16"/>
  <c r="Q582" i="16"/>
  <c r="R582" i="16"/>
  <c r="U582" i="16" s="1"/>
  <c r="S582" i="16"/>
  <c r="T582" i="16"/>
  <c r="O583" i="16"/>
  <c r="P583" i="16"/>
  <c r="T583" i="16"/>
  <c r="U583" i="16"/>
  <c r="O584" i="16"/>
  <c r="P584" i="16"/>
  <c r="T584" i="16"/>
  <c r="U584" i="16"/>
  <c r="N599" i="16"/>
  <c r="L600" i="16"/>
  <c r="L599" i="16" s="1"/>
  <c r="O599" i="16" s="1"/>
  <c r="M600" i="16"/>
  <c r="N600" i="16"/>
  <c r="O600" i="16"/>
  <c r="Q600" i="16"/>
  <c r="Q599" i="16" s="1"/>
  <c r="T599" i="16" s="1"/>
  <c r="R600" i="16"/>
  <c r="R599" i="16" s="1"/>
  <c r="U599" i="16" s="1"/>
  <c r="S600" i="16"/>
  <c r="T600" i="16"/>
  <c r="U600" i="16"/>
  <c r="L601" i="16"/>
  <c r="O601" i="16" s="1"/>
  <c r="M601" i="16"/>
  <c r="N601" i="16"/>
  <c r="P601" i="16"/>
  <c r="Q601" i="16"/>
  <c r="T601" i="16" s="1"/>
  <c r="R601" i="16"/>
  <c r="U601" i="16" s="1"/>
  <c r="S601" i="16"/>
  <c r="L602" i="16"/>
  <c r="O602" i="16" s="1"/>
  <c r="M602" i="16"/>
  <c r="P602" i="16" s="1"/>
  <c r="N602" i="16"/>
  <c r="Q602" i="16"/>
  <c r="T602" i="16" s="1"/>
  <c r="R602" i="16"/>
  <c r="U602" i="16" s="1"/>
  <c r="S602" i="16"/>
  <c r="O603" i="16"/>
  <c r="P603" i="16"/>
  <c r="T603" i="16"/>
  <c r="U603" i="16"/>
  <c r="O604" i="16"/>
  <c r="P604" i="16"/>
  <c r="T604" i="16"/>
  <c r="U604" i="16"/>
  <c r="L605" i="16"/>
  <c r="O605" i="16" s="1"/>
  <c r="M605" i="16"/>
  <c r="P605" i="16" s="1"/>
  <c r="N605" i="16"/>
  <c r="Q605" i="16"/>
  <c r="T605" i="16" s="1"/>
  <c r="R605" i="16"/>
  <c r="U605" i="16" s="1"/>
  <c r="S605" i="16"/>
  <c r="O606" i="16"/>
  <c r="P606" i="16"/>
  <c r="T606" i="16"/>
  <c r="U606" i="16"/>
  <c r="O607" i="16"/>
  <c r="P607" i="16"/>
  <c r="T607" i="16"/>
  <c r="U607" i="16"/>
  <c r="L617" i="16"/>
  <c r="M617" i="16"/>
  <c r="N617" i="16"/>
  <c r="Q617" i="16"/>
  <c r="T617" i="16" s="1"/>
  <c r="R617" i="16"/>
  <c r="S617" i="16"/>
  <c r="L618" i="16"/>
  <c r="O618" i="16" s="1"/>
  <c r="M618" i="16"/>
  <c r="P618" i="16" s="1"/>
  <c r="N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R621" i="16"/>
  <c r="R619" i="16" s="1"/>
  <c r="S621" i="16"/>
  <c r="S619" i="16" s="1"/>
  <c r="L622" i="16"/>
  <c r="O622" i="16" s="1"/>
  <c r="M622" i="16"/>
  <c r="P622" i="16" s="1"/>
  <c r="N622" i="16"/>
  <c r="Q622" i="16"/>
  <c r="T622" i="16" s="1"/>
  <c r="R622" i="16"/>
  <c r="U622" i="16" s="1"/>
  <c r="S622" i="16"/>
  <c r="O623" i="16"/>
  <c r="P623" i="16"/>
  <c r="T623" i="16"/>
  <c r="U623" i="16"/>
  <c r="O624" i="16"/>
  <c r="P624" i="16"/>
  <c r="T624" i="16"/>
  <c r="U624" i="16"/>
  <c r="I626" i="16"/>
  <c r="K630" i="16" s="1"/>
  <c r="I627" i="16"/>
  <c r="K627" i="16" s="1"/>
  <c r="I628" i="16"/>
  <c r="K628" i="16" s="1"/>
  <c r="J632" i="16"/>
  <c r="I635" i="16"/>
  <c r="K635" i="16" s="1"/>
  <c r="J636" i="16"/>
  <c r="J635" i="16" s="1"/>
  <c r="L643" i="16"/>
  <c r="M643" i="16"/>
  <c r="P643" i="16" s="1"/>
  <c r="N643" i="16"/>
  <c r="N642" i="16" s="1"/>
  <c r="Q643" i="16"/>
  <c r="R643" i="16"/>
  <c r="S643" i="16"/>
  <c r="L644" i="16"/>
  <c r="O644" i="16" s="1"/>
  <c r="M644" i="16"/>
  <c r="P644" i="16" s="1"/>
  <c r="N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R647" i="16"/>
  <c r="R644" i="16" s="1"/>
  <c r="S647" i="16"/>
  <c r="S645" i="16" s="1"/>
  <c r="L648" i="16"/>
  <c r="O648" i="16" s="1"/>
  <c r="M648" i="16"/>
  <c r="P648" i="16" s="1"/>
  <c r="N648" i="16"/>
  <c r="Q648" i="16"/>
  <c r="T648" i="16" s="1"/>
  <c r="R648" i="16"/>
  <c r="U648" i="16" s="1"/>
  <c r="S648" i="16"/>
  <c r="O649" i="16"/>
  <c r="P649" i="16"/>
  <c r="T649" i="16"/>
  <c r="U649" i="16"/>
  <c r="O650" i="16"/>
  <c r="P650" i="16"/>
  <c r="T650" i="16"/>
  <c r="U650" i="16"/>
  <c r="I652" i="16"/>
  <c r="J652" i="16"/>
  <c r="I653" i="16"/>
  <c r="K653" i="16" s="1"/>
  <c r="J653" i="16"/>
  <c r="I654" i="16"/>
  <c r="K654" i="16" s="1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1" i="16"/>
  <c r="M691" i="16"/>
  <c r="N691" i="16"/>
  <c r="P691" i="16"/>
  <c r="Q691" i="16"/>
  <c r="R691" i="16"/>
  <c r="S691" i="16"/>
  <c r="L692" i="16"/>
  <c r="O692" i="16" s="1"/>
  <c r="M692" i="16"/>
  <c r="P692" i="16" s="1"/>
  <c r="N692" i="16"/>
  <c r="N690" i="16" s="1"/>
  <c r="L693" i="16"/>
  <c r="O693" i="16" s="1"/>
  <c r="M693" i="16"/>
  <c r="P693" i="16" s="1"/>
  <c r="N693" i="16"/>
  <c r="O694" i="16"/>
  <c r="P694" i="16"/>
  <c r="T694" i="16"/>
  <c r="U694" i="16"/>
  <c r="O695" i="16"/>
  <c r="P695" i="16"/>
  <c r="Q695" i="16"/>
  <c r="R695" i="16"/>
  <c r="R692" i="16" s="1"/>
  <c r="S695" i="16"/>
  <c r="S693" i="16" s="1"/>
  <c r="L696" i="16"/>
  <c r="O696" i="16" s="1"/>
  <c r="M696" i="16"/>
  <c r="P696" i="16" s="1"/>
  <c r="N696" i="16"/>
  <c r="Q696" i="16"/>
  <c r="T696" i="16" s="1"/>
  <c r="R696" i="16"/>
  <c r="U696" i="16" s="1"/>
  <c r="S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J705" i="16"/>
  <c r="J706" i="16"/>
  <c r="K706" i="16"/>
  <c r="I707" i="16"/>
  <c r="J707" i="16"/>
  <c r="J689" i="16" s="1"/>
  <c r="J708" i="16"/>
  <c r="K708" i="16"/>
  <c r="I709" i="16"/>
  <c r="J709" i="16"/>
  <c r="J710" i="16"/>
  <c r="K710" i="16"/>
  <c r="J712" i="16"/>
  <c r="K712" i="16"/>
  <c r="L714" i="16"/>
  <c r="O714" i="16" s="1"/>
  <c r="L715" i="16"/>
  <c r="M715" i="16"/>
  <c r="M714" i="16" s="1"/>
  <c r="P714" i="16" s="1"/>
  <c r="N715" i="16"/>
  <c r="O715" i="16"/>
  <c r="P715" i="16"/>
  <c r="Q715" i="16"/>
  <c r="T715" i="16" s="1"/>
  <c r="R715" i="16"/>
  <c r="S715" i="16"/>
  <c r="U715" i="16"/>
  <c r="L716" i="16"/>
  <c r="O716" i="16" s="1"/>
  <c r="M716" i="16"/>
  <c r="P716" i="16" s="1"/>
  <c r="N716" i="16"/>
  <c r="Q716" i="16"/>
  <c r="T716" i="16" s="1"/>
  <c r="R716" i="16"/>
  <c r="U716" i="16" s="1"/>
  <c r="S716" i="16"/>
  <c r="S714" i="16" s="1"/>
  <c r="L717" i="16"/>
  <c r="O717" i="16" s="1"/>
  <c r="M717" i="16"/>
  <c r="P717" i="16" s="1"/>
  <c r="N717" i="16"/>
  <c r="Q717" i="16"/>
  <c r="R717" i="16"/>
  <c r="U717" i="16" s="1"/>
  <c r="S717" i="16"/>
  <c r="T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P720" i="16" s="1"/>
  <c r="N720" i="16"/>
  <c r="Q720" i="16"/>
  <c r="R720" i="16"/>
  <c r="U720" i="16" s="1"/>
  <c r="S720" i="16"/>
  <c r="T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J727" i="16"/>
  <c r="L729" i="16"/>
  <c r="M729" i="16"/>
  <c r="M728" i="16" s="1"/>
  <c r="P728" i="16" s="1"/>
  <c r="N729" i="16"/>
  <c r="N728" i="16" s="1"/>
  <c r="O729" i="16"/>
  <c r="P729" i="16"/>
  <c r="Q729" i="16"/>
  <c r="R729" i="16"/>
  <c r="S729" i="16"/>
  <c r="T729" i="16"/>
  <c r="U729" i="16"/>
  <c r="L730" i="16"/>
  <c r="O730" i="16" s="1"/>
  <c r="M730" i="16"/>
  <c r="P730" i="16" s="1"/>
  <c r="N730" i="16"/>
  <c r="L731" i="16"/>
  <c r="O731" i="16" s="1"/>
  <c r="M731" i="16"/>
  <c r="P731" i="16" s="1"/>
  <c r="N731" i="16"/>
  <c r="O732" i="16"/>
  <c r="P732" i="16"/>
  <c r="T732" i="16"/>
  <c r="U732" i="16"/>
  <c r="O733" i="16"/>
  <c r="P733" i="16"/>
  <c r="Q733" i="16"/>
  <c r="Q731" i="16" s="1"/>
  <c r="R733" i="16"/>
  <c r="R731" i="16" s="1"/>
  <c r="S733" i="16"/>
  <c r="S730" i="16" s="1"/>
  <c r="L734" i="16"/>
  <c r="M734" i="16"/>
  <c r="P734" i="16" s="1"/>
  <c r="N734" i="16"/>
  <c r="O734" i="16"/>
  <c r="Q734" i="16"/>
  <c r="T734" i="16" s="1"/>
  <c r="R734" i="16"/>
  <c r="S734" i="16"/>
  <c r="U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M761" i="16"/>
  <c r="M760" i="16" s="1"/>
  <c r="P760" i="16" s="1"/>
  <c r="N761" i="16"/>
  <c r="N760" i="16" s="1"/>
  <c r="O761" i="16"/>
  <c r="Q761" i="16"/>
  <c r="R761" i="16"/>
  <c r="S761" i="16"/>
  <c r="U761" i="16"/>
  <c r="L762" i="16"/>
  <c r="O762" i="16" s="1"/>
  <c r="M762" i="16"/>
  <c r="P762" i="16" s="1"/>
  <c r="N762" i="16"/>
  <c r="L763" i="16"/>
  <c r="O763" i="16" s="1"/>
  <c r="M763" i="16"/>
  <c r="P763" i="16" s="1"/>
  <c r="N763" i="16"/>
  <c r="O764" i="16"/>
  <c r="P764" i="16"/>
  <c r="T764" i="16"/>
  <c r="U764" i="16"/>
  <c r="O765" i="16"/>
  <c r="P765" i="16"/>
  <c r="Q765" i="16"/>
  <c r="Q762" i="16" s="1"/>
  <c r="T762" i="16" s="1"/>
  <c r="R765" i="16"/>
  <c r="R763" i="16" s="1"/>
  <c r="U763" i="16" s="1"/>
  <c r="S765" i="16"/>
  <c r="S762" i="16" s="1"/>
  <c r="S760" i="16" s="1"/>
  <c r="L766" i="16"/>
  <c r="O766" i="16" s="1"/>
  <c r="M766" i="16"/>
  <c r="P766" i="16" s="1"/>
  <c r="N766" i="16"/>
  <c r="Q766" i="16"/>
  <c r="T766" i="16" s="1"/>
  <c r="R766" i="16"/>
  <c r="U766" i="16" s="1"/>
  <c r="S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58" i="16" s="1"/>
  <c r="K758" i="16" s="1"/>
  <c r="I774" i="16"/>
  <c r="I759" i="16" s="1"/>
  <c r="K759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M22" i="15"/>
  <c r="N22" i="15"/>
  <c r="Q22" i="15"/>
  <c r="R22" i="15"/>
  <c r="S22" i="15"/>
  <c r="L25" i="15"/>
  <c r="L19" i="15" s="1"/>
  <c r="M25" i="15"/>
  <c r="N25" i="15"/>
  <c r="Q25" i="15"/>
  <c r="R25" i="15"/>
  <c r="S25" i="15"/>
  <c r="Q26" i="15"/>
  <c r="T26" i="15" s="1"/>
  <c r="R26" i="15"/>
  <c r="U26" i="15" s="1"/>
  <c r="S26" i="15"/>
  <c r="L45" i="15"/>
  <c r="O45" i="15" s="1"/>
  <c r="M45" i="15"/>
  <c r="N45" i="15"/>
  <c r="Q45" i="15"/>
  <c r="Q44" i="15" s="1"/>
  <c r="T44" i="15" s="1"/>
  <c r="R45" i="15"/>
  <c r="U45" i="15" s="1"/>
  <c r="S45" i="15"/>
  <c r="S44" i="15" s="1"/>
  <c r="T45" i="15"/>
  <c r="Q46" i="15"/>
  <c r="T46" i="15" s="1"/>
  <c r="R46" i="15"/>
  <c r="S46" i="15"/>
  <c r="U46" i="15"/>
  <c r="Q47" i="15"/>
  <c r="T47" i="15" s="1"/>
  <c r="R47" i="15"/>
  <c r="U47" i="15" s="1"/>
  <c r="S47" i="15"/>
  <c r="O48" i="15"/>
  <c r="P48" i="15"/>
  <c r="T48" i="15"/>
  <c r="U48" i="15"/>
  <c r="L49" i="15"/>
  <c r="M49" i="15"/>
  <c r="M47" i="15" s="1"/>
  <c r="N49" i="15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M52" i="15"/>
  <c r="N52" i="15"/>
  <c r="N50" i="15" s="1"/>
  <c r="T52" i="15"/>
  <c r="U52" i="15"/>
  <c r="L60" i="15"/>
  <c r="M60" i="15"/>
  <c r="N60" i="15"/>
  <c r="O60" i="15"/>
  <c r="Q60" i="15"/>
  <c r="Q59" i="15" s="1"/>
  <c r="T59" i="15" s="1"/>
  <c r="R60" i="15"/>
  <c r="R59" i="15" s="1"/>
  <c r="U59" i="15" s="1"/>
  <c r="S60" i="15"/>
  <c r="S59" i="15" s="1"/>
  <c r="T60" i="15"/>
  <c r="U60" i="15"/>
  <c r="Q61" i="15"/>
  <c r="T61" i="15" s="1"/>
  <c r="R61" i="15"/>
  <c r="S61" i="15"/>
  <c r="U61" i="15"/>
  <c r="Q62" i="15"/>
  <c r="T62" i="15" s="1"/>
  <c r="R62" i="15"/>
  <c r="U62" i="15" s="1"/>
  <c r="S62" i="15"/>
  <c r="O63" i="15"/>
  <c r="P63" i="15"/>
  <c r="T63" i="15"/>
  <c r="U63" i="15"/>
  <c r="L64" i="15"/>
  <c r="M64" i="15"/>
  <c r="M62" i="15" s="1"/>
  <c r="N64" i="15"/>
  <c r="N62" i="15" s="1"/>
  <c r="T64" i="15"/>
  <c r="U64" i="15"/>
  <c r="Q65" i="15"/>
  <c r="R65" i="15"/>
  <c r="U65" i="15" s="1"/>
  <c r="S65" i="15"/>
  <c r="T65" i="15"/>
  <c r="O66" i="15"/>
  <c r="P66" i="15"/>
  <c r="T66" i="15"/>
  <c r="U66" i="15"/>
  <c r="L67" i="15"/>
  <c r="M67" i="15"/>
  <c r="N67" i="15"/>
  <c r="N65" i="15" s="1"/>
  <c r="T67" i="15"/>
  <c r="U67" i="15"/>
  <c r="J70" i="15"/>
  <c r="L73" i="15"/>
  <c r="M73" i="15"/>
  <c r="N73" i="15"/>
  <c r="O73" i="15"/>
  <c r="Q73" i="15"/>
  <c r="T73" i="15" s="1"/>
  <c r="R73" i="15"/>
  <c r="U73" i="15" s="1"/>
  <c r="S73" i="15"/>
  <c r="O76" i="15"/>
  <c r="P76" i="15"/>
  <c r="T76" i="15"/>
  <c r="U76" i="15"/>
  <c r="L77" i="15"/>
  <c r="O77" i="15" s="1"/>
  <c r="M77" i="15"/>
  <c r="N77" i="15"/>
  <c r="N75" i="15" s="1"/>
  <c r="Q77" i="15"/>
  <c r="R77" i="15"/>
  <c r="S77" i="15"/>
  <c r="S75" i="15" s="1"/>
  <c r="Q78" i="15"/>
  <c r="T78" i="15" s="1"/>
  <c r="R78" i="15"/>
  <c r="U78" i="15" s="1"/>
  <c r="S78" i="15"/>
  <c r="O79" i="15"/>
  <c r="P79" i="15"/>
  <c r="T79" i="15"/>
  <c r="U79" i="15"/>
  <c r="L80" i="15"/>
  <c r="M80" i="15"/>
  <c r="N80" i="15"/>
  <c r="N78" i="15" s="1"/>
  <c r="T80" i="15"/>
  <c r="U80" i="15"/>
  <c r="J82" i="15"/>
  <c r="J83" i="15"/>
  <c r="J71" i="15" s="1"/>
  <c r="I84" i="15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N95" i="15"/>
  <c r="O95" i="15"/>
  <c r="P95" i="15"/>
  <c r="Q95" i="15"/>
  <c r="R95" i="15"/>
  <c r="S95" i="15"/>
  <c r="T95" i="15"/>
  <c r="U95" i="15"/>
  <c r="O98" i="15"/>
  <c r="P98" i="15"/>
  <c r="T98" i="15"/>
  <c r="U98" i="15"/>
  <c r="L99" i="15"/>
  <c r="M99" i="15"/>
  <c r="P99" i="15" s="1"/>
  <c r="N99" i="15"/>
  <c r="N97" i="15" s="1"/>
  <c r="Q99" i="15"/>
  <c r="R99" i="15"/>
  <c r="R96" i="15" s="1"/>
  <c r="S99" i="15"/>
  <c r="S96" i="15" s="1"/>
  <c r="Q100" i="15"/>
  <c r="T100" i="15" s="1"/>
  <c r="R100" i="15"/>
  <c r="U100" i="15" s="1"/>
  <c r="S100" i="15"/>
  <c r="O101" i="15"/>
  <c r="P101" i="15"/>
  <c r="T101" i="15"/>
  <c r="U101" i="15"/>
  <c r="L102" i="15"/>
  <c r="M102" i="15"/>
  <c r="N102" i="15"/>
  <c r="N100" i="15" s="1"/>
  <c r="T102" i="15"/>
  <c r="U102" i="15"/>
  <c r="I108" i="15"/>
  <c r="K108" i="15" s="1"/>
  <c r="I109" i="15"/>
  <c r="I114" i="15"/>
  <c r="K114" i="15" s="1"/>
  <c r="J116" i="15"/>
  <c r="L118" i="15"/>
  <c r="M118" i="15"/>
  <c r="N118" i="15"/>
  <c r="O118" i="15"/>
  <c r="P118" i="15"/>
  <c r="Q118" i="15"/>
  <c r="R118" i="15"/>
  <c r="S118" i="15"/>
  <c r="T118" i="15"/>
  <c r="U118" i="15"/>
  <c r="O121" i="15"/>
  <c r="P121" i="15"/>
  <c r="T121" i="15"/>
  <c r="U121" i="15"/>
  <c r="L122" i="15"/>
  <c r="L120" i="15" s="1"/>
  <c r="O120" i="15" s="1"/>
  <c r="M122" i="15"/>
  <c r="P122" i="15" s="1"/>
  <c r="N122" i="15"/>
  <c r="N120" i="15" s="1"/>
  <c r="Q122" i="15"/>
  <c r="R122" i="15"/>
  <c r="R119" i="15" s="1"/>
  <c r="S122" i="15"/>
  <c r="S119" i="15" s="1"/>
  <c r="S117" i="15" s="1"/>
  <c r="Q123" i="15"/>
  <c r="T123" i="15" s="1"/>
  <c r="R123" i="15"/>
  <c r="U123" i="15" s="1"/>
  <c r="S123" i="15"/>
  <c r="O124" i="15"/>
  <c r="P124" i="15"/>
  <c r="T124" i="15"/>
  <c r="U124" i="15"/>
  <c r="L125" i="15"/>
  <c r="O125" i="15" s="1"/>
  <c r="M125" i="15"/>
  <c r="N125" i="15"/>
  <c r="N123" i="15" s="1"/>
  <c r="T125" i="15"/>
  <c r="U125" i="15"/>
  <c r="I127" i="15"/>
  <c r="I116" i="15" s="1"/>
  <c r="I128" i="15"/>
  <c r="K128" i="15" s="1"/>
  <c r="I129" i="15"/>
  <c r="K129" i="15" s="1"/>
  <c r="I130" i="15"/>
  <c r="K130" i="15" s="1"/>
  <c r="J136" i="15"/>
  <c r="J137" i="15"/>
  <c r="J138" i="15"/>
  <c r="L140" i="15"/>
  <c r="M140" i="15"/>
  <c r="N140" i="15"/>
  <c r="Q140" i="15"/>
  <c r="R140" i="15"/>
  <c r="S140" i="15"/>
  <c r="T140" i="15"/>
  <c r="O143" i="15"/>
  <c r="P143" i="15"/>
  <c r="T143" i="15"/>
  <c r="U143" i="15"/>
  <c r="L144" i="15"/>
  <c r="M144" i="15"/>
  <c r="M142" i="15" s="1"/>
  <c r="P142" i="15" s="1"/>
  <c r="N144" i="15"/>
  <c r="N142" i="15" s="1"/>
  <c r="Q144" i="15"/>
  <c r="R144" i="15"/>
  <c r="S144" i="15"/>
  <c r="S141" i="15" s="1"/>
  <c r="Q145" i="15"/>
  <c r="T145" i="15" s="1"/>
  <c r="R145" i="15"/>
  <c r="U145" i="15" s="1"/>
  <c r="S145" i="15"/>
  <c r="O146" i="15"/>
  <c r="P146" i="15"/>
  <c r="T146" i="15"/>
  <c r="U146" i="15"/>
  <c r="L147" i="15"/>
  <c r="M147" i="15"/>
  <c r="P147" i="15" s="1"/>
  <c r="N147" i="15"/>
  <c r="N145" i="15" s="1"/>
  <c r="T147" i="15"/>
  <c r="U147" i="15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J156" i="15"/>
  <c r="L158" i="15"/>
  <c r="M158" i="15"/>
  <c r="N158" i="15"/>
  <c r="O158" i="15"/>
  <c r="P158" i="15"/>
  <c r="Q158" i="15"/>
  <c r="R158" i="15"/>
  <c r="S158" i="15"/>
  <c r="T158" i="15"/>
  <c r="U158" i="15"/>
  <c r="O161" i="15"/>
  <c r="P161" i="15"/>
  <c r="T161" i="15"/>
  <c r="U161" i="15"/>
  <c r="L162" i="15"/>
  <c r="M162" i="15"/>
  <c r="N162" i="15"/>
  <c r="N160" i="15" s="1"/>
  <c r="Q162" i="15"/>
  <c r="Q159" i="15" s="1"/>
  <c r="T159" i="15" s="1"/>
  <c r="R162" i="15"/>
  <c r="S162" i="15"/>
  <c r="S159" i="15" s="1"/>
  <c r="Q163" i="15"/>
  <c r="R163" i="15"/>
  <c r="U163" i="15" s="1"/>
  <c r="S163" i="15"/>
  <c r="T163" i="15"/>
  <c r="O164" i="15"/>
  <c r="P164" i="15"/>
  <c r="T164" i="15"/>
  <c r="U164" i="15"/>
  <c r="L165" i="15"/>
  <c r="M165" i="15"/>
  <c r="M163" i="15" s="1"/>
  <c r="P163" i="15" s="1"/>
  <c r="N165" i="15"/>
  <c r="N163" i="15" s="1"/>
  <c r="T165" i="15"/>
  <c r="U165" i="15"/>
  <c r="I167" i="15"/>
  <c r="K167" i="15" s="1"/>
  <c r="I168" i="15"/>
  <c r="K168" i="15" s="1"/>
  <c r="I169" i="15"/>
  <c r="J172" i="15"/>
  <c r="L174" i="15"/>
  <c r="M174" i="15"/>
  <c r="P174" i="15" s="1"/>
  <c r="N174" i="15"/>
  <c r="O174" i="15"/>
  <c r="Q174" i="15"/>
  <c r="R174" i="15"/>
  <c r="S174" i="15"/>
  <c r="T174" i="15"/>
  <c r="U174" i="15"/>
  <c r="O177" i="15"/>
  <c r="P177" i="15"/>
  <c r="T177" i="15"/>
  <c r="U177" i="15"/>
  <c r="L178" i="15"/>
  <c r="M178" i="15"/>
  <c r="N178" i="15"/>
  <c r="N176" i="15" s="1"/>
  <c r="Q178" i="15"/>
  <c r="R178" i="15"/>
  <c r="R175" i="15" s="1"/>
  <c r="S178" i="15"/>
  <c r="S175" i="15" s="1"/>
  <c r="Q179" i="15"/>
  <c r="T179" i="15" s="1"/>
  <c r="R179" i="15"/>
  <c r="U179" i="15" s="1"/>
  <c r="S179" i="15"/>
  <c r="O180" i="15"/>
  <c r="P180" i="15"/>
  <c r="T180" i="15"/>
  <c r="U180" i="15"/>
  <c r="L181" i="15"/>
  <c r="M181" i="15"/>
  <c r="N181" i="15"/>
  <c r="N179" i="15" s="1"/>
  <c r="T181" i="15"/>
  <c r="U181" i="15"/>
  <c r="I183" i="15"/>
  <c r="I172" i="15" s="1"/>
  <c r="K172" i="15" s="1"/>
  <c r="K184" i="15"/>
  <c r="L187" i="15"/>
  <c r="M187" i="15"/>
  <c r="P187" i="15" s="1"/>
  <c r="N187" i="15"/>
  <c r="Q187" i="15"/>
  <c r="R187" i="15"/>
  <c r="S187" i="15"/>
  <c r="O190" i="15"/>
  <c r="P190" i="15"/>
  <c r="T190" i="15"/>
  <c r="U190" i="15"/>
  <c r="L191" i="15"/>
  <c r="M191" i="15"/>
  <c r="N191" i="15"/>
  <c r="Q191" i="15"/>
  <c r="R191" i="15"/>
  <c r="S191" i="15"/>
  <c r="Q192" i="15"/>
  <c r="T192" i="15" s="1"/>
  <c r="R192" i="15"/>
  <c r="U192" i="15" s="1"/>
  <c r="S192" i="15"/>
  <c r="O193" i="15"/>
  <c r="P193" i="15"/>
  <c r="T193" i="15"/>
  <c r="U193" i="15"/>
  <c r="L194" i="15"/>
  <c r="M194" i="15"/>
  <c r="N194" i="15"/>
  <c r="N192" i="15" s="1"/>
  <c r="T194" i="15"/>
  <c r="U194" i="15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L207" i="15"/>
  <c r="I209" i="15"/>
  <c r="I202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I230" i="15"/>
  <c r="K230" i="15" s="1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I251" i="15"/>
  <c r="I252" i="15"/>
  <c r="I241" i="15" s="1"/>
  <c r="K241" i="15" s="1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M267" i="15"/>
  <c r="P267" i="15" s="1"/>
  <c r="N267" i="15"/>
  <c r="O267" i="15"/>
  <c r="Q267" i="15"/>
  <c r="R267" i="15"/>
  <c r="S267" i="15"/>
  <c r="T267" i="15"/>
  <c r="U267" i="15"/>
  <c r="O270" i="15"/>
  <c r="P270" i="15"/>
  <c r="T270" i="15"/>
  <c r="U270" i="15"/>
  <c r="L271" i="15"/>
  <c r="M271" i="15"/>
  <c r="N271" i="15"/>
  <c r="Q271" i="15"/>
  <c r="R271" i="15"/>
  <c r="S271" i="15"/>
  <c r="S268" i="15" s="1"/>
  <c r="Q272" i="15"/>
  <c r="T272" i="15" s="1"/>
  <c r="R272" i="15"/>
  <c r="U272" i="15" s="1"/>
  <c r="S272" i="15"/>
  <c r="O273" i="15"/>
  <c r="P273" i="15"/>
  <c r="T273" i="15"/>
  <c r="U273" i="15"/>
  <c r="L274" i="15"/>
  <c r="M274" i="15"/>
  <c r="M272" i="15" s="1"/>
  <c r="P272" i="15" s="1"/>
  <c r="N274" i="15"/>
  <c r="N272" i="15" s="1"/>
  <c r="T274" i="15"/>
  <c r="U274" i="15"/>
  <c r="I276" i="15"/>
  <c r="I265" i="15" s="1"/>
  <c r="K265" i="15" s="1"/>
  <c r="J281" i="15"/>
  <c r="L283" i="15"/>
  <c r="O283" i="15" s="1"/>
  <c r="M283" i="15"/>
  <c r="P283" i="15" s="1"/>
  <c r="N283" i="15"/>
  <c r="Q283" i="15"/>
  <c r="R283" i="15"/>
  <c r="U283" i="15" s="1"/>
  <c r="S283" i="15"/>
  <c r="Q284" i="15"/>
  <c r="T284" i="15" s="1"/>
  <c r="R284" i="15"/>
  <c r="S284" i="15"/>
  <c r="Q285" i="15"/>
  <c r="R285" i="15"/>
  <c r="S285" i="15"/>
  <c r="T285" i="15"/>
  <c r="U285" i="15"/>
  <c r="O286" i="15"/>
  <c r="P286" i="15"/>
  <c r="T286" i="15"/>
  <c r="U286" i="15"/>
  <c r="L287" i="15"/>
  <c r="M287" i="15"/>
  <c r="N287" i="15"/>
  <c r="T287" i="15"/>
  <c r="U287" i="15"/>
  <c r="Q288" i="15"/>
  <c r="T288" i="15" s="1"/>
  <c r="R288" i="15"/>
  <c r="U288" i="15" s="1"/>
  <c r="S288" i="15"/>
  <c r="O289" i="15"/>
  <c r="P289" i="15"/>
  <c r="T289" i="15"/>
  <c r="U289" i="15"/>
  <c r="L290" i="15"/>
  <c r="L288" i="15" s="1"/>
  <c r="O288" i="15" s="1"/>
  <c r="M290" i="15"/>
  <c r="N290" i="15"/>
  <c r="N288" i="15" s="1"/>
  <c r="T290" i="15"/>
  <c r="U290" i="15"/>
  <c r="I292" i="15"/>
  <c r="K292" i="15" s="1"/>
  <c r="I293" i="15"/>
  <c r="J293" i="15"/>
  <c r="J280" i="15" s="1"/>
  <c r="I295" i="15"/>
  <c r="K295" i="15" s="1"/>
  <c r="I296" i="15"/>
  <c r="K296" i="15" s="1"/>
  <c r="J302" i="15"/>
  <c r="L304" i="15"/>
  <c r="O304" i="15" s="1"/>
  <c r="M304" i="15"/>
  <c r="P304" i="15" s="1"/>
  <c r="N304" i="15"/>
  <c r="Q304" i="15"/>
  <c r="R304" i="15"/>
  <c r="U304" i="15" s="1"/>
  <c r="S304" i="15"/>
  <c r="O307" i="15"/>
  <c r="P307" i="15"/>
  <c r="T307" i="15"/>
  <c r="U307" i="15"/>
  <c r="L308" i="15"/>
  <c r="M308" i="15"/>
  <c r="N308" i="15"/>
  <c r="N306" i="15" s="1"/>
  <c r="Q308" i="15"/>
  <c r="Q306" i="15" s="1"/>
  <c r="R308" i="15"/>
  <c r="R305" i="15" s="1"/>
  <c r="S308" i="15"/>
  <c r="S306" i="15" s="1"/>
  <c r="Q309" i="15"/>
  <c r="T309" i="15" s="1"/>
  <c r="R309" i="15"/>
  <c r="U309" i="15" s="1"/>
  <c r="S309" i="15"/>
  <c r="O310" i="15"/>
  <c r="P310" i="15"/>
  <c r="T310" i="15"/>
  <c r="U310" i="15"/>
  <c r="L311" i="15"/>
  <c r="M311" i="15"/>
  <c r="N311" i="15"/>
  <c r="N309" i="15" s="1"/>
  <c r="T311" i="15"/>
  <c r="U311" i="15"/>
  <c r="I314" i="15"/>
  <c r="K314" i="15" s="1"/>
  <c r="J319" i="15"/>
  <c r="R320" i="15"/>
  <c r="U320" i="15" s="1"/>
  <c r="S320" i="15"/>
  <c r="L321" i="15"/>
  <c r="M321" i="15"/>
  <c r="P321" i="15" s="1"/>
  <c r="N321" i="15"/>
  <c r="O321" i="15"/>
  <c r="Q321" i="15"/>
  <c r="T321" i="15" s="1"/>
  <c r="R321" i="15"/>
  <c r="U321" i="15" s="1"/>
  <c r="S321" i="15"/>
  <c r="Q322" i="15"/>
  <c r="T322" i="15" s="1"/>
  <c r="R322" i="15"/>
  <c r="U322" i="15" s="1"/>
  <c r="S322" i="15"/>
  <c r="Q323" i="15"/>
  <c r="T323" i="15" s="1"/>
  <c r="R323" i="15"/>
  <c r="U323" i="15" s="1"/>
  <c r="S323" i="15"/>
  <c r="O324" i="15"/>
  <c r="P324" i="15"/>
  <c r="T324" i="15"/>
  <c r="U324" i="15"/>
  <c r="L325" i="15"/>
  <c r="L323" i="15" s="1"/>
  <c r="O323" i="15" s="1"/>
  <c r="M325" i="15"/>
  <c r="M323" i="15" s="1"/>
  <c r="P323" i="15" s="1"/>
  <c r="N325" i="15"/>
  <c r="N323" i="15" s="1"/>
  <c r="T325" i="15"/>
  <c r="U325" i="15"/>
  <c r="Q326" i="15"/>
  <c r="R326" i="15"/>
  <c r="U326" i="15" s="1"/>
  <c r="S326" i="15"/>
  <c r="T326" i="15"/>
  <c r="O327" i="15"/>
  <c r="P327" i="15"/>
  <c r="T327" i="15"/>
  <c r="U327" i="15"/>
  <c r="L328" i="15"/>
  <c r="O328" i="15" s="1"/>
  <c r="M328" i="15"/>
  <c r="N328" i="15"/>
  <c r="N326" i="15" s="1"/>
  <c r="T328" i="15"/>
  <c r="U328" i="15"/>
  <c r="I330" i="15"/>
  <c r="I319" i="15" s="1"/>
  <c r="K319" i="15" s="1"/>
  <c r="L334" i="15"/>
  <c r="M334" i="15"/>
  <c r="N334" i="15"/>
  <c r="O334" i="15"/>
  <c r="P334" i="15"/>
  <c r="Q334" i="15"/>
  <c r="R334" i="15"/>
  <c r="S334" i="15"/>
  <c r="S333" i="15" s="1"/>
  <c r="T334" i="15"/>
  <c r="U334" i="15"/>
  <c r="Q335" i="15"/>
  <c r="R335" i="15"/>
  <c r="U335" i="15" s="1"/>
  <c r="S335" i="15"/>
  <c r="Q336" i="15"/>
  <c r="T336" i="15" s="1"/>
  <c r="R336" i="15"/>
  <c r="U336" i="15" s="1"/>
  <c r="S336" i="15"/>
  <c r="O337" i="15"/>
  <c r="P337" i="15"/>
  <c r="T337" i="15"/>
  <c r="U337" i="15"/>
  <c r="L338" i="15"/>
  <c r="M338" i="15"/>
  <c r="M336" i="15" s="1"/>
  <c r="N338" i="15"/>
  <c r="T338" i="15"/>
  <c r="U338" i="15"/>
  <c r="Q339" i="15"/>
  <c r="T339" i="15" s="1"/>
  <c r="R339" i="15"/>
  <c r="U339" i="15" s="1"/>
  <c r="S339" i="15"/>
  <c r="O340" i="15"/>
  <c r="P340" i="15"/>
  <c r="T340" i="15"/>
  <c r="U340" i="15"/>
  <c r="L341" i="15"/>
  <c r="M341" i="15"/>
  <c r="P341" i="15" s="1"/>
  <c r="N341" i="15"/>
  <c r="N339" i="15" s="1"/>
  <c r="T341" i="15"/>
  <c r="U341" i="15"/>
  <c r="I344" i="15"/>
  <c r="J344" i="15"/>
  <c r="I346" i="15"/>
  <c r="J346" i="15"/>
  <c r="J347" i="15"/>
  <c r="J348" i="15"/>
  <c r="J349" i="15"/>
  <c r="D350" i="15"/>
  <c r="J352" i="15"/>
  <c r="J353" i="15"/>
  <c r="J354" i="15"/>
  <c r="Q356" i="15"/>
  <c r="T356" i="15" s="1"/>
  <c r="L357" i="15"/>
  <c r="M357" i="15"/>
  <c r="N357" i="15"/>
  <c r="Q357" i="15"/>
  <c r="T357" i="15" s="1"/>
  <c r="R357" i="15"/>
  <c r="S357" i="15"/>
  <c r="S356" i="15" s="1"/>
  <c r="Q358" i="15"/>
  <c r="T358" i="15" s="1"/>
  <c r="R358" i="15"/>
  <c r="S358" i="15"/>
  <c r="U358" i="15"/>
  <c r="Q359" i="15"/>
  <c r="T359" i="15" s="1"/>
  <c r="R359" i="15"/>
  <c r="S359" i="15"/>
  <c r="U359" i="15"/>
  <c r="O360" i="15"/>
  <c r="P360" i="15"/>
  <c r="T360" i="15"/>
  <c r="U360" i="15"/>
  <c r="L361" i="15"/>
  <c r="L359" i="15" s="1"/>
  <c r="M361" i="15"/>
  <c r="M359" i="15" s="1"/>
  <c r="N361" i="15"/>
  <c r="T361" i="15"/>
  <c r="U361" i="15"/>
  <c r="Q362" i="15"/>
  <c r="T362" i="15" s="1"/>
  <c r="R362" i="15"/>
  <c r="U362" i="15" s="1"/>
  <c r="S362" i="15"/>
  <c r="O363" i="15"/>
  <c r="P363" i="15"/>
  <c r="T363" i="15"/>
  <c r="U363" i="15"/>
  <c r="L364" i="15"/>
  <c r="M364" i="15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J371" i="15"/>
  <c r="J365" i="15" s="1"/>
  <c r="J372" i="15"/>
  <c r="K372" i="15"/>
  <c r="D373" i="15"/>
  <c r="M375" i="15"/>
  <c r="P375" i="15" s="1"/>
  <c r="L376" i="15"/>
  <c r="M376" i="15"/>
  <c r="P376" i="15" s="1"/>
  <c r="N376" i="15"/>
  <c r="Q376" i="15"/>
  <c r="T376" i="15" s="1"/>
  <c r="R376" i="15"/>
  <c r="S376" i="15"/>
  <c r="L377" i="15"/>
  <c r="M377" i="15"/>
  <c r="N377" i="15"/>
  <c r="O377" i="15"/>
  <c r="P377" i="15"/>
  <c r="L378" i="15"/>
  <c r="O378" i="15" s="1"/>
  <c r="M378" i="15"/>
  <c r="P378" i="15" s="1"/>
  <c r="N378" i="15"/>
  <c r="O379" i="15"/>
  <c r="P379" i="15"/>
  <c r="T379" i="15"/>
  <c r="U379" i="15"/>
  <c r="O380" i="15"/>
  <c r="P380" i="15"/>
  <c r="Q380" i="15"/>
  <c r="R380" i="15"/>
  <c r="R377" i="15" s="1"/>
  <c r="U377" i="15" s="1"/>
  <c r="S380" i="15"/>
  <c r="S377" i="15" s="1"/>
  <c r="L381" i="15"/>
  <c r="O381" i="15" s="1"/>
  <c r="M381" i="15"/>
  <c r="P381" i="15" s="1"/>
  <c r="N381" i="15"/>
  <c r="Q381" i="15"/>
  <c r="T381" i="15" s="1"/>
  <c r="R381" i="15"/>
  <c r="U381" i="15" s="1"/>
  <c r="S381" i="15"/>
  <c r="O382" i="15"/>
  <c r="P382" i="15"/>
  <c r="T382" i="15"/>
  <c r="U382" i="15"/>
  <c r="O383" i="15"/>
  <c r="P383" i="15"/>
  <c r="T383" i="15"/>
  <c r="U383" i="15"/>
  <c r="J385" i="15"/>
  <c r="K385" i="15"/>
  <c r="I386" i="15"/>
  <c r="J386" i="15"/>
  <c r="J387" i="15"/>
  <c r="K387" i="15"/>
  <c r="I388" i="15"/>
  <c r="J388" i="15"/>
  <c r="I391" i="15"/>
  <c r="K391" i="15" s="1"/>
  <c r="J391" i="15"/>
  <c r="L392" i="15"/>
  <c r="O392" i="15" s="1"/>
  <c r="L393" i="15"/>
  <c r="M393" i="15"/>
  <c r="P393" i="15" s="1"/>
  <c r="N393" i="15"/>
  <c r="N392" i="15" s="1"/>
  <c r="O393" i="15"/>
  <c r="Q393" i="15"/>
  <c r="R393" i="15"/>
  <c r="R392" i="15" s="1"/>
  <c r="U392" i="15" s="1"/>
  <c r="S393" i="15"/>
  <c r="U393" i="15"/>
  <c r="L394" i="15"/>
  <c r="O394" i="15" s="1"/>
  <c r="M394" i="15"/>
  <c r="P394" i="15" s="1"/>
  <c r="N394" i="15"/>
  <c r="Q394" i="15"/>
  <c r="T394" i="15" s="1"/>
  <c r="R394" i="15"/>
  <c r="U394" i="15" s="1"/>
  <c r="S394" i="15"/>
  <c r="L395" i="15"/>
  <c r="M395" i="15"/>
  <c r="P395" i="15" s="1"/>
  <c r="N395" i="15"/>
  <c r="O395" i="15"/>
  <c r="Q395" i="15"/>
  <c r="T395" i="15" s="1"/>
  <c r="R395" i="15"/>
  <c r="U395" i="15" s="1"/>
  <c r="S395" i="15"/>
  <c r="O396" i="15"/>
  <c r="P396" i="15"/>
  <c r="T396" i="15"/>
  <c r="U396" i="15"/>
  <c r="O397" i="15"/>
  <c r="P397" i="15"/>
  <c r="T397" i="15"/>
  <c r="U397" i="15"/>
  <c r="L398" i="15"/>
  <c r="O398" i="15" s="1"/>
  <c r="M398" i="15"/>
  <c r="P398" i="15" s="1"/>
  <c r="N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M414" i="15"/>
  <c r="N414" i="15"/>
  <c r="P414" i="15"/>
  <c r="Q414" i="15"/>
  <c r="R414" i="15"/>
  <c r="S414" i="15"/>
  <c r="L415" i="15"/>
  <c r="O415" i="15" s="1"/>
  <c r="M415" i="15"/>
  <c r="N415" i="15"/>
  <c r="L416" i="15"/>
  <c r="O416" i="15" s="1"/>
  <c r="M416" i="15"/>
  <c r="N416" i="15"/>
  <c r="P416" i="15"/>
  <c r="O417" i="15"/>
  <c r="P417" i="15"/>
  <c r="T417" i="15"/>
  <c r="U417" i="15"/>
  <c r="O418" i="15"/>
  <c r="P418" i="15"/>
  <c r="Q418" i="15"/>
  <c r="R418" i="15"/>
  <c r="U418" i="15" s="1"/>
  <c r="S418" i="15"/>
  <c r="S416" i="15" s="1"/>
  <c r="L419" i="15"/>
  <c r="O419" i="15" s="1"/>
  <c r="M419" i="15"/>
  <c r="P419" i="15" s="1"/>
  <c r="N419" i="15"/>
  <c r="Q419" i="15"/>
  <c r="T419" i="15" s="1"/>
  <c r="R419" i="15"/>
  <c r="U419" i="15" s="1"/>
  <c r="S419" i="15"/>
  <c r="O420" i="15"/>
  <c r="P420" i="15"/>
  <c r="T420" i="15"/>
  <c r="U420" i="15"/>
  <c r="O421" i="15"/>
  <c r="P421" i="15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K440" i="15" s="1"/>
  <c r="I441" i="15"/>
  <c r="K441" i="15" s="1"/>
  <c r="J441" i="15"/>
  <c r="J446" i="15"/>
  <c r="J440" i="15" s="1"/>
  <c r="J423" i="15" s="1"/>
  <c r="J412" i="15" s="1"/>
  <c r="J447" i="15"/>
  <c r="I457" i="15"/>
  <c r="K457" i="15" s="1"/>
  <c r="I458" i="15"/>
  <c r="K458" i="15" s="1"/>
  <c r="J458" i="15"/>
  <c r="J459" i="15"/>
  <c r="J457" i="15" s="1"/>
  <c r="J456" i="15" s="1"/>
  <c r="J460" i="15"/>
  <c r="J467" i="15"/>
  <c r="J468" i="15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J485" i="15"/>
  <c r="K485" i="15"/>
  <c r="M493" i="15"/>
  <c r="P493" i="15" s="1"/>
  <c r="L494" i="15"/>
  <c r="M494" i="15"/>
  <c r="N494" i="15"/>
  <c r="N493" i="15" s="1"/>
  <c r="O494" i="15"/>
  <c r="P494" i="15"/>
  <c r="Q494" i="15"/>
  <c r="R494" i="15"/>
  <c r="S494" i="15"/>
  <c r="T494" i="15"/>
  <c r="U494" i="15"/>
  <c r="L495" i="15"/>
  <c r="O495" i="15" s="1"/>
  <c r="M495" i="15"/>
  <c r="P495" i="15" s="1"/>
  <c r="N495" i="15"/>
  <c r="L496" i="15"/>
  <c r="O496" i="15" s="1"/>
  <c r="M496" i="15"/>
  <c r="P496" i="15" s="1"/>
  <c r="N496" i="15"/>
  <c r="O497" i="15"/>
  <c r="P497" i="15"/>
  <c r="T497" i="15"/>
  <c r="U497" i="15"/>
  <c r="O498" i="15"/>
  <c r="P498" i="15"/>
  <c r="Q498" i="15"/>
  <c r="R498" i="15"/>
  <c r="R496" i="15" s="1"/>
  <c r="U496" i="15" s="1"/>
  <c r="S498" i="15"/>
  <c r="S495" i="15" s="1"/>
  <c r="S493" i="15" s="1"/>
  <c r="L499" i="15"/>
  <c r="O499" i="15" s="1"/>
  <c r="M499" i="15"/>
  <c r="P499" i="15" s="1"/>
  <c r="N499" i="15"/>
  <c r="Q499" i="15"/>
  <c r="T499" i="15" s="1"/>
  <c r="R499" i="15"/>
  <c r="U499" i="15" s="1"/>
  <c r="S499" i="15"/>
  <c r="O500" i="15"/>
  <c r="P500" i="15"/>
  <c r="T500" i="15"/>
  <c r="U500" i="15"/>
  <c r="O501" i="15"/>
  <c r="P501" i="15"/>
  <c r="T501" i="15"/>
  <c r="U501" i="15"/>
  <c r="I503" i="15"/>
  <c r="I492" i="15" s="1"/>
  <c r="K492" i="15" s="1"/>
  <c r="I504" i="15"/>
  <c r="K504" i="15" s="1"/>
  <c r="I505" i="15"/>
  <c r="I506" i="15"/>
  <c r="K506" i="15" s="1"/>
  <c r="I507" i="15"/>
  <c r="K507" i="15" s="1"/>
  <c r="K508" i="15"/>
  <c r="I509" i="15"/>
  <c r="K509" i="15" s="1"/>
  <c r="I512" i="15"/>
  <c r="J512" i="15"/>
  <c r="K512" i="15"/>
  <c r="Q513" i="15"/>
  <c r="T513" i="15" s="1"/>
  <c r="L514" i="15"/>
  <c r="O514" i="15" s="1"/>
  <c r="M514" i="15"/>
  <c r="N514" i="15"/>
  <c r="Q514" i="15"/>
  <c r="T514" i="15" s="1"/>
  <c r="R514" i="15"/>
  <c r="S514" i="15"/>
  <c r="Q515" i="15"/>
  <c r="R515" i="15"/>
  <c r="S515" i="15"/>
  <c r="T515" i="15"/>
  <c r="U515" i="15"/>
  <c r="Q516" i="15"/>
  <c r="T516" i="15" s="1"/>
  <c r="R516" i="15"/>
  <c r="U516" i="15" s="1"/>
  <c r="S516" i="15"/>
  <c r="O517" i="15"/>
  <c r="P517" i="15"/>
  <c r="T517" i="15"/>
  <c r="U517" i="15"/>
  <c r="L518" i="15"/>
  <c r="L516" i="15" s="1"/>
  <c r="O516" i="15" s="1"/>
  <c r="M518" i="15"/>
  <c r="N518" i="15"/>
  <c r="N516" i="15" s="1"/>
  <c r="T518" i="15"/>
  <c r="U518" i="15"/>
  <c r="Q519" i="15"/>
  <c r="T519" i="15" s="1"/>
  <c r="R519" i="15"/>
  <c r="S519" i="15"/>
  <c r="U519" i="15"/>
  <c r="O520" i="15"/>
  <c r="P520" i="15"/>
  <c r="T520" i="15"/>
  <c r="U520" i="15"/>
  <c r="L521" i="15"/>
  <c r="M521" i="15"/>
  <c r="N521" i="15"/>
  <c r="N519" i="15" s="1"/>
  <c r="T521" i="15"/>
  <c r="U521" i="15"/>
  <c r="K523" i="15"/>
  <c r="K524" i="15"/>
  <c r="I533" i="15"/>
  <c r="K533" i="15" s="1"/>
  <c r="J533" i="15"/>
  <c r="L535" i="15"/>
  <c r="L534" i="15" s="1"/>
  <c r="O534" i="15" s="1"/>
  <c r="M535" i="15"/>
  <c r="N535" i="15"/>
  <c r="N534" i="15" s="1"/>
  <c r="Q535" i="15"/>
  <c r="R535" i="15"/>
  <c r="R534" i="15" s="1"/>
  <c r="U534" i="15" s="1"/>
  <c r="S535" i="15"/>
  <c r="S534" i="15" s="1"/>
  <c r="T535" i="15"/>
  <c r="U535" i="15"/>
  <c r="L536" i="15"/>
  <c r="M536" i="15"/>
  <c r="N536" i="15"/>
  <c r="O536" i="15"/>
  <c r="P536" i="15"/>
  <c r="Q536" i="15"/>
  <c r="T536" i="15" s="1"/>
  <c r="R536" i="15"/>
  <c r="S536" i="15"/>
  <c r="U536" i="15"/>
  <c r="L537" i="15"/>
  <c r="O537" i="15" s="1"/>
  <c r="M537" i="15"/>
  <c r="P537" i="15" s="1"/>
  <c r="N537" i="15"/>
  <c r="Q537" i="15"/>
  <c r="T537" i="15" s="1"/>
  <c r="R537" i="15"/>
  <c r="U537" i="15" s="1"/>
  <c r="S537" i="15"/>
  <c r="O538" i="15"/>
  <c r="P538" i="15"/>
  <c r="T538" i="15"/>
  <c r="U538" i="15"/>
  <c r="O539" i="15"/>
  <c r="P539" i="15"/>
  <c r="T539" i="15"/>
  <c r="U539" i="15"/>
  <c r="L540" i="15"/>
  <c r="O540" i="15" s="1"/>
  <c r="M540" i="15"/>
  <c r="P540" i="15" s="1"/>
  <c r="N540" i="15"/>
  <c r="Q540" i="15"/>
  <c r="T540" i="15" s="1"/>
  <c r="R540" i="15"/>
  <c r="U540" i="15" s="1"/>
  <c r="S540" i="15"/>
  <c r="O541" i="15"/>
  <c r="P541" i="15"/>
  <c r="T541" i="15"/>
  <c r="U541" i="15"/>
  <c r="O542" i="15"/>
  <c r="P542" i="15"/>
  <c r="T542" i="15"/>
  <c r="U542" i="15"/>
  <c r="I554" i="15"/>
  <c r="K554" i="15" s="1"/>
  <c r="J554" i="15"/>
  <c r="L556" i="15"/>
  <c r="M556" i="15"/>
  <c r="P556" i="15" s="1"/>
  <c r="N556" i="15"/>
  <c r="N555" i="15" s="1"/>
  <c r="Q556" i="15"/>
  <c r="R556" i="15"/>
  <c r="S556" i="15"/>
  <c r="L557" i="15"/>
  <c r="O557" i="15" s="1"/>
  <c r="M557" i="15"/>
  <c r="N557" i="15"/>
  <c r="Q557" i="15"/>
  <c r="R557" i="15"/>
  <c r="U557" i="15" s="1"/>
  <c r="S557" i="15"/>
  <c r="S555" i="15" s="1"/>
  <c r="T557" i="15"/>
  <c r="L558" i="15"/>
  <c r="O558" i="15" s="1"/>
  <c r="M558" i="15"/>
  <c r="N558" i="15"/>
  <c r="P558" i="15"/>
  <c r="Q558" i="15"/>
  <c r="T558" i="15" s="1"/>
  <c r="R558" i="15"/>
  <c r="U558" i="15" s="1"/>
  <c r="S558" i="15"/>
  <c r="O559" i="15"/>
  <c r="P559" i="15"/>
  <c r="T559" i="15"/>
  <c r="U559" i="15"/>
  <c r="O560" i="15"/>
  <c r="P560" i="15"/>
  <c r="T560" i="15"/>
  <c r="U560" i="15"/>
  <c r="L561" i="15"/>
  <c r="M561" i="15"/>
  <c r="N561" i="15"/>
  <c r="O561" i="15"/>
  <c r="P561" i="15"/>
  <c r="Q561" i="15"/>
  <c r="T561" i="15" s="1"/>
  <c r="R561" i="15"/>
  <c r="U561" i="15" s="1"/>
  <c r="S561" i="15"/>
  <c r="O562" i="15"/>
  <c r="P562" i="15"/>
  <c r="T562" i="15"/>
  <c r="U562" i="15"/>
  <c r="O563" i="15"/>
  <c r="P563" i="15"/>
  <c r="T563" i="15"/>
  <c r="U563" i="15"/>
  <c r="I575" i="15"/>
  <c r="K575" i="15" s="1"/>
  <c r="J575" i="15"/>
  <c r="S576" i="15"/>
  <c r="L577" i="15"/>
  <c r="L576" i="15" s="1"/>
  <c r="O576" i="15" s="1"/>
  <c r="M577" i="15"/>
  <c r="P577" i="15" s="1"/>
  <c r="N577" i="15"/>
  <c r="Q577" i="15"/>
  <c r="T577" i="15" s="1"/>
  <c r="R577" i="15"/>
  <c r="S577" i="15"/>
  <c r="L578" i="15"/>
  <c r="M578" i="15"/>
  <c r="P578" i="15" s="1"/>
  <c r="N578" i="15"/>
  <c r="O578" i="15"/>
  <c r="Q578" i="15"/>
  <c r="T578" i="15" s="1"/>
  <c r="R578" i="15"/>
  <c r="S578" i="15"/>
  <c r="U578" i="15"/>
  <c r="L579" i="15"/>
  <c r="O579" i="15" s="1"/>
  <c r="M579" i="15"/>
  <c r="P579" i="15" s="1"/>
  <c r="N579" i="15"/>
  <c r="Q579" i="15"/>
  <c r="T579" i="15" s="1"/>
  <c r="R579" i="15"/>
  <c r="U579" i="15" s="1"/>
  <c r="S579" i="15"/>
  <c r="O580" i="15"/>
  <c r="P580" i="15"/>
  <c r="T580" i="15"/>
  <c r="U580" i="15"/>
  <c r="O581" i="15"/>
  <c r="P581" i="15"/>
  <c r="T581" i="15"/>
  <c r="U581" i="15"/>
  <c r="L582" i="15"/>
  <c r="O582" i="15" s="1"/>
  <c r="M582" i="15"/>
  <c r="P582" i="15" s="1"/>
  <c r="N582" i="15"/>
  <c r="Q582" i="15"/>
  <c r="T582" i="15" s="1"/>
  <c r="R582" i="15"/>
  <c r="U582" i="15" s="1"/>
  <c r="S582" i="15"/>
  <c r="O583" i="15"/>
  <c r="P583" i="15"/>
  <c r="T583" i="15"/>
  <c r="U583" i="15"/>
  <c r="O584" i="15"/>
  <c r="P584" i="15"/>
  <c r="T584" i="15"/>
  <c r="U584" i="15"/>
  <c r="M599" i="15"/>
  <c r="P599" i="15" s="1"/>
  <c r="L600" i="15"/>
  <c r="M600" i="15"/>
  <c r="P600" i="15" s="1"/>
  <c r="N600" i="15"/>
  <c r="N599" i="15" s="1"/>
  <c r="O600" i="15"/>
  <c r="Q600" i="15"/>
  <c r="T600" i="15" s="1"/>
  <c r="R600" i="15"/>
  <c r="R599" i="15" s="1"/>
  <c r="U599" i="15" s="1"/>
  <c r="S600" i="15"/>
  <c r="S599" i="15" s="1"/>
  <c r="U600" i="15"/>
  <c r="L601" i="15"/>
  <c r="M601" i="15"/>
  <c r="P601" i="15" s="1"/>
  <c r="N601" i="15"/>
  <c r="Q601" i="15"/>
  <c r="T601" i="15" s="1"/>
  <c r="R601" i="15"/>
  <c r="U601" i="15" s="1"/>
  <c r="S601" i="15"/>
  <c r="L602" i="15"/>
  <c r="O602" i="15" s="1"/>
  <c r="M602" i="15"/>
  <c r="P602" i="15" s="1"/>
  <c r="N602" i="15"/>
  <c r="Q602" i="15"/>
  <c r="T602" i="15" s="1"/>
  <c r="R602" i="15"/>
  <c r="U602" i="15" s="1"/>
  <c r="S602" i="15"/>
  <c r="O603" i="15"/>
  <c r="P603" i="15"/>
  <c r="T603" i="15"/>
  <c r="U603" i="15"/>
  <c r="O604" i="15"/>
  <c r="P604" i="15"/>
  <c r="T604" i="15"/>
  <c r="U604" i="15"/>
  <c r="L605" i="15"/>
  <c r="O605" i="15" s="1"/>
  <c r="M605" i="15"/>
  <c r="P605" i="15" s="1"/>
  <c r="N605" i="15"/>
  <c r="Q605" i="15"/>
  <c r="R605" i="15"/>
  <c r="U605" i="15" s="1"/>
  <c r="S605" i="15"/>
  <c r="T605" i="15"/>
  <c r="O606" i="15"/>
  <c r="P606" i="15"/>
  <c r="T606" i="15"/>
  <c r="U606" i="15"/>
  <c r="O607" i="15"/>
  <c r="P607" i="15"/>
  <c r="T607" i="15"/>
  <c r="U607" i="15"/>
  <c r="L617" i="15"/>
  <c r="M617" i="15"/>
  <c r="P617" i="15" s="1"/>
  <c r="N617" i="15"/>
  <c r="Q617" i="15"/>
  <c r="R617" i="15"/>
  <c r="S617" i="15"/>
  <c r="L618" i="15"/>
  <c r="M618" i="15"/>
  <c r="N618" i="15"/>
  <c r="O618" i="15"/>
  <c r="L619" i="15"/>
  <c r="M619" i="15"/>
  <c r="N619" i="15"/>
  <c r="O619" i="15"/>
  <c r="P619" i="15"/>
  <c r="O620" i="15"/>
  <c r="P620" i="15"/>
  <c r="T620" i="15"/>
  <c r="U620" i="15"/>
  <c r="O621" i="15"/>
  <c r="P621" i="15"/>
  <c r="Q621" i="15"/>
  <c r="R621" i="15"/>
  <c r="R618" i="15" s="1"/>
  <c r="S621" i="15"/>
  <c r="S619" i="15" s="1"/>
  <c r="L622" i="15"/>
  <c r="O622" i="15" s="1"/>
  <c r="M622" i="15"/>
  <c r="P622" i="15" s="1"/>
  <c r="N622" i="15"/>
  <c r="Q622" i="15"/>
  <c r="R622" i="15"/>
  <c r="U622" i="15" s="1"/>
  <c r="S622" i="15"/>
  <c r="T622" i="15"/>
  <c r="O623" i="15"/>
  <c r="P623" i="15"/>
  <c r="T623" i="15"/>
  <c r="U623" i="15"/>
  <c r="O624" i="15"/>
  <c r="P624" i="15"/>
  <c r="T624" i="15"/>
  <c r="U624" i="15"/>
  <c r="I626" i="15"/>
  <c r="J626" i="15"/>
  <c r="J615" i="15" s="1"/>
  <c r="I627" i="15"/>
  <c r="K627" i="15" s="1"/>
  <c r="I628" i="15"/>
  <c r="K628" i="15" s="1"/>
  <c r="J632" i="15"/>
  <c r="I635" i="15"/>
  <c r="K635" i="15" s="1"/>
  <c r="J636" i="15"/>
  <c r="J635" i="15" s="1"/>
  <c r="N642" i="15"/>
  <c r="L643" i="15"/>
  <c r="O643" i="15" s="1"/>
  <c r="M643" i="15"/>
  <c r="N643" i="15"/>
  <c r="P643" i="15"/>
  <c r="Q643" i="15"/>
  <c r="R643" i="15"/>
  <c r="U643" i="15" s="1"/>
  <c r="S643" i="15"/>
  <c r="L644" i="15"/>
  <c r="M644" i="15"/>
  <c r="P644" i="15" s="1"/>
  <c r="N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R647" i="15"/>
  <c r="S647" i="15"/>
  <c r="S645" i="15" s="1"/>
  <c r="L648" i="15"/>
  <c r="O648" i="15" s="1"/>
  <c r="M648" i="15"/>
  <c r="P648" i="15" s="1"/>
  <c r="N648" i="15"/>
  <c r="Q648" i="15"/>
  <c r="T648" i="15" s="1"/>
  <c r="R648" i="15"/>
  <c r="U648" i="15" s="1"/>
  <c r="S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N690" i="15"/>
  <c r="L691" i="15"/>
  <c r="O691" i="15" s="1"/>
  <c r="M691" i="15"/>
  <c r="N691" i="15"/>
  <c r="P691" i="15"/>
  <c r="Q691" i="15"/>
  <c r="R691" i="15"/>
  <c r="U691" i="15" s="1"/>
  <c r="S691" i="15"/>
  <c r="L692" i="15"/>
  <c r="M692" i="15"/>
  <c r="P692" i="15" s="1"/>
  <c r="N692" i="15"/>
  <c r="L693" i="15"/>
  <c r="M693" i="15"/>
  <c r="P693" i="15" s="1"/>
  <c r="N693" i="15"/>
  <c r="O693" i="15"/>
  <c r="O694" i="15"/>
  <c r="P694" i="15"/>
  <c r="T694" i="15"/>
  <c r="U694" i="15"/>
  <c r="O695" i="15"/>
  <c r="P695" i="15"/>
  <c r="Q695" i="15"/>
  <c r="Q692" i="15" s="1"/>
  <c r="R695" i="15"/>
  <c r="R692" i="15" s="1"/>
  <c r="S695" i="15"/>
  <c r="S693" i="15" s="1"/>
  <c r="L696" i="15"/>
  <c r="O696" i="15" s="1"/>
  <c r="M696" i="15"/>
  <c r="P696" i="15" s="1"/>
  <c r="N696" i="15"/>
  <c r="Q696" i="15"/>
  <c r="T696" i="15" s="1"/>
  <c r="R696" i="15"/>
  <c r="U696" i="15" s="1"/>
  <c r="S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J707" i="15"/>
  <c r="J689" i="15" s="1"/>
  <c r="J708" i="15"/>
  <c r="K708" i="15"/>
  <c r="I709" i="15"/>
  <c r="J709" i="15"/>
  <c r="J710" i="15"/>
  <c r="K710" i="15"/>
  <c r="J712" i="15"/>
  <c r="K712" i="15"/>
  <c r="L714" i="15"/>
  <c r="O714" i="15" s="1"/>
  <c r="L715" i="15"/>
  <c r="M715" i="15"/>
  <c r="M714" i="15" s="1"/>
  <c r="P714" i="15" s="1"/>
  <c r="N715" i="15"/>
  <c r="N714" i="15" s="1"/>
  <c r="O715" i="15"/>
  <c r="Q715" i="15"/>
  <c r="R715" i="15"/>
  <c r="R714" i="15" s="1"/>
  <c r="U714" i="15" s="1"/>
  <c r="S715" i="15"/>
  <c r="T715" i="15"/>
  <c r="U715" i="15"/>
  <c r="L716" i="15"/>
  <c r="O716" i="15" s="1"/>
  <c r="M716" i="15"/>
  <c r="P716" i="15" s="1"/>
  <c r="N716" i="15"/>
  <c r="Q716" i="15"/>
  <c r="T716" i="15" s="1"/>
  <c r="R716" i="15"/>
  <c r="U716" i="15" s="1"/>
  <c r="S716" i="15"/>
  <c r="S714" i="15" s="1"/>
  <c r="L717" i="15"/>
  <c r="M717" i="15"/>
  <c r="P717" i="15" s="1"/>
  <c r="N717" i="15"/>
  <c r="O717" i="15"/>
  <c r="Q717" i="15"/>
  <c r="T717" i="15" s="1"/>
  <c r="R717" i="15"/>
  <c r="U717" i="15" s="1"/>
  <c r="S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P720" i="15" s="1"/>
  <c r="N720" i="15"/>
  <c r="Q720" i="15"/>
  <c r="R720" i="15"/>
  <c r="U720" i="15" s="1"/>
  <c r="S720" i="15"/>
  <c r="T720" i="15"/>
  <c r="O721" i="15"/>
  <c r="P721" i="15"/>
  <c r="T721" i="15"/>
  <c r="U721" i="15"/>
  <c r="O722" i="15"/>
  <c r="P722" i="15"/>
  <c r="T722" i="15"/>
  <c r="U722" i="15"/>
  <c r="I726" i="15"/>
  <c r="J726" i="15"/>
  <c r="I727" i="15"/>
  <c r="J727" i="15"/>
  <c r="L729" i="15"/>
  <c r="L728" i="15" s="1"/>
  <c r="O728" i="15" s="1"/>
  <c r="M729" i="15"/>
  <c r="P729" i="15" s="1"/>
  <c r="N729" i="15"/>
  <c r="N728" i="15" s="1"/>
  <c r="Q729" i="15"/>
  <c r="R729" i="15"/>
  <c r="U729" i="15" s="1"/>
  <c r="S729" i="15"/>
  <c r="T729" i="15"/>
  <c r="L730" i="15"/>
  <c r="O730" i="15" s="1"/>
  <c r="M730" i="15"/>
  <c r="N730" i="15"/>
  <c r="L731" i="15"/>
  <c r="M731" i="15"/>
  <c r="P731" i="15" s="1"/>
  <c r="N731" i="15"/>
  <c r="O731" i="15"/>
  <c r="O732" i="15"/>
  <c r="P732" i="15"/>
  <c r="T732" i="15"/>
  <c r="U732" i="15"/>
  <c r="O733" i="15"/>
  <c r="P733" i="15"/>
  <c r="Q733" i="15"/>
  <c r="Q731" i="15" s="1"/>
  <c r="R733" i="15"/>
  <c r="S733" i="15"/>
  <c r="L734" i="15"/>
  <c r="O734" i="15" s="1"/>
  <c r="M734" i="15"/>
  <c r="P734" i="15" s="1"/>
  <c r="N734" i="15"/>
  <c r="Q734" i="15"/>
  <c r="T734" i="15" s="1"/>
  <c r="R734" i="15"/>
  <c r="U734" i="15" s="1"/>
  <c r="S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M761" i="15"/>
  <c r="M760" i="15" s="1"/>
  <c r="P760" i="15" s="1"/>
  <c r="N761" i="15"/>
  <c r="N760" i="15" s="1"/>
  <c r="P761" i="15"/>
  <c r="Q761" i="15"/>
  <c r="R761" i="15"/>
  <c r="S761" i="15"/>
  <c r="T761" i="15"/>
  <c r="L762" i="15"/>
  <c r="O762" i="15" s="1"/>
  <c r="M762" i="15"/>
  <c r="P762" i="15" s="1"/>
  <c r="N762" i="15"/>
  <c r="L763" i="15"/>
  <c r="O763" i="15" s="1"/>
  <c r="M763" i="15"/>
  <c r="P763" i="15" s="1"/>
  <c r="N763" i="15"/>
  <c r="O764" i="15"/>
  <c r="P764" i="15"/>
  <c r="T764" i="15"/>
  <c r="U764" i="15"/>
  <c r="O765" i="15"/>
  <c r="P765" i="15"/>
  <c r="Q765" i="15"/>
  <c r="Q763" i="15" s="1"/>
  <c r="R765" i="15"/>
  <c r="R763" i="15" s="1"/>
  <c r="S765" i="15"/>
  <c r="L766" i="15"/>
  <c r="M766" i="15"/>
  <c r="P766" i="15" s="1"/>
  <c r="N766" i="15"/>
  <c r="O766" i="15"/>
  <c r="Q766" i="15"/>
  <c r="T766" i="15" s="1"/>
  <c r="R766" i="15"/>
  <c r="S766" i="15"/>
  <c r="U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I774" i="15"/>
  <c r="I759" i="15" s="1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L22" i="14"/>
  <c r="M22" i="14"/>
  <c r="N22" i="14"/>
  <c r="Q22" i="14"/>
  <c r="R22" i="14"/>
  <c r="S22" i="14"/>
  <c r="L25" i="14"/>
  <c r="M25" i="14"/>
  <c r="N25" i="14"/>
  <c r="Q25" i="14"/>
  <c r="R25" i="14"/>
  <c r="S25" i="14"/>
  <c r="Q26" i="14"/>
  <c r="R26" i="14"/>
  <c r="U26" i="14" s="1"/>
  <c r="S26" i="14"/>
  <c r="T26" i="14"/>
  <c r="L45" i="14"/>
  <c r="O45" i="14" s="1"/>
  <c r="M45" i="14"/>
  <c r="N45" i="14"/>
  <c r="Q45" i="14"/>
  <c r="R45" i="14"/>
  <c r="U45" i="14" s="1"/>
  <c r="S45" i="14"/>
  <c r="T45" i="14"/>
  <c r="Q46" i="14"/>
  <c r="R46" i="14"/>
  <c r="U46" i="14" s="1"/>
  <c r="S46" i="14"/>
  <c r="Q47" i="14"/>
  <c r="T47" i="14" s="1"/>
  <c r="R47" i="14"/>
  <c r="U47" i="14" s="1"/>
  <c r="S47" i="14"/>
  <c r="O48" i="14"/>
  <c r="P48" i="14"/>
  <c r="T48" i="14"/>
  <c r="U48" i="14"/>
  <c r="L49" i="14"/>
  <c r="M49" i="14"/>
  <c r="N49" i="14"/>
  <c r="N47" i="14" s="1"/>
  <c r="T49" i="14"/>
  <c r="U49" i="14"/>
  <c r="Q50" i="14"/>
  <c r="R50" i="14"/>
  <c r="S50" i="14"/>
  <c r="T50" i="14"/>
  <c r="U50" i="14"/>
  <c r="O51" i="14"/>
  <c r="P51" i="14"/>
  <c r="T51" i="14"/>
  <c r="U51" i="14"/>
  <c r="L52" i="14"/>
  <c r="M52" i="14"/>
  <c r="N52" i="14"/>
  <c r="N50" i="14" s="1"/>
  <c r="T52" i="14"/>
  <c r="U52" i="14"/>
  <c r="Q59" i="14"/>
  <c r="T59" i="14" s="1"/>
  <c r="R59" i="14"/>
  <c r="U59" i="14" s="1"/>
  <c r="L60" i="14"/>
  <c r="O60" i="14" s="1"/>
  <c r="M60" i="14"/>
  <c r="N60" i="14"/>
  <c r="Q60" i="14"/>
  <c r="R60" i="14"/>
  <c r="U60" i="14" s="1"/>
  <c r="S60" i="14"/>
  <c r="S59" i="14" s="1"/>
  <c r="T60" i="14"/>
  <c r="Q61" i="14"/>
  <c r="R61" i="14"/>
  <c r="S61" i="14"/>
  <c r="T61" i="14"/>
  <c r="U61" i="14"/>
  <c r="Q62" i="14"/>
  <c r="T62" i="14" s="1"/>
  <c r="R62" i="14"/>
  <c r="U62" i="14" s="1"/>
  <c r="S62" i="14"/>
  <c r="O63" i="14"/>
  <c r="P63" i="14"/>
  <c r="T63" i="14"/>
  <c r="U63" i="14"/>
  <c r="L64" i="14"/>
  <c r="L62" i="14" s="1"/>
  <c r="M64" i="14"/>
  <c r="M62" i="14" s="1"/>
  <c r="N64" i="14"/>
  <c r="N62" i="14" s="1"/>
  <c r="T64" i="14"/>
  <c r="U64" i="14"/>
  <c r="Q65" i="14"/>
  <c r="T65" i="14" s="1"/>
  <c r="R65" i="14"/>
  <c r="U65" i="14" s="1"/>
  <c r="S65" i="14"/>
  <c r="O66" i="14"/>
  <c r="P66" i="14"/>
  <c r="T66" i="14"/>
  <c r="U66" i="14"/>
  <c r="L67" i="14"/>
  <c r="M67" i="14"/>
  <c r="N67" i="14"/>
  <c r="N65" i="14" s="1"/>
  <c r="T67" i="14"/>
  <c r="U67" i="14"/>
  <c r="L73" i="14"/>
  <c r="M73" i="14"/>
  <c r="N73" i="14"/>
  <c r="O73" i="14"/>
  <c r="Q73" i="14"/>
  <c r="T73" i="14" s="1"/>
  <c r="R73" i="14"/>
  <c r="S73" i="14"/>
  <c r="U73" i="14"/>
  <c r="O76" i="14"/>
  <c r="P76" i="14"/>
  <c r="T76" i="14"/>
  <c r="U76" i="14"/>
  <c r="L77" i="14"/>
  <c r="O77" i="14" s="1"/>
  <c r="M77" i="14"/>
  <c r="M75" i="14" s="1"/>
  <c r="P75" i="14" s="1"/>
  <c r="N77" i="14"/>
  <c r="N75" i="14" s="1"/>
  <c r="Q77" i="14"/>
  <c r="Q74" i="14" s="1"/>
  <c r="T74" i="14" s="1"/>
  <c r="R77" i="14"/>
  <c r="R74" i="14" s="1"/>
  <c r="U74" i="14" s="1"/>
  <c r="S77" i="14"/>
  <c r="S75" i="14" s="1"/>
  <c r="Q78" i="14"/>
  <c r="T78" i="14" s="1"/>
  <c r="R78" i="14"/>
  <c r="U78" i="14" s="1"/>
  <c r="S78" i="14"/>
  <c r="O79" i="14"/>
  <c r="P79" i="14"/>
  <c r="T79" i="14"/>
  <c r="U79" i="14"/>
  <c r="L80" i="14"/>
  <c r="M80" i="14"/>
  <c r="M78" i="14" s="1"/>
  <c r="P78" i="14" s="1"/>
  <c r="N80" i="14"/>
  <c r="N78" i="14" s="1"/>
  <c r="T80" i="14"/>
  <c r="U80" i="14"/>
  <c r="J82" i="14"/>
  <c r="J70" i="14" s="1"/>
  <c r="J83" i="14"/>
  <c r="J71" i="14" s="1"/>
  <c r="I84" i="14"/>
  <c r="I85" i="14"/>
  <c r="K85" i="14" s="1"/>
  <c r="I86" i="14"/>
  <c r="K86" i="14" s="1"/>
  <c r="I87" i="14"/>
  <c r="K87" i="14" s="1"/>
  <c r="I88" i="14"/>
  <c r="K88" i="14" s="1"/>
  <c r="I89" i="14"/>
  <c r="I90" i="14"/>
  <c r="K90" i="14" s="1"/>
  <c r="J92" i="14"/>
  <c r="J93" i="14"/>
  <c r="L95" i="14"/>
  <c r="O95" i="14" s="1"/>
  <c r="M95" i="14"/>
  <c r="N95" i="14"/>
  <c r="P95" i="14"/>
  <c r="Q95" i="14"/>
  <c r="T95" i="14" s="1"/>
  <c r="R95" i="14"/>
  <c r="U95" i="14" s="1"/>
  <c r="S95" i="14"/>
  <c r="O98" i="14"/>
  <c r="P98" i="14"/>
  <c r="T98" i="14"/>
  <c r="U98" i="14"/>
  <c r="L99" i="14"/>
  <c r="M99" i="14"/>
  <c r="M97" i="14" s="1"/>
  <c r="P97" i="14" s="1"/>
  <c r="N99" i="14"/>
  <c r="N97" i="14" s="1"/>
  <c r="Q99" i="14"/>
  <c r="R99" i="14"/>
  <c r="R96" i="14" s="1"/>
  <c r="S99" i="14"/>
  <c r="Q100" i="14"/>
  <c r="R100" i="14"/>
  <c r="U100" i="14" s="1"/>
  <c r="S100" i="14"/>
  <c r="T100" i="14"/>
  <c r="O101" i="14"/>
  <c r="P101" i="14"/>
  <c r="T101" i="14"/>
  <c r="U101" i="14"/>
  <c r="L102" i="14"/>
  <c r="M102" i="14"/>
  <c r="N102" i="14"/>
  <c r="N100" i="14" s="1"/>
  <c r="T102" i="14"/>
  <c r="U102" i="14"/>
  <c r="I108" i="14"/>
  <c r="I92" i="14" s="1"/>
  <c r="I109" i="14"/>
  <c r="I93" i="14" s="1"/>
  <c r="I113" i="14"/>
  <c r="K113" i="14" s="1"/>
  <c r="I114" i="14"/>
  <c r="K114" i="14" s="1"/>
  <c r="J116" i="14"/>
  <c r="L118" i="14"/>
  <c r="M118" i="14"/>
  <c r="N118" i="14"/>
  <c r="Q118" i="14"/>
  <c r="R118" i="14"/>
  <c r="S118" i="14"/>
  <c r="O121" i="14"/>
  <c r="P121" i="14"/>
  <c r="T121" i="14"/>
  <c r="U121" i="14"/>
  <c r="L122" i="14"/>
  <c r="L120" i="14" s="1"/>
  <c r="O120" i="14" s="1"/>
  <c r="M122" i="14"/>
  <c r="P122" i="14" s="1"/>
  <c r="N122" i="14"/>
  <c r="N120" i="14" s="1"/>
  <c r="Q122" i="14"/>
  <c r="R122" i="14"/>
  <c r="R120" i="14" s="1"/>
  <c r="S122" i="14"/>
  <c r="S120" i="14" s="1"/>
  <c r="Q123" i="14"/>
  <c r="T123" i="14" s="1"/>
  <c r="R123" i="14"/>
  <c r="U123" i="14" s="1"/>
  <c r="S123" i="14"/>
  <c r="O124" i="14"/>
  <c r="P124" i="14"/>
  <c r="T124" i="14"/>
  <c r="U124" i="14"/>
  <c r="L125" i="14"/>
  <c r="L123" i="14" s="1"/>
  <c r="O123" i="14" s="1"/>
  <c r="M125" i="14"/>
  <c r="P125" i="14" s="1"/>
  <c r="N125" i="14"/>
  <c r="N123" i="14" s="1"/>
  <c r="T125" i="14"/>
  <c r="U125" i="14"/>
  <c r="I127" i="14"/>
  <c r="I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N140" i="14"/>
  <c r="P140" i="14"/>
  <c r="Q140" i="14"/>
  <c r="R140" i="14"/>
  <c r="S140" i="14"/>
  <c r="O143" i="14"/>
  <c r="P143" i="14"/>
  <c r="T143" i="14"/>
  <c r="U143" i="14"/>
  <c r="L144" i="14"/>
  <c r="M144" i="14"/>
  <c r="N144" i="14"/>
  <c r="Q144" i="14"/>
  <c r="Q142" i="14" s="1"/>
  <c r="T142" i="14" s="1"/>
  <c r="R144" i="14"/>
  <c r="R141" i="14" s="1"/>
  <c r="U141" i="14" s="1"/>
  <c r="S144" i="14"/>
  <c r="S142" i="14" s="1"/>
  <c r="Q145" i="14"/>
  <c r="R145" i="14"/>
  <c r="U145" i="14" s="1"/>
  <c r="S145" i="14"/>
  <c r="T145" i="14"/>
  <c r="O146" i="14"/>
  <c r="P146" i="14"/>
  <c r="T146" i="14"/>
  <c r="U146" i="14"/>
  <c r="L147" i="14"/>
  <c r="M147" i="14"/>
  <c r="N147" i="14"/>
  <c r="N145" i="14" s="1"/>
  <c r="T147" i="14"/>
  <c r="U147" i="14"/>
  <c r="I150" i="14"/>
  <c r="K150" i="14" s="1"/>
  <c r="I151" i="14"/>
  <c r="K151" i="14" s="1"/>
  <c r="I152" i="14"/>
  <c r="I137" i="14" s="1"/>
  <c r="K137" i="14" s="1"/>
  <c r="I153" i="14"/>
  <c r="K153" i="14" s="1"/>
  <c r="I154" i="14"/>
  <c r="K154" i="14" s="1"/>
  <c r="J156" i="14"/>
  <c r="L158" i="14"/>
  <c r="M158" i="14"/>
  <c r="N158" i="14"/>
  <c r="Q158" i="14"/>
  <c r="T158" i="14" s="1"/>
  <c r="R158" i="14"/>
  <c r="S158" i="14"/>
  <c r="O161" i="14"/>
  <c r="P161" i="14"/>
  <c r="T161" i="14"/>
  <c r="U161" i="14"/>
  <c r="L162" i="14"/>
  <c r="M162" i="14"/>
  <c r="N162" i="14"/>
  <c r="Q162" i="14"/>
  <c r="Q159" i="14" s="1"/>
  <c r="T159" i="14" s="1"/>
  <c r="R162" i="14"/>
  <c r="S162" i="14"/>
  <c r="S160" i="14" s="1"/>
  <c r="Q163" i="14"/>
  <c r="T163" i="14" s="1"/>
  <c r="R163" i="14"/>
  <c r="S163" i="14"/>
  <c r="U163" i="14"/>
  <c r="O164" i="14"/>
  <c r="P164" i="14"/>
  <c r="T164" i="14"/>
  <c r="U164" i="14"/>
  <c r="L165" i="14"/>
  <c r="M165" i="14"/>
  <c r="P165" i="14" s="1"/>
  <c r="N165" i="14"/>
  <c r="T165" i="14"/>
  <c r="U165" i="14"/>
  <c r="I167" i="14"/>
  <c r="K167" i="14" s="1"/>
  <c r="J172" i="14"/>
  <c r="L174" i="14"/>
  <c r="M174" i="14"/>
  <c r="N174" i="14"/>
  <c r="Q174" i="14"/>
  <c r="T174" i="14" s="1"/>
  <c r="R174" i="14"/>
  <c r="S174" i="14"/>
  <c r="O177" i="14"/>
  <c r="P177" i="14"/>
  <c r="T177" i="14"/>
  <c r="U177" i="14"/>
  <c r="L178" i="14"/>
  <c r="L176" i="14" s="1"/>
  <c r="M178" i="14"/>
  <c r="N178" i="14"/>
  <c r="Q178" i="14"/>
  <c r="R178" i="14"/>
  <c r="R176" i="14" s="1"/>
  <c r="U176" i="14" s="1"/>
  <c r="S178" i="14"/>
  <c r="S176" i="14" s="1"/>
  <c r="Q179" i="14"/>
  <c r="T179" i="14" s="1"/>
  <c r="R179" i="14"/>
  <c r="U179" i="14" s="1"/>
  <c r="S179" i="14"/>
  <c r="O180" i="14"/>
  <c r="P180" i="14"/>
  <c r="T180" i="14"/>
  <c r="U180" i="14"/>
  <c r="L181" i="14"/>
  <c r="L179" i="14" s="1"/>
  <c r="O179" i="14" s="1"/>
  <c r="M181" i="14"/>
  <c r="N181" i="14"/>
  <c r="N179" i="14" s="1"/>
  <c r="T181" i="14"/>
  <c r="U181" i="14"/>
  <c r="I183" i="14"/>
  <c r="I172" i="14" s="1"/>
  <c r="K172" i="14" s="1"/>
  <c r="K184" i="14"/>
  <c r="L187" i="14"/>
  <c r="O187" i="14" s="1"/>
  <c r="M187" i="14"/>
  <c r="P187" i="14" s="1"/>
  <c r="N187" i="14"/>
  <c r="Q187" i="14"/>
  <c r="R187" i="14"/>
  <c r="U187" i="14" s="1"/>
  <c r="S187" i="14"/>
  <c r="O190" i="14"/>
  <c r="P190" i="14"/>
  <c r="T190" i="14"/>
  <c r="U190" i="14"/>
  <c r="L191" i="14"/>
  <c r="M191" i="14"/>
  <c r="N191" i="14"/>
  <c r="Q191" i="14"/>
  <c r="R191" i="14"/>
  <c r="S191" i="14"/>
  <c r="S188" i="14" s="1"/>
  <c r="Q192" i="14"/>
  <c r="T192" i="14" s="1"/>
  <c r="R192" i="14"/>
  <c r="U192" i="14" s="1"/>
  <c r="S192" i="14"/>
  <c r="O193" i="14"/>
  <c r="P193" i="14"/>
  <c r="T193" i="14"/>
  <c r="U193" i="14"/>
  <c r="L194" i="14"/>
  <c r="M194" i="14"/>
  <c r="P194" i="14" s="1"/>
  <c r="N194" i="14"/>
  <c r="N192" i="14" s="1"/>
  <c r="T194" i="14"/>
  <c r="U194" i="14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L207" i="14"/>
  <c r="I209" i="14"/>
  <c r="K209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J231" i="14" s="1"/>
  <c r="J185" i="14" s="1"/>
  <c r="N243" i="14"/>
  <c r="P243" i="14"/>
  <c r="L244" i="14"/>
  <c r="L245" i="14"/>
  <c r="L246" i="14"/>
  <c r="L247" i="14"/>
  <c r="I249" i="14"/>
  <c r="K251" i="14"/>
  <c r="K252" i="14"/>
  <c r="J253" i="14"/>
  <c r="N254" i="14"/>
  <c r="N232" i="14" s="1"/>
  <c r="P254" i="14"/>
  <c r="L255" i="14"/>
  <c r="L256" i="14"/>
  <c r="L257" i="14"/>
  <c r="L258" i="14"/>
  <c r="I260" i="14"/>
  <c r="K262" i="14"/>
  <c r="K263" i="14"/>
  <c r="J265" i="14"/>
  <c r="L267" i="14"/>
  <c r="M267" i="14"/>
  <c r="N267" i="14"/>
  <c r="Q267" i="14"/>
  <c r="R267" i="14"/>
  <c r="S267" i="14"/>
  <c r="O270" i="14"/>
  <c r="P270" i="14"/>
  <c r="T270" i="14"/>
  <c r="U270" i="14"/>
  <c r="L271" i="14"/>
  <c r="M271" i="14"/>
  <c r="N271" i="14"/>
  <c r="N269" i="14" s="1"/>
  <c r="Q271" i="14"/>
  <c r="Q269" i="14" s="1"/>
  <c r="R271" i="14"/>
  <c r="R268" i="14" s="1"/>
  <c r="S271" i="14"/>
  <c r="S268" i="14" s="1"/>
  <c r="Q272" i="14"/>
  <c r="T272" i="14" s="1"/>
  <c r="R272" i="14"/>
  <c r="S272" i="14"/>
  <c r="U272" i="14"/>
  <c r="O273" i="14"/>
  <c r="P273" i="14"/>
  <c r="T273" i="14"/>
  <c r="U273" i="14"/>
  <c r="L274" i="14"/>
  <c r="O274" i="14" s="1"/>
  <c r="M274" i="14"/>
  <c r="N274" i="14"/>
  <c r="N272" i="14" s="1"/>
  <c r="T274" i="14"/>
  <c r="U274" i="14"/>
  <c r="I276" i="14"/>
  <c r="J280" i="14"/>
  <c r="J281" i="14"/>
  <c r="L283" i="14"/>
  <c r="M283" i="14"/>
  <c r="N283" i="14"/>
  <c r="Q283" i="14"/>
  <c r="R283" i="14"/>
  <c r="S283" i="14"/>
  <c r="Q284" i="14"/>
  <c r="T284" i="14" s="1"/>
  <c r="R284" i="14"/>
  <c r="U284" i="14" s="1"/>
  <c r="S284" i="14"/>
  <c r="Q285" i="14"/>
  <c r="T285" i="14" s="1"/>
  <c r="R285" i="14"/>
  <c r="U285" i="14" s="1"/>
  <c r="S285" i="14"/>
  <c r="O286" i="14"/>
  <c r="P286" i="14"/>
  <c r="T286" i="14"/>
  <c r="U286" i="14"/>
  <c r="L287" i="14"/>
  <c r="L285" i="14" s="1"/>
  <c r="O285" i="14" s="1"/>
  <c r="M287" i="14"/>
  <c r="M285" i="14" s="1"/>
  <c r="P285" i="14" s="1"/>
  <c r="N287" i="14"/>
  <c r="N285" i="14" s="1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M290" i="14"/>
  <c r="P290" i="14" s="1"/>
  <c r="N290" i="14"/>
  <c r="N288" i="14" s="1"/>
  <c r="T290" i="14"/>
  <c r="U290" i="14"/>
  <c r="I292" i="14"/>
  <c r="K292" i="14" s="1"/>
  <c r="I293" i="14"/>
  <c r="I280" i="14" s="1"/>
  <c r="K280" i="14" s="1"/>
  <c r="J293" i="14"/>
  <c r="I295" i="14"/>
  <c r="K295" i="14" s="1"/>
  <c r="I296" i="14"/>
  <c r="K296" i="14" s="1"/>
  <c r="J302" i="14"/>
  <c r="L304" i="14"/>
  <c r="M304" i="14"/>
  <c r="N304" i="14"/>
  <c r="Q304" i="14"/>
  <c r="T304" i="14" s="1"/>
  <c r="R304" i="14"/>
  <c r="S304" i="14"/>
  <c r="O307" i="14"/>
  <c r="P307" i="14"/>
  <c r="T307" i="14"/>
  <c r="U307" i="14"/>
  <c r="L308" i="14"/>
  <c r="M308" i="14"/>
  <c r="M306" i="14" s="1"/>
  <c r="P306" i="14" s="1"/>
  <c r="N308" i="14"/>
  <c r="N306" i="14" s="1"/>
  <c r="Q308" i="14"/>
  <c r="Q306" i="14" s="1"/>
  <c r="T306" i="14" s="1"/>
  <c r="R308" i="14"/>
  <c r="S308" i="14"/>
  <c r="S305" i="14" s="1"/>
  <c r="Q309" i="14"/>
  <c r="T309" i="14" s="1"/>
  <c r="R309" i="14"/>
  <c r="U309" i="14" s="1"/>
  <c r="S309" i="14"/>
  <c r="O310" i="14"/>
  <c r="P310" i="14"/>
  <c r="T310" i="14"/>
  <c r="U310" i="14"/>
  <c r="L311" i="14"/>
  <c r="L309" i="14" s="1"/>
  <c r="O309" i="14" s="1"/>
  <c r="M311" i="14"/>
  <c r="M309" i="14" s="1"/>
  <c r="P309" i="14" s="1"/>
  <c r="N311" i="14"/>
  <c r="N309" i="14" s="1"/>
  <c r="T311" i="14"/>
  <c r="U311" i="14"/>
  <c r="I314" i="14"/>
  <c r="J319" i="14"/>
  <c r="L321" i="14"/>
  <c r="M321" i="14"/>
  <c r="P321" i="14" s="1"/>
  <c r="N321" i="14"/>
  <c r="Q321" i="14"/>
  <c r="R321" i="14"/>
  <c r="R320" i="14" s="1"/>
  <c r="U320" i="14" s="1"/>
  <c r="S321" i="14"/>
  <c r="Q322" i="14"/>
  <c r="R322" i="14"/>
  <c r="U322" i="14" s="1"/>
  <c r="S322" i="14"/>
  <c r="T322" i="14"/>
  <c r="Q323" i="14"/>
  <c r="R323" i="14"/>
  <c r="S323" i="14"/>
  <c r="T323" i="14"/>
  <c r="U323" i="14"/>
  <c r="O324" i="14"/>
  <c r="P324" i="14"/>
  <c r="T324" i="14"/>
  <c r="U324" i="14"/>
  <c r="L325" i="14"/>
  <c r="M325" i="14"/>
  <c r="N325" i="14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L326" i="14" s="1"/>
  <c r="O326" i="14" s="1"/>
  <c r="M328" i="14"/>
  <c r="M326" i="14" s="1"/>
  <c r="P326" i="14" s="1"/>
  <c r="N328" i="14"/>
  <c r="N326" i="14" s="1"/>
  <c r="T328" i="14"/>
  <c r="U328" i="14"/>
  <c r="I330" i="14"/>
  <c r="K330" i="14" s="1"/>
  <c r="L334" i="14"/>
  <c r="M334" i="14"/>
  <c r="N334" i="14"/>
  <c r="Q334" i="14"/>
  <c r="R334" i="14"/>
  <c r="S334" i="14"/>
  <c r="Q335" i="14"/>
  <c r="T335" i="14" s="1"/>
  <c r="R335" i="14"/>
  <c r="U335" i="14" s="1"/>
  <c r="S335" i="14"/>
  <c r="Q336" i="14"/>
  <c r="T336" i="14" s="1"/>
  <c r="R336" i="14"/>
  <c r="U336" i="14" s="1"/>
  <c r="S336" i="14"/>
  <c r="O337" i="14"/>
  <c r="P337" i="14"/>
  <c r="T337" i="14"/>
  <c r="U337" i="14"/>
  <c r="L338" i="14"/>
  <c r="L336" i="14" s="1"/>
  <c r="M338" i="14"/>
  <c r="N338" i="14"/>
  <c r="T338" i="14"/>
  <c r="U338" i="14"/>
  <c r="Q339" i="14"/>
  <c r="R339" i="14"/>
  <c r="U339" i="14" s="1"/>
  <c r="S339" i="14"/>
  <c r="T339" i="14"/>
  <c r="O340" i="14"/>
  <c r="P340" i="14"/>
  <c r="T340" i="14"/>
  <c r="U340" i="14"/>
  <c r="L341" i="14"/>
  <c r="O341" i="14" s="1"/>
  <c r="M341" i="14"/>
  <c r="N341" i="14"/>
  <c r="N339" i="14" s="1"/>
  <c r="T341" i="14"/>
  <c r="U341" i="14"/>
  <c r="I344" i="14"/>
  <c r="I332" i="14" s="1"/>
  <c r="J344" i="14"/>
  <c r="I346" i="14"/>
  <c r="J346" i="14"/>
  <c r="J347" i="14"/>
  <c r="J348" i="14"/>
  <c r="J349" i="14"/>
  <c r="D350" i="14"/>
  <c r="J352" i="14"/>
  <c r="J353" i="14"/>
  <c r="J354" i="14"/>
  <c r="S356" i="14"/>
  <c r="L357" i="14"/>
  <c r="O357" i="14" s="1"/>
  <c r="M357" i="14"/>
  <c r="P357" i="14" s="1"/>
  <c r="N357" i="14"/>
  <c r="Q357" i="14"/>
  <c r="R357" i="14"/>
  <c r="U357" i="14" s="1"/>
  <c r="S357" i="14"/>
  <c r="Q358" i="14"/>
  <c r="T358" i="14" s="1"/>
  <c r="R358" i="14"/>
  <c r="U358" i="14" s="1"/>
  <c r="S358" i="14"/>
  <c r="Q359" i="14"/>
  <c r="R359" i="14"/>
  <c r="S359" i="14"/>
  <c r="T359" i="14"/>
  <c r="U359" i="14"/>
  <c r="O360" i="14"/>
  <c r="P360" i="14"/>
  <c r="T360" i="14"/>
  <c r="U360" i="14"/>
  <c r="L361" i="14"/>
  <c r="M361" i="14"/>
  <c r="M359" i="14" s="1"/>
  <c r="N361" i="14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L362" i="14" s="1"/>
  <c r="O362" i="14" s="1"/>
  <c r="M364" i="14"/>
  <c r="M362" i="14" s="1"/>
  <c r="P362" i="14" s="1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J374" i="14"/>
  <c r="L376" i="14"/>
  <c r="M376" i="14"/>
  <c r="M375" i="14" s="1"/>
  <c r="P375" i="14" s="1"/>
  <c r="N376" i="14"/>
  <c r="N375" i="14" s="1"/>
  <c r="O376" i="14"/>
  <c r="Q376" i="14"/>
  <c r="T376" i="14" s="1"/>
  <c r="R376" i="14"/>
  <c r="S376" i="14"/>
  <c r="U376" i="14"/>
  <c r="L377" i="14"/>
  <c r="M377" i="14"/>
  <c r="P377" i="14" s="1"/>
  <c r="N377" i="14"/>
  <c r="L378" i="14"/>
  <c r="O378" i="14" s="1"/>
  <c r="M378" i="14"/>
  <c r="P378" i="14" s="1"/>
  <c r="N378" i="14"/>
  <c r="O379" i="14"/>
  <c r="P379" i="14"/>
  <c r="T379" i="14"/>
  <c r="U379" i="14"/>
  <c r="O380" i="14"/>
  <c r="P380" i="14"/>
  <c r="Q380" i="14"/>
  <c r="Q377" i="14" s="1"/>
  <c r="T377" i="14" s="1"/>
  <c r="R380" i="14"/>
  <c r="R378" i="14" s="1"/>
  <c r="U378" i="14" s="1"/>
  <c r="S380" i="14"/>
  <c r="L381" i="14"/>
  <c r="O381" i="14" s="1"/>
  <c r="M381" i="14"/>
  <c r="P381" i="14" s="1"/>
  <c r="N381" i="14"/>
  <c r="Q381" i="14"/>
  <c r="T381" i="14" s="1"/>
  <c r="R381" i="14"/>
  <c r="U381" i="14" s="1"/>
  <c r="S381" i="14"/>
  <c r="O382" i="14"/>
  <c r="P382" i="14"/>
  <c r="T382" i="14"/>
  <c r="U382" i="14"/>
  <c r="O383" i="14"/>
  <c r="P383" i="14"/>
  <c r="T383" i="14"/>
  <c r="U383" i="14"/>
  <c r="I385" i="14"/>
  <c r="I386" i="14"/>
  <c r="K386" i="14" s="1"/>
  <c r="K387" i="14"/>
  <c r="K388" i="14"/>
  <c r="I391" i="14"/>
  <c r="J391" i="14"/>
  <c r="K391" i="14"/>
  <c r="N392" i="14"/>
  <c r="L393" i="14"/>
  <c r="M393" i="14"/>
  <c r="N393" i="14"/>
  <c r="O393" i="14"/>
  <c r="P393" i="14"/>
  <c r="Q393" i="14"/>
  <c r="T393" i="14" s="1"/>
  <c r="R393" i="14"/>
  <c r="S393" i="14"/>
  <c r="S392" i="14" s="1"/>
  <c r="U393" i="14"/>
  <c r="L394" i="14"/>
  <c r="O394" i="14" s="1"/>
  <c r="M394" i="14"/>
  <c r="P394" i="14" s="1"/>
  <c r="N394" i="14"/>
  <c r="Q394" i="14"/>
  <c r="T394" i="14" s="1"/>
  <c r="R394" i="14"/>
  <c r="U394" i="14" s="1"/>
  <c r="S394" i="14"/>
  <c r="L395" i="14"/>
  <c r="O395" i="14" s="1"/>
  <c r="M395" i="14"/>
  <c r="P395" i="14" s="1"/>
  <c r="N395" i="14"/>
  <c r="Q395" i="14"/>
  <c r="R395" i="14"/>
  <c r="U395" i="14" s="1"/>
  <c r="S395" i="14"/>
  <c r="T395" i="14"/>
  <c r="O396" i="14"/>
  <c r="P396" i="14"/>
  <c r="T396" i="14"/>
  <c r="U396" i="14"/>
  <c r="O397" i="14"/>
  <c r="P397" i="14"/>
  <c r="T397" i="14"/>
  <c r="U397" i="14"/>
  <c r="L398" i="14"/>
  <c r="O398" i="14" s="1"/>
  <c r="M398" i="14"/>
  <c r="P398" i="14" s="1"/>
  <c r="N398" i="14"/>
  <c r="Q398" i="14"/>
  <c r="R398" i="14"/>
  <c r="S398" i="14"/>
  <c r="T398" i="14"/>
  <c r="U398" i="14"/>
  <c r="O399" i="14"/>
  <c r="P399" i="14"/>
  <c r="T399" i="14"/>
  <c r="U399" i="14"/>
  <c r="O400" i="14"/>
  <c r="P400" i="14"/>
  <c r="T400" i="14"/>
  <c r="U400" i="14"/>
  <c r="L414" i="14"/>
  <c r="M414" i="14"/>
  <c r="N414" i="14"/>
  <c r="Q414" i="14"/>
  <c r="T414" i="14" s="1"/>
  <c r="R414" i="14"/>
  <c r="S414" i="14"/>
  <c r="L415" i="14"/>
  <c r="O415" i="14" s="1"/>
  <c r="M415" i="14"/>
  <c r="P415" i="14" s="1"/>
  <c r="N415" i="14"/>
  <c r="L416" i="14"/>
  <c r="O416" i="14" s="1"/>
  <c r="M416" i="14"/>
  <c r="P416" i="14" s="1"/>
  <c r="N416" i="14"/>
  <c r="O417" i="14"/>
  <c r="P417" i="14"/>
  <c r="T417" i="14"/>
  <c r="U417" i="14"/>
  <c r="O418" i="14"/>
  <c r="P418" i="14"/>
  <c r="Q418" i="14"/>
  <c r="Q415" i="14" s="1"/>
  <c r="T415" i="14" s="1"/>
  <c r="R418" i="14"/>
  <c r="S418" i="14"/>
  <c r="L419" i="14"/>
  <c r="O419" i="14" s="1"/>
  <c r="M419" i="14"/>
  <c r="P419" i="14" s="1"/>
  <c r="N419" i="14"/>
  <c r="Q419" i="14"/>
  <c r="T419" i="14" s="1"/>
  <c r="R419" i="14"/>
  <c r="U419" i="14" s="1"/>
  <c r="S419" i="14"/>
  <c r="O420" i="14"/>
  <c r="P420" i="14"/>
  <c r="T420" i="14"/>
  <c r="U420" i="14"/>
  <c r="O421" i="14"/>
  <c r="P421" i="14"/>
  <c r="T421" i="14"/>
  <c r="U421" i="14"/>
  <c r="J423" i="14"/>
  <c r="J412" i="14" s="1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23" i="14" s="1"/>
  <c r="I441" i="14"/>
  <c r="K441" i="14" s="1"/>
  <c r="J441" i="14"/>
  <c r="J446" i="14"/>
  <c r="J440" i="14" s="1"/>
  <c r="J447" i="14"/>
  <c r="I457" i="14"/>
  <c r="I458" i="14"/>
  <c r="K458" i="14" s="1"/>
  <c r="J459" i="14"/>
  <c r="J457" i="14" s="1"/>
  <c r="J456" i="14" s="1"/>
  <c r="J460" i="14"/>
  <c r="J458" i="14" s="1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J485" i="14"/>
  <c r="K485" i="14"/>
  <c r="N493" i="14"/>
  <c r="L494" i="14"/>
  <c r="O494" i="14" s="1"/>
  <c r="M494" i="14"/>
  <c r="N494" i="14"/>
  <c r="P494" i="14"/>
  <c r="Q494" i="14"/>
  <c r="R494" i="14"/>
  <c r="U494" i="14" s="1"/>
  <c r="S494" i="14"/>
  <c r="L495" i="14"/>
  <c r="O495" i="14" s="1"/>
  <c r="M495" i="14"/>
  <c r="P495" i="14" s="1"/>
  <c r="N495" i="14"/>
  <c r="L496" i="14"/>
  <c r="O496" i="14" s="1"/>
  <c r="M496" i="14"/>
  <c r="N496" i="14"/>
  <c r="P496" i="14"/>
  <c r="O497" i="14"/>
  <c r="P497" i="14"/>
  <c r="T497" i="14"/>
  <c r="U497" i="14"/>
  <c r="O498" i="14"/>
  <c r="P498" i="14"/>
  <c r="Q498" i="14"/>
  <c r="Q495" i="14" s="1"/>
  <c r="T495" i="14" s="1"/>
  <c r="R498" i="14"/>
  <c r="R495" i="14" s="1"/>
  <c r="U495" i="14" s="1"/>
  <c r="S498" i="14"/>
  <c r="S496" i="14" s="1"/>
  <c r="L499" i="14"/>
  <c r="O499" i="14" s="1"/>
  <c r="M499" i="14"/>
  <c r="P499" i="14" s="1"/>
  <c r="N499" i="14"/>
  <c r="Q499" i="14"/>
  <c r="T499" i="14" s="1"/>
  <c r="R499" i="14"/>
  <c r="U499" i="14" s="1"/>
  <c r="S499" i="14"/>
  <c r="O500" i="14"/>
  <c r="P500" i="14"/>
  <c r="T500" i="14"/>
  <c r="U500" i="14"/>
  <c r="O501" i="14"/>
  <c r="P501" i="14"/>
  <c r="T501" i="14"/>
  <c r="U501" i="14"/>
  <c r="I503" i="14"/>
  <c r="K503" i="14" s="1"/>
  <c r="I504" i="14"/>
  <c r="I505" i="14"/>
  <c r="K505" i="14" s="1"/>
  <c r="I506" i="14"/>
  <c r="K506" i="14" s="1"/>
  <c r="I507" i="14"/>
  <c r="K507" i="14" s="1"/>
  <c r="K508" i="14"/>
  <c r="I509" i="14"/>
  <c r="K509" i="14" s="1"/>
  <c r="I512" i="14"/>
  <c r="K512" i="14" s="1"/>
  <c r="J512" i="14"/>
  <c r="L514" i="14"/>
  <c r="O514" i="14" s="1"/>
  <c r="M514" i="14"/>
  <c r="P514" i="14" s="1"/>
  <c r="N514" i="14"/>
  <c r="Q514" i="14"/>
  <c r="T514" i="14" s="1"/>
  <c r="R514" i="14"/>
  <c r="S514" i="14"/>
  <c r="Q515" i="14"/>
  <c r="T515" i="14" s="1"/>
  <c r="R515" i="14"/>
  <c r="U515" i="14" s="1"/>
  <c r="S515" i="14"/>
  <c r="Q516" i="14"/>
  <c r="R516" i="14"/>
  <c r="U516" i="14" s="1"/>
  <c r="S516" i="14"/>
  <c r="T516" i="14"/>
  <c r="O517" i="14"/>
  <c r="P517" i="14"/>
  <c r="T517" i="14"/>
  <c r="U517" i="14"/>
  <c r="L518" i="14"/>
  <c r="L516" i="14" s="1"/>
  <c r="O516" i="14" s="1"/>
  <c r="M518" i="14"/>
  <c r="N518" i="14"/>
  <c r="N516" i="14" s="1"/>
  <c r="T518" i="14"/>
  <c r="U518" i="14"/>
  <c r="Q519" i="14"/>
  <c r="T519" i="14" s="1"/>
  <c r="R519" i="14"/>
  <c r="S519" i="14"/>
  <c r="U519" i="14"/>
  <c r="O520" i="14"/>
  <c r="P520" i="14"/>
  <c r="T520" i="14"/>
  <c r="U520" i="14"/>
  <c r="L521" i="14"/>
  <c r="O521" i="14" s="1"/>
  <c r="M521" i="14"/>
  <c r="P521" i="14" s="1"/>
  <c r="N521" i="14"/>
  <c r="N519" i="14" s="1"/>
  <c r="T521" i="14"/>
  <c r="U521" i="14"/>
  <c r="K523" i="14"/>
  <c r="K524" i="14"/>
  <c r="I533" i="14"/>
  <c r="J533" i="14"/>
  <c r="K533" i="14"/>
  <c r="L535" i="14"/>
  <c r="O535" i="14" s="1"/>
  <c r="M535" i="14"/>
  <c r="N535" i="14"/>
  <c r="N534" i="14" s="1"/>
  <c r="Q535" i="14"/>
  <c r="T535" i="14" s="1"/>
  <c r="R535" i="14"/>
  <c r="S535" i="14"/>
  <c r="S534" i="14" s="1"/>
  <c r="U535" i="14"/>
  <c r="L536" i="14"/>
  <c r="O536" i="14" s="1"/>
  <c r="M536" i="14"/>
  <c r="P536" i="14" s="1"/>
  <c r="N536" i="14"/>
  <c r="Q536" i="14"/>
  <c r="T536" i="14" s="1"/>
  <c r="R536" i="14"/>
  <c r="U536" i="14" s="1"/>
  <c r="S536" i="14"/>
  <c r="L537" i="14"/>
  <c r="M537" i="14"/>
  <c r="P537" i="14" s="1"/>
  <c r="N537" i="14"/>
  <c r="O537" i="14"/>
  <c r="Q537" i="14"/>
  <c r="T537" i="14" s="1"/>
  <c r="R537" i="14"/>
  <c r="U537" i="14" s="1"/>
  <c r="S537" i="14"/>
  <c r="O538" i="14"/>
  <c r="P538" i="14"/>
  <c r="T538" i="14"/>
  <c r="U538" i="14"/>
  <c r="O539" i="14"/>
  <c r="P539" i="14"/>
  <c r="T539" i="14"/>
  <c r="U539" i="14"/>
  <c r="L540" i="14"/>
  <c r="O540" i="14" s="1"/>
  <c r="M540" i="14"/>
  <c r="P540" i="14" s="1"/>
  <c r="N540" i="14"/>
  <c r="Q540" i="14"/>
  <c r="R540" i="14"/>
  <c r="U540" i="14" s="1"/>
  <c r="S540" i="14"/>
  <c r="T540" i="14"/>
  <c r="O541" i="14"/>
  <c r="P541" i="14"/>
  <c r="T541" i="14"/>
  <c r="U541" i="14"/>
  <c r="O542" i="14"/>
  <c r="P542" i="14"/>
  <c r="T542" i="14"/>
  <c r="U542" i="14"/>
  <c r="I554" i="14"/>
  <c r="K554" i="14" s="1"/>
  <c r="J554" i="14"/>
  <c r="L556" i="14"/>
  <c r="L555" i="14" s="1"/>
  <c r="O555" i="14" s="1"/>
  <c r="M556" i="14"/>
  <c r="N556" i="14"/>
  <c r="Q556" i="14"/>
  <c r="R556" i="14"/>
  <c r="R555" i="14" s="1"/>
  <c r="U555" i="14" s="1"/>
  <c r="S556" i="14"/>
  <c r="L557" i="14"/>
  <c r="M557" i="14"/>
  <c r="P557" i="14" s="1"/>
  <c r="N557" i="14"/>
  <c r="O557" i="14"/>
  <c r="Q557" i="14"/>
  <c r="R557" i="14"/>
  <c r="S557" i="14"/>
  <c r="T557" i="14"/>
  <c r="U557" i="14"/>
  <c r="L558" i="14"/>
  <c r="O558" i="14" s="1"/>
  <c r="M558" i="14"/>
  <c r="N558" i="14"/>
  <c r="P558" i="14"/>
  <c r="Q558" i="14"/>
  <c r="T558" i="14" s="1"/>
  <c r="R558" i="14"/>
  <c r="U558" i="14" s="1"/>
  <c r="S558" i="14"/>
  <c r="O559" i="14"/>
  <c r="P559" i="14"/>
  <c r="T559" i="14"/>
  <c r="U559" i="14"/>
  <c r="O560" i="14"/>
  <c r="P560" i="14"/>
  <c r="T560" i="14"/>
  <c r="U560" i="14"/>
  <c r="L561" i="14"/>
  <c r="O561" i="14" s="1"/>
  <c r="M561" i="14"/>
  <c r="P561" i="14" s="1"/>
  <c r="N561" i="14"/>
  <c r="Q561" i="14"/>
  <c r="T561" i="14" s="1"/>
  <c r="R561" i="14"/>
  <c r="U561" i="14" s="1"/>
  <c r="S561" i="14"/>
  <c r="O562" i="14"/>
  <c r="P562" i="14"/>
  <c r="T562" i="14"/>
  <c r="U562" i="14"/>
  <c r="O563" i="14"/>
  <c r="P563" i="14"/>
  <c r="T563" i="14"/>
  <c r="U563" i="14"/>
  <c r="I575" i="14"/>
  <c r="K575" i="14" s="1"/>
  <c r="J575" i="14"/>
  <c r="M576" i="14"/>
  <c r="P576" i="14" s="1"/>
  <c r="N576" i="14"/>
  <c r="L577" i="14"/>
  <c r="M577" i="14"/>
  <c r="N577" i="14"/>
  <c r="O577" i="14"/>
  <c r="P577" i="14"/>
  <c r="Q577" i="14"/>
  <c r="T577" i="14" s="1"/>
  <c r="R577" i="14"/>
  <c r="U577" i="14" s="1"/>
  <c r="S577" i="14"/>
  <c r="S576" i="14" s="1"/>
  <c r="L578" i="14"/>
  <c r="O578" i="14" s="1"/>
  <c r="M578" i="14"/>
  <c r="P578" i="14" s="1"/>
  <c r="N578" i="14"/>
  <c r="Q578" i="14"/>
  <c r="T578" i="14" s="1"/>
  <c r="R578" i="14"/>
  <c r="U578" i="14" s="1"/>
  <c r="S578" i="14"/>
  <c r="L579" i="14"/>
  <c r="O579" i="14" s="1"/>
  <c r="M579" i="14"/>
  <c r="P579" i="14" s="1"/>
  <c r="N579" i="14"/>
  <c r="Q579" i="14"/>
  <c r="R579" i="14"/>
  <c r="U579" i="14" s="1"/>
  <c r="S579" i="14"/>
  <c r="T579" i="14"/>
  <c r="O580" i="14"/>
  <c r="P580" i="14"/>
  <c r="T580" i="14"/>
  <c r="U580" i="14"/>
  <c r="O581" i="14"/>
  <c r="P581" i="14"/>
  <c r="T581" i="14"/>
  <c r="U581" i="14"/>
  <c r="L582" i="14"/>
  <c r="M582" i="14"/>
  <c r="P582" i="14" s="1"/>
  <c r="N582" i="14"/>
  <c r="O582" i="14"/>
  <c r="Q582" i="14"/>
  <c r="R582" i="14"/>
  <c r="S582" i="14"/>
  <c r="T582" i="14"/>
  <c r="U582" i="14"/>
  <c r="O583" i="14"/>
  <c r="P583" i="14"/>
  <c r="T583" i="14"/>
  <c r="U583" i="14"/>
  <c r="O584" i="14"/>
  <c r="P584" i="14"/>
  <c r="T584" i="14"/>
  <c r="U584" i="14"/>
  <c r="S599" i="14"/>
  <c r="L600" i="14"/>
  <c r="O600" i="14" s="1"/>
  <c r="M600" i="14"/>
  <c r="M599" i="14" s="1"/>
  <c r="P599" i="14" s="1"/>
  <c r="N600" i="14"/>
  <c r="P600" i="14"/>
  <c r="Q600" i="14"/>
  <c r="T600" i="14" s="1"/>
  <c r="R600" i="14"/>
  <c r="U600" i="14" s="1"/>
  <c r="S600" i="14"/>
  <c r="L601" i="14"/>
  <c r="O601" i="14" s="1"/>
  <c r="M601" i="14"/>
  <c r="P601" i="14" s="1"/>
  <c r="N601" i="14"/>
  <c r="Q601" i="14"/>
  <c r="T601" i="14" s="1"/>
  <c r="R601" i="14"/>
  <c r="U601" i="14" s="1"/>
  <c r="S601" i="14"/>
  <c r="L602" i="14"/>
  <c r="M602" i="14"/>
  <c r="P602" i="14" s="1"/>
  <c r="N602" i="14"/>
  <c r="O602" i="14"/>
  <c r="Q602" i="14"/>
  <c r="R602" i="14"/>
  <c r="S602" i="14"/>
  <c r="T602" i="14"/>
  <c r="U602" i="14"/>
  <c r="O603" i="14"/>
  <c r="P603" i="14"/>
  <c r="T603" i="14"/>
  <c r="U603" i="14"/>
  <c r="O604" i="14"/>
  <c r="P604" i="14"/>
  <c r="T604" i="14"/>
  <c r="U604" i="14"/>
  <c r="L605" i="14"/>
  <c r="M605" i="14"/>
  <c r="P605" i="14" s="1"/>
  <c r="N605" i="14"/>
  <c r="O605" i="14"/>
  <c r="Q605" i="14"/>
  <c r="T605" i="14" s="1"/>
  <c r="R605" i="14"/>
  <c r="S605" i="14"/>
  <c r="U605" i="14"/>
  <c r="O606" i="14"/>
  <c r="P606" i="14"/>
  <c r="T606" i="14"/>
  <c r="U606" i="14"/>
  <c r="O607" i="14"/>
  <c r="P607" i="14"/>
  <c r="T607" i="14"/>
  <c r="U607" i="14"/>
  <c r="L617" i="14"/>
  <c r="M617" i="14"/>
  <c r="N617" i="14"/>
  <c r="Q617" i="14"/>
  <c r="R617" i="14"/>
  <c r="S617" i="14"/>
  <c r="L618" i="14"/>
  <c r="M618" i="14"/>
  <c r="N618" i="14"/>
  <c r="N616" i="14" s="1"/>
  <c r="O618" i="14"/>
  <c r="P618" i="14"/>
  <c r="L619" i="14"/>
  <c r="O619" i="14" s="1"/>
  <c r="M619" i="14"/>
  <c r="N619" i="14"/>
  <c r="P619" i="14"/>
  <c r="O620" i="14"/>
  <c r="P620" i="14"/>
  <c r="T620" i="14"/>
  <c r="U620" i="14"/>
  <c r="O621" i="14"/>
  <c r="P621" i="14"/>
  <c r="Q621" i="14"/>
  <c r="Q618" i="14" s="1"/>
  <c r="R621" i="14"/>
  <c r="S621" i="14"/>
  <c r="S618" i="14" s="1"/>
  <c r="L622" i="14"/>
  <c r="O622" i="14" s="1"/>
  <c r="M622" i="14"/>
  <c r="P622" i="14" s="1"/>
  <c r="N622" i="14"/>
  <c r="Q622" i="14"/>
  <c r="R622" i="14"/>
  <c r="U622" i="14" s="1"/>
  <c r="S622" i="14"/>
  <c r="T622" i="14"/>
  <c r="O623" i="14"/>
  <c r="P623" i="14"/>
  <c r="T623" i="14"/>
  <c r="U623" i="14"/>
  <c r="O624" i="14"/>
  <c r="P624" i="14"/>
  <c r="T624" i="14"/>
  <c r="U624" i="14"/>
  <c r="I626" i="14"/>
  <c r="I615" i="14" s="1"/>
  <c r="J626" i="14"/>
  <c r="J615" i="14" s="1"/>
  <c r="I627" i="14"/>
  <c r="K627" i="14" s="1"/>
  <c r="I628" i="14"/>
  <c r="K628" i="14" s="1"/>
  <c r="J632" i="14"/>
  <c r="I635" i="14"/>
  <c r="K635" i="14" s="1"/>
  <c r="J636" i="14"/>
  <c r="J635" i="14" s="1"/>
  <c r="L643" i="14"/>
  <c r="M643" i="14"/>
  <c r="P643" i="14" s="1"/>
  <c r="N643" i="14"/>
  <c r="Q643" i="14"/>
  <c r="R643" i="14"/>
  <c r="S643" i="14"/>
  <c r="L644" i="14"/>
  <c r="M644" i="14"/>
  <c r="P644" i="14" s="1"/>
  <c r="N644" i="14"/>
  <c r="O644" i="14"/>
  <c r="L645" i="14"/>
  <c r="O645" i="14" s="1"/>
  <c r="M645" i="14"/>
  <c r="N645" i="14"/>
  <c r="P645" i="14"/>
  <c r="O646" i="14"/>
  <c r="P646" i="14"/>
  <c r="T646" i="14"/>
  <c r="U646" i="14"/>
  <c r="O647" i="14"/>
  <c r="P647" i="14"/>
  <c r="Q647" i="14"/>
  <c r="R647" i="14"/>
  <c r="R644" i="14" s="1"/>
  <c r="S647" i="14"/>
  <c r="S644" i="14" s="1"/>
  <c r="L648" i="14"/>
  <c r="O648" i="14" s="1"/>
  <c r="M648" i="14"/>
  <c r="P648" i="14" s="1"/>
  <c r="N648" i="14"/>
  <c r="Q648" i="14"/>
  <c r="R648" i="14"/>
  <c r="U648" i="14" s="1"/>
  <c r="S648" i="14"/>
  <c r="T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I675" i="14"/>
  <c r="I676" i="14"/>
  <c r="J676" i="14"/>
  <c r="J677" i="14"/>
  <c r="I678" i="14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P691" i="14" s="1"/>
  <c r="N691" i="14"/>
  <c r="Q691" i="14"/>
  <c r="R691" i="14"/>
  <c r="S691" i="14"/>
  <c r="L692" i="14"/>
  <c r="O692" i="14" s="1"/>
  <c r="M692" i="14"/>
  <c r="P692" i="14" s="1"/>
  <c r="N692" i="14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R695" i="14"/>
  <c r="R692" i="14" s="1"/>
  <c r="S695" i="14"/>
  <c r="S692" i="14" s="1"/>
  <c r="L696" i="14"/>
  <c r="O696" i="14" s="1"/>
  <c r="M696" i="14"/>
  <c r="P696" i="14" s="1"/>
  <c r="N696" i="14"/>
  <c r="Q696" i="14"/>
  <c r="R696" i="14"/>
  <c r="U696" i="14" s="1"/>
  <c r="S696" i="14"/>
  <c r="T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J707" i="14"/>
  <c r="J689" i="14" s="1"/>
  <c r="J708" i="14"/>
  <c r="K708" i="14"/>
  <c r="I709" i="14"/>
  <c r="J709" i="14"/>
  <c r="J710" i="14"/>
  <c r="K710" i="14"/>
  <c r="J712" i="14"/>
  <c r="K712" i="14"/>
  <c r="M714" i="14"/>
  <c r="P714" i="14" s="1"/>
  <c r="L715" i="14"/>
  <c r="M715" i="14"/>
  <c r="N715" i="14"/>
  <c r="N714" i="14" s="1"/>
  <c r="O715" i="14"/>
  <c r="P715" i="14"/>
  <c r="Q715" i="14"/>
  <c r="T715" i="14" s="1"/>
  <c r="R715" i="14"/>
  <c r="S715" i="14"/>
  <c r="S714" i="14" s="1"/>
  <c r="U715" i="14"/>
  <c r="L716" i="14"/>
  <c r="O716" i="14" s="1"/>
  <c r="M716" i="14"/>
  <c r="P716" i="14" s="1"/>
  <c r="N716" i="14"/>
  <c r="Q716" i="14"/>
  <c r="T716" i="14" s="1"/>
  <c r="R716" i="14"/>
  <c r="U716" i="14" s="1"/>
  <c r="S716" i="14"/>
  <c r="L717" i="14"/>
  <c r="O717" i="14" s="1"/>
  <c r="M717" i="14"/>
  <c r="P717" i="14" s="1"/>
  <c r="N717" i="14"/>
  <c r="Q717" i="14"/>
  <c r="R717" i="14"/>
  <c r="U717" i="14" s="1"/>
  <c r="S717" i="14"/>
  <c r="T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R720" i="14"/>
  <c r="S720" i="14"/>
  <c r="T720" i="14"/>
  <c r="U720" i="14"/>
  <c r="O721" i="14"/>
  <c r="P721" i="14"/>
  <c r="T721" i="14"/>
  <c r="U721" i="14"/>
  <c r="O722" i="14"/>
  <c r="P722" i="14"/>
  <c r="T722" i="14"/>
  <c r="U722" i="14"/>
  <c r="I726" i="14"/>
  <c r="J726" i="14"/>
  <c r="I727" i="14"/>
  <c r="K727" i="14" s="1"/>
  <c r="J727" i="14"/>
  <c r="L729" i="14"/>
  <c r="M729" i="14"/>
  <c r="M728" i="14" s="1"/>
  <c r="P728" i="14" s="1"/>
  <c r="N729" i="14"/>
  <c r="O729" i="14"/>
  <c r="P729" i="14"/>
  <c r="Q729" i="14"/>
  <c r="T729" i="14" s="1"/>
  <c r="R729" i="14"/>
  <c r="U729" i="14" s="1"/>
  <c r="S729" i="14"/>
  <c r="L730" i="14"/>
  <c r="O730" i="14" s="1"/>
  <c r="M730" i="14"/>
  <c r="P730" i="14" s="1"/>
  <c r="N730" i="14"/>
  <c r="N728" i="14" s="1"/>
  <c r="L731" i="14"/>
  <c r="M731" i="14"/>
  <c r="P731" i="14" s="1"/>
  <c r="N731" i="14"/>
  <c r="O731" i="14"/>
  <c r="O732" i="14"/>
  <c r="P732" i="14"/>
  <c r="T732" i="14"/>
  <c r="U732" i="14"/>
  <c r="O733" i="14"/>
  <c r="P733" i="14"/>
  <c r="Q733" i="14"/>
  <c r="Q730" i="14" s="1"/>
  <c r="R733" i="14"/>
  <c r="S733" i="14"/>
  <c r="L734" i="14"/>
  <c r="O734" i="14" s="1"/>
  <c r="M734" i="14"/>
  <c r="N734" i="14"/>
  <c r="P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O761" i="14" s="1"/>
  <c r="M761" i="14"/>
  <c r="P761" i="14" s="1"/>
  <c r="N761" i="14"/>
  <c r="N760" i="14" s="1"/>
  <c r="Q761" i="14"/>
  <c r="R761" i="14"/>
  <c r="U761" i="14" s="1"/>
  <c r="S761" i="14"/>
  <c r="L762" i="14"/>
  <c r="M762" i="14"/>
  <c r="P762" i="14" s="1"/>
  <c r="N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2" i="14" s="1"/>
  <c r="T762" i="14" s="1"/>
  <c r="R765" i="14"/>
  <c r="R762" i="14" s="1"/>
  <c r="S765" i="14"/>
  <c r="S763" i="14" s="1"/>
  <c r="L766" i="14"/>
  <c r="O766" i="14" s="1"/>
  <c r="M766" i="14"/>
  <c r="P766" i="14" s="1"/>
  <c r="N766" i="14"/>
  <c r="Q766" i="14"/>
  <c r="T766" i="14" s="1"/>
  <c r="R766" i="14"/>
  <c r="U766" i="14" s="1"/>
  <c r="S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K772" i="14" s="1"/>
  <c r="I774" i="14"/>
  <c r="I759" i="14" s="1"/>
  <c r="K759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L22" i="13"/>
  <c r="M22" i="13"/>
  <c r="N22" i="13"/>
  <c r="N19" i="13" s="1"/>
  <c r="Q22" i="13"/>
  <c r="R22" i="13"/>
  <c r="S22" i="13"/>
  <c r="L25" i="13"/>
  <c r="M25" i="13"/>
  <c r="N25" i="13"/>
  <c r="Q25" i="13"/>
  <c r="Q24" i="13" s="1"/>
  <c r="T24" i="13" s="1"/>
  <c r="R25" i="13"/>
  <c r="S25" i="13"/>
  <c r="Q26" i="13"/>
  <c r="T26" i="13" s="1"/>
  <c r="R26" i="13"/>
  <c r="U26" i="13" s="1"/>
  <c r="S26" i="13"/>
  <c r="L45" i="13"/>
  <c r="O45" i="13" s="1"/>
  <c r="M45" i="13"/>
  <c r="N45" i="13"/>
  <c r="Q45" i="13"/>
  <c r="Q44" i="13" s="1"/>
  <c r="T44" i="13" s="1"/>
  <c r="R45" i="13"/>
  <c r="U45" i="13" s="1"/>
  <c r="S45" i="13"/>
  <c r="T45" i="13"/>
  <c r="Q46" i="13"/>
  <c r="T46" i="13" s="1"/>
  <c r="R46" i="13"/>
  <c r="U46" i="13" s="1"/>
  <c r="S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N47" i="13" s="1"/>
  <c r="T49" i="13"/>
  <c r="U49" i="13"/>
  <c r="Q50" i="13"/>
  <c r="T50" i="13" s="1"/>
  <c r="R50" i="13"/>
  <c r="U50" i="13" s="1"/>
  <c r="S50" i="13"/>
  <c r="O51" i="13"/>
  <c r="P51" i="13"/>
  <c r="T51" i="13"/>
  <c r="U51" i="13"/>
  <c r="L52" i="13"/>
  <c r="M52" i="13"/>
  <c r="N52" i="13"/>
  <c r="N50" i="13" s="1"/>
  <c r="T52" i="13"/>
  <c r="U52" i="13"/>
  <c r="L60" i="13"/>
  <c r="M60" i="13"/>
  <c r="N60" i="13"/>
  <c r="O60" i="13"/>
  <c r="Q60" i="13"/>
  <c r="Q59" i="13" s="1"/>
  <c r="T59" i="13" s="1"/>
  <c r="R60" i="13"/>
  <c r="R59" i="13" s="1"/>
  <c r="U59" i="13" s="1"/>
  <c r="S60" i="13"/>
  <c r="S59" i="13" s="1"/>
  <c r="T60" i="13"/>
  <c r="U60" i="13"/>
  <c r="Q61" i="13"/>
  <c r="T61" i="13" s="1"/>
  <c r="R61" i="13"/>
  <c r="S61" i="13"/>
  <c r="U61" i="13"/>
  <c r="Q62" i="13"/>
  <c r="T62" i="13" s="1"/>
  <c r="R62" i="13"/>
  <c r="U62" i="13" s="1"/>
  <c r="S62" i="13"/>
  <c r="O63" i="13"/>
  <c r="P63" i="13"/>
  <c r="T63" i="13"/>
  <c r="U63" i="13"/>
  <c r="L64" i="13"/>
  <c r="M64" i="13"/>
  <c r="M62" i="13" s="1"/>
  <c r="N64" i="13"/>
  <c r="T64" i="13"/>
  <c r="U64" i="13"/>
  <c r="Q65" i="13"/>
  <c r="R65" i="13"/>
  <c r="U65" i="13" s="1"/>
  <c r="S65" i="13"/>
  <c r="T65" i="13"/>
  <c r="O66" i="13"/>
  <c r="P66" i="13"/>
  <c r="T66" i="13"/>
  <c r="U66" i="13"/>
  <c r="L67" i="13"/>
  <c r="M67" i="13"/>
  <c r="N67" i="13"/>
  <c r="N65" i="13" s="1"/>
  <c r="T67" i="13"/>
  <c r="U67" i="13"/>
  <c r="L73" i="13"/>
  <c r="M73" i="13"/>
  <c r="N73" i="13"/>
  <c r="O73" i="13"/>
  <c r="Q73" i="13"/>
  <c r="R73" i="13"/>
  <c r="S73" i="13"/>
  <c r="T73" i="13"/>
  <c r="U73" i="13"/>
  <c r="O76" i="13"/>
  <c r="P76" i="13"/>
  <c r="T76" i="13"/>
  <c r="U76" i="13"/>
  <c r="L77" i="13"/>
  <c r="M77" i="13"/>
  <c r="M75" i="13" s="1"/>
  <c r="N77" i="13"/>
  <c r="Q77" i="13"/>
  <c r="Q74" i="13" s="1"/>
  <c r="R77" i="13"/>
  <c r="S77" i="13"/>
  <c r="S75" i="13" s="1"/>
  <c r="Q78" i="13"/>
  <c r="T78" i="13" s="1"/>
  <c r="R78" i="13"/>
  <c r="U78" i="13" s="1"/>
  <c r="S78" i="13"/>
  <c r="O79" i="13"/>
  <c r="P79" i="13"/>
  <c r="T79" i="13"/>
  <c r="U79" i="13"/>
  <c r="L80" i="13"/>
  <c r="M80" i="13"/>
  <c r="M78" i="13" s="1"/>
  <c r="P78" i="13" s="1"/>
  <c r="N80" i="13"/>
  <c r="N78" i="13" s="1"/>
  <c r="T80" i="13"/>
  <c r="U80" i="13"/>
  <c r="J82" i="13"/>
  <c r="J70" i="13" s="1"/>
  <c r="J83" i="13"/>
  <c r="J71" i="13" s="1"/>
  <c r="I84" i="13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O95" i="13"/>
  <c r="Q95" i="13"/>
  <c r="R95" i="13"/>
  <c r="S95" i="13"/>
  <c r="O98" i="13"/>
  <c r="P98" i="13"/>
  <c r="T98" i="13"/>
  <c r="U98" i="13"/>
  <c r="L99" i="13"/>
  <c r="M99" i="13"/>
  <c r="P99" i="13" s="1"/>
  <c r="N99" i="13"/>
  <c r="Q99" i="13"/>
  <c r="Q97" i="13" s="1"/>
  <c r="T97" i="13" s="1"/>
  <c r="R99" i="13"/>
  <c r="R96" i="13" s="1"/>
  <c r="U96" i="13" s="1"/>
  <c r="S99" i="13"/>
  <c r="Q100" i="13"/>
  <c r="R100" i="13"/>
  <c r="U100" i="13" s="1"/>
  <c r="S100" i="13"/>
  <c r="T100" i="13"/>
  <c r="O101" i="13"/>
  <c r="P101" i="13"/>
  <c r="T101" i="13"/>
  <c r="U101" i="13"/>
  <c r="L102" i="13"/>
  <c r="O102" i="13" s="1"/>
  <c r="M102" i="13"/>
  <c r="M100" i="13" s="1"/>
  <c r="P100" i="13" s="1"/>
  <c r="N102" i="13"/>
  <c r="N100" i="13" s="1"/>
  <c r="T102" i="13"/>
  <c r="U102" i="13"/>
  <c r="I108" i="13"/>
  <c r="I109" i="13"/>
  <c r="I93" i="13" s="1"/>
  <c r="K93" i="13" s="1"/>
  <c r="I114" i="13"/>
  <c r="K114" i="13" s="1"/>
  <c r="J116" i="13"/>
  <c r="L118" i="13"/>
  <c r="M118" i="13"/>
  <c r="P118" i="13" s="1"/>
  <c r="N118" i="13"/>
  <c r="Q118" i="13"/>
  <c r="R118" i="13"/>
  <c r="U118" i="13" s="1"/>
  <c r="S118" i="13"/>
  <c r="T118" i="13"/>
  <c r="O121" i="13"/>
  <c r="P121" i="13"/>
  <c r="T121" i="13"/>
  <c r="U121" i="13"/>
  <c r="L122" i="13"/>
  <c r="M122" i="13"/>
  <c r="N122" i="13"/>
  <c r="N120" i="13" s="1"/>
  <c r="Q122" i="13"/>
  <c r="Q120" i="13" s="1"/>
  <c r="R122" i="13"/>
  <c r="R119" i="13" s="1"/>
  <c r="S122" i="13"/>
  <c r="Q123" i="13"/>
  <c r="R123" i="13"/>
  <c r="S123" i="13"/>
  <c r="T123" i="13"/>
  <c r="U123" i="13"/>
  <c r="O124" i="13"/>
  <c r="P124" i="13"/>
  <c r="T124" i="13"/>
  <c r="U124" i="13"/>
  <c r="L125" i="13"/>
  <c r="M125" i="13"/>
  <c r="P125" i="13" s="1"/>
  <c r="N125" i="13"/>
  <c r="N123" i="13" s="1"/>
  <c r="T125" i="13"/>
  <c r="U125" i="13"/>
  <c r="I127" i="13"/>
  <c r="K127" i="13" s="1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P140" i="13" s="1"/>
  <c r="N140" i="13"/>
  <c r="O140" i="13"/>
  <c r="Q140" i="13"/>
  <c r="R140" i="13"/>
  <c r="U140" i="13" s="1"/>
  <c r="S140" i="13"/>
  <c r="T140" i="13"/>
  <c r="O143" i="13"/>
  <c r="P143" i="13"/>
  <c r="T143" i="13"/>
  <c r="U143" i="13"/>
  <c r="L144" i="13"/>
  <c r="L142" i="13" s="1"/>
  <c r="O142" i="13" s="1"/>
  <c r="M144" i="13"/>
  <c r="N144" i="13"/>
  <c r="N142" i="13" s="1"/>
  <c r="Q144" i="13"/>
  <c r="Q141" i="13" s="1"/>
  <c r="R144" i="13"/>
  <c r="R142" i="13" s="1"/>
  <c r="U142" i="13" s="1"/>
  <c r="S144" i="13"/>
  <c r="S141" i="13" s="1"/>
  <c r="Q145" i="13"/>
  <c r="T145" i="13" s="1"/>
  <c r="R145" i="13"/>
  <c r="U145" i="13" s="1"/>
  <c r="S145" i="13"/>
  <c r="O146" i="13"/>
  <c r="P146" i="13"/>
  <c r="T146" i="13"/>
  <c r="U146" i="13"/>
  <c r="L147" i="13"/>
  <c r="M147" i="13"/>
  <c r="N147" i="13"/>
  <c r="N145" i="13" s="1"/>
  <c r="T147" i="13"/>
  <c r="U147" i="13"/>
  <c r="I150" i="13"/>
  <c r="K150" i="13" s="1"/>
  <c r="I151" i="13"/>
  <c r="K151" i="13" s="1"/>
  <c r="I152" i="13"/>
  <c r="I153" i="13"/>
  <c r="I138" i="13" s="1"/>
  <c r="K138" i="13" s="1"/>
  <c r="I154" i="13"/>
  <c r="J156" i="13"/>
  <c r="L158" i="13"/>
  <c r="M158" i="13"/>
  <c r="P158" i="13" s="1"/>
  <c r="N158" i="13"/>
  <c r="Q158" i="13"/>
  <c r="T158" i="13" s="1"/>
  <c r="R158" i="13"/>
  <c r="U158" i="13" s="1"/>
  <c r="S158" i="13"/>
  <c r="O161" i="13"/>
  <c r="P161" i="13"/>
  <c r="T161" i="13"/>
  <c r="U161" i="13"/>
  <c r="L162" i="13"/>
  <c r="M162" i="13"/>
  <c r="M160" i="13" s="1"/>
  <c r="N162" i="13"/>
  <c r="N160" i="13" s="1"/>
  <c r="Q162" i="13"/>
  <c r="R162" i="13"/>
  <c r="U162" i="13" s="1"/>
  <c r="S162" i="13"/>
  <c r="Q163" i="13"/>
  <c r="T163" i="13" s="1"/>
  <c r="R163" i="13"/>
  <c r="S163" i="13"/>
  <c r="U163" i="13"/>
  <c r="O164" i="13"/>
  <c r="P164" i="13"/>
  <c r="T164" i="13"/>
  <c r="U164" i="13"/>
  <c r="L165" i="13"/>
  <c r="M165" i="13"/>
  <c r="N165" i="13"/>
  <c r="T165" i="13"/>
  <c r="U165" i="13"/>
  <c r="I167" i="13"/>
  <c r="J172" i="13"/>
  <c r="L174" i="13"/>
  <c r="O174" i="13" s="1"/>
  <c r="M174" i="13"/>
  <c r="N174" i="13"/>
  <c r="P174" i="13"/>
  <c r="Q174" i="13"/>
  <c r="R174" i="13"/>
  <c r="U174" i="13" s="1"/>
  <c r="S174" i="13"/>
  <c r="O177" i="13"/>
  <c r="P177" i="13"/>
  <c r="T177" i="13"/>
  <c r="U177" i="13"/>
  <c r="L178" i="13"/>
  <c r="M178" i="13"/>
  <c r="M176" i="13" s="1"/>
  <c r="N178" i="13"/>
  <c r="Q178" i="13"/>
  <c r="Q176" i="13" s="1"/>
  <c r="T176" i="13" s="1"/>
  <c r="R178" i="13"/>
  <c r="U178" i="13" s="1"/>
  <c r="S178" i="13"/>
  <c r="S176" i="13" s="1"/>
  <c r="Q179" i="13"/>
  <c r="T179" i="13" s="1"/>
  <c r="R179" i="13"/>
  <c r="U179" i="13" s="1"/>
  <c r="S179" i="13"/>
  <c r="O180" i="13"/>
  <c r="P180" i="13"/>
  <c r="T180" i="13"/>
  <c r="U180" i="13"/>
  <c r="L181" i="13"/>
  <c r="M181" i="13"/>
  <c r="M179" i="13" s="1"/>
  <c r="P179" i="13" s="1"/>
  <c r="N181" i="13"/>
  <c r="N179" i="13" s="1"/>
  <c r="T181" i="13"/>
  <c r="U181" i="13"/>
  <c r="I183" i="13"/>
  <c r="K184" i="13"/>
  <c r="L187" i="13"/>
  <c r="M187" i="13"/>
  <c r="N187" i="13"/>
  <c r="O187" i="13"/>
  <c r="Q187" i="13"/>
  <c r="R187" i="13"/>
  <c r="S187" i="13"/>
  <c r="U187" i="13"/>
  <c r="O190" i="13"/>
  <c r="P190" i="13"/>
  <c r="T190" i="13"/>
  <c r="U190" i="13"/>
  <c r="L191" i="13"/>
  <c r="L189" i="13" s="1"/>
  <c r="M191" i="13"/>
  <c r="M189" i="13" s="1"/>
  <c r="N191" i="13"/>
  <c r="Q191" i="13"/>
  <c r="Q188" i="13" s="1"/>
  <c r="R191" i="13"/>
  <c r="R188" i="13" s="1"/>
  <c r="S191" i="13"/>
  <c r="S188" i="13" s="1"/>
  <c r="Q192" i="13"/>
  <c r="T192" i="13" s="1"/>
  <c r="R192" i="13"/>
  <c r="U192" i="13" s="1"/>
  <c r="S192" i="13"/>
  <c r="O193" i="13"/>
  <c r="P193" i="13"/>
  <c r="T193" i="13"/>
  <c r="U193" i="13"/>
  <c r="L194" i="13"/>
  <c r="M194" i="13"/>
  <c r="M192" i="13" s="1"/>
  <c r="P192" i="13" s="1"/>
  <c r="N194" i="13"/>
  <c r="N192" i="13" s="1"/>
  <c r="T194" i="13"/>
  <c r="U194" i="13"/>
  <c r="J195" i="13"/>
  <c r="L196" i="13"/>
  <c r="O196" i="13" s="1"/>
  <c r="P196" i="13"/>
  <c r="I198" i="13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02" i="13" s="1"/>
  <c r="K202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K230" i="13" s="1"/>
  <c r="N233" i="13"/>
  <c r="N234" i="13"/>
  <c r="N235" i="13"/>
  <c r="N236" i="13"/>
  <c r="J238" i="13"/>
  <c r="J240" i="13"/>
  <c r="J241" i="13"/>
  <c r="J242" i="13"/>
  <c r="N243" i="13"/>
  <c r="P243" i="13"/>
  <c r="L244" i="13"/>
  <c r="L245" i="13"/>
  <c r="L246" i="13"/>
  <c r="L247" i="13"/>
  <c r="I249" i="13"/>
  <c r="I251" i="13"/>
  <c r="I252" i="13"/>
  <c r="I241" i="13" s="1"/>
  <c r="J253" i="13"/>
  <c r="N254" i="13"/>
  <c r="P254" i="13"/>
  <c r="L255" i="13"/>
  <c r="L256" i="13"/>
  <c r="L257" i="13"/>
  <c r="L258" i="13"/>
  <c r="I260" i="13"/>
  <c r="I253" i="13" s="1"/>
  <c r="K253" i="13" s="1"/>
  <c r="K262" i="13"/>
  <c r="K263" i="13"/>
  <c r="J265" i="13"/>
  <c r="L267" i="13"/>
  <c r="O267" i="13" s="1"/>
  <c r="M267" i="13"/>
  <c r="P267" i="13" s="1"/>
  <c r="N267" i="13"/>
  <c r="Q267" i="13"/>
  <c r="R267" i="13"/>
  <c r="S267" i="13"/>
  <c r="U267" i="13"/>
  <c r="O270" i="13"/>
  <c r="P270" i="13"/>
  <c r="T270" i="13"/>
  <c r="U270" i="13"/>
  <c r="L271" i="13"/>
  <c r="O271" i="13" s="1"/>
  <c r="M271" i="13"/>
  <c r="M269" i="13" s="1"/>
  <c r="N271" i="13"/>
  <c r="N269" i="13" s="1"/>
  <c r="Q271" i="13"/>
  <c r="R271" i="13"/>
  <c r="S271" i="13"/>
  <c r="S269" i="13" s="1"/>
  <c r="Q272" i="13"/>
  <c r="R272" i="13"/>
  <c r="U272" i="13" s="1"/>
  <c r="S272" i="13"/>
  <c r="T272" i="13"/>
  <c r="O273" i="13"/>
  <c r="P273" i="13"/>
  <c r="T273" i="13"/>
  <c r="U273" i="13"/>
  <c r="L274" i="13"/>
  <c r="O274" i="13" s="1"/>
  <c r="M274" i="13"/>
  <c r="N274" i="13"/>
  <c r="N272" i="13" s="1"/>
  <c r="T274" i="13"/>
  <c r="U274" i="13"/>
  <c r="I276" i="13"/>
  <c r="K276" i="13" s="1"/>
  <c r="J281" i="13"/>
  <c r="L283" i="13"/>
  <c r="O283" i="13" s="1"/>
  <c r="M283" i="13"/>
  <c r="N283" i="13"/>
  <c r="P283" i="13"/>
  <c r="Q283" i="13"/>
  <c r="R283" i="13"/>
  <c r="S283" i="13"/>
  <c r="S282" i="13" s="1"/>
  <c r="U283" i="13"/>
  <c r="Q284" i="13"/>
  <c r="T284" i="13" s="1"/>
  <c r="R284" i="13"/>
  <c r="U284" i="13" s="1"/>
  <c r="S284" i="13"/>
  <c r="Q285" i="13"/>
  <c r="T285" i="13" s="1"/>
  <c r="R285" i="13"/>
  <c r="U285" i="13" s="1"/>
  <c r="S285" i="13"/>
  <c r="O286" i="13"/>
  <c r="P286" i="13"/>
  <c r="T286" i="13"/>
  <c r="U286" i="13"/>
  <c r="L287" i="13"/>
  <c r="L285" i="13" s="1"/>
  <c r="O285" i="13" s="1"/>
  <c r="M287" i="13"/>
  <c r="N287" i="13"/>
  <c r="N285" i="13" s="1"/>
  <c r="T287" i="13"/>
  <c r="U287" i="13"/>
  <c r="Q288" i="13"/>
  <c r="T288" i="13" s="1"/>
  <c r="R288" i="13"/>
  <c r="U288" i="13" s="1"/>
  <c r="S288" i="13"/>
  <c r="O289" i="13"/>
  <c r="P289" i="13"/>
  <c r="T289" i="13"/>
  <c r="U289" i="13"/>
  <c r="L290" i="13"/>
  <c r="L288" i="13" s="1"/>
  <c r="O288" i="13" s="1"/>
  <c r="M290" i="13"/>
  <c r="M288" i="13" s="1"/>
  <c r="P288" i="13" s="1"/>
  <c r="N290" i="13"/>
  <c r="N288" i="13" s="1"/>
  <c r="T290" i="13"/>
  <c r="U290" i="13"/>
  <c r="I292" i="13"/>
  <c r="K292" i="13" s="1"/>
  <c r="I293" i="13"/>
  <c r="I280" i="13" s="1"/>
  <c r="K280" i="13" s="1"/>
  <c r="J293" i="13"/>
  <c r="J280" i="13" s="1"/>
  <c r="I295" i="13"/>
  <c r="K295" i="13" s="1"/>
  <c r="I296" i="13"/>
  <c r="K296" i="13" s="1"/>
  <c r="J302" i="13"/>
  <c r="L304" i="13"/>
  <c r="M304" i="13"/>
  <c r="N304" i="13"/>
  <c r="P304" i="13"/>
  <c r="Q304" i="13"/>
  <c r="R304" i="13"/>
  <c r="S304" i="13"/>
  <c r="O307" i="13"/>
  <c r="P307" i="13"/>
  <c r="T307" i="13"/>
  <c r="U307" i="13"/>
  <c r="L308" i="13"/>
  <c r="M308" i="13"/>
  <c r="N308" i="13"/>
  <c r="N306" i="13" s="1"/>
  <c r="Q308" i="13"/>
  <c r="Q306" i="13" s="1"/>
  <c r="R308" i="13"/>
  <c r="R305" i="13" s="1"/>
  <c r="S308" i="13"/>
  <c r="S305" i="13" s="1"/>
  <c r="S303" i="13" s="1"/>
  <c r="Q309" i="13"/>
  <c r="T309" i="13" s="1"/>
  <c r="R309" i="13"/>
  <c r="S309" i="13"/>
  <c r="U309" i="13"/>
  <c r="O310" i="13"/>
  <c r="P310" i="13"/>
  <c r="T310" i="13"/>
  <c r="U310" i="13"/>
  <c r="L311" i="13"/>
  <c r="O311" i="13" s="1"/>
  <c r="M311" i="13"/>
  <c r="P311" i="13" s="1"/>
  <c r="N311" i="13"/>
  <c r="N309" i="13" s="1"/>
  <c r="T311" i="13"/>
  <c r="U311" i="13"/>
  <c r="I314" i="13"/>
  <c r="I302" i="13" s="1"/>
  <c r="J319" i="13"/>
  <c r="L321" i="13"/>
  <c r="M321" i="13"/>
  <c r="P321" i="13" s="1"/>
  <c r="N321" i="13"/>
  <c r="O321" i="13"/>
  <c r="Q321" i="13"/>
  <c r="R321" i="13"/>
  <c r="S321" i="13"/>
  <c r="T321" i="13"/>
  <c r="U321" i="13"/>
  <c r="Q322" i="13"/>
  <c r="R322" i="13"/>
  <c r="U322" i="13" s="1"/>
  <c r="S322" i="13"/>
  <c r="Q323" i="13"/>
  <c r="T323" i="13" s="1"/>
  <c r="R323" i="13"/>
  <c r="U323" i="13" s="1"/>
  <c r="S323" i="13"/>
  <c r="O324" i="13"/>
  <c r="P324" i="13"/>
  <c r="T324" i="13"/>
  <c r="U324" i="13"/>
  <c r="L325" i="13"/>
  <c r="L323" i="13" s="1"/>
  <c r="O323" i="13" s="1"/>
  <c r="M325" i="13"/>
  <c r="N325" i="13"/>
  <c r="T325" i="13"/>
  <c r="U325" i="13"/>
  <c r="Q326" i="13"/>
  <c r="T326" i="13" s="1"/>
  <c r="R326" i="13"/>
  <c r="S326" i="13"/>
  <c r="U326" i="13"/>
  <c r="O327" i="13"/>
  <c r="P327" i="13"/>
  <c r="T327" i="13"/>
  <c r="U327" i="13"/>
  <c r="L328" i="13"/>
  <c r="L326" i="13" s="1"/>
  <c r="O326" i="13" s="1"/>
  <c r="M328" i="13"/>
  <c r="P328" i="13" s="1"/>
  <c r="N328" i="13"/>
  <c r="N326" i="13" s="1"/>
  <c r="T328" i="13"/>
  <c r="U328" i="13"/>
  <c r="I330" i="13"/>
  <c r="I319" i="13" s="1"/>
  <c r="K319" i="13" s="1"/>
  <c r="L334" i="13"/>
  <c r="O334" i="13" s="1"/>
  <c r="M334" i="13"/>
  <c r="N334" i="13"/>
  <c r="P334" i="13"/>
  <c r="Q334" i="13"/>
  <c r="Q333" i="13" s="1"/>
  <c r="T333" i="13" s="1"/>
  <c r="R334" i="13"/>
  <c r="U334" i="13" s="1"/>
  <c r="S334" i="13"/>
  <c r="T334" i="13"/>
  <c r="Q335" i="13"/>
  <c r="T335" i="13" s="1"/>
  <c r="R335" i="13"/>
  <c r="U335" i="13" s="1"/>
  <c r="S335" i="13"/>
  <c r="Q336" i="13"/>
  <c r="T336" i="13" s="1"/>
  <c r="R336" i="13"/>
  <c r="U336" i="13" s="1"/>
  <c r="S336" i="13"/>
  <c r="O337" i="13"/>
  <c r="P337" i="13"/>
  <c r="T337" i="13"/>
  <c r="U337" i="13"/>
  <c r="L338" i="13"/>
  <c r="M338" i="13"/>
  <c r="M336" i="13" s="1"/>
  <c r="N338" i="13"/>
  <c r="N336" i="13" s="1"/>
  <c r="T338" i="13"/>
  <c r="U338" i="13"/>
  <c r="Q339" i="13"/>
  <c r="T339" i="13" s="1"/>
  <c r="R339" i="13"/>
  <c r="U339" i="13" s="1"/>
  <c r="S339" i="13"/>
  <c r="O340" i="13"/>
  <c r="P340" i="13"/>
  <c r="T340" i="13"/>
  <c r="U340" i="13"/>
  <c r="L341" i="13"/>
  <c r="L339" i="13" s="1"/>
  <c r="O339" i="13" s="1"/>
  <c r="M341" i="13"/>
  <c r="M339" i="13" s="1"/>
  <c r="P339" i="13" s="1"/>
  <c r="N341" i="13"/>
  <c r="N339" i="13" s="1"/>
  <c r="T341" i="13"/>
  <c r="U341" i="13"/>
  <c r="I344" i="13"/>
  <c r="I332" i="13" s="1"/>
  <c r="J344" i="13"/>
  <c r="I346" i="13"/>
  <c r="J346" i="13"/>
  <c r="J347" i="13"/>
  <c r="J348" i="13"/>
  <c r="J349" i="13"/>
  <c r="D350" i="13"/>
  <c r="J352" i="13"/>
  <c r="J353" i="13"/>
  <c r="J354" i="13"/>
  <c r="L357" i="13"/>
  <c r="O357" i="13" s="1"/>
  <c r="M357" i="13"/>
  <c r="N357" i="13"/>
  <c r="Q357" i="13"/>
  <c r="Q356" i="13" s="1"/>
  <c r="T356" i="13" s="1"/>
  <c r="R357" i="13"/>
  <c r="U357" i="13" s="1"/>
  <c r="S357" i="13"/>
  <c r="Q358" i="13"/>
  <c r="R358" i="13"/>
  <c r="S358" i="13"/>
  <c r="T358" i="13"/>
  <c r="Q359" i="13"/>
  <c r="T359" i="13" s="1"/>
  <c r="R359" i="13"/>
  <c r="S359" i="13"/>
  <c r="U359" i="13"/>
  <c r="O360" i="13"/>
  <c r="P360" i="13"/>
  <c r="T360" i="13"/>
  <c r="U360" i="13"/>
  <c r="L361" i="13"/>
  <c r="M361" i="13"/>
  <c r="N361" i="13"/>
  <c r="N359" i="13" s="1"/>
  <c r="T361" i="13"/>
  <c r="U361" i="13"/>
  <c r="Q362" i="13"/>
  <c r="T362" i="13" s="1"/>
  <c r="R362" i="13"/>
  <c r="U362" i="13" s="1"/>
  <c r="S362" i="13"/>
  <c r="O363" i="13"/>
  <c r="P363" i="13"/>
  <c r="T363" i="13"/>
  <c r="U363" i="13"/>
  <c r="L364" i="13"/>
  <c r="L362" i="13" s="1"/>
  <c r="O362" i="13" s="1"/>
  <c r="M364" i="13"/>
  <c r="N364" i="13"/>
  <c r="N362" i="13" s="1"/>
  <c r="T364" i="13"/>
  <c r="U364" i="13"/>
  <c r="J367" i="13"/>
  <c r="K367" i="13"/>
  <c r="I368" i="13"/>
  <c r="K368" i="13" s="1"/>
  <c r="J368" i="13"/>
  <c r="I369" i="13"/>
  <c r="K369" i="13" s="1"/>
  <c r="J369" i="13"/>
  <c r="J370" i="13"/>
  <c r="K370" i="13"/>
  <c r="I371" i="13"/>
  <c r="K371" i="13" s="1"/>
  <c r="J371" i="13"/>
  <c r="J365" i="13" s="1"/>
  <c r="J372" i="13"/>
  <c r="K372" i="13"/>
  <c r="D373" i="13"/>
  <c r="J374" i="13"/>
  <c r="L376" i="13"/>
  <c r="M376" i="13"/>
  <c r="P376" i="13" s="1"/>
  <c r="N376" i="13"/>
  <c r="Q376" i="13"/>
  <c r="T376" i="13" s="1"/>
  <c r="R376" i="13"/>
  <c r="S376" i="13"/>
  <c r="L377" i="13"/>
  <c r="O377" i="13" s="1"/>
  <c r="M377" i="13"/>
  <c r="N377" i="13"/>
  <c r="N375" i="13" s="1"/>
  <c r="P377" i="13"/>
  <c r="L378" i="13"/>
  <c r="O378" i="13" s="1"/>
  <c r="M378" i="13"/>
  <c r="P378" i="13" s="1"/>
  <c r="N378" i="13"/>
  <c r="O379" i="13"/>
  <c r="P379" i="13"/>
  <c r="T379" i="13"/>
  <c r="U379" i="13"/>
  <c r="O380" i="13"/>
  <c r="P380" i="13"/>
  <c r="Q380" i="13"/>
  <c r="T380" i="13" s="1"/>
  <c r="R380" i="13"/>
  <c r="R378" i="13" s="1"/>
  <c r="U378" i="13" s="1"/>
  <c r="S380" i="13"/>
  <c r="S377" i="13" s="1"/>
  <c r="L381" i="13"/>
  <c r="M381" i="13"/>
  <c r="P381" i="13" s="1"/>
  <c r="N381" i="13"/>
  <c r="O381" i="13"/>
  <c r="Q381" i="13"/>
  <c r="T381" i="13" s="1"/>
  <c r="R381" i="13"/>
  <c r="S381" i="13"/>
  <c r="U381" i="13"/>
  <c r="O382" i="13"/>
  <c r="P382" i="13"/>
  <c r="T382" i="13"/>
  <c r="U382" i="13"/>
  <c r="O383" i="13"/>
  <c r="P383" i="13"/>
  <c r="T383" i="13"/>
  <c r="U383" i="13"/>
  <c r="I385" i="13"/>
  <c r="I374" i="13" s="1"/>
  <c r="K374" i="13" s="1"/>
  <c r="I386" i="13"/>
  <c r="K386" i="13" s="1"/>
  <c r="K387" i="13"/>
  <c r="K388" i="13"/>
  <c r="I391" i="13"/>
  <c r="K391" i="13" s="1"/>
  <c r="J391" i="13"/>
  <c r="M392" i="13"/>
  <c r="P392" i="13" s="1"/>
  <c r="L393" i="13"/>
  <c r="M393" i="13"/>
  <c r="P393" i="13" s="1"/>
  <c r="N393" i="13"/>
  <c r="N392" i="13" s="1"/>
  <c r="Q393" i="13"/>
  <c r="R393" i="13"/>
  <c r="S393" i="13"/>
  <c r="T393" i="13"/>
  <c r="L394" i="13"/>
  <c r="M394" i="13"/>
  <c r="N394" i="13"/>
  <c r="O394" i="13"/>
  <c r="P394" i="13"/>
  <c r="Q394" i="13"/>
  <c r="Q392" i="13" s="1"/>
  <c r="T392" i="13" s="1"/>
  <c r="R394" i="13"/>
  <c r="S394" i="13"/>
  <c r="U394" i="13"/>
  <c r="L395" i="13"/>
  <c r="O395" i="13" s="1"/>
  <c r="M395" i="13"/>
  <c r="P395" i="13" s="1"/>
  <c r="N395" i="13"/>
  <c r="Q395" i="13"/>
  <c r="T395" i="13" s="1"/>
  <c r="R395" i="13"/>
  <c r="U395" i="13" s="1"/>
  <c r="S395" i="13"/>
  <c r="O396" i="13"/>
  <c r="P396" i="13"/>
  <c r="T396" i="13"/>
  <c r="U396" i="13"/>
  <c r="O397" i="13"/>
  <c r="P397" i="13"/>
  <c r="T397" i="13"/>
  <c r="U397" i="13"/>
  <c r="L398" i="13"/>
  <c r="O398" i="13" s="1"/>
  <c r="M398" i="13"/>
  <c r="P398" i="13" s="1"/>
  <c r="N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O414" i="13" s="1"/>
  <c r="M414" i="13"/>
  <c r="N414" i="13"/>
  <c r="N413" i="13" s="1"/>
  <c r="P414" i="13"/>
  <c r="Q414" i="13"/>
  <c r="R414" i="13"/>
  <c r="U414" i="13" s="1"/>
  <c r="S414" i="13"/>
  <c r="L415" i="13"/>
  <c r="M415" i="13"/>
  <c r="P415" i="13" s="1"/>
  <c r="N415" i="13"/>
  <c r="L416" i="13"/>
  <c r="O416" i="13" s="1"/>
  <c r="M416" i="13"/>
  <c r="N416" i="13"/>
  <c r="P416" i="13"/>
  <c r="O417" i="13"/>
  <c r="P417" i="13"/>
  <c r="T417" i="13"/>
  <c r="U417" i="13"/>
  <c r="O418" i="13"/>
  <c r="P418" i="13"/>
  <c r="Q418" i="13"/>
  <c r="Q416" i="13" s="1"/>
  <c r="T416" i="13" s="1"/>
  <c r="R418" i="13"/>
  <c r="R416" i="13" s="1"/>
  <c r="U416" i="13" s="1"/>
  <c r="S418" i="13"/>
  <c r="S416" i="13" s="1"/>
  <c r="L419" i="13"/>
  <c r="O419" i="13" s="1"/>
  <c r="M419" i="13"/>
  <c r="P419" i="13" s="1"/>
  <c r="N419" i="13"/>
  <c r="Q419" i="13"/>
  <c r="T419" i="13" s="1"/>
  <c r="R419" i="13"/>
  <c r="U419" i="13" s="1"/>
  <c r="S419" i="13"/>
  <c r="O420" i="13"/>
  <c r="P420" i="13"/>
  <c r="T420" i="13"/>
  <c r="U420" i="13"/>
  <c r="O421" i="13"/>
  <c r="P421" i="13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I423" i="13" s="1"/>
  <c r="I441" i="13"/>
  <c r="K441" i="13" s="1"/>
  <c r="J446" i="13"/>
  <c r="J440" i="13" s="1"/>
  <c r="J423" i="13" s="1"/>
  <c r="J412" i="13" s="1"/>
  <c r="J447" i="13"/>
  <c r="J441" i="13" s="1"/>
  <c r="I457" i="13"/>
  <c r="K457" i="13" s="1"/>
  <c r="I458" i="13"/>
  <c r="K458" i="13" s="1"/>
  <c r="J458" i="13"/>
  <c r="J459" i="13"/>
  <c r="J460" i="13"/>
  <c r="J467" i="13"/>
  <c r="J457" i="13" s="1"/>
  <c r="J456" i="13" s="1"/>
  <c r="J468" i="13"/>
  <c r="J475" i="13"/>
  <c r="K475" i="13"/>
  <c r="J476" i="13"/>
  <c r="K476" i="13"/>
  <c r="J477" i="13"/>
  <c r="K477" i="13"/>
  <c r="J482" i="13"/>
  <c r="J483" i="13"/>
  <c r="I484" i="13"/>
  <c r="K484" i="13" s="1"/>
  <c r="J484" i="13"/>
  <c r="I485" i="13"/>
  <c r="K485" i="13" s="1"/>
  <c r="J485" i="13"/>
  <c r="M493" i="13"/>
  <c r="P493" i="13" s="1"/>
  <c r="L494" i="13"/>
  <c r="L493" i="13" s="1"/>
  <c r="O493" i="13" s="1"/>
  <c r="M494" i="13"/>
  <c r="N494" i="13"/>
  <c r="O494" i="13"/>
  <c r="P494" i="13"/>
  <c r="Q494" i="13"/>
  <c r="R494" i="13"/>
  <c r="S494" i="13"/>
  <c r="T494" i="13"/>
  <c r="L495" i="13"/>
  <c r="O495" i="13" s="1"/>
  <c r="M495" i="13"/>
  <c r="P495" i="13" s="1"/>
  <c r="N495" i="13"/>
  <c r="L496" i="13"/>
  <c r="O496" i="13" s="1"/>
  <c r="M496" i="13"/>
  <c r="N496" i="13"/>
  <c r="P496" i="13"/>
  <c r="O497" i="13"/>
  <c r="P497" i="13"/>
  <c r="T497" i="13"/>
  <c r="U497" i="13"/>
  <c r="O498" i="13"/>
  <c r="P498" i="13"/>
  <c r="Q498" i="13"/>
  <c r="Q496" i="13" s="1"/>
  <c r="T496" i="13" s="1"/>
  <c r="R498" i="13"/>
  <c r="U498" i="13" s="1"/>
  <c r="S498" i="13"/>
  <c r="S495" i="13" s="1"/>
  <c r="S493" i="13" s="1"/>
  <c r="L499" i="13"/>
  <c r="M499" i="13"/>
  <c r="P499" i="13" s="1"/>
  <c r="N499" i="13"/>
  <c r="O499" i="13"/>
  <c r="Q499" i="13"/>
  <c r="T499" i="13" s="1"/>
  <c r="R499" i="13"/>
  <c r="S499" i="13"/>
  <c r="U499" i="13"/>
  <c r="O500" i="13"/>
  <c r="P500" i="13"/>
  <c r="T500" i="13"/>
  <c r="U500" i="13"/>
  <c r="O501" i="13"/>
  <c r="P501" i="13"/>
  <c r="T501" i="13"/>
  <c r="U501" i="13"/>
  <c r="I503" i="13"/>
  <c r="I492" i="13" s="1"/>
  <c r="K492" i="13" s="1"/>
  <c r="I504" i="13"/>
  <c r="K504" i="13" s="1"/>
  <c r="I505" i="13"/>
  <c r="K505" i="13" s="1"/>
  <c r="I506" i="13"/>
  <c r="K506" i="13" s="1"/>
  <c r="I507" i="13"/>
  <c r="K507" i="13" s="1"/>
  <c r="K508" i="13"/>
  <c r="I509" i="13"/>
  <c r="K509" i="13" s="1"/>
  <c r="I512" i="13"/>
  <c r="J512" i="13"/>
  <c r="K512" i="13"/>
  <c r="L514" i="13"/>
  <c r="M514" i="13"/>
  <c r="P514" i="13" s="1"/>
  <c r="N514" i="13"/>
  <c r="Q514" i="13"/>
  <c r="Q513" i="13" s="1"/>
  <c r="T513" i="13" s="1"/>
  <c r="R514" i="13"/>
  <c r="S514" i="13"/>
  <c r="Q515" i="13"/>
  <c r="T515" i="13" s="1"/>
  <c r="R515" i="13"/>
  <c r="U515" i="13" s="1"/>
  <c r="S515" i="13"/>
  <c r="Q516" i="13"/>
  <c r="T516" i="13" s="1"/>
  <c r="R516" i="13"/>
  <c r="U516" i="13" s="1"/>
  <c r="S516" i="13"/>
  <c r="O517" i="13"/>
  <c r="P517" i="13"/>
  <c r="T517" i="13"/>
  <c r="U517" i="13"/>
  <c r="L518" i="13"/>
  <c r="L516" i="13" s="1"/>
  <c r="O516" i="13" s="1"/>
  <c r="M518" i="13"/>
  <c r="M516" i="13" s="1"/>
  <c r="P516" i="13" s="1"/>
  <c r="N518" i="13"/>
  <c r="N516" i="13" s="1"/>
  <c r="T518" i="13"/>
  <c r="U518" i="13"/>
  <c r="Q519" i="13"/>
  <c r="T519" i="13" s="1"/>
  <c r="R519" i="13"/>
  <c r="S519" i="13"/>
  <c r="U519" i="13"/>
  <c r="O520" i="13"/>
  <c r="P520" i="13"/>
  <c r="T520" i="13"/>
  <c r="U520" i="13"/>
  <c r="L521" i="13"/>
  <c r="L519" i="13" s="1"/>
  <c r="O519" i="13" s="1"/>
  <c r="M521" i="13"/>
  <c r="P521" i="13" s="1"/>
  <c r="N521" i="13"/>
  <c r="N519" i="13" s="1"/>
  <c r="T521" i="13"/>
  <c r="U521" i="13"/>
  <c r="K523" i="13"/>
  <c r="K524" i="13"/>
  <c r="I533" i="13"/>
  <c r="K533" i="13" s="1"/>
  <c r="J533" i="13"/>
  <c r="L534" i="13"/>
  <c r="O534" i="13" s="1"/>
  <c r="L535" i="13"/>
  <c r="O535" i="13" s="1"/>
  <c r="M535" i="13"/>
  <c r="N535" i="13"/>
  <c r="Q535" i="13"/>
  <c r="Q534" i="13" s="1"/>
  <c r="T534" i="13" s="1"/>
  <c r="R535" i="13"/>
  <c r="R534" i="13" s="1"/>
  <c r="U534" i="13" s="1"/>
  <c r="S535" i="13"/>
  <c r="U535" i="13"/>
  <c r="L536" i="13"/>
  <c r="O536" i="13" s="1"/>
  <c r="M536" i="13"/>
  <c r="P536" i="13" s="1"/>
  <c r="N536" i="13"/>
  <c r="Q536" i="13"/>
  <c r="T536" i="13" s="1"/>
  <c r="R536" i="13"/>
  <c r="U536" i="13" s="1"/>
  <c r="S536" i="13"/>
  <c r="L537" i="13"/>
  <c r="O537" i="13" s="1"/>
  <c r="M537" i="13"/>
  <c r="P537" i="13" s="1"/>
  <c r="N537" i="13"/>
  <c r="Q537" i="13"/>
  <c r="T537" i="13" s="1"/>
  <c r="R537" i="13"/>
  <c r="U537" i="13" s="1"/>
  <c r="S537" i="13"/>
  <c r="O538" i="13"/>
  <c r="P538" i="13"/>
  <c r="T538" i="13"/>
  <c r="U538" i="13"/>
  <c r="O539" i="13"/>
  <c r="P539" i="13"/>
  <c r="T539" i="13"/>
  <c r="U539" i="13"/>
  <c r="L540" i="13"/>
  <c r="O540" i="13" s="1"/>
  <c r="M540" i="13"/>
  <c r="P540" i="13" s="1"/>
  <c r="N540" i="13"/>
  <c r="Q540" i="13"/>
  <c r="T540" i="13" s="1"/>
  <c r="R540" i="13"/>
  <c r="U540" i="13" s="1"/>
  <c r="S540" i="13"/>
  <c r="O541" i="13"/>
  <c r="P541" i="13"/>
  <c r="T541" i="13"/>
  <c r="U541" i="13"/>
  <c r="O542" i="13"/>
  <c r="P542" i="13"/>
  <c r="T542" i="13"/>
  <c r="U542" i="13"/>
  <c r="I554" i="13"/>
  <c r="K554" i="13" s="1"/>
  <c r="J554" i="13"/>
  <c r="L556" i="13"/>
  <c r="O556" i="13" s="1"/>
  <c r="M556" i="13"/>
  <c r="N556" i="13"/>
  <c r="N555" i="13" s="1"/>
  <c r="P556" i="13"/>
  <c r="Q556" i="13"/>
  <c r="R556" i="13"/>
  <c r="U556" i="13" s="1"/>
  <c r="S556" i="13"/>
  <c r="T556" i="13"/>
  <c r="L557" i="13"/>
  <c r="O557" i="13" s="1"/>
  <c r="M557" i="13"/>
  <c r="P557" i="13" s="1"/>
  <c r="N557" i="13"/>
  <c r="Q557" i="13"/>
  <c r="R557" i="13"/>
  <c r="U557" i="13" s="1"/>
  <c r="S557" i="13"/>
  <c r="T557" i="13"/>
  <c r="L558" i="13"/>
  <c r="M558" i="13"/>
  <c r="N558" i="13"/>
  <c r="O558" i="13"/>
  <c r="P558" i="13"/>
  <c r="Q558" i="13"/>
  <c r="T558" i="13" s="1"/>
  <c r="R558" i="13"/>
  <c r="S558" i="13"/>
  <c r="U558" i="13"/>
  <c r="O559" i="13"/>
  <c r="P559" i="13"/>
  <c r="T559" i="13"/>
  <c r="U559" i="13"/>
  <c r="O560" i="13"/>
  <c r="P560" i="13"/>
  <c r="T560" i="13"/>
  <c r="U560" i="13"/>
  <c r="L561" i="13"/>
  <c r="M561" i="13"/>
  <c r="N561" i="13"/>
  <c r="O561" i="13"/>
  <c r="P561" i="13"/>
  <c r="Q561" i="13"/>
  <c r="T561" i="13" s="1"/>
  <c r="R561" i="13"/>
  <c r="S561" i="13"/>
  <c r="U561" i="13"/>
  <c r="O562" i="13"/>
  <c r="P562" i="13"/>
  <c r="T562" i="13"/>
  <c r="U562" i="13"/>
  <c r="O563" i="13"/>
  <c r="P563" i="13"/>
  <c r="T563" i="13"/>
  <c r="U563" i="13"/>
  <c r="I575" i="13"/>
  <c r="J575" i="13"/>
  <c r="K575" i="13"/>
  <c r="R576" i="13"/>
  <c r="U576" i="13" s="1"/>
  <c r="L577" i="13"/>
  <c r="M577" i="13"/>
  <c r="N577" i="13"/>
  <c r="O577" i="13"/>
  <c r="Q577" i="13"/>
  <c r="T577" i="13" s="1"/>
  <c r="R577" i="13"/>
  <c r="S577" i="13"/>
  <c r="U577" i="13"/>
  <c r="L578" i="13"/>
  <c r="O578" i="13" s="1"/>
  <c r="M578" i="13"/>
  <c r="P578" i="13" s="1"/>
  <c r="N578" i="13"/>
  <c r="Q578" i="13"/>
  <c r="T578" i="13" s="1"/>
  <c r="R578" i="13"/>
  <c r="U578" i="13" s="1"/>
  <c r="S578" i="13"/>
  <c r="L579" i="13"/>
  <c r="O579" i="13" s="1"/>
  <c r="M579" i="13"/>
  <c r="P579" i="13" s="1"/>
  <c r="N579" i="13"/>
  <c r="Q579" i="13"/>
  <c r="T579" i="13" s="1"/>
  <c r="R579" i="13"/>
  <c r="U579" i="13" s="1"/>
  <c r="S579" i="13"/>
  <c r="O580" i="13"/>
  <c r="P580" i="13"/>
  <c r="T580" i="13"/>
  <c r="U580" i="13"/>
  <c r="O581" i="13"/>
  <c r="P581" i="13"/>
  <c r="T581" i="13"/>
  <c r="U581" i="13"/>
  <c r="L582" i="13"/>
  <c r="O582" i="13" s="1"/>
  <c r="M582" i="13"/>
  <c r="P582" i="13" s="1"/>
  <c r="N582" i="13"/>
  <c r="Q582" i="13"/>
  <c r="T582" i="13" s="1"/>
  <c r="R582" i="13"/>
  <c r="S582" i="13"/>
  <c r="U582" i="13"/>
  <c r="O583" i="13"/>
  <c r="P583" i="13"/>
  <c r="T583" i="13"/>
  <c r="U583" i="13"/>
  <c r="O584" i="13"/>
  <c r="P584" i="13"/>
  <c r="T584" i="13"/>
  <c r="U584" i="13"/>
  <c r="L600" i="13"/>
  <c r="M600" i="13"/>
  <c r="N600" i="13"/>
  <c r="O600" i="13"/>
  <c r="Q600" i="13"/>
  <c r="T600" i="13" s="1"/>
  <c r="R600" i="13"/>
  <c r="R599" i="13" s="1"/>
  <c r="U599" i="13" s="1"/>
  <c r="S600" i="13"/>
  <c r="L601" i="13"/>
  <c r="L599" i="13" s="1"/>
  <c r="O599" i="13" s="1"/>
  <c r="M601" i="13"/>
  <c r="P601" i="13" s="1"/>
  <c r="N601" i="13"/>
  <c r="Q601" i="13"/>
  <c r="T601" i="13" s="1"/>
  <c r="R601" i="13"/>
  <c r="U601" i="13" s="1"/>
  <c r="S601" i="13"/>
  <c r="S599" i="13" s="1"/>
  <c r="L602" i="13"/>
  <c r="O602" i="13" s="1"/>
  <c r="M602" i="13"/>
  <c r="P602" i="13" s="1"/>
  <c r="N602" i="13"/>
  <c r="Q602" i="13"/>
  <c r="T602" i="13" s="1"/>
  <c r="R602" i="13"/>
  <c r="U602" i="13" s="1"/>
  <c r="S602" i="13"/>
  <c r="O603" i="13"/>
  <c r="P603" i="13"/>
  <c r="T603" i="13"/>
  <c r="U603" i="13"/>
  <c r="O604" i="13"/>
  <c r="P604" i="13"/>
  <c r="T604" i="13"/>
  <c r="U604" i="13"/>
  <c r="L605" i="13"/>
  <c r="O605" i="13" s="1"/>
  <c r="M605" i="13"/>
  <c r="P605" i="13" s="1"/>
  <c r="N605" i="13"/>
  <c r="Q605" i="13"/>
  <c r="T605" i="13" s="1"/>
  <c r="R605" i="13"/>
  <c r="U605" i="13" s="1"/>
  <c r="S605" i="13"/>
  <c r="O606" i="13"/>
  <c r="P606" i="13"/>
  <c r="T606" i="13"/>
  <c r="U606" i="13"/>
  <c r="O607" i="13"/>
  <c r="P607" i="13"/>
  <c r="T607" i="13"/>
  <c r="U607" i="13"/>
  <c r="L617" i="13"/>
  <c r="O617" i="13" s="1"/>
  <c r="M617" i="13"/>
  <c r="M616" i="13" s="1"/>
  <c r="P616" i="13" s="1"/>
  <c r="N617" i="13"/>
  <c r="Q617" i="13"/>
  <c r="R617" i="13"/>
  <c r="U617" i="13" s="1"/>
  <c r="S617" i="13"/>
  <c r="T617" i="13"/>
  <c r="L618" i="13"/>
  <c r="O618" i="13" s="1"/>
  <c r="M618" i="13"/>
  <c r="N618" i="13"/>
  <c r="P618" i="13"/>
  <c r="L619" i="13"/>
  <c r="O619" i="13" s="1"/>
  <c r="M619" i="13"/>
  <c r="N619" i="13"/>
  <c r="P619" i="13"/>
  <c r="O620" i="13"/>
  <c r="P620" i="13"/>
  <c r="T620" i="13"/>
  <c r="U620" i="13"/>
  <c r="O621" i="13"/>
  <c r="P621" i="13"/>
  <c r="Q621" i="13"/>
  <c r="Q619" i="13" s="1"/>
  <c r="R621" i="13"/>
  <c r="R619" i="13" s="1"/>
  <c r="S621" i="13"/>
  <c r="S619" i="13" s="1"/>
  <c r="L622" i="13"/>
  <c r="O622" i="13" s="1"/>
  <c r="M622" i="13"/>
  <c r="P622" i="13" s="1"/>
  <c r="N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31" i="13" s="1"/>
  <c r="I627" i="13"/>
  <c r="K627" i="13" s="1"/>
  <c r="I628" i="13"/>
  <c r="K628" i="13" s="1"/>
  <c r="J632" i="13"/>
  <c r="J626" i="13" s="1"/>
  <c r="J615" i="13" s="1"/>
  <c r="I635" i="13"/>
  <c r="K635" i="13" s="1"/>
  <c r="J636" i="13"/>
  <c r="J635" i="13" s="1"/>
  <c r="L643" i="13"/>
  <c r="M643" i="13"/>
  <c r="N643" i="13"/>
  <c r="O643" i="13"/>
  <c r="P643" i="13"/>
  <c r="Q643" i="13"/>
  <c r="T643" i="13" s="1"/>
  <c r="R643" i="13"/>
  <c r="S643" i="13"/>
  <c r="U643" i="13"/>
  <c r="L644" i="13"/>
  <c r="O644" i="13" s="1"/>
  <c r="M644" i="13"/>
  <c r="P644" i="13" s="1"/>
  <c r="N644" i="13"/>
  <c r="N642" i="13" s="1"/>
  <c r="L645" i="13"/>
  <c r="M645" i="13"/>
  <c r="N645" i="13"/>
  <c r="O645" i="13"/>
  <c r="P645" i="13"/>
  <c r="O646" i="13"/>
  <c r="P646" i="13"/>
  <c r="T646" i="13"/>
  <c r="U646" i="13"/>
  <c r="O647" i="13"/>
  <c r="P647" i="13"/>
  <c r="Q647" i="13"/>
  <c r="R647" i="13"/>
  <c r="R645" i="13" s="1"/>
  <c r="S647" i="13"/>
  <c r="S644" i="13" s="1"/>
  <c r="S642" i="13" s="1"/>
  <c r="L648" i="13"/>
  <c r="O648" i="13" s="1"/>
  <c r="M648" i="13"/>
  <c r="P648" i="13" s="1"/>
  <c r="N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J673" i="13"/>
  <c r="I674" i="13"/>
  <c r="I675" i="13"/>
  <c r="I676" i="13"/>
  <c r="J676" i="13"/>
  <c r="J677" i="13"/>
  <c r="I678" i="13"/>
  <c r="J678" i="13"/>
  <c r="I679" i="13"/>
  <c r="J679" i="13"/>
  <c r="J680" i="13"/>
  <c r="I681" i="13"/>
  <c r="J681" i="13"/>
  <c r="I682" i="13"/>
  <c r="J682" i="13"/>
  <c r="L691" i="13"/>
  <c r="M691" i="13"/>
  <c r="N691" i="13"/>
  <c r="Q691" i="13"/>
  <c r="T691" i="13" s="1"/>
  <c r="R691" i="13"/>
  <c r="S691" i="13"/>
  <c r="L692" i="13"/>
  <c r="M692" i="13"/>
  <c r="P692" i="13" s="1"/>
  <c r="N692" i="13"/>
  <c r="N690" i="13" s="1"/>
  <c r="O692" i="13"/>
  <c r="L693" i="13"/>
  <c r="M693" i="13"/>
  <c r="P693" i="13" s="1"/>
  <c r="N693" i="13"/>
  <c r="O693" i="13"/>
  <c r="O694" i="13"/>
  <c r="P694" i="13"/>
  <c r="T694" i="13"/>
  <c r="U694" i="13"/>
  <c r="O695" i="13"/>
  <c r="P695" i="13"/>
  <c r="Q695" i="13"/>
  <c r="R695" i="13"/>
  <c r="R693" i="13" s="1"/>
  <c r="S695" i="13"/>
  <c r="S692" i="13" s="1"/>
  <c r="L696" i="13"/>
  <c r="O696" i="13" s="1"/>
  <c r="M696" i="13"/>
  <c r="N696" i="13"/>
  <c r="P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I689" i="13" s="1"/>
  <c r="K689" i="13" s="1"/>
  <c r="J707" i="13"/>
  <c r="J689" i="13" s="1"/>
  <c r="J708" i="13"/>
  <c r="K708" i="13"/>
  <c r="I709" i="13"/>
  <c r="J709" i="13"/>
  <c r="J710" i="13"/>
  <c r="K710" i="13"/>
  <c r="J712" i="13"/>
  <c r="K712" i="13"/>
  <c r="L715" i="13"/>
  <c r="O715" i="13" s="1"/>
  <c r="M715" i="13"/>
  <c r="M714" i="13" s="1"/>
  <c r="P714" i="13" s="1"/>
  <c r="N715" i="13"/>
  <c r="N714" i="13" s="1"/>
  <c r="Q715" i="13"/>
  <c r="R715" i="13"/>
  <c r="R714" i="13" s="1"/>
  <c r="U714" i="13" s="1"/>
  <c r="S715" i="13"/>
  <c r="U715" i="13"/>
  <c r="L716" i="13"/>
  <c r="O716" i="13" s="1"/>
  <c r="M716" i="13"/>
  <c r="P716" i="13" s="1"/>
  <c r="N716" i="13"/>
  <c r="Q716" i="13"/>
  <c r="T716" i="13" s="1"/>
  <c r="R716" i="13"/>
  <c r="U716" i="13" s="1"/>
  <c r="S716" i="13"/>
  <c r="L717" i="13"/>
  <c r="O717" i="13" s="1"/>
  <c r="M717" i="13"/>
  <c r="P717" i="13" s="1"/>
  <c r="N717" i="13"/>
  <c r="Q717" i="13"/>
  <c r="T717" i="13" s="1"/>
  <c r="R717" i="13"/>
  <c r="U717" i="13" s="1"/>
  <c r="S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R720" i="13"/>
  <c r="U720" i="13" s="1"/>
  <c r="S720" i="13"/>
  <c r="T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N728" i="13"/>
  <c r="L729" i="13"/>
  <c r="O729" i="13" s="1"/>
  <c r="M729" i="13"/>
  <c r="M728" i="13" s="1"/>
  <c r="P728" i="13" s="1"/>
  <c r="N729" i="13"/>
  <c r="P729" i="13"/>
  <c r="Q729" i="13"/>
  <c r="R729" i="13"/>
  <c r="U729" i="13" s="1"/>
  <c r="S729" i="13"/>
  <c r="L730" i="13"/>
  <c r="M730" i="13"/>
  <c r="P730" i="13" s="1"/>
  <c r="N730" i="13"/>
  <c r="L731" i="13"/>
  <c r="M731" i="13"/>
  <c r="P731" i="13" s="1"/>
  <c r="N731" i="13"/>
  <c r="O731" i="13"/>
  <c r="O732" i="13"/>
  <c r="P732" i="13"/>
  <c r="T732" i="13"/>
  <c r="U732" i="13"/>
  <c r="O733" i="13"/>
  <c r="P733" i="13"/>
  <c r="Q733" i="13"/>
  <c r="T733" i="13" s="1"/>
  <c r="R733" i="13"/>
  <c r="R731" i="13" s="1"/>
  <c r="U731" i="13" s="1"/>
  <c r="S733" i="13"/>
  <c r="S731" i="13" s="1"/>
  <c r="L734" i="13"/>
  <c r="O734" i="13" s="1"/>
  <c r="M734" i="13"/>
  <c r="N734" i="13"/>
  <c r="P734" i="13"/>
  <c r="Q734" i="13"/>
  <c r="T734" i="13" s="1"/>
  <c r="R734" i="13"/>
  <c r="U734" i="13" s="1"/>
  <c r="S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N761" i="13"/>
  <c r="Q761" i="13"/>
  <c r="R761" i="13"/>
  <c r="S761" i="13"/>
  <c r="L762" i="13"/>
  <c r="M762" i="13"/>
  <c r="P762" i="13" s="1"/>
  <c r="N762" i="13"/>
  <c r="N760" i="13" s="1"/>
  <c r="O762" i="13"/>
  <c r="L763" i="13"/>
  <c r="O763" i="13" s="1"/>
  <c r="M763" i="13"/>
  <c r="N763" i="13"/>
  <c r="P763" i="13"/>
  <c r="O764" i="13"/>
  <c r="P764" i="13"/>
  <c r="T764" i="13"/>
  <c r="U764" i="13"/>
  <c r="O765" i="13"/>
  <c r="P765" i="13"/>
  <c r="Q765" i="13"/>
  <c r="R765" i="13"/>
  <c r="R763" i="13" s="1"/>
  <c r="U763" i="13" s="1"/>
  <c r="S765" i="13"/>
  <c r="S763" i="13" s="1"/>
  <c r="L766" i="13"/>
  <c r="O766" i="13" s="1"/>
  <c r="M766" i="13"/>
  <c r="P766" i="13" s="1"/>
  <c r="N766" i="13"/>
  <c r="Q766" i="13"/>
  <c r="R766" i="13"/>
  <c r="U766" i="13" s="1"/>
  <c r="S766" i="13"/>
  <c r="T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K772" i="13" s="1"/>
  <c r="I774" i="13"/>
  <c r="K774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M22" i="12"/>
  <c r="N22" i="12"/>
  <c r="N19" i="12" s="1"/>
  <c r="Q22" i="12"/>
  <c r="R22" i="12"/>
  <c r="S22" i="12"/>
  <c r="L25" i="12"/>
  <c r="M25" i="12"/>
  <c r="N25" i="12"/>
  <c r="Q25" i="12"/>
  <c r="Q24" i="12" s="1"/>
  <c r="T24" i="12" s="1"/>
  <c r="R25" i="12"/>
  <c r="S25" i="12"/>
  <c r="Q26" i="12"/>
  <c r="T26" i="12" s="1"/>
  <c r="R26" i="12"/>
  <c r="S26" i="12"/>
  <c r="U26" i="12"/>
  <c r="L45" i="12"/>
  <c r="M45" i="12"/>
  <c r="N45" i="12"/>
  <c r="O45" i="12"/>
  <c r="Q45" i="12"/>
  <c r="Q44" i="12" s="1"/>
  <c r="T44" i="12" s="1"/>
  <c r="R45" i="12"/>
  <c r="U45" i="12" s="1"/>
  <c r="S45" i="12"/>
  <c r="T45" i="12"/>
  <c r="Q46" i="12"/>
  <c r="T46" i="12" s="1"/>
  <c r="R46" i="12"/>
  <c r="U46" i="12" s="1"/>
  <c r="S46" i="12"/>
  <c r="Q47" i="12"/>
  <c r="T47" i="12" s="1"/>
  <c r="R47" i="12"/>
  <c r="U47" i="12" s="1"/>
  <c r="S47" i="12"/>
  <c r="O48" i="12"/>
  <c r="P48" i="12"/>
  <c r="T48" i="12"/>
  <c r="U48" i="12"/>
  <c r="L49" i="12"/>
  <c r="L47" i="12" s="1"/>
  <c r="M49" i="12"/>
  <c r="M47" i="12" s="1"/>
  <c r="N49" i="12"/>
  <c r="T49" i="12"/>
  <c r="U49" i="12"/>
  <c r="Q50" i="12"/>
  <c r="R50" i="12"/>
  <c r="U50" i="12" s="1"/>
  <c r="S50" i="12"/>
  <c r="T50" i="12"/>
  <c r="O51" i="12"/>
  <c r="P51" i="12"/>
  <c r="T51" i="12"/>
  <c r="U51" i="12"/>
  <c r="L52" i="12"/>
  <c r="M52" i="12"/>
  <c r="N52" i="12"/>
  <c r="N50" i="12" s="1"/>
  <c r="T52" i="12"/>
  <c r="U52" i="12"/>
  <c r="L60" i="12"/>
  <c r="M60" i="12"/>
  <c r="N60" i="12"/>
  <c r="O60" i="12"/>
  <c r="Q60" i="12"/>
  <c r="Q59" i="12" s="1"/>
  <c r="T59" i="12" s="1"/>
  <c r="R60" i="12"/>
  <c r="R59" i="12" s="1"/>
  <c r="U59" i="12" s="1"/>
  <c r="S60" i="12"/>
  <c r="T60" i="12"/>
  <c r="Q61" i="12"/>
  <c r="T61" i="12" s="1"/>
  <c r="R61" i="12"/>
  <c r="S61" i="12"/>
  <c r="U61" i="12"/>
  <c r="Q62" i="12"/>
  <c r="T62" i="12" s="1"/>
  <c r="R62" i="12"/>
  <c r="U62" i="12" s="1"/>
  <c r="S62" i="12"/>
  <c r="O63" i="12"/>
  <c r="P63" i="12"/>
  <c r="T63" i="12"/>
  <c r="U63" i="12"/>
  <c r="L64" i="12"/>
  <c r="M64" i="12"/>
  <c r="M62" i="12" s="1"/>
  <c r="N64" i="12"/>
  <c r="N62" i="12" s="1"/>
  <c r="T64" i="12"/>
  <c r="U64" i="12"/>
  <c r="Q65" i="12"/>
  <c r="R65" i="12"/>
  <c r="U65" i="12" s="1"/>
  <c r="S65" i="12"/>
  <c r="T65" i="12"/>
  <c r="O66" i="12"/>
  <c r="P66" i="12"/>
  <c r="T66" i="12"/>
  <c r="U66" i="12"/>
  <c r="L67" i="12"/>
  <c r="M67" i="12"/>
  <c r="N67" i="12"/>
  <c r="N65" i="12" s="1"/>
  <c r="T67" i="12"/>
  <c r="U67" i="12"/>
  <c r="L73" i="12"/>
  <c r="M73" i="12"/>
  <c r="N73" i="12"/>
  <c r="Q73" i="12"/>
  <c r="R73" i="12"/>
  <c r="S73" i="12"/>
  <c r="U73" i="12"/>
  <c r="O76" i="12"/>
  <c r="P76" i="12"/>
  <c r="T76" i="12"/>
  <c r="U76" i="12"/>
  <c r="L77" i="12"/>
  <c r="O77" i="12" s="1"/>
  <c r="M77" i="12"/>
  <c r="M75" i="12" s="1"/>
  <c r="P75" i="12" s="1"/>
  <c r="N77" i="12"/>
  <c r="N75" i="12" s="1"/>
  <c r="Q77" i="12"/>
  <c r="Q74" i="12" s="1"/>
  <c r="T74" i="12" s="1"/>
  <c r="R77" i="12"/>
  <c r="R74" i="12" s="1"/>
  <c r="U74" i="12" s="1"/>
  <c r="S77" i="12"/>
  <c r="S75" i="12" s="1"/>
  <c r="Q78" i="12"/>
  <c r="T78" i="12" s="1"/>
  <c r="R78" i="12"/>
  <c r="U78" i="12" s="1"/>
  <c r="S78" i="12"/>
  <c r="O79" i="12"/>
  <c r="P79" i="12"/>
  <c r="T79" i="12"/>
  <c r="U79" i="12"/>
  <c r="L80" i="12"/>
  <c r="L78" i="12" s="1"/>
  <c r="O78" i="12" s="1"/>
  <c r="M80" i="12"/>
  <c r="M78" i="12" s="1"/>
  <c r="P78" i="12" s="1"/>
  <c r="N80" i="12"/>
  <c r="N78" i="12" s="1"/>
  <c r="T80" i="12"/>
  <c r="U80" i="12"/>
  <c r="J82" i="12"/>
  <c r="J70" i="12" s="1"/>
  <c r="J83" i="12"/>
  <c r="J71" i="12" s="1"/>
  <c r="I84" i="12"/>
  <c r="I85" i="12"/>
  <c r="K85" i="12" s="1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O95" i="12"/>
  <c r="Q95" i="12"/>
  <c r="T95" i="12" s="1"/>
  <c r="R95" i="12"/>
  <c r="S95" i="12"/>
  <c r="U95" i="12"/>
  <c r="O98" i="12"/>
  <c r="P98" i="12"/>
  <c r="T98" i="12"/>
  <c r="U98" i="12"/>
  <c r="L99" i="12"/>
  <c r="M99" i="12"/>
  <c r="M97" i="12" s="1"/>
  <c r="N99" i="12"/>
  <c r="N97" i="12" s="1"/>
  <c r="Q99" i="12"/>
  <c r="Q96" i="12" s="1"/>
  <c r="R99" i="12"/>
  <c r="R96" i="12" s="1"/>
  <c r="S99" i="12"/>
  <c r="S96" i="12" s="1"/>
  <c r="S94" i="12" s="1"/>
  <c r="Q100" i="12"/>
  <c r="R100" i="12"/>
  <c r="U100" i="12" s="1"/>
  <c r="S100" i="12"/>
  <c r="T100" i="12"/>
  <c r="O101" i="12"/>
  <c r="P101" i="12"/>
  <c r="T101" i="12"/>
  <c r="U101" i="12"/>
  <c r="L102" i="12"/>
  <c r="O102" i="12" s="1"/>
  <c r="M102" i="12"/>
  <c r="M100" i="12" s="1"/>
  <c r="P100" i="12" s="1"/>
  <c r="N102" i="12"/>
  <c r="N100" i="12" s="1"/>
  <c r="T102" i="12"/>
  <c r="U102" i="12"/>
  <c r="I108" i="12"/>
  <c r="K108" i="12" s="1"/>
  <c r="I109" i="12"/>
  <c r="I93" i="12" s="1"/>
  <c r="K93" i="12" s="1"/>
  <c r="I113" i="12"/>
  <c r="K113" i="12" s="1"/>
  <c r="I114" i="12"/>
  <c r="K114" i="12" s="1"/>
  <c r="J116" i="12"/>
  <c r="L118" i="12"/>
  <c r="M118" i="12"/>
  <c r="N118" i="12"/>
  <c r="Q118" i="12"/>
  <c r="T118" i="12" s="1"/>
  <c r="R118" i="12"/>
  <c r="S118" i="12"/>
  <c r="O121" i="12"/>
  <c r="P121" i="12"/>
  <c r="T121" i="12"/>
  <c r="U121" i="12"/>
  <c r="L122" i="12"/>
  <c r="L120" i="12" s="1"/>
  <c r="O120" i="12" s="1"/>
  <c r="M122" i="12"/>
  <c r="N122" i="12"/>
  <c r="Q122" i="12"/>
  <c r="Q119" i="12" s="1"/>
  <c r="Q117" i="12" s="1"/>
  <c r="R122" i="12"/>
  <c r="R120" i="12" s="1"/>
  <c r="S122" i="12"/>
  <c r="S119" i="12" s="1"/>
  <c r="Q123" i="12"/>
  <c r="T123" i="12" s="1"/>
  <c r="R123" i="12"/>
  <c r="U123" i="12" s="1"/>
  <c r="S123" i="12"/>
  <c r="O124" i="12"/>
  <c r="P124" i="12"/>
  <c r="T124" i="12"/>
  <c r="U124" i="12"/>
  <c r="L125" i="12"/>
  <c r="L123" i="12" s="1"/>
  <c r="O123" i="12" s="1"/>
  <c r="M125" i="12"/>
  <c r="M123" i="12" s="1"/>
  <c r="P123" i="12" s="1"/>
  <c r="N125" i="12"/>
  <c r="N123" i="12" s="1"/>
  <c r="T125" i="12"/>
  <c r="U125" i="12"/>
  <c r="I127" i="12"/>
  <c r="I116" i="12" s="1"/>
  <c r="I128" i="12"/>
  <c r="K128" i="12" s="1"/>
  <c r="I129" i="12"/>
  <c r="K129" i="12" s="1"/>
  <c r="I130" i="12"/>
  <c r="K130" i="12" s="1"/>
  <c r="J136" i="12"/>
  <c r="J137" i="12"/>
  <c r="J138" i="12"/>
  <c r="L140" i="12"/>
  <c r="O140" i="12" s="1"/>
  <c r="M140" i="12"/>
  <c r="P140" i="12" s="1"/>
  <c r="N140" i="12"/>
  <c r="Q140" i="12"/>
  <c r="R140" i="12"/>
  <c r="U140" i="12" s="1"/>
  <c r="S140" i="12"/>
  <c r="O143" i="12"/>
  <c r="P143" i="12"/>
  <c r="T143" i="12"/>
  <c r="U143" i="12"/>
  <c r="L144" i="12"/>
  <c r="M144" i="12"/>
  <c r="N144" i="12"/>
  <c r="N142" i="12" s="1"/>
  <c r="Q144" i="12"/>
  <c r="Q141" i="12" s="1"/>
  <c r="T141" i="12" s="1"/>
  <c r="R144" i="12"/>
  <c r="R141" i="12" s="1"/>
  <c r="S144" i="12"/>
  <c r="S142" i="12" s="1"/>
  <c r="Q145" i="12"/>
  <c r="R145" i="12"/>
  <c r="U145" i="12" s="1"/>
  <c r="S145" i="12"/>
  <c r="T145" i="12"/>
  <c r="O146" i="12"/>
  <c r="P146" i="12"/>
  <c r="T146" i="12"/>
  <c r="U146" i="12"/>
  <c r="L147" i="12"/>
  <c r="M147" i="12"/>
  <c r="N147" i="12"/>
  <c r="N145" i="12" s="1"/>
  <c r="T147" i="12"/>
  <c r="U147" i="12"/>
  <c r="I150" i="12"/>
  <c r="K150" i="12" s="1"/>
  <c r="I151" i="12"/>
  <c r="K151" i="12" s="1"/>
  <c r="I152" i="12"/>
  <c r="I137" i="12" s="1"/>
  <c r="K137" i="12" s="1"/>
  <c r="I153" i="12"/>
  <c r="K153" i="12" s="1"/>
  <c r="I154" i="12"/>
  <c r="K154" i="12" s="1"/>
  <c r="J156" i="12"/>
  <c r="L158" i="12"/>
  <c r="M158" i="12"/>
  <c r="N158" i="12"/>
  <c r="Q158" i="12"/>
  <c r="R158" i="12"/>
  <c r="S158" i="12"/>
  <c r="T158" i="12"/>
  <c r="O161" i="12"/>
  <c r="P161" i="12"/>
  <c r="T161" i="12"/>
  <c r="U161" i="12"/>
  <c r="L162" i="12"/>
  <c r="L160" i="12" s="1"/>
  <c r="O160" i="12" s="1"/>
  <c r="M162" i="12"/>
  <c r="N162" i="12"/>
  <c r="N160" i="12" s="1"/>
  <c r="Q162" i="12"/>
  <c r="Q159" i="12" s="1"/>
  <c r="Q157" i="12" s="1"/>
  <c r="T157" i="12" s="1"/>
  <c r="R162" i="12"/>
  <c r="R160" i="12" s="1"/>
  <c r="U160" i="12" s="1"/>
  <c r="S162" i="12"/>
  <c r="S160" i="12" s="1"/>
  <c r="Q163" i="12"/>
  <c r="T163" i="12" s="1"/>
  <c r="R163" i="12"/>
  <c r="S163" i="12"/>
  <c r="U163" i="12"/>
  <c r="O164" i="12"/>
  <c r="P164" i="12"/>
  <c r="T164" i="12"/>
  <c r="U164" i="12"/>
  <c r="L165" i="12"/>
  <c r="L163" i="12" s="1"/>
  <c r="O163" i="12" s="1"/>
  <c r="M165" i="12"/>
  <c r="P165" i="12" s="1"/>
  <c r="N165" i="12"/>
  <c r="T165" i="12"/>
  <c r="U165" i="12"/>
  <c r="I167" i="12"/>
  <c r="K167" i="12" s="1"/>
  <c r="I168" i="12"/>
  <c r="K168" i="12" s="1"/>
  <c r="I169" i="12"/>
  <c r="K169" i="12" s="1"/>
  <c r="J172" i="12"/>
  <c r="L174" i="12"/>
  <c r="M174" i="12"/>
  <c r="N174" i="12"/>
  <c r="Q174" i="12"/>
  <c r="T174" i="12" s="1"/>
  <c r="R174" i="12"/>
  <c r="S174" i="12"/>
  <c r="O177" i="12"/>
  <c r="P177" i="12"/>
  <c r="T177" i="12"/>
  <c r="U177" i="12"/>
  <c r="L178" i="12"/>
  <c r="M178" i="12"/>
  <c r="N178" i="12"/>
  <c r="Q178" i="12"/>
  <c r="Q175" i="12" s="1"/>
  <c r="Q173" i="12" s="1"/>
  <c r="T173" i="12" s="1"/>
  <c r="R178" i="12"/>
  <c r="U178" i="12" s="1"/>
  <c r="S178" i="12"/>
  <c r="Q179" i="12"/>
  <c r="T179" i="12" s="1"/>
  <c r="R179" i="12"/>
  <c r="S179" i="12"/>
  <c r="U179" i="12"/>
  <c r="O180" i="12"/>
  <c r="P180" i="12"/>
  <c r="T180" i="12"/>
  <c r="U180" i="12"/>
  <c r="L181" i="12"/>
  <c r="L179" i="12" s="1"/>
  <c r="O179" i="12" s="1"/>
  <c r="M181" i="12"/>
  <c r="M179" i="12" s="1"/>
  <c r="P179" i="12" s="1"/>
  <c r="N181" i="12"/>
  <c r="N179" i="12" s="1"/>
  <c r="T181" i="12"/>
  <c r="U181" i="12"/>
  <c r="I183" i="12"/>
  <c r="I172" i="12" s="1"/>
  <c r="K172" i="12" s="1"/>
  <c r="K184" i="12"/>
  <c r="L187" i="12"/>
  <c r="M187" i="12"/>
  <c r="P187" i="12" s="1"/>
  <c r="N187" i="12"/>
  <c r="Q187" i="12"/>
  <c r="R187" i="12"/>
  <c r="S187" i="12"/>
  <c r="O190" i="12"/>
  <c r="P190" i="12"/>
  <c r="T190" i="12"/>
  <c r="U190" i="12"/>
  <c r="L191" i="12"/>
  <c r="M191" i="12"/>
  <c r="N191" i="12"/>
  <c r="Q191" i="12"/>
  <c r="Q189" i="12" s="1"/>
  <c r="R191" i="12"/>
  <c r="R188" i="12" s="1"/>
  <c r="S191" i="12"/>
  <c r="S188" i="12" s="1"/>
  <c r="S186" i="12" s="1"/>
  <c r="Q192" i="12"/>
  <c r="R192" i="12"/>
  <c r="U192" i="12" s="1"/>
  <c r="S192" i="12"/>
  <c r="T192" i="12"/>
  <c r="O193" i="12"/>
  <c r="P193" i="12"/>
  <c r="T193" i="12"/>
  <c r="U193" i="12"/>
  <c r="L194" i="12"/>
  <c r="M194" i="12"/>
  <c r="N194" i="12"/>
  <c r="N192" i="12" s="1"/>
  <c r="T194" i="12"/>
  <c r="U194" i="12"/>
  <c r="J195" i="12"/>
  <c r="L196" i="12"/>
  <c r="O196" i="12" s="1"/>
  <c r="P196" i="12"/>
  <c r="I198" i="12"/>
  <c r="K198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K209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I221" i="12" s="1"/>
  <c r="K221" i="12" s="1"/>
  <c r="I230" i="12"/>
  <c r="K230" i="12" s="1"/>
  <c r="N233" i="12"/>
  <c r="N234" i="12"/>
  <c r="N235" i="12"/>
  <c r="N236" i="12"/>
  <c r="J238" i="12"/>
  <c r="J240" i="12"/>
  <c r="J241" i="12"/>
  <c r="J242" i="12"/>
  <c r="N243" i="12"/>
  <c r="P243" i="12"/>
  <c r="L244" i="12"/>
  <c r="L245" i="12"/>
  <c r="L246" i="12"/>
  <c r="L247" i="12"/>
  <c r="I249" i="12"/>
  <c r="I242" i="12" s="1"/>
  <c r="K242" i="12" s="1"/>
  <c r="I251" i="12"/>
  <c r="I240" i="12" s="1"/>
  <c r="K240" i="12" s="1"/>
  <c r="I252" i="12"/>
  <c r="I241" i="12" s="1"/>
  <c r="K241" i="12" s="1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J265" i="12"/>
  <c r="L267" i="12"/>
  <c r="M267" i="12"/>
  <c r="N267" i="12"/>
  <c r="P267" i="12"/>
  <c r="Q267" i="12"/>
  <c r="R267" i="12"/>
  <c r="S267" i="12"/>
  <c r="O270" i="12"/>
  <c r="P270" i="12"/>
  <c r="T270" i="12"/>
  <c r="U270" i="12"/>
  <c r="L271" i="12"/>
  <c r="M271" i="12"/>
  <c r="N271" i="12"/>
  <c r="Q271" i="12"/>
  <c r="Q269" i="12" s="1"/>
  <c r="R271" i="12"/>
  <c r="S271" i="12"/>
  <c r="Q272" i="12"/>
  <c r="R272" i="12"/>
  <c r="U272" i="12" s="1"/>
  <c r="S272" i="12"/>
  <c r="T272" i="12"/>
  <c r="O273" i="12"/>
  <c r="P273" i="12"/>
  <c r="T273" i="12"/>
  <c r="U273" i="12"/>
  <c r="L274" i="12"/>
  <c r="M274" i="12"/>
  <c r="N274" i="12"/>
  <c r="N272" i="12" s="1"/>
  <c r="T274" i="12"/>
  <c r="U274" i="12"/>
  <c r="I276" i="12"/>
  <c r="K276" i="12" s="1"/>
  <c r="J281" i="12"/>
  <c r="L283" i="12"/>
  <c r="M283" i="12"/>
  <c r="N283" i="12"/>
  <c r="Q283" i="12"/>
  <c r="R283" i="12"/>
  <c r="S283" i="12"/>
  <c r="Q284" i="12"/>
  <c r="T284" i="12" s="1"/>
  <c r="R284" i="12"/>
  <c r="S284" i="12"/>
  <c r="U284" i="12"/>
  <c r="Q285" i="12"/>
  <c r="T285" i="12" s="1"/>
  <c r="R285" i="12"/>
  <c r="S285" i="12"/>
  <c r="U285" i="12"/>
  <c r="O286" i="12"/>
  <c r="P286" i="12"/>
  <c r="T286" i="12"/>
  <c r="U286" i="12"/>
  <c r="L287" i="12"/>
  <c r="L285" i="12" s="1"/>
  <c r="O285" i="12" s="1"/>
  <c r="M287" i="12"/>
  <c r="N287" i="12"/>
  <c r="N285" i="12" s="1"/>
  <c r="T287" i="12"/>
  <c r="U287" i="12"/>
  <c r="Q288" i="12"/>
  <c r="R288" i="12"/>
  <c r="U288" i="12" s="1"/>
  <c r="S288" i="12"/>
  <c r="T288" i="12"/>
  <c r="O289" i="12"/>
  <c r="P289" i="12"/>
  <c r="T289" i="12"/>
  <c r="U289" i="12"/>
  <c r="L290" i="12"/>
  <c r="O290" i="12" s="1"/>
  <c r="M290" i="12"/>
  <c r="M288" i="12" s="1"/>
  <c r="P288" i="12" s="1"/>
  <c r="N290" i="12"/>
  <c r="N288" i="12" s="1"/>
  <c r="T290" i="12"/>
  <c r="U290" i="12"/>
  <c r="I292" i="12"/>
  <c r="K292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N304" i="12"/>
  <c r="Q304" i="12"/>
  <c r="R304" i="12"/>
  <c r="S304" i="12"/>
  <c r="O307" i="12"/>
  <c r="P307" i="12"/>
  <c r="T307" i="12"/>
  <c r="U307" i="12"/>
  <c r="L308" i="12"/>
  <c r="L306" i="12" s="1"/>
  <c r="M308" i="12"/>
  <c r="N308" i="12"/>
  <c r="Q308" i="12"/>
  <c r="Q305" i="12" s="1"/>
  <c r="R308" i="12"/>
  <c r="R306" i="12" s="1"/>
  <c r="S308" i="12"/>
  <c r="Q309" i="12"/>
  <c r="T309" i="12" s="1"/>
  <c r="R309" i="12"/>
  <c r="S309" i="12"/>
  <c r="U309" i="12"/>
  <c r="O310" i="12"/>
  <c r="P310" i="12"/>
  <c r="T310" i="12"/>
  <c r="U310" i="12"/>
  <c r="L311" i="12"/>
  <c r="L309" i="12" s="1"/>
  <c r="O309" i="12" s="1"/>
  <c r="M311" i="12"/>
  <c r="N311" i="12"/>
  <c r="N309" i="12" s="1"/>
  <c r="T311" i="12"/>
  <c r="U311" i="12"/>
  <c r="I314" i="12"/>
  <c r="K314" i="12" s="1"/>
  <c r="J319" i="12"/>
  <c r="L321" i="12"/>
  <c r="O321" i="12" s="1"/>
  <c r="M321" i="12"/>
  <c r="N321" i="12"/>
  <c r="P321" i="12"/>
  <c r="Q321" i="12"/>
  <c r="R321" i="12"/>
  <c r="R320" i="12" s="1"/>
  <c r="U320" i="12" s="1"/>
  <c r="S321" i="12"/>
  <c r="U321" i="12"/>
  <c r="Q322" i="12"/>
  <c r="T322" i="12" s="1"/>
  <c r="R322" i="12"/>
  <c r="U322" i="12" s="1"/>
  <c r="S322" i="12"/>
  <c r="S320" i="12" s="1"/>
  <c r="Q323" i="12"/>
  <c r="R323" i="12"/>
  <c r="U323" i="12" s="1"/>
  <c r="S323" i="12"/>
  <c r="T323" i="12"/>
  <c r="O324" i="12"/>
  <c r="P324" i="12"/>
  <c r="T324" i="12"/>
  <c r="U324" i="12"/>
  <c r="L325" i="12"/>
  <c r="M325" i="12"/>
  <c r="N325" i="12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O328" i="12" s="1"/>
  <c r="M328" i="12"/>
  <c r="M326" i="12" s="1"/>
  <c r="P326" i="12" s="1"/>
  <c r="N328" i="12"/>
  <c r="N326" i="12" s="1"/>
  <c r="T328" i="12"/>
  <c r="U328" i="12"/>
  <c r="I330" i="12"/>
  <c r="I319" i="12" s="1"/>
  <c r="K319" i="12" s="1"/>
  <c r="L334" i="12"/>
  <c r="M334" i="12"/>
  <c r="N334" i="12"/>
  <c r="P334" i="12"/>
  <c r="Q334" i="12"/>
  <c r="R334" i="12"/>
  <c r="R333" i="12" s="1"/>
  <c r="U333" i="12" s="1"/>
  <c r="S334" i="12"/>
  <c r="Q335" i="12"/>
  <c r="T335" i="12" s="1"/>
  <c r="R335" i="12"/>
  <c r="U335" i="12" s="1"/>
  <c r="S335" i="12"/>
  <c r="Q336" i="12"/>
  <c r="R336" i="12"/>
  <c r="U336" i="12" s="1"/>
  <c r="S336" i="12"/>
  <c r="T336" i="12"/>
  <c r="O337" i="12"/>
  <c r="P337" i="12"/>
  <c r="T337" i="12"/>
  <c r="U337" i="12"/>
  <c r="L338" i="12"/>
  <c r="M338" i="12"/>
  <c r="N338" i="12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L339" i="12" s="1"/>
  <c r="O339" i="12" s="1"/>
  <c r="M341" i="12"/>
  <c r="P341" i="12" s="1"/>
  <c r="N341" i="12"/>
  <c r="N339" i="12" s="1"/>
  <c r="T341" i="12"/>
  <c r="U341" i="12"/>
  <c r="I344" i="12"/>
  <c r="I332" i="12" s="1"/>
  <c r="J344" i="12"/>
  <c r="I346" i="12"/>
  <c r="J346" i="12"/>
  <c r="J347" i="12"/>
  <c r="J348" i="12"/>
  <c r="J349" i="12"/>
  <c r="D350" i="12"/>
  <c r="J352" i="12"/>
  <c r="J353" i="12"/>
  <c r="J354" i="12"/>
  <c r="L357" i="12"/>
  <c r="O357" i="12" s="1"/>
  <c r="M357" i="12"/>
  <c r="P357" i="12" s="1"/>
  <c r="N357" i="12"/>
  <c r="Q357" i="12"/>
  <c r="T357" i="12" s="1"/>
  <c r="R357" i="12"/>
  <c r="S357" i="12"/>
  <c r="S356" i="12" s="1"/>
  <c r="U357" i="12"/>
  <c r="Q358" i="12"/>
  <c r="T358" i="12" s="1"/>
  <c r="R358" i="12"/>
  <c r="R356" i="12" s="1"/>
  <c r="U356" i="12" s="1"/>
  <c r="S358" i="12"/>
  <c r="U358" i="12"/>
  <c r="Q359" i="12"/>
  <c r="T359" i="12" s="1"/>
  <c r="R359" i="12"/>
  <c r="U359" i="12" s="1"/>
  <c r="S359" i="12"/>
  <c r="O360" i="12"/>
  <c r="P360" i="12"/>
  <c r="T360" i="12"/>
  <c r="U360" i="12"/>
  <c r="L361" i="12"/>
  <c r="L359" i="12" s="1"/>
  <c r="M361" i="12"/>
  <c r="M359" i="12" s="1"/>
  <c r="N361" i="12"/>
  <c r="N359" i="12" s="1"/>
  <c r="T361" i="12"/>
  <c r="U361" i="12"/>
  <c r="Q362" i="12"/>
  <c r="T362" i="12" s="1"/>
  <c r="R362" i="12"/>
  <c r="S362" i="12"/>
  <c r="U362" i="12"/>
  <c r="O363" i="12"/>
  <c r="P363" i="12"/>
  <c r="T363" i="12"/>
  <c r="U363" i="12"/>
  <c r="L364" i="12"/>
  <c r="M364" i="12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M376" i="12"/>
  <c r="M375" i="12" s="1"/>
  <c r="P375" i="12" s="1"/>
  <c r="N376" i="12"/>
  <c r="Q376" i="12"/>
  <c r="R376" i="12"/>
  <c r="S376" i="12"/>
  <c r="L377" i="12"/>
  <c r="O377" i="12" s="1"/>
  <c r="M377" i="12"/>
  <c r="P377" i="12" s="1"/>
  <c r="N377" i="12"/>
  <c r="N375" i="12" s="1"/>
  <c r="L378" i="12"/>
  <c r="M378" i="12"/>
  <c r="P378" i="12" s="1"/>
  <c r="N378" i="12"/>
  <c r="O378" i="12"/>
  <c r="O379" i="12"/>
  <c r="P379" i="12"/>
  <c r="T379" i="12"/>
  <c r="U379" i="12"/>
  <c r="O380" i="12"/>
  <c r="P380" i="12"/>
  <c r="Q380" i="12"/>
  <c r="R380" i="12"/>
  <c r="R378" i="12" s="1"/>
  <c r="S380" i="12"/>
  <c r="S378" i="12" s="1"/>
  <c r="L381" i="12"/>
  <c r="O381" i="12" s="1"/>
  <c r="M381" i="12"/>
  <c r="P381" i="12" s="1"/>
  <c r="N381" i="12"/>
  <c r="Q381" i="12"/>
  <c r="T381" i="12" s="1"/>
  <c r="R381" i="12"/>
  <c r="U381" i="12" s="1"/>
  <c r="S381" i="12"/>
  <c r="O382" i="12"/>
  <c r="P382" i="12"/>
  <c r="T382" i="12"/>
  <c r="U382" i="12"/>
  <c r="O383" i="12"/>
  <c r="P383" i="12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J391" i="12"/>
  <c r="K391" i="12"/>
  <c r="L393" i="12"/>
  <c r="O393" i="12" s="1"/>
  <c r="M393" i="12"/>
  <c r="N393" i="12"/>
  <c r="Q393" i="12"/>
  <c r="Q392" i="12" s="1"/>
  <c r="T392" i="12" s="1"/>
  <c r="R393" i="12"/>
  <c r="U393" i="12" s="1"/>
  <c r="S393" i="12"/>
  <c r="S392" i="12" s="1"/>
  <c r="T393" i="12"/>
  <c r="L394" i="12"/>
  <c r="M394" i="12"/>
  <c r="N394" i="12"/>
  <c r="O394" i="12"/>
  <c r="P394" i="12"/>
  <c r="Q394" i="12"/>
  <c r="T394" i="12" s="1"/>
  <c r="R394" i="12"/>
  <c r="S394" i="12"/>
  <c r="U394" i="12"/>
  <c r="L395" i="12"/>
  <c r="O395" i="12" s="1"/>
  <c r="M395" i="12"/>
  <c r="P395" i="12" s="1"/>
  <c r="N395" i="12"/>
  <c r="Q395" i="12"/>
  <c r="T395" i="12" s="1"/>
  <c r="R395" i="12"/>
  <c r="U395" i="12" s="1"/>
  <c r="S395" i="12"/>
  <c r="O396" i="12"/>
  <c r="P396" i="12"/>
  <c r="T396" i="12"/>
  <c r="U396" i="12"/>
  <c r="O397" i="12"/>
  <c r="P397" i="12"/>
  <c r="T397" i="12"/>
  <c r="U397" i="12"/>
  <c r="L398" i="12"/>
  <c r="O398" i="12" s="1"/>
  <c r="M398" i="12"/>
  <c r="P398" i="12" s="1"/>
  <c r="N398" i="12"/>
  <c r="Q398" i="12"/>
  <c r="T398" i="12" s="1"/>
  <c r="R398" i="12"/>
  <c r="U398" i="12" s="1"/>
  <c r="S398" i="12"/>
  <c r="O399" i="12"/>
  <c r="P399" i="12"/>
  <c r="T399" i="12"/>
  <c r="U399" i="12"/>
  <c r="O400" i="12"/>
  <c r="P400" i="12"/>
  <c r="T400" i="12"/>
  <c r="U400" i="12"/>
  <c r="L414" i="12"/>
  <c r="O414" i="12" s="1"/>
  <c r="M414" i="12"/>
  <c r="N414" i="12"/>
  <c r="P414" i="12"/>
  <c r="Q414" i="12"/>
  <c r="R414" i="12"/>
  <c r="U414" i="12" s="1"/>
  <c r="S414" i="12"/>
  <c r="L415" i="12"/>
  <c r="O415" i="12" s="1"/>
  <c r="M415" i="12"/>
  <c r="P415" i="12" s="1"/>
  <c r="N415" i="12"/>
  <c r="N413" i="12" s="1"/>
  <c r="L416" i="12"/>
  <c r="M416" i="12"/>
  <c r="P416" i="12" s="1"/>
  <c r="N416" i="12"/>
  <c r="O416" i="12"/>
  <c r="O417" i="12"/>
  <c r="P417" i="12"/>
  <c r="T417" i="12"/>
  <c r="U417" i="12"/>
  <c r="O418" i="12"/>
  <c r="P418" i="12"/>
  <c r="Q418" i="12"/>
  <c r="Q416" i="12" s="1"/>
  <c r="T416" i="12" s="1"/>
  <c r="R418" i="12"/>
  <c r="R416" i="12" s="1"/>
  <c r="U416" i="12" s="1"/>
  <c r="S418" i="12"/>
  <c r="S416" i="12" s="1"/>
  <c r="L419" i="12"/>
  <c r="O419" i="12" s="1"/>
  <c r="M419" i="12"/>
  <c r="N419" i="12"/>
  <c r="P419" i="12"/>
  <c r="Q419" i="12"/>
  <c r="T419" i="12" s="1"/>
  <c r="R419" i="12"/>
  <c r="U419" i="12" s="1"/>
  <c r="S419" i="12"/>
  <c r="O420" i="12"/>
  <c r="P420" i="12"/>
  <c r="T420" i="12"/>
  <c r="U420" i="12"/>
  <c r="O421" i="12"/>
  <c r="P421" i="12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K440" i="12" s="1"/>
  <c r="J440" i="12"/>
  <c r="J423" i="12" s="1"/>
  <c r="J412" i="12" s="1"/>
  <c r="I441" i="12"/>
  <c r="K441" i="12" s="1"/>
  <c r="J446" i="12"/>
  <c r="J447" i="12"/>
  <c r="J441" i="12" s="1"/>
  <c r="I457" i="12"/>
  <c r="K457" i="12" s="1"/>
  <c r="I458" i="12"/>
  <c r="K458" i="12" s="1"/>
  <c r="J459" i="12"/>
  <c r="J460" i="12"/>
  <c r="J467" i="12"/>
  <c r="J457" i="12" s="1"/>
  <c r="J456" i="12" s="1"/>
  <c r="J468" i="12"/>
  <c r="J458" i="12" s="1"/>
  <c r="J475" i="12"/>
  <c r="K475" i="12"/>
  <c r="J476" i="12"/>
  <c r="K476" i="12"/>
  <c r="J477" i="12"/>
  <c r="K477" i="12"/>
  <c r="J482" i="12"/>
  <c r="J483" i="12"/>
  <c r="I484" i="12"/>
  <c r="J484" i="12"/>
  <c r="K484" i="12"/>
  <c r="I485" i="12"/>
  <c r="K485" i="12" s="1"/>
  <c r="J485" i="12"/>
  <c r="L494" i="12"/>
  <c r="M494" i="12"/>
  <c r="P494" i="12" s="1"/>
  <c r="N494" i="12"/>
  <c r="O494" i="12"/>
  <c r="Q494" i="12"/>
  <c r="T494" i="12" s="1"/>
  <c r="R494" i="12"/>
  <c r="U494" i="12" s="1"/>
  <c r="S494" i="12"/>
  <c r="L495" i="12"/>
  <c r="O495" i="12" s="1"/>
  <c r="M495" i="12"/>
  <c r="P495" i="12" s="1"/>
  <c r="N495" i="12"/>
  <c r="L496" i="12"/>
  <c r="O496" i="12" s="1"/>
  <c r="M496" i="12"/>
  <c r="P496" i="12" s="1"/>
  <c r="N496" i="12"/>
  <c r="O497" i="12"/>
  <c r="P497" i="12"/>
  <c r="T497" i="12"/>
  <c r="U497" i="12"/>
  <c r="O498" i="12"/>
  <c r="P498" i="12"/>
  <c r="Q498" i="12"/>
  <c r="Q496" i="12" s="1"/>
  <c r="T496" i="12" s="1"/>
  <c r="R498" i="12"/>
  <c r="R496" i="12" s="1"/>
  <c r="U496" i="12" s="1"/>
  <c r="S498" i="12"/>
  <c r="S495" i="12" s="1"/>
  <c r="S493" i="12" s="1"/>
  <c r="L499" i="12"/>
  <c r="M499" i="12"/>
  <c r="N499" i="12"/>
  <c r="O499" i="12"/>
  <c r="P499" i="12"/>
  <c r="Q499" i="12"/>
  <c r="T499" i="12" s="1"/>
  <c r="R499" i="12"/>
  <c r="S499" i="12"/>
  <c r="U499" i="12"/>
  <c r="O500" i="12"/>
  <c r="P500" i="12"/>
  <c r="T500" i="12"/>
  <c r="U500" i="12"/>
  <c r="O501" i="12"/>
  <c r="P501" i="12"/>
  <c r="T501" i="12"/>
  <c r="U501" i="12"/>
  <c r="I503" i="12"/>
  <c r="I492" i="12" s="1"/>
  <c r="K492" i="12" s="1"/>
  <c r="I504" i="12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M514" i="12"/>
  <c r="N514" i="12"/>
  <c r="Q514" i="12"/>
  <c r="T514" i="12" s="1"/>
  <c r="R514" i="12"/>
  <c r="S514" i="12"/>
  <c r="Q515" i="12"/>
  <c r="T515" i="12" s="1"/>
  <c r="R515" i="12"/>
  <c r="U515" i="12" s="1"/>
  <c r="S515" i="12"/>
  <c r="Q516" i="12"/>
  <c r="T516" i="12" s="1"/>
  <c r="R516" i="12"/>
  <c r="S516" i="12"/>
  <c r="U516" i="12"/>
  <c r="O517" i="12"/>
  <c r="P517" i="12"/>
  <c r="T517" i="12"/>
  <c r="U517" i="12"/>
  <c r="L518" i="12"/>
  <c r="L516" i="12" s="1"/>
  <c r="O516" i="12" s="1"/>
  <c r="M518" i="12"/>
  <c r="N518" i="12"/>
  <c r="N516" i="12" s="1"/>
  <c r="T518" i="12"/>
  <c r="U518" i="12"/>
  <c r="Q519" i="12"/>
  <c r="T519" i="12" s="1"/>
  <c r="R519" i="12"/>
  <c r="U519" i="12" s="1"/>
  <c r="S519" i="12"/>
  <c r="O520" i="12"/>
  <c r="P520" i="12"/>
  <c r="T520" i="12"/>
  <c r="U520" i="12"/>
  <c r="L521" i="12"/>
  <c r="O521" i="12" s="1"/>
  <c r="M521" i="12"/>
  <c r="N521" i="12"/>
  <c r="N519" i="12" s="1"/>
  <c r="T521" i="12"/>
  <c r="U521" i="12"/>
  <c r="K523" i="12"/>
  <c r="K524" i="12"/>
  <c r="I533" i="12"/>
  <c r="J533" i="12"/>
  <c r="K533" i="12"/>
  <c r="Q534" i="12"/>
  <c r="T534" i="12" s="1"/>
  <c r="L535" i="12"/>
  <c r="O535" i="12" s="1"/>
  <c r="M535" i="12"/>
  <c r="N535" i="12"/>
  <c r="Q535" i="12"/>
  <c r="T535" i="12" s="1"/>
  <c r="R535" i="12"/>
  <c r="U535" i="12" s="1"/>
  <c r="S535" i="12"/>
  <c r="S534" i="12" s="1"/>
  <c r="L536" i="12"/>
  <c r="M536" i="12"/>
  <c r="N536" i="12"/>
  <c r="O536" i="12"/>
  <c r="P536" i="12"/>
  <c r="Q536" i="12"/>
  <c r="R536" i="12"/>
  <c r="S536" i="12"/>
  <c r="T536" i="12"/>
  <c r="U536" i="12"/>
  <c r="L537" i="12"/>
  <c r="O537" i="12" s="1"/>
  <c r="M537" i="12"/>
  <c r="N537" i="12"/>
  <c r="P537" i="12"/>
  <c r="Q537" i="12"/>
  <c r="T537" i="12" s="1"/>
  <c r="R537" i="12"/>
  <c r="U537" i="12" s="1"/>
  <c r="S537" i="12"/>
  <c r="O538" i="12"/>
  <c r="P538" i="12"/>
  <c r="T538" i="12"/>
  <c r="U538" i="12"/>
  <c r="O539" i="12"/>
  <c r="P539" i="12"/>
  <c r="T539" i="12"/>
  <c r="U539" i="12"/>
  <c r="L540" i="12"/>
  <c r="O540" i="12" s="1"/>
  <c r="M540" i="12"/>
  <c r="P540" i="12" s="1"/>
  <c r="N540" i="12"/>
  <c r="Q540" i="12"/>
  <c r="T540" i="12" s="1"/>
  <c r="R540" i="12"/>
  <c r="U540" i="12" s="1"/>
  <c r="S540" i="12"/>
  <c r="O541" i="12"/>
  <c r="P541" i="12"/>
  <c r="T541" i="12"/>
  <c r="U541" i="12"/>
  <c r="O542" i="12"/>
  <c r="P542" i="12"/>
  <c r="T542" i="12"/>
  <c r="U542" i="12"/>
  <c r="I554" i="12"/>
  <c r="K554" i="12" s="1"/>
  <c r="J554" i="12"/>
  <c r="L556" i="12"/>
  <c r="M556" i="12"/>
  <c r="N556" i="12"/>
  <c r="N555" i="12" s="1"/>
  <c r="O556" i="12"/>
  <c r="P556" i="12"/>
  <c r="Q556" i="12"/>
  <c r="R556" i="12"/>
  <c r="S556" i="12"/>
  <c r="U556" i="12"/>
  <c r="L557" i="12"/>
  <c r="O557" i="12" s="1"/>
  <c r="M557" i="12"/>
  <c r="P557" i="12" s="1"/>
  <c r="N557" i="12"/>
  <c r="Q557" i="12"/>
  <c r="R557" i="12"/>
  <c r="U557" i="12" s="1"/>
  <c r="S557" i="12"/>
  <c r="S555" i="12" s="1"/>
  <c r="T557" i="12"/>
  <c r="L558" i="12"/>
  <c r="O558" i="12" s="1"/>
  <c r="M558" i="12"/>
  <c r="N558" i="12"/>
  <c r="P558" i="12"/>
  <c r="Q558" i="12"/>
  <c r="T558" i="12" s="1"/>
  <c r="R558" i="12"/>
  <c r="U558" i="12" s="1"/>
  <c r="S558" i="12"/>
  <c r="O559" i="12"/>
  <c r="P559" i="12"/>
  <c r="T559" i="12"/>
  <c r="U559" i="12"/>
  <c r="O560" i="12"/>
  <c r="P560" i="12"/>
  <c r="T560" i="12"/>
  <c r="U560" i="12"/>
  <c r="L561" i="12"/>
  <c r="O561" i="12" s="1"/>
  <c r="M561" i="12"/>
  <c r="N561" i="12"/>
  <c r="P561" i="12"/>
  <c r="Q561" i="12"/>
  <c r="T561" i="12" s="1"/>
  <c r="R561" i="12"/>
  <c r="U561" i="12" s="1"/>
  <c r="S561" i="12"/>
  <c r="O562" i="12"/>
  <c r="P562" i="12"/>
  <c r="T562" i="12"/>
  <c r="U562" i="12"/>
  <c r="O563" i="12"/>
  <c r="P563" i="12"/>
  <c r="T563" i="12"/>
  <c r="U563" i="12"/>
  <c r="I575" i="12"/>
  <c r="K575" i="12" s="1"/>
  <c r="J575" i="12"/>
  <c r="L577" i="12"/>
  <c r="O577" i="12" s="1"/>
  <c r="M577" i="12"/>
  <c r="P577" i="12" s="1"/>
  <c r="N577" i="12"/>
  <c r="N576" i="12" s="1"/>
  <c r="Q577" i="12"/>
  <c r="T577" i="12" s="1"/>
  <c r="R577" i="12"/>
  <c r="S577" i="12"/>
  <c r="U577" i="12"/>
  <c r="L578" i="12"/>
  <c r="O578" i="12" s="1"/>
  <c r="M578" i="12"/>
  <c r="P578" i="12" s="1"/>
  <c r="N578" i="12"/>
  <c r="Q578" i="12"/>
  <c r="R578" i="12"/>
  <c r="U578" i="12" s="1"/>
  <c r="S578" i="12"/>
  <c r="L579" i="12"/>
  <c r="O579" i="12" s="1"/>
  <c r="M579" i="12"/>
  <c r="P579" i="12" s="1"/>
  <c r="N579" i="12"/>
  <c r="Q579" i="12"/>
  <c r="T579" i="12" s="1"/>
  <c r="R579" i="12"/>
  <c r="U579" i="12" s="1"/>
  <c r="S579" i="12"/>
  <c r="O580" i="12"/>
  <c r="P580" i="12"/>
  <c r="T580" i="12"/>
  <c r="U580" i="12"/>
  <c r="O581" i="12"/>
  <c r="P581" i="12"/>
  <c r="T581" i="12"/>
  <c r="U581" i="12"/>
  <c r="L582" i="12"/>
  <c r="O582" i="12" s="1"/>
  <c r="M582" i="12"/>
  <c r="P582" i="12" s="1"/>
  <c r="N582" i="12"/>
  <c r="Q582" i="12"/>
  <c r="T582" i="12" s="1"/>
  <c r="R582" i="12"/>
  <c r="U582" i="12" s="1"/>
  <c r="S582" i="12"/>
  <c r="O583" i="12"/>
  <c r="P583" i="12"/>
  <c r="T583" i="12"/>
  <c r="U583" i="12"/>
  <c r="O584" i="12"/>
  <c r="P584" i="12"/>
  <c r="T584" i="12"/>
  <c r="U584" i="12"/>
  <c r="L600" i="12"/>
  <c r="M600" i="12"/>
  <c r="P600" i="12" s="1"/>
  <c r="N600" i="12"/>
  <c r="Q600" i="12"/>
  <c r="T600" i="12" s="1"/>
  <c r="R600" i="12"/>
  <c r="U600" i="12" s="1"/>
  <c r="S600" i="12"/>
  <c r="S599" i="12" s="1"/>
  <c r="L601" i="12"/>
  <c r="M601" i="12"/>
  <c r="N601" i="12"/>
  <c r="O601" i="12"/>
  <c r="P601" i="12"/>
  <c r="Q601" i="12"/>
  <c r="R601" i="12"/>
  <c r="S601" i="12"/>
  <c r="T601" i="12"/>
  <c r="U601" i="12"/>
  <c r="L602" i="12"/>
  <c r="O602" i="12" s="1"/>
  <c r="M602" i="12"/>
  <c r="P602" i="12" s="1"/>
  <c r="N602" i="12"/>
  <c r="Q602" i="12"/>
  <c r="T602" i="12" s="1"/>
  <c r="R602" i="12"/>
  <c r="U602" i="12" s="1"/>
  <c r="S602" i="12"/>
  <c r="O603" i="12"/>
  <c r="P603" i="12"/>
  <c r="T603" i="12"/>
  <c r="U603" i="12"/>
  <c r="O604" i="12"/>
  <c r="P604" i="12"/>
  <c r="T604" i="12"/>
  <c r="U604" i="12"/>
  <c r="L605" i="12"/>
  <c r="O605" i="12" s="1"/>
  <c r="M605" i="12"/>
  <c r="P605" i="12" s="1"/>
  <c r="N605" i="12"/>
  <c r="Q605" i="12"/>
  <c r="T605" i="12" s="1"/>
  <c r="R605" i="12"/>
  <c r="U605" i="12" s="1"/>
  <c r="S605" i="12"/>
  <c r="O606" i="12"/>
  <c r="P606" i="12"/>
  <c r="T606" i="12"/>
  <c r="U606" i="12"/>
  <c r="O607" i="12"/>
  <c r="P607" i="12"/>
  <c r="T607" i="12"/>
  <c r="U607" i="12"/>
  <c r="L617" i="12"/>
  <c r="O617" i="12" s="1"/>
  <c r="M617" i="12"/>
  <c r="P617" i="12" s="1"/>
  <c r="N617" i="12"/>
  <c r="Q617" i="12"/>
  <c r="R617" i="12"/>
  <c r="S617" i="12"/>
  <c r="U617" i="12"/>
  <c r="L618" i="12"/>
  <c r="O618" i="12" s="1"/>
  <c r="M618" i="12"/>
  <c r="N618" i="12"/>
  <c r="L619" i="12"/>
  <c r="O619" i="12" s="1"/>
  <c r="M619" i="12"/>
  <c r="N619" i="12"/>
  <c r="P619" i="12"/>
  <c r="O620" i="12"/>
  <c r="P620" i="12"/>
  <c r="T620" i="12"/>
  <c r="U620" i="12"/>
  <c r="O621" i="12"/>
  <c r="P621" i="12"/>
  <c r="Q621" i="12"/>
  <c r="Q619" i="12" s="1"/>
  <c r="R621" i="12"/>
  <c r="R619" i="12" s="1"/>
  <c r="S621" i="12"/>
  <c r="S619" i="12" s="1"/>
  <c r="L622" i="12"/>
  <c r="O622" i="12" s="1"/>
  <c r="M622" i="12"/>
  <c r="P622" i="12" s="1"/>
  <c r="N622" i="12"/>
  <c r="Q622" i="12"/>
  <c r="T622" i="12" s="1"/>
  <c r="R622" i="12"/>
  <c r="U622" i="12" s="1"/>
  <c r="S622" i="12"/>
  <c r="O623" i="12"/>
  <c r="P623" i="12"/>
  <c r="T623" i="12"/>
  <c r="U623" i="12"/>
  <c r="O624" i="12"/>
  <c r="P624" i="12"/>
  <c r="T624" i="12"/>
  <c r="U624" i="12"/>
  <c r="I626" i="12"/>
  <c r="I615" i="12" s="1"/>
  <c r="J626" i="12"/>
  <c r="J615" i="12" s="1"/>
  <c r="I627" i="12"/>
  <c r="K627" i="12" s="1"/>
  <c r="I628" i="12"/>
  <c r="K628" i="12" s="1"/>
  <c r="J632" i="12"/>
  <c r="I635" i="12"/>
  <c r="K635" i="12" s="1"/>
  <c r="J635" i="12"/>
  <c r="J636" i="12"/>
  <c r="L643" i="12"/>
  <c r="M643" i="12"/>
  <c r="N643" i="12"/>
  <c r="N642" i="12" s="1"/>
  <c r="Q643" i="12"/>
  <c r="R643" i="12"/>
  <c r="S643" i="12"/>
  <c r="L644" i="12"/>
  <c r="O644" i="12" s="1"/>
  <c r="M644" i="12"/>
  <c r="P644" i="12" s="1"/>
  <c r="N644" i="12"/>
  <c r="L645" i="12"/>
  <c r="O645" i="12" s="1"/>
  <c r="M645" i="12"/>
  <c r="P645" i="12" s="1"/>
  <c r="N645" i="12"/>
  <c r="O646" i="12"/>
  <c r="P646" i="12"/>
  <c r="T646" i="12"/>
  <c r="U646" i="12"/>
  <c r="O647" i="12"/>
  <c r="P647" i="12"/>
  <c r="Q647" i="12"/>
  <c r="Q645" i="12" s="1"/>
  <c r="R647" i="12"/>
  <c r="R645" i="12" s="1"/>
  <c r="S647" i="12"/>
  <c r="S645" i="12" s="1"/>
  <c r="L648" i="12"/>
  <c r="O648" i="12" s="1"/>
  <c r="M648" i="12"/>
  <c r="P648" i="12" s="1"/>
  <c r="N648" i="12"/>
  <c r="Q648" i="12"/>
  <c r="T648" i="12" s="1"/>
  <c r="R648" i="12"/>
  <c r="U648" i="12" s="1"/>
  <c r="S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J679" i="12"/>
  <c r="J680" i="12"/>
  <c r="I681" i="12"/>
  <c r="J681" i="12"/>
  <c r="I682" i="12"/>
  <c r="K682" i="12" s="1"/>
  <c r="J682" i="12"/>
  <c r="N690" i="12"/>
  <c r="L691" i="12"/>
  <c r="L690" i="12" s="1"/>
  <c r="O690" i="12" s="1"/>
  <c r="M691" i="12"/>
  <c r="M690" i="12" s="1"/>
  <c r="P690" i="12" s="1"/>
  <c r="N691" i="12"/>
  <c r="P691" i="12"/>
  <c r="Q691" i="12"/>
  <c r="R691" i="12"/>
  <c r="S691" i="12"/>
  <c r="L692" i="12"/>
  <c r="O692" i="12" s="1"/>
  <c r="M692" i="12"/>
  <c r="P692" i="12" s="1"/>
  <c r="N692" i="12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Q693" i="12" s="1"/>
  <c r="R695" i="12"/>
  <c r="R693" i="12" s="1"/>
  <c r="S695" i="12"/>
  <c r="S693" i="12" s="1"/>
  <c r="L696" i="12"/>
  <c r="O696" i="12" s="1"/>
  <c r="M696" i="12"/>
  <c r="P696" i="12" s="1"/>
  <c r="N696" i="12"/>
  <c r="Q696" i="12"/>
  <c r="T696" i="12" s="1"/>
  <c r="R696" i="12"/>
  <c r="U696" i="12" s="1"/>
  <c r="S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J707" i="12"/>
  <c r="J689" i="12" s="1"/>
  <c r="J708" i="12"/>
  <c r="K708" i="12"/>
  <c r="I709" i="12"/>
  <c r="J709" i="12"/>
  <c r="J710" i="12"/>
  <c r="K710" i="12"/>
  <c r="J712" i="12"/>
  <c r="K712" i="12"/>
  <c r="R714" i="12"/>
  <c r="U714" i="12" s="1"/>
  <c r="S714" i="12"/>
  <c r="L715" i="12"/>
  <c r="L714" i="12" s="1"/>
  <c r="O714" i="12" s="1"/>
  <c r="M715" i="12"/>
  <c r="M714" i="12" s="1"/>
  <c r="P714" i="12" s="1"/>
  <c r="N715" i="12"/>
  <c r="P715" i="12"/>
  <c r="Q715" i="12"/>
  <c r="Q714" i="12" s="1"/>
  <c r="T714" i="12" s="1"/>
  <c r="R715" i="12"/>
  <c r="U715" i="12" s="1"/>
  <c r="S715" i="12"/>
  <c r="L716" i="12"/>
  <c r="O716" i="12" s="1"/>
  <c r="M716" i="12"/>
  <c r="P716" i="12" s="1"/>
  <c r="N716" i="12"/>
  <c r="Q716" i="12"/>
  <c r="T716" i="12" s="1"/>
  <c r="R716" i="12"/>
  <c r="U716" i="12" s="1"/>
  <c r="S716" i="12"/>
  <c r="L717" i="12"/>
  <c r="O717" i="12" s="1"/>
  <c r="M717" i="12"/>
  <c r="P717" i="12" s="1"/>
  <c r="N717" i="12"/>
  <c r="Q717" i="12"/>
  <c r="R717" i="12"/>
  <c r="U717" i="12" s="1"/>
  <c r="S717" i="12"/>
  <c r="T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T720" i="12" s="1"/>
  <c r="R720" i="12"/>
  <c r="U720" i="12" s="1"/>
  <c r="S720" i="12"/>
  <c r="O721" i="12"/>
  <c r="P721" i="12"/>
  <c r="T721" i="12"/>
  <c r="U721" i="12"/>
  <c r="O722" i="12"/>
  <c r="P722" i="12"/>
  <c r="T722" i="12"/>
  <c r="U722" i="12"/>
  <c r="I726" i="12"/>
  <c r="K726" i="12" s="1"/>
  <c r="J726" i="12"/>
  <c r="I727" i="12"/>
  <c r="J727" i="12"/>
  <c r="L729" i="12"/>
  <c r="L728" i="12" s="1"/>
  <c r="O728" i="12" s="1"/>
  <c r="M729" i="12"/>
  <c r="N729" i="12"/>
  <c r="P729" i="12"/>
  <c r="Q729" i="12"/>
  <c r="R729" i="12"/>
  <c r="U729" i="12" s="1"/>
  <c r="S729" i="12"/>
  <c r="L730" i="12"/>
  <c r="O730" i="12" s="1"/>
  <c r="M730" i="12"/>
  <c r="P730" i="12" s="1"/>
  <c r="N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R731" i="12" s="1"/>
  <c r="S733" i="12"/>
  <c r="L734" i="12"/>
  <c r="M734" i="12"/>
  <c r="N734" i="12"/>
  <c r="O734" i="12"/>
  <c r="P734" i="12"/>
  <c r="Q734" i="12"/>
  <c r="T734" i="12" s="1"/>
  <c r="R734" i="12"/>
  <c r="S734" i="12"/>
  <c r="U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M760" i="12"/>
  <c r="P760" i="12" s="1"/>
  <c r="L761" i="12"/>
  <c r="M761" i="12"/>
  <c r="N761" i="12"/>
  <c r="N760" i="12" s="1"/>
  <c r="O761" i="12"/>
  <c r="P761" i="12"/>
  <c r="Q761" i="12"/>
  <c r="R761" i="12"/>
  <c r="S761" i="12"/>
  <c r="U761" i="12"/>
  <c r="L762" i="12"/>
  <c r="O762" i="12" s="1"/>
  <c r="M762" i="12"/>
  <c r="P762" i="12" s="1"/>
  <c r="N762" i="12"/>
  <c r="L763" i="12"/>
  <c r="O763" i="12" s="1"/>
  <c r="M763" i="12"/>
  <c r="P763" i="12" s="1"/>
  <c r="N763" i="12"/>
  <c r="O764" i="12"/>
  <c r="P764" i="12"/>
  <c r="T764" i="12"/>
  <c r="U764" i="12"/>
  <c r="O765" i="12"/>
  <c r="P765" i="12"/>
  <c r="Q765" i="12"/>
  <c r="Q763" i="12" s="1"/>
  <c r="R765" i="12"/>
  <c r="R763" i="12" s="1"/>
  <c r="S765" i="12"/>
  <c r="S763" i="12" s="1"/>
  <c r="L766" i="12"/>
  <c r="O766" i="12" s="1"/>
  <c r="M766" i="12"/>
  <c r="P766" i="12" s="1"/>
  <c r="N766" i="12"/>
  <c r="Q766" i="12"/>
  <c r="T766" i="12" s="1"/>
  <c r="R766" i="12"/>
  <c r="U766" i="12" s="1"/>
  <c r="S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K758" i="12" s="1"/>
  <c r="I774" i="12"/>
  <c r="I759" i="12" s="1"/>
  <c r="K759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J782" i="12"/>
  <c r="I783" i="12"/>
  <c r="J783" i="12"/>
  <c r="I784" i="12"/>
  <c r="J784" i="12"/>
  <c r="I785" i="12"/>
  <c r="J785" i="12"/>
  <c r="A788" i="12"/>
  <c r="A789" i="12"/>
  <c r="L22" i="11"/>
  <c r="L19" i="11" s="1"/>
  <c r="M22" i="11"/>
  <c r="N22" i="11"/>
  <c r="Q22" i="11"/>
  <c r="Q19" i="11" s="1"/>
  <c r="T19" i="11" s="1"/>
  <c r="R22" i="11"/>
  <c r="S22" i="11"/>
  <c r="S19" i="11" s="1"/>
  <c r="Q24" i="11"/>
  <c r="T24" i="11" s="1"/>
  <c r="L25" i="11"/>
  <c r="M25" i="11"/>
  <c r="N25" i="11"/>
  <c r="Q25" i="11"/>
  <c r="T25" i="11" s="1"/>
  <c r="R25" i="11"/>
  <c r="S25" i="11"/>
  <c r="S24" i="11" s="1"/>
  <c r="Q26" i="11"/>
  <c r="R26" i="11"/>
  <c r="U26" i="11" s="1"/>
  <c r="S26" i="11"/>
  <c r="T26" i="11"/>
  <c r="Q44" i="11"/>
  <c r="T44" i="11" s="1"/>
  <c r="L45" i="11"/>
  <c r="O45" i="11" s="1"/>
  <c r="M45" i="11"/>
  <c r="N45" i="11"/>
  <c r="Q45" i="11"/>
  <c r="R45" i="11"/>
  <c r="U45" i="11" s="1"/>
  <c r="S45" i="11"/>
  <c r="T45" i="11"/>
  <c r="Q46" i="11"/>
  <c r="R46" i="11"/>
  <c r="U46" i="11" s="1"/>
  <c r="S46" i="11"/>
  <c r="T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M47" i="11" s="1"/>
  <c r="N49" i="11"/>
  <c r="N47" i="11" s="1"/>
  <c r="T49" i="11"/>
  <c r="U49" i="11"/>
  <c r="Q50" i="11"/>
  <c r="R50" i="11"/>
  <c r="U50" i="11" s="1"/>
  <c r="S50" i="11"/>
  <c r="T50" i="11"/>
  <c r="O51" i="11"/>
  <c r="P51" i="11"/>
  <c r="T51" i="11"/>
  <c r="U51" i="11"/>
  <c r="L52" i="11"/>
  <c r="M52" i="11"/>
  <c r="N52" i="11"/>
  <c r="N50" i="11" s="1"/>
  <c r="T52" i="11"/>
  <c r="U52" i="11"/>
  <c r="R59" i="11"/>
  <c r="U59" i="11" s="1"/>
  <c r="L60" i="11"/>
  <c r="O60" i="11" s="1"/>
  <c r="M60" i="11"/>
  <c r="N60" i="11"/>
  <c r="Q60" i="11"/>
  <c r="Q59" i="11" s="1"/>
  <c r="T59" i="11" s="1"/>
  <c r="R60" i="11"/>
  <c r="U60" i="11" s="1"/>
  <c r="S60" i="11"/>
  <c r="Q61" i="11"/>
  <c r="T61" i="11" s="1"/>
  <c r="R61" i="11"/>
  <c r="S61" i="11"/>
  <c r="U61" i="11"/>
  <c r="Q62" i="11"/>
  <c r="T62" i="11" s="1"/>
  <c r="R62" i="11"/>
  <c r="U62" i="11" s="1"/>
  <c r="S62" i="11"/>
  <c r="O63" i="11"/>
  <c r="P63" i="11"/>
  <c r="T63" i="11"/>
  <c r="U63" i="11"/>
  <c r="L64" i="11"/>
  <c r="L62" i="11" s="1"/>
  <c r="M64" i="11"/>
  <c r="M62" i="11" s="1"/>
  <c r="N64" i="11"/>
  <c r="N62" i="11" s="1"/>
  <c r="T64" i="11"/>
  <c r="U64" i="11"/>
  <c r="Q65" i="11"/>
  <c r="T65" i="11" s="1"/>
  <c r="R65" i="11"/>
  <c r="S65" i="11"/>
  <c r="U65" i="11"/>
  <c r="O66" i="11"/>
  <c r="P66" i="11"/>
  <c r="T66" i="11"/>
  <c r="U66" i="11"/>
  <c r="L67" i="11"/>
  <c r="M67" i="11"/>
  <c r="N67" i="11"/>
  <c r="N65" i="11" s="1"/>
  <c r="T67" i="11"/>
  <c r="U67" i="11"/>
  <c r="L73" i="11"/>
  <c r="O73" i="11" s="1"/>
  <c r="M73" i="11"/>
  <c r="N73" i="11"/>
  <c r="Q73" i="11"/>
  <c r="R73" i="11"/>
  <c r="U73" i="11" s="1"/>
  <c r="S73" i="11"/>
  <c r="T73" i="11"/>
  <c r="O76" i="11"/>
  <c r="P76" i="11"/>
  <c r="T76" i="11"/>
  <c r="U76" i="11"/>
  <c r="L77" i="11"/>
  <c r="M77" i="11"/>
  <c r="M75" i="11" s="1"/>
  <c r="P75" i="11" s="1"/>
  <c r="N77" i="11"/>
  <c r="Q77" i="11"/>
  <c r="Q74" i="11" s="1"/>
  <c r="T74" i="11" s="1"/>
  <c r="R77" i="11"/>
  <c r="R74" i="11" s="1"/>
  <c r="R72" i="11" s="1"/>
  <c r="U72" i="11" s="1"/>
  <c r="S77" i="11"/>
  <c r="S75" i="11" s="1"/>
  <c r="Q78" i="11"/>
  <c r="T78" i="11" s="1"/>
  <c r="R78" i="11"/>
  <c r="U78" i="11" s="1"/>
  <c r="S78" i="11"/>
  <c r="O79" i="11"/>
  <c r="P79" i="11"/>
  <c r="T79" i="11"/>
  <c r="U79" i="11"/>
  <c r="L80" i="11"/>
  <c r="L78" i="11" s="1"/>
  <c r="O78" i="11" s="1"/>
  <c r="M80" i="11"/>
  <c r="M78" i="11" s="1"/>
  <c r="P78" i="11" s="1"/>
  <c r="N80" i="11"/>
  <c r="N78" i="11" s="1"/>
  <c r="T80" i="11"/>
  <c r="U80" i="11"/>
  <c r="J82" i="11"/>
  <c r="J70" i="11" s="1"/>
  <c r="J83" i="11"/>
  <c r="J71" i="11" s="1"/>
  <c r="I84" i="11"/>
  <c r="K84" i="11" s="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O95" i="11"/>
  <c r="Q95" i="11"/>
  <c r="R95" i="11"/>
  <c r="U95" i="11" s="1"/>
  <c r="S95" i="11"/>
  <c r="T95" i="11"/>
  <c r="O98" i="11"/>
  <c r="P98" i="11"/>
  <c r="T98" i="11"/>
  <c r="U98" i="11"/>
  <c r="L99" i="11"/>
  <c r="L97" i="11" s="1"/>
  <c r="O97" i="11" s="1"/>
  <c r="M99" i="11"/>
  <c r="P99" i="11" s="1"/>
  <c r="N99" i="11"/>
  <c r="N97" i="11" s="1"/>
  <c r="Q99" i="11"/>
  <c r="Q96" i="11" s="1"/>
  <c r="R99" i="11"/>
  <c r="R96" i="11" s="1"/>
  <c r="S99" i="11"/>
  <c r="S96" i="11" s="1"/>
  <c r="S94" i="11" s="1"/>
  <c r="Q100" i="11"/>
  <c r="T100" i="11" s="1"/>
  <c r="R100" i="11"/>
  <c r="U100" i="11" s="1"/>
  <c r="S100" i="11"/>
  <c r="O101" i="11"/>
  <c r="P101" i="11"/>
  <c r="T101" i="11"/>
  <c r="U101" i="11"/>
  <c r="L102" i="11"/>
  <c r="L100" i="11" s="1"/>
  <c r="O100" i="11" s="1"/>
  <c r="M102" i="11"/>
  <c r="M100" i="11" s="1"/>
  <c r="P100" i="11" s="1"/>
  <c r="N102" i="11"/>
  <c r="N100" i="11" s="1"/>
  <c r="T102" i="11"/>
  <c r="U102" i="11"/>
  <c r="I108" i="11"/>
  <c r="I109" i="11"/>
  <c r="K109" i="11" s="1"/>
  <c r="I113" i="11"/>
  <c r="K113" i="11" s="1"/>
  <c r="I114" i="11"/>
  <c r="K114" i="11" s="1"/>
  <c r="J116" i="11"/>
  <c r="L118" i="11"/>
  <c r="O118" i="11" s="1"/>
  <c r="M118" i="11"/>
  <c r="N118" i="11"/>
  <c r="Q118" i="11"/>
  <c r="T118" i="11" s="1"/>
  <c r="R118" i="11"/>
  <c r="S118" i="11"/>
  <c r="U118" i="11"/>
  <c r="O121" i="11"/>
  <c r="P121" i="11"/>
  <c r="T121" i="11"/>
  <c r="U121" i="11"/>
  <c r="L122" i="11"/>
  <c r="L120" i="11" s="1"/>
  <c r="O120" i="11" s="1"/>
  <c r="M122" i="11"/>
  <c r="P122" i="11" s="1"/>
  <c r="N122" i="11"/>
  <c r="N120" i="11" s="1"/>
  <c r="Q122" i="11"/>
  <c r="Q120" i="11" s="1"/>
  <c r="R122" i="11"/>
  <c r="R120" i="11" s="1"/>
  <c r="S122" i="11"/>
  <c r="S119" i="11" s="1"/>
  <c r="Q123" i="11"/>
  <c r="T123" i="11" s="1"/>
  <c r="R123" i="11"/>
  <c r="S123" i="11"/>
  <c r="U123" i="11"/>
  <c r="O124" i="11"/>
  <c r="P124" i="11"/>
  <c r="T124" i="11"/>
  <c r="U124" i="11"/>
  <c r="L125" i="11"/>
  <c r="L123" i="11" s="1"/>
  <c r="O123" i="11" s="1"/>
  <c r="M125" i="11"/>
  <c r="P125" i="11" s="1"/>
  <c r="N125" i="11"/>
  <c r="N123" i="11" s="1"/>
  <c r="T125" i="11"/>
  <c r="U125" i="1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O140" i="11" s="1"/>
  <c r="M140" i="11"/>
  <c r="N140" i="11"/>
  <c r="P140" i="11"/>
  <c r="Q140" i="11"/>
  <c r="R140" i="11"/>
  <c r="S140" i="11"/>
  <c r="U140" i="11"/>
  <c r="O143" i="11"/>
  <c r="P143" i="11"/>
  <c r="T143" i="11"/>
  <c r="U143" i="11"/>
  <c r="L144" i="11"/>
  <c r="L142" i="11" s="1"/>
  <c r="O142" i="11" s="1"/>
  <c r="M144" i="11"/>
  <c r="N144" i="11"/>
  <c r="N142" i="11" s="1"/>
  <c r="Q144" i="11"/>
  <c r="T144" i="11" s="1"/>
  <c r="R144" i="11"/>
  <c r="S144" i="11"/>
  <c r="S142" i="11" s="1"/>
  <c r="Q145" i="11"/>
  <c r="T145" i="11" s="1"/>
  <c r="R145" i="11"/>
  <c r="S145" i="11"/>
  <c r="U145" i="11"/>
  <c r="O146" i="11"/>
  <c r="P146" i="11"/>
  <c r="T146" i="11"/>
  <c r="U146" i="11"/>
  <c r="L147" i="11"/>
  <c r="L145" i="11" s="1"/>
  <c r="O145" i="11" s="1"/>
  <c r="M147" i="11"/>
  <c r="N147" i="11"/>
  <c r="N145" i="11" s="1"/>
  <c r="T147" i="11"/>
  <c r="U147" i="11"/>
  <c r="I150" i="11"/>
  <c r="K150" i="11" s="1"/>
  <c r="I151" i="11"/>
  <c r="K151" i="11" s="1"/>
  <c r="I152" i="11"/>
  <c r="I137" i="11" s="1"/>
  <c r="K137" i="11" s="1"/>
  <c r="I153" i="11"/>
  <c r="I154" i="11"/>
  <c r="K154" i="11" s="1"/>
  <c r="J156" i="11"/>
  <c r="L158" i="11"/>
  <c r="O158" i="11" s="1"/>
  <c r="M158" i="11"/>
  <c r="N158" i="11"/>
  <c r="Q158" i="11"/>
  <c r="T158" i="11" s="1"/>
  <c r="R158" i="11"/>
  <c r="U158" i="11" s="1"/>
  <c r="S158" i="11"/>
  <c r="O161" i="11"/>
  <c r="P161" i="11"/>
  <c r="T161" i="11"/>
  <c r="U161" i="11"/>
  <c r="L162" i="11"/>
  <c r="L160" i="11" s="1"/>
  <c r="M162" i="11"/>
  <c r="M160" i="11" s="1"/>
  <c r="N162" i="11"/>
  <c r="N160" i="11" s="1"/>
  <c r="Q162" i="11"/>
  <c r="Q160" i="11" s="1"/>
  <c r="T160" i="11" s="1"/>
  <c r="R162" i="11"/>
  <c r="R160" i="11" s="1"/>
  <c r="U160" i="11" s="1"/>
  <c r="S162" i="11"/>
  <c r="S159" i="11" s="1"/>
  <c r="Q163" i="11"/>
  <c r="T163" i="11" s="1"/>
  <c r="R163" i="11"/>
  <c r="U163" i="11" s="1"/>
  <c r="S163" i="11"/>
  <c r="O164" i="11"/>
  <c r="P164" i="11"/>
  <c r="T164" i="11"/>
  <c r="U164" i="11"/>
  <c r="L165" i="11"/>
  <c r="L163" i="11" s="1"/>
  <c r="O163" i="11" s="1"/>
  <c r="M165" i="11"/>
  <c r="P165" i="11" s="1"/>
  <c r="N165" i="11"/>
  <c r="N163" i="11" s="1"/>
  <c r="T165" i="11"/>
  <c r="U165" i="11"/>
  <c r="I167" i="11"/>
  <c r="I156" i="11" s="1"/>
  <c r="K156" i="11" s="1"/>
  <c r="J172" i="11"/>
  <c r="L174" i="11"/>
  <c r="O174" i="11" s="1"/>
  <c r="M174" i="11"/>
  <c r="P174" i="11" s="1"/>
  <c r="N174" i="11"/>
  <c r="Q174" i="11"/>
  <c r="T174" i="11" s="1"/>
  <c r="R174" i="11"/>
  <c r="S174" i="11"/>
  <c r="O177" i="11"/>
  <c r="P177" i="11"/>
  <c r="T177" i="11"/>
  <c r="U177" i="11"/>
  <c r="L178" i="11"/>
  <c r="M178" i="11"/>
  <c r="M176" i="11" s="1"/>
  <c r="N178" i="11"/>
  <c r="N176" i="11" s="1"/>
  <c r="Q178" i="11"/>
  <c r="Q176" i="11" s="1"/>
  <c r="T176" i="11" s="1"/>
  <c r="R178" i="11"/>
  <c r="U178" i="11" s="1"/>
  <c r="S178" i="11"/>
  <c r="Q179" i="11"/>
  <c r="T179" i="11" s="1"/>
  <c r="R179" i="11"/>
  <c r="S179" i="11"/>
  <c r="U179" i="11"/>
  <c r="O180" i="11"/>
  <c r="P180" i="11"/>
  <c r="T180" i="11"/>
  <c r="U180" i="11"/>
  <c r="L181" i="11"/>
  <c r="L179" i="11" s="1"/>
  <c r="O179" i="11" s="1"/>
  <c r="M181" i="11"/>
  <c r="N181" i="11"/>
  <c r="N179" i="11" s="1"/>
  <c r="T181" i="11"/>
  <c r="U181" i="11"/>
  <c r="I183" i="11"/>
  <c r="K184" i="11"/>
  <c r="L187" i="11"/>
  <c r="M187" i="11"/>
  <c r="P187" i="11" s="1"/>
  <c r="N187" i="11"/>
  <c r="O187" i="11"/>
  <c r="Q187" i="11"/>
  <c r="R187" i="11"/>
  <c r="S187" i="11"/>
  <c r="U187" i="11"/>
  <c r="O190" i="11"/>
  <c r="P190" i="11"/>
  <c r="T190" i="11"/>
  <c r="U190" i="11"/>
  <c r="L191" i="11"/>
  <c r="M191" i="11"/>
  <c r="N191" i="11"/>
  <c r="N189" i="11" s="1"/>
  <c r="Q191" i="11"/>
  <c r="Q188" i="11" s="1"/>
  <c r="R191" i="11"/>
  <c r="R188" i="11" s="1"/>
  <c r="R186" i="11" s="1"/>
  <c r="S191" i="11"/>
  <c r="Q192" i="11"/>
  <c r="R192" i="11"/>
  <c r="U192" i="11" s="1"/>
  <c r="S192" i="11"/>
  <c r="T192" i="11"/>
  <c r="O193" i="11"/>
  <c r="P193" i="11"/>
  <c r="T193" i="11"/>
  <c r="U193" i="11"/>
  <c r="L194" i="11"/>
  <c r="O194" i="11" s="1"/>
  <c r="M194" i="11"/>
  <c r="M192" i="11" s="1"/>
  <c r="P192" i="11" s="1"/>
  <c r="N194" i="11"/>
  <c r="N192" i="11" s="1"/>
  <c r="T194" i="11"/>
  <c r="U194" i="11"/>
  <c r="J195" i="11"/>
  <c r="L196" i="11"/>
  <c r="O196" i="11" s="1"/>
  <c r="P196" i="11"/>
  <c r="I198" i="11"/>
  <c r="K198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21" i="11" s="1"/>
  <c r="K221" i="11" s="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P243" i="11"/>
  <c r="L244" i="11"/>
  <c r="L245" i="11"/>
  <c r="L246" i="11"/>
  <c r="L247" i="11"/>
  <c r="I249" i="11"/>
  <c r="K249" i="11" s="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J265" i="11"/>
  <c r="L267" i="11"/>
  <c r="O267" i="11" s="1"/>
  <c r="M267" i="11"/>
  <c r="N267" i="11"/>
  <c r="P267" i="11"/>
  <c r="Q267" i="11"/>
  <c r="T267" i="11" s="1"/>
  <c r="R267" i="11"/>
  <c r="U267" i="11" s="1"/>
  <c r="S267" i="11"/>
  <c r="O270" i="11"/>
  <c r="P270" i="11"/>
  <c r="T270" i="11"/>
  <c r="U270" i="11"/>
  <c r="L271" i="11"/>
  <c r="L269" i="11" s="1"/>
  <c r="O269" i="11" s="1"/>
  <c r="M271" i="11"/>
  <c r="N271" i="11"/>
  <c r="N269" i="11" s="1"/>
  <c r="Q271" i="11"/>
  <c r="Q269" i="11" s="1"/>
  <c r="R271" i="11"/>
  <c r="R269" i="11" s="1"/>
  <c r="S271" i="11"/>
  <c r="S269" i="11" s="1"/>
  <c r="Q272" i="11"/>
  <c r="T272" i="11" s="1"/>
  <c r="R272" i="11"/>
  <c r="S272" i="11"/>
  <c r="U272" i="11"/>
  <c r="O273" i="11"/>
  <c r="P273" i="11"/>
  <c r="T273" i="11"/>
  <c r="U273" i="11"/>
  <c r="L274" i="11"/>
  <c r="M274" i="11"/>
  <c r="P274" i="11" s="1"/>
  <c r="N274" i="11"/>
  <c r="T274" i="11"/>
  <c r="U274" i="11"/>
  <c r="I276" i="11"/>
  <c r="J281" i="11"/>
  <c r="Q282" i="11"/>
  <c r="T282" i="11" s="1"/>
  <c r="L283" i="11"/>
  <c r="O283" i="11" s="1"/>
  <c r="M283" i="11"/>
  <c r="N283" i="11"/>
  <c r="P283" i="11"/>
  <c r="Q283" i="11"/>
  <c r="T283" i="11" s="1"/>
  <c r="R283" i="11"/>
  <c r="U283" i="11" s="1"/>
  <c r="S283" i="11"/>
  <c r="Q284" i="11"/>
  <c r="R284" i="11"/>
  <c r="U284" i="11" s="1"/>
  <c r="S284" i="11"/>
  <c r="T284" i="11"/>
  <c r="Q285" i="11"/>
  <c r="T285" i="11" s="1"/>
  <c r="R285" i="11"/>
  <c r="U285" i="11" s="1"/>
  <c r="S285" i="11"/>
  <c r="O286" i="11"/>
  <c r="P286" i="11"/>
  <c r="T286" i="11"/>
  <c r="U286" i="11"/>
  <c r="L287" i="11"/>
  <c r="L285" i="11" s="1"/>
  <c r="O285" i="11" s="1"/>
  <c r="M287" i="11"/>
  <c r="N287" i="11"/>
  <c r="T287" i="11"/>
  <c r="U287" i="11"/>
  <c r="Q288" i="11"/>
  <c r="R288" i="11"/>
  <c r="U288" i="11" s="1"/>
  <c r="S288" i="11"/>
  <c r="T288" i="11"/>
  <c r="O289" i="11"/>
  <c r="P289" i="11"/>
  <c r="T289" i="11"/>
  <c r="U289" i="11"/>
  <c r="L290" i="11"/>
  <c r="O290" i="11" s="1"/>
  <c r="M290" i="11"/>
  <c r="P290" i="11" s="1"/>
  <c r="N290" i="11"/>
  <c r="N288" i="11" s="1"/>
  <c r="T290" i="11"/>
  <c r="U290" i="11"/>
  <c r="I292" i="11"/>
  <c r="K292" i="11" s="1"/>
  <c r="I293" i="11"/>
  <c r="I280" i="11" s="1"/>
  <c r="K280" i="11" s="1"/>
  <c r="J293" i="11"/>
  <c r="J280" i="11" s="1"/>
  <c r="I295" i="11"/>
  <c r="K295" i="11" s="1"/>
  <c r="I296" i="11"/>
  <c r="K296" i="11" s="1"/>
  <c r="J302" i="11"/>
  <c r="L304" i="11"/>
  <c r="O304" i="11" s="1"/>
  <c r="M304" i="11"/>
  <c r="N304" i="11"/>
  <c r="P304" i="11"/>
  <c r="Q304" i="11"/>
  <c r="R304" i="11"/>
  <c r="U304" i="11" s="1"/>
  <c r="S304" i="11"/>
  <c r="O307" i="11"/>
  <c r="P307" i="11"/>
  <c r="T307" i="11"/>
  <c r="U307" i="11"/>
  <c r="L308" i="11"/>
  <c r="L306" i="11" s="1"/>
  <c r="O306" i="11" s="1"/>
  <c r="M308" i="11"/>
  <c r="M306" i="11" s="1"/>
  <c r="P306" i="11" s="1"/>
  <c r="N308" i="11"/>
  <c r="N306" i="11" s="1"/>
  <c r="Q308" i="11"/>
  <c r="Q305" i="11" s="1"/>
  <c r="R308" i="11"/>
  <c r="R306" i="11" s="1"/>
  <c r="S308" i="11"/>
  <c r="S306" i="11" s="1"/>
  <c r="Q309" i="11"/>
  <c r="R309" i="11"/>
  <c r="U309" i="11" s="1"/>
  <c r="S309" i="11"/>
  <c r="T309" i="11"/>
  <c r="O310" i="11"/>
  <c r="P310" i="11"/>
  <c r="T310" i="11"/>
  <c r="U310" i="11"/>
  <c r="L311" i="11"/>
  <c r="O311" i="11" s="1"/>
  <c r="M311" i="11"/>
  <c r="M309" i="11" s="1"/>
  <c r="P309" i="11" s="1"/>
  <c r="N311" i="11"/>
  <c r="N309" i="11" s="1"/>
  <c r="T311" i="11"/>
  <c r="U311" i="11"/>
  <c r="I314" i="11"/>
  <c r="K314" i="11" s="1"/>
  <c r="J319" i="11"/>
  <c r="L321" i="11"/>
  <c r="M321" i="11"/>
  <c r="P321" i="11" s="1"/>
  <c r="N321" i="11"/>
  <c r="O321" i="11"/>
  <c r="Q321" i="11"/>
  <c r="Q320" i="11" s="1"/>
  <c r="T320" i="11" s="1"/>
  <c r="R321" i="11"/>
  <c r="S321" i="11"/>
  <c r="S320" i="11" s="1"/>
  <c r="U321" i="11"/>
  <c r="Q322" i="11"/>
  <c r="R322" i="11"/>
  <c r="U322" i="11" s="1"/>
  <c r="S322" i="11"/>
  <c r="T322" i="11"/>
  <c r="Q323" i="11"/>
  <c r="R323" i="11"/>
  <c r="U323" i="11" s="1"/>
  <c r="S323" i="11"/>
  <c r="T323" i="11"/>
  <c r="O324" i="11"/>
  <c r="P324" i="11"/>
  <c r="T324" i="11"/>
  <c r="U324" i="11"/>
  <c r="L325" i="11"/>
  <c r="O325" i="11" s="1"/>
  <c r="M325" i="11"/>
  <c r="N325" i="11"/>
  <c r="T325" i="11"/>
  <c r="U325" i="11"/>
  <c r="Q326" i="11"/>
  <c r="T326" i="11" s="1"/>
  <c r="R326" i="11"/>
  <c r="S326" i="11"/>
  <c r="U326" i="11"/>
  <c r="O327" i="11"/>
  <c r="P327" i="11"/>
  <c r="T327" i="11"/>
  <c r="U327" i="11"/>
  <c r="L328" i="11"/>
  <c r="L326" i="11" s="1"/>
  <c r="O326" i="11" s="1"/>
  <c r="M328" i="11"/>
  <c r="P328" i="11" s="1"/>
  <c r="N328" i="11"/>
  <c r="N326" i="11" s="1"/>
  <c r="T328" i="11"/>
  <c r="U328" i="11"/>
  <c r="I330" i="11"/>
  <c r="I319" i="11" s="1"/>
  <c r="K319" i="11" s="1"/>
  <c r="L334" i="11"/>
  <c r="M334" i="11"/>
  <c r="N334" i="11"/>
  <c r="Q334" i="11"/>
  <c r="R334" i="11"/>
  <c r="S334" i="11"/>
  <c r="Q335" i="11"/>
  <c r="T335" i="11" s="1"/>
  <c r="R335" i="11"/>
  <c r="U335" i="11" s="1"/>
  <c r="S335" i="11"/>
  <c r="S333" i="11" s="1"/>
  <c r="Q336" i="11"/>
  <c r="R336" i="11"/>
  <c r="U336" i="11" s="1"/>
  <c r="S336" i="11"/>
  <c r="T336" i="11"/>
  <c r="O337" i="11"/>
  <c r="P337" i="11"/>
  <c r="T337" i="11"/>
  <c r="U337" i="11"/>
  <c r="L338" i="11"/>
  <c r="L336" i="11" s="1"/>
  <c r="M338" i="11"/>
  <c r="M336" i="11" s="1"/>
  <c r="N338" i="11"/>
  <c r="T338" i="11"/>
  <c r="U338" i="11"/>
  <c r="Q339" i="11"/>
  <c r="T339" i="11" s="1"/>
  <c r="R339" i="11"/>
  <c r="U339" i="11" s="1"/>
  <c r="S339" i="11"/>
  <c r="O340" i="11"/>
  <c r="P340" i="11"/>
  <c r="T340" i="11"/>
  <c r="U340" i="11"/>
  <c r="L341" i="11"/>
  <c r="L339" i="11" s="1"/>
  <c r="O339" i="11" s="1"/>
  <c r="M341" i="11"/>
  <c r="P341" i="11" s="1"/>
  <c r="N341" i="11"/>
  <c r="N339" i="11" s="1"/>
  <c r="T341" i="11"/>
  <c r="U341" i="11"/>
  <c r="I344" i="11"/>
  <c r="I332" i="11" s="1"/>
  <c r="J344" i="11"/>
  <c r="I346" i="11"/>
  <c r="J346" i="11"/>
  <c r="J347" i="11"/>
  <c r="J348" i="11"/>
  <c r="J349" i="11"/>
  <c r="D350" i="11"/>
  <c r="J352" i="11"/>
  <c r="J353" i="11"/>
  <c r="J354" i="11"/>
  <c r="L357" i="11"/>
  <c r="M357" i="11"/>
  <c r="N357" i="11"/>
  <c r="Q357" i="11"/>
  <c r="Q356" i="11" s="1"/>
  <c r="T356" i="11" s="1"/>
  <c r="R357" i="11"/>
  <c r="S357" i="11"/>
  <c r="T357" i="11"/>
  <c r="Q358" i="11"/>
  <c r="R358" i="11"/>
  <c r="U358" i="11" s="1"/>
  <c r="S358" i="11"/>
  <c r="T358" i="11"/>
  <c r="Q359" i="11"/>
  <c r="T359" i="11" s="1"/>
  <c r="R359" i="11"/>
  <c r="U359" i="11" s="1"/>
  <c r="S359" i="11"/>
  <c r="O360" i="11"/>
  <c r="P360" i="11"/>
  <c r="T360" i="11"/>
  <c r="U360" i="11"/>
  <c r="L361" i="11"/>
  <c r="L359" i="11" s="1"/>
  <c r="M361" i="11"/>
  <c r="N361" i="11"/>
  <c r="T361" i="11"/>
  <c r="U361" i="11"/>
  <c r="Q362" i="11"/>
  <c r="T362" i="11" s="1"/>
  <c r="R362" i="11"/>
  <c r="S362" i="11"/>
  <c r="U362" i="11"/>
  <c r="O363" i="11"/>
  <c r="P363" i="11"/>
  <c r="T363" i="11"/>
  <c r="U363" i="11"/>
  <c r="L364" i="11"/>
  <c r="M364" i="11"/>
  <c r="P364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M375" i="11"/>
  <c r="P375" i="11" s="1"/>
  <c r="L376" i="11"/>
  <c r="M376" i="11"/>
  <c r="N376" i="11"/>
  <c r="P376" i="11"/>
  <c r="Q376" i="11"/>
  <c r="R376" i="11"/>
  <c r="S376" i="11"/>
  <c r="T376" i="11"/>
  <c r="L377" i="11"/>
  <c r="O377" i="11" s="1"/>
  <c r="M377" i="11"/>
  <c r="N377" i="11"/>
  <c r="P377" i="11"/>
  <c r="L378" i="11"/>
  <c r="O378" i="11" s="1"/>
  <c r="M378" i="11"/>
  <c r="P378" i="11" s="1"/>
  <c r="N378" i="11"/>
  <c r="O379" i="11"/>
  <c r="P379" i="11"/>
  <c r="T379" i="11"/>
  <c r="U379" i="11"/>
  <c r="O380" i="11"/>
  <c r="P380" i="11"/>
  <c r="Q380" i="11"/>
  <c r="Q378" i="11" s="1"/>
  <c r="R380" i="11"/>
  <c r="R378" i="11" s="1"/>
  <c r="S380" i="11"/>
  <c r="L381" i="11"/>
  <c r="M381" i="11"/>
  <c r="P381" i="11" s="1"/>
  <c r="N381" i="11"/>
  <c r="O381" i="11"/>
  <c r="Q381" i="11"/>
  <c r="T381" i="11" s="1"/>
  <c r="R381" i="11"/>
  <c r="S381" i="11"/>
  <c r="U381" i="11"/>
  <c r="O382" i="11"/>
  <c r="P382" i="11"/>
  <c r="T382" i="11"/>
  <c r="U382" i="11"/>
  <c r="O383" i="11"/>
  <c r="P383" i="1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O393" i="11" s="1"/>
  <c r="M393" i="11"/>
  <c r="N393" i="11"/>
  <c r="Q393" i="11"/>
  <c r="R393" i="11"/>
  <c r="U393" i="11" s="1"/>
  <c r="S393" i="11"/>
  <c r="L394" i="11"/>
  <c r="M394" i="11"/>
  <c r="P394" i="11" s="1"/>
  <c r="N394" i="11"/>
  <c r="N392" i="11" s="1"/>
  <c r="Q394" i="11"/>
  <c r="R394" i="11"/>
  <c r="S394" i="11"/>
  <c r="T394" i="11"/>
  <c r="L395" i="11"/>
  <c r="M395" i="11"/>
  <c r="P395" i="11" s="1"/>
  <c r="N395" i="11"/>
  <c r="O395" i="11"/>
  <c r="Q395" i="11"/>
  <c r="T395" i="11" s="1"/>
  <c r="R395" i="11"/>
  <c r="S395" i="11"/>
  <c r="U395" i="11"/>
  <c r="O396" i="11"/>
  <c r="P396" i="11"/>
  <c r="T396" i="11"/>
  <c r="U396" i="11"/>
  <c r="O397" i="11"/>
  <c r="P397" i="11"/>
  <c r="T397" i="11"/>
  <c r="U397" i="11"/>
  <c r="L398" i="11"/>
  <c r="M398" i="11"/>
  <c r="P398" i="11" s="1"/>
  <c r="N398" i="11"/>
  <c r="O398" i="11"/>
  <c r="Q398" i="11"/>
  <c r="T398" i="11" s="1"/>
  <c r="R398" i="11"/>
  <c r="S398" i="11"/>
  <c r="U398" i="11"/>
  <c r="O399" i="11"/>
  <c r="P399" i="11"/>
  <c r="T399" i="11"/>
  <c r="U399" i="11"/>
  <c r="O400" i="11"/>
  <c r="P400" i="11"/>
  <c r="T400" i="11"/>
  <c r="U400" i="11"/>
  <c r="L414" i="11"/>
  <c r="L413" i="11" s="1"/>
  <c r="O413" i="11" s="1"/>
  <c r="M414" i="11"/>
  <c r="N414" i="11"/>
  <c r="O414" i="11"/>
  <c r="Q414" i="11"/>
  <c r="R414" i="11"/>
  <c r="U414" i="11" s="1"/>
  <c r="S414" i="11"/>
  <c r="T414" i="11"/>
  <c r="L415" i="11"/>
  <c r="O415" i="11" s="1"/>
  <c r="M415" i="11"/>
  <c r="N415" i="11"/>
  <c r="P415" i="11"/>
  <c r="L416" i="11"/>
  <c r="O416" i="11" s="1"/>
  <c r="M416" i="11"/>
  <c r="P416" i="11" s="1"/>
  <c r="N416" i="11"/>
  <c r="O417" i="11"/>
  <c r="P417" i="11"/>
  <c r="T417" i="11"/>
  <c r="U417" i="11"/>
  <c r="O418" i="11"/>
  <c r="P418" i="11"/>
  <c r="Q418" i="11"/>
  <c r="Q415" i="11" s="1"/>
  <c r="R418" i="11"/>
  <c r="R416" i="11" s="1"/>
  <c r="U416" i="11" s="1"/>
  <c r="S418" i="11"/>
  <c r="L419" i="11"/>
  <c r="M419" i="11"/>
  <c r="P419" i="11" s="1"/>
  <c r="N419" i="11"/>
  <c r="O419" i="11"/>
  <c r="Q419" i="11"/>
  <c r="T419" i="11" s="1"/>
  <c r="R419" i="11"/>
  <c r="S419" i="11"/>
  <c r="U419" i="11"/>
  <c r="O420" i="11"/>
  <c r="P420" i="11"/>
  <c r="T420" i="11"/>
  <c r="U420" i="11"/>
  <c r="O421" i="11"/>
  <c r="P421" i="1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I441" i="11"/>
  <c r="K441" i="11" s="1"/>
  <c r="J446" i="11"/>
  <c r="J440" i="11" s="1"/>
  <c r="J423" i="11" s="1"/>
  <c r="J412" i="11" s="1"/>
  <c r="J447" i="11"/>
  <c r="J441" i="11" s="1"/>
  <c r="I457" i="11"/>
  <c r="I458" i="11"/>
  <c r="K458" i="11" s="1"/>
  <c r="J459" i="11"/>
  <c r="J457" i="11" s="1"/>
  <c r="J456" i="11" s="1"/>
  <c r="J460" i="11"/>
  <c r="J467" i="11"/>
  <c r="J468" i="1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L493" i="11" s="1"/>
  <c r="O493" i="11" s="1"/>
  <c r="M494" i="11"/>
  <c r="P494" i="11" s="1"/>
  <c r="N494" i="11"/>
  <c r="N493" i="11" s="1"/>
  <c r="Q494" i="11"/>
  <c r="R494" i="11"/>
  <c r="U494" i="11" s="1"/>
  <c r="S494" i="11"/>
  <c r="L495" i="11"/>
  <c r="M495" i="11"/>
  <c r="P495" i="11" s="1"/>
  <c r="N495" i="11"/>
  <c r="O495" i="11"/>
  <c r="L496" i="11"/>
  <c r="O496" i="11" s="1"/>
  <c r="M496" i="11"/>
  <c r="P496" i="11" s="1"/>
  <c r="N496" i="11"/>
  <c r="O497" i="11"/>
  <c r="P497" i="11"/>
  <c r="T497" i="11"/>
  <c r="U497" i="11"/>
  <c r="O498" i="11"/>
  <c r="P498" i="11"/>
  <c r="Q498" i="11"/>
  <c r="R498" i="11"/>
  <c r="S498" i="11"/>
  <c r="S495" i="11" s="1"/>
  <c r="L499" i="11"/>
  <c r="O499" i="11" s="1"/>
  <c r="M499" i="11"/>
  <c r="N499" i="11"/>
  <c r="P499" i="11"/>
  <c r="Q499" i="11"/>
  <c r="T499" i="11" s="1"/>
  <c r="R499" i="11"/>
  <c r="U499" i="11" s="1"/>
  <c r="S499" i="11"/>
  <c r="O500" i="11"/>
  <c r="P500" i="11"/>
  <c r="T500" i="11"/>
  <c r="U500" i="11"/>
  <c r="O501" i="11"/>
  <c r="P501" i="11"/>
  <c r="T501" i="11"/>
  <c r="U501" i="11"/>
  <c r="I503" i="11"/>
  <c r="I492" i="11" s="1"/>
  <c r="K492" i="11" s="1"/>
  <c r="I504" i="11"/>
  <c r="K504" i="11" s="1"/>
  <c r="I505" i="11"/>
  <c r="K505" i="11" s="1"/>
  <c r="I506" i="11"/>
  <c r="K506" i="11" s="1"/>
  <c r="I507" i="11"/>
  <c r="K507" i="11" s="1"/>
  <c r="K508" i="11"/>
  <c r="I509" i="11"/>
  <c r="K509" i="11" s="1"/>
  <c r="I512" i="11"/>
  <c r="K512" i="11" s="1"/>
  <c r="J512" i="11"/>
  <c r="L514" i="11"/>
  <c r="O514" i="11" s="1"/>
  <c r="M514" i="11"/>
  <c r="P514" i="11" s="1"/>
  <c r="N514" i="11"/>
  <c r="Q514" i="11"/>
  <c r="T514" i="11" s="1"/>
  <c r="R514" i="11"/>
  <c r="S514" i="11"/>
  <c r="S513" i="11" s="1"/>
  <c r="U514" i="11"/>
  <c r="Q515" i="11"/>
  <c r="T515" i="11" s="1"/>
  <c r="R515" i="11"/>
  <c r="U515" i="11" s="1"/>
  <c r="S515" i="11"/>
  <c r="Q516" i="11"/>
  <c r="T516" i="11" s="1"/>
  <c r="R516" i="11"/>
  <c r="U516" i="11" s="1"/>
  <c r="S516" i="11"/>
  <c r="O517" i="11"/>
  <c r="P517" i="11"/>
  <c r="T517" i="11"/>
  <c r="U517" i="11"/>
  <c r="L518" i="11"/>
  <c r="L516" i="11" s="1"/>
  <c r="O516" i="11" s="1"/>
  <c r="M518" i="11"/>
  <c r="P518" i="11" s="1"/>
  <c r="N518" i="11"/>
  <c r="N516" i="11" s="1"/>
  <c r="T518" i="11"/>
  <c r="U518" i="11"/>
  <c r="Q519" i="11"/>
  <c r="T519" i="11" s="1"/>
  <c r="R519" i="11"/>
  <c r="U519" i="11" s="1"/>
  <c r="S519" i="11"/>
  <c r="O520" i="11"/>
  <c r="P520" i="11"/>
  <c r="T520" i="11"/>
  <c r="U520" i="11"/>
  <c r="L521" i="11"/>
  <c r="L519" i="11" s="1"/>
  <c r="O519" i="11" s="1"/>
  <c r="M521" i="11"/>
  <c r="P521" i="11" s="1"/>
  <c r="N521" i="11"/>
  <c r="N519" i="11" s="1"/>
  <c r="T521" i="11"/>
  <c r="U521" i="11"/>
  <c r="K523" i="11"/>
  <c r="K524" i="11"/>
  <c r="I533" i="11"/>
  <c r="K533" i="11" s="1"/>
  <c r="J533" i="11"/>
  <c r="L534" i="11"/>
  <c r="O534" i="11" s="1"/>
  <c r="L535" i="11"/>
  <c r="O535" i="11" s="1"/>
  <c r="M535" i="11"/>
  <c r="N535" i="11"/>
  <c r="P535" i="11"/>
  <c r="Q535" i="11"/>
  <c r="R535" i="11"/>
  <c r="U535" i="11" s="1"/>
  <c r="S535" i="11"/>
  <c r="L536" i="11"/>
  <c r="O536" i="11" s="1"/>
  <c r="M536" i="11"/>
  <c r="P536" i="11" s="1"/>
  <c r="N536" i="11"/>
  <c r="N534" i="11" s="1"/>
  <c r="Q536" i="11"/>
  <c r="R536" i="11"/>
  <c r="U536" i="11" s="1"/>
  <c r="S536" i="11"/>
  <c r="T536" i="11"/>
  <c r="L537" i="11"/>
  <c r="O537" i="11" s="1"/>
  <c r="M537" i="11"/>
  <c r="P537" i="11" s="1"/>
  <c r="N537" i="11"/>
  <c r="Q537" i="11"/>
  <c r="T537" i="11" s="1"/>
  <c r="R537" i="11"/>
  <c r="U537" i="11" s="1"/>
  <c r="S537" i="11"/>
  <c r="O538" i="11"/>
  <c r="P538" i="11"/>
  <c r="T538" i="11"/>
  <c r="U538" i="11"/>
  <c r="O539" i="11"/>
  <c r="P539" i="11"/>
  <c r="T539" i="11"/>
  <c r="U539" i="11"/>
  <c r="L540" i="11"/>
  <c r="O540" i="11" s="1"/>
  <c r="M540" i="11"/>
  <c r="P540" i="11" s="1"/>
  <c r="N540" i="11"/>
  <c r="Q540" i="11"/>
  <c r="T540" i="11" s="1"/>
  <c r="R540" i="11"/>
  <c r="U540" i="11" s="1"/>
  <c r="S540" i="11"/>
  <c r="O541" i="11"/>
  <c r="P541" i="11"/>
  <c r="T541" i="11"/>
  <c r="U541" i="11"/>
  <c r="O542" i="11"/>
  <c r="P542" i="11"/>
  <c r="T542" i="11"/>
  <c r="U542" i="11"/>
  <c r="I554" i="11"/>
  <c r="K554" i="11" s="1"/>
  <c r="J554" i="11"/>
  <c r="R555" i="11"/>
  <c r="U555" i="11" s="1"/>
  <c r="L556" i="11"/>
  <c r="M556" i="11"/>
  <c r="N556" i="11"/>
  <c r="N555" i="11" s="1"/>
  <c r="Q556" i="11"/>
  <c r="R556" i="11"/>
  <c r="U556" i="11" s="1"/>
  <c r="S556" i="11"/>
  <c r="L557" i="11"/>
  <c r="O557" i="11" s="1"/>
  <c r="M557" i="11"/>
  <c r="P557" i="11" s="1"/>
  <c r="N557" i="11"/>
  <c r="Q557" i="11"/>
  <c r="T557" i="11" s="1"/>
  <c r="R557" i="11"/>
  <c r="U557" i="11" s="1"/>
  <c r="S557" i="11"/>
  <c r="L558" i="11"/>
  <c r="O558" i="11" s="1"/>
  <c r="M558" i="11"/>
  <c r="P558" i="11" s="1"/>
  <c r="N558" i="11"/>
  <c r="Q558" i="11"/>
  <c r="T558" i="11" s="1"/>
  <c r="R558" i="11"/>
  <c r="U558" i="11" s="1"/>
  <c r="S558" i="11"/>
  <c r="O559" i="11"/>
  <c r="P559" i="11"/>
  <c r="T559" i="11"/>
  <c r="U559" i="11"/>
  <c r="O560" i="11"/>
  <c r="P560" i="11"/>
  <c r="T560" i="11"/>
  <c r="U560" i="11"/>
  <c r="L561" i="11"/>
  <c r="O561" i="11" s="1"/>
  <c r="M561" i="11"/>
  <c r="P561" i="11" s="1"/>
  <c r="N561" i="11"/>
  <c r="Q561" i="11"/>
  <c r="R561" i="11"/>
  <c r="U561" i="11" s="1"/>
  <c r="S561" i="11"/>
  <c r="T561" i="11"/>
  <c r="O562" i="11"/>
  <c r="P562" i="11"/>
  <c r="T562" i="11"/>
  <c r="U562" i="11"/>
  <c r="O563" i="11"/>
  <c r="P563" i="11"/>
  <c r="T563" i="11"/>
  <c r="U563" i="11"/>
  <c r="I575" i="11"/>
  <c r="K575" i="11" s="1"/>
  <c r="J575" i="11"/>
  <c r="L577" i="11"/>
  <c r="O577" i="11" s="1"/>
  <c r="M577" i="11"/>
  <c r="N577" i="11"/>
  <c r="N576" i="11" s="1"/>
  <c r="Q577" i="11"/>
  <c r="Q576" i="11" s="1"/>
  <c r="T576" i="11" s="1"/>
  <c r="R577" i="11"/>
  <c r="U577" i="11" s="1"/>
  <c r="S577" i="11"/>
  <c r="T577" i="11"/>
  <c r="L578" i="11"/>
  <c r="M578" i="11"/>
  <c r="P578" i="11" s="1"/>
  <c r="N578" i="11"/>
  <c r="Q578" i="11"/>
  <c r="T578" i="11" s="1"/>
  <c r="R578" i="11"/>
  <c r="U578" i="11" s="1"/>
  <c r="S578" i="11"/>
  <c r="L579" i="11"/>
  <c r="O579" i="11" s="1"/>
  <c r="M579" i="11"/>
  <c r="N579" i="11"/>
  <c r="P579" i="11"/>
  <c r="Q579" i="11"/>
  <c r="R579" i="11"/>
  <c r="U579" i="11" s="1"/>
  <c r="S579" i="11"/>
  <c r="T579" i="11"/>
  <c r="O580" i="11"/>
  <c r="P580" i="11"/>
  <c r="T580" i="11"/>
  <c r="U580" i="11"/>
  <c r="O581" i="11"/>
  <c r="P581" i="11"/>
  <c r="T581" i="11"/>
  <c r="U581" i="11"/>
  <c r="L582" i="11"/>
  <c r="O582" i="11" s="1"/>
  <c r="M582" i="11"/>
  <c r="N582" i="11"/>
  <c r="P582" i="11"/>
  <c r="Q582" i="11"/>
  <c r="R582" i="11"/>
  <c r="U582" i="11" s="1"/>
  <c r="S582" i="11"/>
  <c r="T582" i="11"/>
  <c r="O583" i="11"/>
  <c r="P583" i="11"/>
  <c r="T583" i="11"/>
  <c r="U583" i="11"/>
  <c r="O584" i="11"/>
  <c r="P584" i="11"/>
  <c r="T584" i="11"/>
  <c r="U584" i="11"/>
  <c r="L600" i="11"/>
  <c r="O600" i="11" s="1"/>
  <c r="M600" i="11"/>
  <c r="N600" i="11"/>
  <c r="N599" i="11" s="1"/>
  <c r="P600" i="11"/>
  <c r="Q600" i="11"/>
  <c r="Q599" i="11" s="1"/>
  <c r="T599" i="11" s="1"/>
  <c r="R600" i="11"/>
  <c r="U600" i="11" s="1"/>
  <c r="S600" i="11"/>
  <c r="S599" i="11" s="1"/>
  <c r="L601" i="11"/>
  <c r="O601" i="11" s="1"/>
  <c r="M601" i="11"/>
  <c r="N601" i="11"/>
  <c r="P601" i="11"/>
  <c r="Q601" i="11"/>
  <c r="R601" i="11"/>
  <c r="U601" i="11" s="1"/>
  <c r="S601" i="11"/>
  <c r="T601" i="11"/>
  <c r="L602" i="11"/>
  <c r="O602" i="11" s="1"/>
  <c r="M602" i="11"/>
  <c r="N602" i="11"/>
  <c r="P602" i="11"/>
  <c r="Q602" i="11"/>
  <c r="T602" i="11" s="1"/>
  <c r="R602" i="11"/>
  <c r="U602" i="11" s="1"/>
  <c r="S602" i="11"/>
  <c r="O603" i="11"/>
  <c r="P603" i="11"/>
  <c r="T603" i="11"/>
  <c r="U603" i="11"/>
  <c r="O604" i="11"/>
  <c r="P604" i="11"/>
  <c r="T604" i="11"/>
  <c r="U604" i="11"/>
  <c r="L605" i="11"/>
  <c r="O605" i="11" s="1"/>
  <c r="M605" i="11"/>
  <c r="N605" i="11"/>
  <c r="P605" i="11"/>
  <c r="Q605" i="11"/>
  <c r="T605" i="11" s="1"/>
  <c r="R605" i="11"/>
  <c r="U605" i="11" s="1"/>
  <c r="S605" i="11"/>
  <c r="O606" i="11"/>
  <c r="P606" i="11"/>
  <c r="T606" i="11"/>
  <c r="U606" i="11"/>
  <c r="O607" i="11"/>
  <c r="P607" i="11"/>
  <c r="T607" i="11"/>
  <c r="U607" i="11"/>
  <c r="L617" i="11"/>
  <c r="O617" i="11" s="1"/>
  <c r="M617" i="11"/>
  <c r="N617" i="11"/>
  <c r="Q617" i="11"/>
  <c r="T617" i="11" s="1"/>
  <c r="R617" i="11"/>
  <c r="S617" i="11"/>
  <c r="U617" i="11"/>
  <c r="L618" i="11"/>
  <c r="M618" i="11"/>
  <c r="P618" i="11" s="1"/>
  <c r="N618" i="11"/>
  <c r="O618" i="11"/>
  <c r="L619" i="11"/>
  <c r="O619" i="11" s="1"/>
  <c r="M619" i="11"/>
  <c r="P619" i="11" s="1"/>
  <c r="N619" i="11"/>
  <c r="O620" i="11"/>
  <c r="P620" i="11"/>
  <c r="T620" i="11"/>
  <c r="U620" i="11"/>
  <c r="O621" i="11"/>
  <c r="P621" i="11"/>
  <c r="Q621" i="11"/>
  <c r="Q619" i="11" s="1"/>
  <c r="R621" i="11"/>
  <c r="R619" i="11" s="1"/>
  <c r="S621" i="11"/>
  <c r="L622" i="11"/>
  <c r="M622" i="11"/>
  <c r="N622" i="11"/>
  <c r="O622" i="11"/>
  <c r="P622" i="11"/>
  <c r="Q622" i="11"/>
  <c r="T622" i="11" s="1"/>
  <c r="R622" i="11"/>
  <c r="S622" i="11"/>
  <c r="U622" i="11"/>
  <c r="O623" i="11"/>
  <c r="P623" i="11"/>
  <c r="T623" i="11"/>
  <c r="U623" i="11"/>
  <c r="O624" i="11"/>
  <c r="P624" i="11"/>
  <c r="T624" i="11"/>
  <c r="U624" i="11"/>
  <c r="I626" i="11"/>
  <c r="K629" i="11" s="1"/>
  <c r="I627" i="11"/>
  <c r="K627" i="11" s="1"/>
  <c r="I628" i="11"/>
  <c r="K628" i="11" s="1"/>
  <c r="J632" i="11"/>
  <c r="J626" i="11" s="1"/>
  <c r="J615" i="11" s="1"/>
  <c r="I635" i="11"/>
  <c r="K635" i="11" s="1"/>
  <c r="J636" i="11"/>
  <c r="J635" i="11" s="1"/>
  <c r="L643" i="11"/>
  <c r="O643" i="11" s="1"/>
  <c r="M643" i="11"/>
  <c r="P643" i="11" s="1"/>
  <c r="N643" i="11"/>
  <c r="Q643" i="11"/>
  <c r="R643" i="11"/>
  <c r="S643" i="11"/>
  <c r="T643" i="11"/>
  <c r="L644" i="11"/>
  <c r="M644" i="11"/>
  <c r="N644" i="11"/>
  <c r="O644" i="11"/>
  <c r="P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R647" i="11"/>
  <c r="R644" i="11" s="1"/>
  <c r="U644" i="11" s="1"/>
  <c r="S647" i="11"/>
  <c r="S644" i="11" s="1"/>
  <c r="L648" i="11"/>
  <c r="O648" i="11" s="1"/>
  <c r="M648" i="11"/>
  <c r="P648" i="11" s="1"/>
  <c r="N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L691" i="11"/>
  <c r="O691" i="11" s="1"/>
  <c r="M691" i="11"/>
  <c r="N691" i="11"/>
  <c r="P691" i="11"/>
  <c r="Q691" i="11"/>
  <c r="T691" i="11" s="1"/>
  <c r="R691" i="11"/>
  <c r="U691" i="11" s="1"/>
  <c r="S691" i="11"/>
  <c r="L692" i="11"/>
  <c r="O692" i="11" s="1"/>
  <c r="M692" i="11"/>
  <c r="N692" i="11"/>
  <c r="L693" i="11"/>
  <c r="O693" i="11" s="1"/>
  <c r="M693" i="11"/>
  <c r="P693" i="11" s="1"/>
  <c r="N693" i="11"/>
  <c r="O694" i="11"/>
  <c r="P694" i="11"/>
  <c r="T694" i="11"/>
  <c r="U694" i="11"/>
  <c r="O695" i="11"/>
  <c r="P695" i="11"/>
  <c r="Q695" i="11"/>
  <c r="Q693" i="11" s="1"/>
  <c r="R695" i="11"/>
  <c r="R692" i="11" s="1"/>
  <c r="S695" i="11"/>
  <c r="S692" i="11" s="1"/>
  <c r="S690" i="11" s="1"/>
  <c r="L696" i="11"/>
  <c r="M696" i="11"/>
  <c r="P696" i="11" s="1"/>
  <c r="N696" i="11"/>
  <c r="O696" i="11"/>
  <c r="Q696" i="11"/>
  <c r="R696" i="11"/>
  <c r="S696" i="11"/>
  <c r="T696" i="11"/>
  <c r="U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I689" i="11" s="1"/>
  <c r="J707" i="11"/>
  <c r="J689" i="11" s="1"/>
  <c r="J708" i="11"/>
  <c r="K708" i="11"/>
  <c r="I709" i="11"/>
  <c r="J709" i="11"/>
  <c r="J710" i="11"/>
  <c r="K710" i="11"/>
  <c r="J712" i="11"/>
  <c r="K712" i="11"/>
  <c r="L715" i="11"/>
  <c r="O715" i="11" s="1"/>
  <c r="M715" i="11"/>
  <c r="N715" i="11"/>
  <c r="Q715" i="11"/>
  <c r="R715" i="11"/>
  <c r="U715" i="11" s="1"/>
  <c r="S715" i="11"/>
  <c r="S714" i="11" s="1"/>
  <c r="T715" i="11"/>
  <c r="L716" i="11"/>
  <c r="O716" i="11" s="1"/>
  <c r="M716" i="11"/>
  <c r="N716" i="11"/>
  <c r="P716" i="11"/>
  <c r="Q716" i="11"/>
  <c r="T716" i="11" s="1"/>
  <c r="R716" i="11"/>
  <c r="R714" i="11" s="1"/>
  <c r="U714" i="11" s="1"/>
  <c r="S716" i="11"/>
  <c r="L717" i="11"/>
  <c r="O717" i="11" s="1"/>
  <c r="M717" i="11"/>
  <c r="P717" i="11" s="1"/>
  <c r="N717" i="11"/>
  <c r="Q717" i="11"/>
  <c r="R717" i="11"/>
  <c r="U717" i="11" s="1"/>
  <c r="S717" i="11"/>
  <c r="T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N720" i="11"/>
  <c r="P720" i="11"/>
  <c r="Q720" i="11"/>
  <c r="T720" i="11" s="1"/>
  <c r="R720" i="11"/>
  <c r="U720" i="11" s="1"/>
  <c r="S720" i="11"/>
  <c r="O721" i="11"/>
  <c r="P721" i="11"/>
  <c r="T721" i="11"/>
  <c r="U721" i="11"/>
  <c r="O722" i="11"/>
  <c r="P722" i="11"/>
  <c r="T722" i="11"/>
  <c r="U722" i="11"/>
  <c r="I726" i="11"/>
  <c r="K726" i="11" s="1"/>
  <c r="J726" i="11"/>
  <c r="I727" i="11"/>
  <c r="J727" i="11"/>
  <c r="N728" i="11"/>
  <c r="L729" i="11"/>
  <c r="M729" i="11"/>
  <c r="N729" i="11"/>
  <c r="Q729" i="11"/>
  <c r="T729" i="11" s="1"/>
  <c r="R729" i="11"/>
  <c r="U729" i="11" s="1"/>
  <c r="S729" i="11"/>
  <c r="L730" i="11"/>
  <c r="O730" i="11" s="1"/>
  <c r="M730" i="11"/>
  <c r="P730" i="11" s="1"/>
  <c r="N730" i="11"/>
  <c r="L731" i="11"/>
  <c r="O731" i="11" s="1"/>
  <c r="M731" i="11"/>
  <c r="P731" i="11" s="1"/>
  <c r="N731" i="11"/>
  <c r="O732" i="11"/>
  <c r="P732" i="11"/>
  <c r="T732" i="11"/>
  <c r="U732" i="11"/>
  <c r="O733" i="11"/>
  <c r="P733" i="11"/>
  <c r="Q733" i="11"/>
  <c r="Q731" i="11" s="1"/>
  <c r="R733" i="11"/>
  <c r="S733" i="11"/>
  <c r="S731" i="11" s="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M761" i="11"/>
  <c r="P761" i="11" s="1"/>
  <c r="N761" i="11"/>
  <c r="O761" i="11"/>
  <c r="Q761" i="11"/>
  <c r="T761" i="11" s="1"/>
  <c r="R761" i="11"/>
  <c r="U761" i="11" s="1"/>
  <c r="S761" i="11"/>
  <c r="L762" i="11"/>
  <c r="M762" i="11"/>
  <c r="M760" i="11" s="1"/>
  <c r="P760" i="11" s="1"/>
  <c r="N762" i="11"/>
  <c r="O762" i="11"/>
  <c r="L763" i="11"/>
  <c r="M763" i="11"/>
  <c r="N763" i="11"/>
  <c r="O763" i="11"/>
  <c r="P763" i="11"/>
  <c r="O764" i="11"/>
  <c r="P764" i="11"/>
  <c r="T764" i="11"/>
  <c r="U764" i="11"/>
  <c r="O765" i="11"/>
  <c r="P765" i="11"/>
  <c r="Q765" i="11"/>
  <c r="Q763" i="11" s="1"/>
  <c r="T763" i="11" s="1"/>
  <c r="R765" i="11"/>
  <c r="R763" i="11" s="1"/>
  <c r="U763" i="11" s="1"/>
  <c r="S765" i="11"/>
  <c r="S763" i="11" s="1"/>
  <c r="L766" i="11"/>
  <c r="O766" i="11" s="1"/>
  <c r="M766" i="11"/>
  <c r="P766" i="11" s="1"/>
  <c r="N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K772" i="11" s="1"/>
  <c r="I774" i="11"/>
  <c r="K774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M22" i="10"/>
  <c r="N22" i="10"/>
  <c r="N19" i="10" s="1"/>
  <c r="Q22" i="10"/>
  <c r="T22" i="10" s="1"/>
  <c r="R22" i="10"/>
  <c r="R19" i="10" s="1"/>
  <c r="S22" i="10"/>
  <c r="S19" i="10" s="1"/>
  <c r="L25" i="10"/>
  <c r="M25" i="10"/>
  <c r="M19" i="10" s="1"/>
  <c r="N25" i="10"/>
  <c r="Q25" i="10"/>
  <c r="T25" i="10" s="1"/>
  <c r="R25" i="10"/>
  <c r="S25" i="10"/>
  <c r="Q26" i="10"/>
  <c r="T26" i="10" s="1"/>
  <c r="R26" i="10"/>
  <c r="U26" i="10" s="1"/>
  <c r="S26" i="10"/>
  <c r="R44" i="10"/>
  <c r="U44" i="10" s="1"/>
  <c r="L45" i="10"/>
  <c r="O45" i="10" s="1"/>
  <c r="M45" i="10"/>
  <c r="N45" i="10"/>
  <c r="Q45" i="10"/>
  <c r="Q44" i="10" s="1"/>
  <c r="T44" i="10" s="1"/>
  <c r="R45" i="10"/>
  <c r="U45" i="10" s="1"/>
  <c r="S45" i="10"/>
  <c r="S44" i="10" s="1"/>
  <c r="T45" i="10"/>
  <c r="Q46" i="10"/>
  <c r="T46" i="10" s="1"/>
  <c r="R46" i="10"/>
  <c r="S46" i="10"/>
  <c r="U46" i="10"/>
  <c r="Q47" i="10"/>
  <c r="T47" i="10" s="1"/>
  <c r="R47" i="10"/>
  <c r="U47" i="10" s="1"/>
  <c r="S47" i="10"/>
  <c r="O48" i="10"/>
  <c r="P48" i="10"/>
  <c r="T48" i="10"/>
  <c r="U48" i="10"/>
  <c r="L49" i="10"/>
  <c r="M49" i="10"/>
  <c r="M47" i="10" s="1"/>
  <c r="N49" i="10"/>
  <c r="T49" i="10"/>
  <c r="U49" i="10"/>
  <c r="Q50" i="10"/>
  <c r="T50" i="10" s="1"/>
  <c r="R50" i="10"/>
  <c r="S50" i="10"/>
  <c r="U50" i="10"/>
  <c r="O51" i="10"/>
  <c r="P51" i="10"/>
  <c r="T51" i="10"/>
  <c r="U51" i="10"/>
  <c r="L52" i="10"/>
  <c r="M52" i="10"/>
  <c r="N52" i="10"/>
  <c r="N50" i="10" s="1"/>
  <c r="T52" i="10"/>
  <c r="U52" i="10"/>
  <c r="Q59" i="10"/>
  <c r="T59" i="10" s="1"/>
  <c r="L60" i="10"/>
  <c r="O60" i="10" s="1"/>
  <c r="M60" i="10"/>
  <c r="N60" i="10"/>
  <c r="Q60" i="10"/>
  <c r="R60" i="10"/>
  <c r="U60" i="10" s="1"/>
  <c r="S60" i="10"/>
  <c r="S59" i="10" s="1"/>
  <c r="T60" i="10"/>
  <c r="Q61" i="10"/>
  <c r="R61" i="10"/>
  <c r="U61" i="10" s="1"/>
  <c r="S61" i="10"/>
  <c r="T61" i="10"/>
  <c r="Q62" i="10"/>
  <c r="T62" i="10" s="1"/>
  <c r="R62" i="10"/>
  <c r="U62" i="10" s="1"/>
  <c r="S62" i="10"/>
  <c r="O63" i="10"/>
  <c r="P63" i="10"/>
  <c r="T63" i="10"/>
  <c r="U63" i="10"/>
  <c r="L64" i="10"/>
  <c r="L62" i="10" s="1"/>
  <c r="M64" i="10"/>
  <c r="M62" i="10" s="1"/>
  <c r="N64" i="10"/>
  <c r="N62" i="10" s="1"/>
  <c r="T64" i="10"/>
  <c r="U64" i="10"/>
  <c r="Q65" i="10"/>
  <c r="R65" i="10"/>
  <c r="S65" i="10"/>
  <c r="T65" i="10"/>
  <c r="U65" i="10"/>
  <c r="O66" i="10"/>
  <c r="P66" i="10"/>
  <c r="T66" i="10"/>
  <c r="U66" i="10"/>
  <c r="L67" i="10"/>
  <c r="M67" i="10"/>
  <c r="N67" i="10"/>
  <c r="N65" i="10" s="1"/>
  <c r="T67" i="10"/>
  <c r="U67" i="10"/>
  <c r="L73" i="10"/>
  <c r="O73" i="10" s="1"/>
  <c r="M73" i="10"/>
  <c r="N73" i="10"/>
  <c r="Q73" i="10"/>
  <c r="T73" i="10" s="1"/>
  <c r="R73" i="10"/>
  <c r="U73" i="10" s="1"/>
  <c r="S73" i="10"/>
  <c r="O76" i="10"/>
  <c r="P76" i="10"/>
  <c r="T76" i="10"/>
  <c r="U76" i="10"/>
  <c r="L77" i="10"/>
  <c r="M77" i="10"/>
  <c r="M75" i="10" s="1"/>
  <c r="P75" i="10" s="1"/>
  <c r="N77" i="10"/>
  <c r="Q77" i="10"/>
  <c r="Q74" i="10" s="1"/>
  <c r="R77" i="10"/>
  <c r="R74" i="10" s="1"/>
  <c r="U74" i="10" s="1"/>
  <c r="S77" i="10"/>
  <c r="S75" i="10" s="1"/>
  <c r="Q78" i="10"/>
  <c r="T78" i="10" s="1"/>
  <c r="R78" i="10"/>
  <c r="U78" i="10" s="1"/>
  <c r="S78" i="10"/>
  <c r="O79" i="10"/>
  <c r="P79" i="10"/>
  <c r="T79" i="10"/>
  <c r="U79" i="10"/>
  <c r="L80" i="10"/>
  <c r="O80" i="10" s="1"/>
  <c r="M80" i="10"/>
  <c r="M78" i="10" s="1"/>
  <c r="P78" i="10" s="1"/>
  <c r="N80" i="10"/>
  <c r="N78" i="10" s="1"/>
  <c r="T80" i="10"/>
  <c r="U80" i="10"/>
  <c r="J82" i="10"/>
  <c r="J70" i="10" s="1"/>
  <c r="J83" i="10"/>
  <c r="J71" i="10" s="1"/>
  <c r="I84" i="10"/>
  <c r="I85" i="10"/>
  <c r="K85" i="10" s="1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O95" i="10"/>
  <c r="Q95" i="10"/>
  <c r="R95" i="10"/>
  <c r="S95" i="10"/>
  <c r="T95" i="10"/>
  <c r="U95" i="10"/>
  <c r="O98" i="10"/>
  <c r="P98" i="10"/>
  <c r="T98" i="10"/>
  <c r="U98" i="10"/>
  <c r="L99" i="10"/>
  <c r="O99" i="10" s="1"/>
  <c r="M99" i="10"/>
  <c r="N99" i="10"/>
  <c r="N97" i="10" s="1"/>
  <c r="Q99" i="10"/>
  <c r="Q96" i="10" s="1"/>
  <c r="R99" i="10"/>
  <c r="R96" i="10" s="1"/>
  <c r="S99" i="10"/>
  <c r="S96" i="10" s="1"/>
  <c r="S94" i="10" s="1"/>
  <c r="Q100" i="10"/>
  <c r="T100" i="10" s="1"/>
  <c r="R100" i="10"/>
  <c r="U100" i="10" s="1"/>
  <c r="S100" i="10"/>
  <c r="O101" i="10"/>
  <c r="P101" i="10"/>
  <c r="T101" i="10"/>
  <c r="U101" i="10"/>
  <c r="L102" i="10"/>
  <c r="L100" i="10" s="1"/>
  <c r="O100" i="10" s="1"/>
  <c r="M102" i="10"/>
  <c r="P102" i="10" s="1"/>
  <c r="N102" i="10"/>
  <c r="N100" i="10" s="1"/>
  <c r="T102" i="10"/>
  <c r="U102" i="10"/>
  <c r="I108" i="10"/>
  <c r="K108" i="10" s="1"/>
  <c r="I109" i="10"/>
  <c r="I93" i="10" s="1"/>
  <c r="K93" i="10" s="1"/>
  <c r="I113" i="10"/>
  <c r="K113" i="10" s="1"/>
  <c r="I114" i="10"/>
  <c r="K114" i="10" s="1"/>
  <c r="J116" i="10"/>
  <c r="L118" i="10"/>
  <c r="M118" i="10"/>
  <c r="N118" i="10"/>
  <c r="Q118" i="10"/>
  <c r="T118" i="10" s="1"/>
  <c r="R118" i="10"/>
  <c r="S118" i="10"/>
  <c r="O121" i="10"/>
  <c r="P121" i="10"/>
  <c r="T121" i="10"/>
  <c r="U121" i="10"/>
  <c r="L122" i="10"/>
  <c r="L120" i="10" s="1"/>
  <c r="O120" i="10" s="1"/>
  <c r="M122" i="10"/>
  <c r="P122" i="10" s="1"/>
  <c r="N122" i="10"/>
  <c r="N120" i="10" s="1"/>
  <c r="Q122" i="10"/>
  <c r="Q119" i="10" s="1"/>
  <c r="Q117" i="10" s="1"/>
  <c r="R122" i="10"/>
  <c r="R120" i="10" s="1"/>
  <c r="S122" i="10"/>
  <c r="S120" i="10" s="1"/>
  <c r="Q123" i="10"/>
  <c r="T123" i="10" s="1"/>
  <c r="R123" i="10"/>
  <c r="S123" i="10"/>
  <c r="U123" i="10"/>
  <c r="O124" i="10"/>
  <c r="P124" i="10"/>
  <c r="T124" i="10"/>
  <c r="U124" i="10"/>
  <c r="L125" i="10"/>
  <c r="L123" i="10" s="1"/>
  <c r="O123" i="10" s="1"/>
  <c r="M125" i="10"/>
  <c r="P125" i="10" s="1"/>
  <c r="N125" i="10"/>
  <c r="N123" i="10" s="1"/>
  <c r="T125" i="10"/>
  <c r="U125" i="10"/>
  <c r="I127" i="10"/>
  <c r="I116" i="10" s="1"/>
  <c r="K116" i="10" s="1"/>
  <c r="I128" i="10"/>
  <c r="K128" i="10" s="1"/>
  <c r="I129" i="10"/>
  <c r="K129" i="10" s="1"/>
  <c r="I130" i="10"/>
  <c r="K130" i="10" s="1"/>
  <c r="J136" i="10"/>
  <c r="J137" i="10"/>
  <c r="J138" i="10"/>
  <c r="L140" i="10"/>
  <c r="M140" i="10"/>
  <c r="N140" i="10"/>
  <c r="O140" i="10"/>
  <c r="P140" i="10"/>
  <c r="Q140" i="10"/>
  <c r="R140" i="10"/>
  <c r="S140" i="10"/>
  <c r="U140" i="10"/>
  <c r="O143" i="10"/>
  <c r="P143" i="10"/>
  <c r="T143" i="10"/>
  <c r="U143" i="10"/>
  <c r="L144" i="10"/>
  <c r="M144" i="10"/>
  <c r="N144" i="10"/>
  <c r="N142" i="10" s="1"/>
  <c r="Q144" i="10"/>
  <c r="T144" i="10" s="1"/>
  <c r="R144" i="10"/>
  <c r="R141" i="10" s="1"/>
  <c r="S144" i="10"/>
  <c r="Q145" i="10"/>
  <c r="R145" i="10"/>
  <c r="S145" i="10"/>
  <c r="T145" i="10"/>
  <c r="U145" i="10"/>
  <c r="O146" i="10"/>
  <c r="P146" i="10"/>
  <c r="T146" i="10"/>
  <c r="U146" i="10"/>
  <c r="L147" i="10"/>
  <c r="M147" i="10"/>
  <c r="N147" i="10"/>
  <c r="N145" i="10" s="1"/>
  <c r="T147" i="10"/>
  <c r="U147" i="10"/>
  <c r="I150" i="10"/>
  <c r="K150" i="10" s="1"/>
  <c r="I151" i="10"/>
  <c r="K151" i="10" s="1"/>
  <c r="I152" i="10"/>
  <c r="I137" i="10" s="1"/>
  <c r="K137" i="10" s="1"/>
  <c r="I153" i="10"/>
  <c r="K153" i="10" s="1"/>
  <c r="I154" i="10"/>
  <c r="K154" i="10" s="1"/>
  <c r="J156" i="10"/>
  <c r="L158" i="10"/>
  <c r="M158" i="10"/>
  <c r="N158" i="10"/>
  <c r="Q158" i="10"/>
  <c r="T158" i="10" s="1"/>
  <c r="R158" i="10"/>
  <c r="S158" i="10"/>
  <c r="O161" i="10"/>
  <c r="P161" i="10"/>
  <c r="T161" i="10"/>
  <c r="U161" i="10"/>
  <c r="L162" i="10"/>
  <c r="L160" i="10" s="1"/>
  <c r="O160" i="10" s="1"/>
  <c r="M162" i="10"/>
  <c r="N162" i="10"/>
  <c r="N160" i="10" s="1"/>
  <c r="Q162" i="10"/>
  <c r="Q159" i="10" s="1"/>
  <c r="T159" i="10" s="1"/>
  <c r="R162" i="10"/>
  <c r="R160" i="10" s="1"/>
  <c r="U160" i="10" s="1"/>
  <c r="S162" i="10"/>
  <c r="S160" i="10" s="1"/>
  <c r="Q163" i="10"/>
  <c r="T163" i="10" s="1"/>
  <c r="R163" i="10"/>
  <c r="S163" i="10"/>
  <c r="U163" i="10"/>
  <c r="O164" i="10"/>
  <c r="P164" i="10"/>
  <c r="T164" i="10"/>
  <c r="U164" i="10"/>
  <c r="L165" i="10"/>
  <c r="L163" i="10" s="1"/>
  <c r="O163" i="10" s="1"/>
  <c r="M165" i="10"/>
  <c r="N165" i="10"/>
  <c r="N163" i="10" s="1"/>
  <c r="T165" i="10"/>
  <c r="U165" i="10"/>
  <c r="I167" i="10"/>
  <c r="K167" i="10" s="1"/>
  <c r="I168" i="10"/>
  <c r="K168" i="10" s="1"/>
  <c r="I169" i="10"/>
  <c r="J172" i="10"/>
  <c r="L174" i="10"/>
  <c r="M174" i="10"/>
  <c r="P174" i="10" s="1"/>
  <c r="N174" i="10"/>
  <c r="Q174" i="10"/>
  <c r="R174" i="10"/>
  <c r="S174" i="10"/>
  <c r="O177" i="10"/>
  <c r="P177" i="10"/>
  <c r="T177" i="10"/>
  <c r="U177" i="10"/>
  <c r="L178" i="10"/>
  <c r="M178" i="10"/>
  <c r="N178" i="10"/>
  <c r="Q178" i="10"/>
  <c r="R178" i="10"/>
  <c r="U178" i="10" s="1"/>
  <c r="S178" i="10"/>
  <c r="S175" i="10" s="1"/>
  <c r="Q179" i="10"/>
  <c r="R179" i="10"/>
  <c r="U179" i="10" s="1"/>
  <c r="S179" i="10"/>
  <c r="T179" i="10"/>
  <c r="O180" i="10"/>
  <c r="P180" i="10"/>
  <c r="T180" i="10"/>
  <c r="U180" i="10"/>
  <c r="L181" i="10"/>
  <c r="M181" i="10"/>
  <c r="M179" i="10" s="1"/>
  <c r="P179" i="10" s="1"/>
  <c r="N181" i="10"/>
  <c r="N179" i="10" s="1"/>
  <c r="T181" i="10"/>
  <c r="U181" i="10"/>
  <c r="I183" i="10"/>
  <c r="K183" i="10" s="1"/>
  <c r="K184" i="10"/>
  <c r="L187" i="10"/>
  <c r="M187" i="10"/>
  <c r="N187" i="10"/>
  <c r="Q187" i="10"/>
  <c r="T187" i="10" s="1"/>
  <c r="R187" i="10"/>
  <c r="S187" i="10"/>
  <c r="O190" i="10"/>
  <c r="P190" i="10"/>
  <c r="T190" i="10"/>
  <c r="U190" i="10"/>
  <c r="L191" i="10"/>
  <c r="L189" i="10" s="1"/>
  <c r="M191" i="10"/>
  <c r="N191" i="10"/>
  <c r="N189" i="10" s="1"/>
  <c r="Q191" i="10"/>
  <c r="Q188" i="10" s="1"/>
  <c r="R191" i="10"/>
  <c r="R188" i="10" s="1"/>
  <c r="S191" i="10"/>
  <c r="S189" i="10" s="1"/>
  <c r="Q192" i="10"/>
  <c r="T192" i="10" s="1"/>
  <c r="R192" i="10"/>
  <c r="U192" i="10" s="1"/>
  <c r="S192" i="10"/>
  <c r="O193" i="10"/>
  <c r="P193" i="10"/>
  <c r="T193" i="10"/>
  <c r="U193" i="10"/>
  <c r="L194" i="10"/>
  <c r="L192" i="10" s="1"/>
  <c r="O192" i="10" s="1"/>
  <c r="M194" i="10"/>
  <c r="N194" i="10"/>
  <c r="N192" i="10" s="1"/>
  <c r="T194" i="10"/>
  <c r="U194" i="10"/>
  <c r="J195" i="10"/>
  <c r="L196" i="10"/>
  <c r="O196" i="10" s="1"/>
  <c r="P196" i="10"/>
  <c r="I198" i="10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02" i="10" s="1"/>
  <c r="K202" i="10" s="1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K230" i="10" s="1"/>
  <c r="J231" i="10"/>
  <c r="J185" i="10" s="1"/>
  <c r="N233" i="10"/>
  <c r="N234" i="10"/>
  <c r="N235" i="10"/>
  <c r="N236" i="10"/>
  <c r="J238" i="10"/>
  <c r="J240" i="10"/>
  <c r="J241" i="10"/>
  <c r="J242" i="10"/>
  <c r="N243" i="10"/>
  <c r="P243" i="10"/>
  <c r="L244" i="10"/>
  <c r="L245" i="10"/>
  <c r="L246" i="10"/>
  <c r="L247" i="10"/>
  <c r="I249" i="10"/>
  <c r="I242" i="10" s="1"/>
  <c r="I251" i="10"/>
  <c r="I240" i="10" s="1"/>
  <c r="K240" i="10" s="1"/>
  <c r="I252" i="10"/>
  <c r="I241" i="10" s="1"/>
  <c r="J253" i="10"/>
  <c r="N254" i="10"/>
  <c r="P254" i="10"/>
  <c r="L255" i="10"/>
  <c r="L256" i="10"/>
  <c r="L257" i="10"/>
  <c r="L258" i="10"/>
  <c r="I260" i="10"/>
  <c r="K262" i="10"/>
  <c r="K263" i="10"/>
  <c r="J265" i="10"/>
  <c r="L267" i="10"/>
  <c r="M267" i="10"/>
  <c r="N267" i="10"/>
  <c r="Q267" i="10"/>
  <c r="T267" i="10" s="1"/>
  <c r="R267" i="10"/>
  <c r="S267" i="10"/>
  <c r="O270" i="10"/>
  <c r="P270" i="10"/>
  <c r="T270" i="10"/>
  <c r="U270" i="10"/>
  <c r="L271" i="10"/>
  <c r="M271" i="10"/>
  <c r="N271" i="10"/>
  <c r="N269" i="10" s="1"/>
  <c r="Q271" i="10"/>
  <c r="Q268" i="10" s="1"/>
  <c r="R271" i="10"/>
  <c r="R268" i="10" s="1"/>
  <c r="S271" i="10"/>
  <c r="S269" i="10" s="1"/>
  <c r="Q272" i="10"/>
  <c r="T272" i="10" s="1"/>
  <c r="R272" i="10"/>
  <c r="U272" i="10" s="1"/>
  <c r="S272" i="10"/>
  <c r="O273" i="10"/>
  <c r="P273" i="10"/>
  <c r="T273" i="10"/>
  <c r="U273" i="10"/>
  <c r="L274" i="10"/>
  <c r="O274" i="10" s="1"/>
  <c r="M274" i="10"/>
  <c r="N274" i="10"/>
  <c r="N272" i="10" s="1"/>
  <c r="T274" i="10"/>
  <c r="U274" i="10"/>
  <c r="I276" i="10"/>
  <c r="I265" i="10" s="1"/>
  <c r="K265" i="10" s="1"/>
  <c r="J281" i="10"/>
  <c r="Q282" i="10"/>
  <c r="T282" i="10" s="1"/>
  <c r="L283" i="10"/>
  <c r="O283" i="10" s="1"/>
  <c r="M283" i="10"/>
  <c r="N283" i="10"/>
  <c r="Q283" i="10"/>
  <c r="T283" i="10" s="1"/>
  <c r="R283" i="10"/>
  <c r="S283" i="10"/>
  <c r="S282" i="10" s="1"/>
  <c r="Q284" i="10"/>
  <c r="T284" i="10" s="1"/>
  <c r="R284" i="10"/>
  <c r="S284" i="10"/>
  <c r="U284" i="10"/>
  <c r="Q285" i="10"/>
  <c r="T285" i="10" s="1"/>
  <c r="R285" i="10"/>
  <c r="U285" i="10" s="1"/>
  <c r="S285" i="10"/>
  <c r="O286" i="10"/>
  <c r="P286" i="10"/>
  <c r="T286" i="10"/>
  <c r="U286" i="10"/>
  <c r="L287" i="10"/>
  <c r="O287" i="10" s="1"/>
  <c r="M287" i="10"/>
  <c r="M285" i="10" s="1"/>
  <c r="P285" i="10" s="1"/>
  <c r="N287" i="10"/>
  <c r="N285" i="10" s="1"/>
  <c r="T287" i="10"/>
  <c r="U287" i="10"/>
  <c r="Q288" i="10"/>
  <c r="R288" i="10"/>
  <c r="U288" i="10" s="1"/>
  <c r="S288" i="10"/>
  <c r="T288" i="10"/>
  <c r="O289" i="10"/>
  <c r="P289" i="10"/>
  <c r="T289" i="10"/>
  <c r="U289" i="10"/>
  <c r="L290" i="10"/>
  <c r="M290" i="10"/>
  <c r="N290" i="10"/>
  <c r="N288" i="10" s="1"/>
  <c r="T290" i="10"/>
  <c r="U290" i="10"/>
  <c r="I292" i="10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O304" i="10" s="1"/>
  <c r="M304" i="10"/>
  <c r="N304" i="10"/>
  <c r="Q304" i="10"/>
  <c r="R304" i="10"/>
  <c r="U304" i="10" s="1"/>
  <c r="S304" i="10"/>
  <c r="T304" i="10"/>
  <c r="O307" i="10"/>
  <c r="P307" i="10"/>
  <c r="T307" i="10"/>
  <c r="U307" i="10"/>
  <c r="L308" i="10"/>
  <c r="O308" i="10" s="1"/>
  <c r="M308" i="10"/>
  <c r="M306" i="10" s="1"/>
  <c r="P306" i="10" s="1"/>
  <c r="N308" i="10"/>
  <c r="N306" i="10" s="1"/>
  <c r="Q308" i="10"/>
  <c r="Q305" i="10" s="1"/>
  <c r="Q303" i="10" s="1"/>
  <c r="R308" i="10"/>
  <c r="R305" i="10" s="1"/>
  <c r="S308" i="10"/>
  <c r="S305" i="10" s="1"/>
  <c r="Q309" i="10"/>
  <c r="T309" i="10" s="1"/>
  <c r="R309" i="10"/>
  <c r="U309" i="10" s="1"/>
  <c r="S309" i="10"/>
  <c r="O310" i="10"/>
  <c r="P310" i="10"/>
  <c r="T310" i="10"/>
  <c r="U310" i="10"/>
  <c r="L311" i="10"/>
  <c r="L309" i="10" s="1"/>
  <c r="O309" i="10" s="1"/>
  <c r="M311" i="10"/>
  <c r="M309" i="10" s="1"/>
  <c r="P309" i="10" s="1"/>
  <c r="N311" i="10"/>
  <c r="N309" i="10" s="1"/>
  <c r="T311" i="10"/>
  <c r="U311" i="10"/>
  <c r="I314" i="10"/>
  <c r="I302" i="10" s="1"/>
  <c r="K302" i="10" s="1"/>
  <c r="J319" i="10"/>
  <c r="L321" i="10"/>
  <c r="M321" i="10"/>
  <c r="P321" i="10" s="1"/>
  <c r="N321" i="10"/>
  <c r="Q321" i="10"/>
  <c r="R321" i="10"/>
  <c r="S321" i="10"/>
  <c r="Q322" i="10"/>
  <c r="T322" i="10" s="1"/>
  <c r="R322" i="10"/>
  <c r="U322" i="10" s="1"/>
  <c r="S322" i="10"/>
  <c r="Q323" i="10"/>
  <c r="T323" i="10" s="1"/>
  <c r="R323" i="10"/>
  <c r="S323" i="10"/>
  <c r="U323" i="10"/>
  <c r="O324" i="10"/>
  <c r="P324" i="10"/>
  <c r="T324" i="10"/>
  <c r="U324" i="10"/>
  <c r="L325" i="10"/>
  <c r="M325" i="10"/>
  <c r="N325" i="10"/>
  <c r="N323" i="10" s="1"/>
  <c r="T325" i="10"/>
  <c r="U325" i="10"/>
  <c r="Q326" i="10"/>
  <c r="T326" i="10" s="1"/>
  <c r="R326" i="10"/>
  <c r="U326" i="10" s="1"/>
  <c r="S326" i="10"/>
  <c r="O327" i="10"/>
  <c r="P327" i="10"/>
  <c r="T327" i="10"/>
  <c r="U327" i="10"/>
  <c r="L328" i="10"/>
  <c r="O328" i="10" s="1"/>
  <c r="M328" i="10"/>
  <c r="M326" i="10" s="1"/>
  <c r="P326" i="10" s="1"/>
  <c r="N328" i="10"/>
  <c r="N326" i="10" s="1"/>
  <c r="T328" i="10"/>
  <c r="U328" i="10"/>
  <c r="I330" i="10"/>
  <c r="K330" i="10" s="1"/>
  <c r="L334" i="10"/>
  <c r="M334" i="10"/>
  <c r="N334" i="10"/>
  <c r="Q334" i="10"/>
  <c r="T334" i="10" s="1"/>
  <c r="R334" i="10"/>
  <c r="S334" i="10"/>
  <c r="Q335" i="10"/>
  <c r="R335" i="10"/>
  <c r="S335" i="10"/>
  <c r="T335" i="10"/>
  <c r="U335" i="10"/>
  <c r="Q336" i="10"/>
  <c r="T336" i="10" s="1"/>
  <c r="R336" i="10"/>
  <c r="S336" i="10"/>
  <c r="U336" i="10"/>
  <c r="O337" i="10"/>
  <c r="P337" i="10"/>
  <c r="T337" i="10"/>
  <c r="U337" i="10"/>
  <c r="L338" i="10"/>
  <c r="M338" i="10"/>
  <c r="N338" i="10"/>
  <c r="N336" i="10" s="1"/>
  <c r="T338" i="10"/>
  <c r="U338" i="10"/>
  <c r="Q339" i="10"/>
  <c r="R339" i="10"/>
  <c r="U339" i="10" s="1"/>
  <c r="S339" i="10"/>
  <c r="T339" i="10"/>
  <c r="O340" i="10"/>
  <c r="P340" i="10"/>
  <c r="T340" i="10"/>
  <c r="U340" i="10"/>
  <c r="L341" i="10"/>
  <c r="O341" i="10" s="1"/>
  <c r="M341" i="10"/>
  <c r="P341" i="10" s="1"/>
  <c r="N341" i="10"/>
  <c r="N339" i="10" s="1"/>
  <c r="T341" i="10"/>
  <c r="U341" i="10"/>
  <c r="I344" i="10"/>
  <c r="J344" i="10"/>
  <c r="I346" i="10"/>
  <c r="J346" i="10"/>
  <c r="J347" i="10"/>
  <c r="J348" i="10"/>
  <c r="J349" i="10"/>
  <c r="D350" i="10"/>
  <c r="J352" i="10"/>
  <c r="J353" i="10"/>
  <c r="J354" i="10"/>
  <c r="R356" i="10"/>
  <c r="U356" i="10" s="1"/>
  <c r="L357" i="10"/>
  <c r="M357" i="10"/>
  <c r="P357" i="10" s="1"/>
  <c r="N357" i="10"/>
  <c r="O357" i="10"/>
  <c r="Q357" i="10"/>
  <c r="R357" i="10"/>
  <c r="S357" i="10"/>
  <c r="U357" i="10"/>
  <c r="Q358" i="10"/>
  <c r="T358" i="10" s="1"/>
  <c r="R358" i="10"/>
  <c r="U358" i="10" s="1"/>
  <c r="S358" i="10"/>
  <c r="S356" i="10" s="1"/>
  <c r="Q359" i="10"/>
  <c r="R359" i="10"/>
  <c r="U359" i="10" s="1"/>
  <c r="S359" i="10"/>
  <c r="T359" i="10"/>
  <c r="O360" i="10"/>
  <c r="P360" i="10"/>
  <c r="T360" i="10"/>
  <c r="U360" i="10"/>
  <c r="L361" i="10"/>
  <c r="L359" i="10" s="1"/>
  <c r="M361" i="10"/>
  <c r="M359" i="10" s="1"/>
  <c r="N361" i="10"/>
  <c r="N359" i="10" s="1"/>
  <c r="T361" i="10"/>
  <c r="U361" i="10"/>
  <c r="Q362" i="10"/>
  <c r="T362" i="10" s="1"/>
  <c r="R362" i="10"/>
  <c r="S362" i="10"/>
  <c r="U362" i="10"/>
  <c r="O363" i="10"/>
  <c r="P363" i="10"/>
  <c r="T363" i="10"/>
  <c r="U363" i="10"/>
  <c r="L364" i="10"/>
  <c r="L362" i="10" s="1"/>
  <c r="O362" i="10" s="1"/>
  <c r="M364" i="10"/>
  <c r="M362" i="10" s="1"/>
  <c r="P362" i="10" s="1"/>
  <c r="N364" i="10"/>
  <c r="N362" i="10" s="1"/>
  <c r="T364" i="10"/>
  <c r="U364" i="10"/>
  <c r="J367" i="10"/>
  <c r="K367" i="10"/>
  <c r="I368" i="10"/>
  <c r="K368" i="10" s="1"/>
  <c r="J368" i="10"/>
  <c r="I369" i="10"/>
  <c r="K369" i="10" s="1"/>
  <c r="J369" i="10"/>
  <c r="J370" i="10"/>
  <c r="K370" i="10"/>
  <c r="I371" i="10"/>
  <c r="I365" i="10" s="1"/>
  <c r="K365" i="10" s="1"/>
  <c r="J371" i="10"/>
  <c r="J365" i="10" s="1"/>
  <c r="J372" i="10"/>
  <c r="K372" i="10"/>
  <c r="D373" i="10"/>
  <c r="J374" i="10"/>
  <c r="L376" i="10"/>
  <c r="M376" i="10"/>
  <c r="N376" i="10"/>
  <c r="N375" i="10" s="1"/>
  <c r="P376" i="10"/>
  <c r="Q376" i="10"/>
  <c r="T376" i="10" s="1"/>
  <c r="R376" i="10"/>
  <c r="U376" i="10" s="1"/>
  <c r="S376" i="10"/>
  <c r="L377" i="10"/>
  <c r="O377" i="10" s="1"/>
  <c r="M377" i="10"/>
  <c r="P377" i="10" s="1"/>
  <c r="N377" i="10"/>
  <c r="L378" i="10"/>
  <c r="M378" i="10"/>
  <c r="P378" i="10" s="1"/>
  <c r="N378" i="10"/>
  <c r="O378" i="10"/>
  <c r="O379" i="10"/>
  <c r="P379" i="10"/>
  <c r="T379" i="10"/>
  <c r="U379" i="10"/>
  <c r="O380" i="10"/>
  <c r="P380" i="10"/>
  <c r="Q380" i="10"/>
  <c r="R380" i="10"/>
  <c r="S380" i="10"/>
  <c r="S378" i="10" s="1"/>
  <c r="L381" i="10"/>
  <c r="O381" i="10" s="1"/>
  <c r="M381" i="10"/>
  <c r="P381" i="10" s="1"/>
  <c r="N381" i="10"/>
  <c r="Q381" i="10"/>
  <c r="T381" i="10" s="1"/>
  <c r="R381" i="10"/>
  <c r="S381" i="10"/>
  <c r="U381" i="10"/>
  <c r="O382" i="10"/>
  <c r="P382" i="10"/>
  <c r="T382" i="10"/>
  <c r="U382" i="10"/>
  <c r="O383" i="10"/>
  <c r="P383" i="10"/>
  <c r="T383" i="10"/>
  <c r="U383" i="10"/>
  <c r="I385" i="10"/>
  <c r="I374" i="10" s="1"/>
  <c r="K374" i="10" s="1"/>
  <c r="I386" i="10"/>
  <c r="K386" i="10" s="1"/>
  <c r="K387" i="10"/>
  <c r="K388" i="10"/>
  <c r="I391" i="10"/>
  <c r="J391" i="10"/>
  <c r="K391" i="10"/>
  <c r="L393" i="10"/>
  <c r="O393" i="10" s="1"/>
  <c r="M393" i="10"/>
  <c r="P393" i="10" s="1"/>
  <c r="N393" i="10"/>
  <c r="Q393" i="10"/>
  <c r="T393" i="10" s="1"/>
  <c r="R393" i="10"/>
  <c r="S393" i="10"/>
  <c r="L394" i="10"/>
  <c r="L392" i="10" s="1"/>
  <c r="O392" i="10" s="1"/>
  <c r="M394" i="10"/>
  <c r="P394" i="10" s="1"/>
  <c r="N394" i="10"/>
  <c r="Q394" i="10"/>
  <c r="R394" i="10"/>
  <c r="U394" i="10" s="1"/>
  <c r="S394" i="10"/>
  <c r="T394" i="10"/>
  <c r="L395" i="10"/>
  <c r="M395" i="10"/>
  <c r="P395" i="10" s="1"/>
  <c r="N395" i="10"/>
  <c r="O395" i="10"/>
  <c r="Q395" i="10"/>
  <c r="T395" i="10" s="1"/>
  <c r="R395" i="10"/>
  <c r="S395" i="10"/>
  <c r="U395" i="10"/>
  <c r="O396" i="10"/>
  <c r="P396" i="10"/>
  <c r="T396" i="10"/>
  <c r="U396" i="10"/>
  <c r="O397" i="10"/>
  <c r="P397" i="10"/>
  <c r="T397" i="10"/>
  <c r="U397" i="10"/>
  <c r="L398" i="10"/>
  <c r="M398" i="10"/>
  <c r="P398" i="10" s="1"/>
  <c r="N398" i="10"/>
  <c r="O398" i="10"/>
  <c r="Q398" i="10"/>
  <c r="T398" i="10" s="1"/>
  <c r="R398" i="10"/>
  <c r="S398" i="10"/>
  <c r="U398" i="10"/>
  <c r="O399" i="10"/>
  <c r="P399" i="10"/>
  <c r="T399" i="10"/>
  <c r="U399" i="10"/>
  <c r="O400" i="10"/>
  <c r="P400" i="10"/>
  <c r="T400" i="10"/>
  <c r="U400" i="10"/>
  <c r="L414" i="10"/>
  <c r="L413" i="10" s="1"/>
  <c r="O413" i="10" s="1"/>
  <c r="M414" i="10"/>
  <c r="N414" i="10"/>
  <c r="N413" i="10" s="1"/>
  <c r="P414" i="10"/>
  <c r="Q414" i="10"/>
  <c r="R414" i="10"/>
  <c r="S414" i="10"/>
  <c r="U414" i="10"/>
  <c r="L415" i="10"/>
  <c r="O415" i="10" s="1"/>
  <c r="M415" i="10"/>
  <c r="N415" i="10"/>
  <c r="L416" i="10"/>
  <c r="M416" i="10"/>
  <c r="P416" i="10" s="1"/>
  <c r="N416" i="10"/>
  <c r="O416" i="10"/>
  <c r="O417" i="10"/>
  <c r="P417" i="10"/>
  <c r="T417" i="10"/>
  <c r="U417" i="10"/>
  <c r="O418" i="10"/>
  <c r="P418" i="10"/>
  <c r="Q418" i="10"/>
  <c r="Q416" i="10" s="1"/>
  <c r="T416" i="10" s="1"/>
  <c r="R418" i="10"/>
  <c r="R416" i="10" s="1"/>
  <c r="U416" i="10" s="1"/>
  <c r="S418" i="10"/>
  <c r="S416" i="10" s="1"/>
  <c r="L419" i="10"/>
  <c r="O419" i="10" s="1"/>
  <c r="M419" i="10"/>
  <c r="N419" i="10"/>
  <c r="P419" i="10"/>
  <c r="Q419" i="10"/>
  <c r="T419" i="10" s="1"/>
  <c r="R419" i="10"/>
  <c r="U419" i="10" s="1"/>
  <c r="S419" i="10"/>
  <c r="O420" i="10"/>
  <c r="P420" i="10"/>
  <c r="T420" i="10"/>
  <c r="U420" i="10"/>
  <c r="O421" i="10"/>
  <c r="P421" i="10"/>
  <c r="T421" i="10"/>
  <c r="U421" i="10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K440" i="10" s="1"/>
  <c r="I441" i="10"/>
  <c r="K441" i="10" s="1"/>
  <c r="J446" i="10"/>
  <c r="J440" i="10" s="1"/>
  <c r="J423" i="10" s="1"/>
  <c r="J412" i="10" s="1"/>
  <c r="J447" i="10"/>
  <c r="J441" i="10" s="1"/>
  <c r="I457" i="10"/>
  <c r="I458" i="10"/>
  <c r="K458" i="10" s="1"/>
  <c r="J459" i="10"/>
  <c r="J460" i="10"/>
  <c r="J458" i="10" s="1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K485" i="10" s="1"/>
  <c r="J485" i="10"/>
  <c r="M493" i="10"/>
  <c r="P493" i="10" s="1"/>
  <c r="L494" i="10"/>
  <c r="M494" i="10"/>
  <c r="P494" i="10" s="1"/>
  <c r="N494" i="10"/>
  <c r="Q494" i="10"/>
  <c r="R494" i="10"/>
  <c r="S494" i="10"/>
  <c r="L495" i="10"/>
  <c r="O495" i="10" s="1"/>
  <c r="M495" i="10"/>
  <c r="P495" i="10" s="1"/>
  <c r="N495" i="10"/>
  <c r="N493" i="10" s="1"/>
  <c r="L496" i="10"/>
  <c r="M496" i="10"/>
  <c r="P496" i="10" s="1"/>
  <c r="N496" i="10"/>
  <c r="O496" i="10"/>
  <c r="O497" i="10"/>
  <c r="P497" i="10"/>
  <c r="T497" i="10"/>
  <c r="U497" i="10"/>
  <c r="O498" i="10"/>
  <c r="P498" i="10"/>
  <c r="Q498" i="10"/>
  <c r="R498" i="10"/>
  <c r="R495" i="10" s="1"/>
  <c r="U495" i="10" s="1"/>
  <c r="S498" i="10"/>
  <c r="S496" i="10" s="1"/>
  <c r="L499" i="10"/>
  <c r="O499" i="10" s="1"/>
  <c r="M499" i="10"/>
  <c r="P499" i="10" s="1"/>
  <c r="N499" i="10"/>
  <c r="Q499" i="10"/>
  <c r="T499" i="10" s="1"/>
  <c r="R499" i="10"/>
  <c r="U499" i="10" s="1"/>
  <c r="S499" i="10"/>
  <c r="O500" i="10"/>
  <c r="P500" i="10"/>
  <c r="T500" i="10"/>
  <c r="U500" i="10"/>
  <c r="O501" i="10"/>
  <c r="P501" i="10"/>
  <c r="T501" i="10"/>
  <c r="U501" i="10"/>
  <c r="I503" i="10"/>
  <c r="K503" i="10" s="1"/>
  <c r="I504" i="10"/>
  <c r="K504" i="10" s="1"/>
  <c r="I505" i="10"/>
  <c r="I506" i="10"/>
  <c r="K506" i="10" s="1"/>
  <c r="I507" i="10"/>
  <c r="K507" i="10" s="1"/>
  <c r="K508" i="10"/>
  <c r="I509" i="10"/>
  <c r="K509" i="10" s="1"/>
  <c r="I512" i="10"/>
  <c r="K512" i="10" s="1"/>
  <c r="J512" i="10"/>
  <c r="L514" i="10"/>
  <c r="O514" i="10" s="1"/>
  <c r="M514" i="10"/>
  <c r="P514" i="10" s="1"/>
  <c r="N514" i="10"/>
  <c r="Q514" i="10"/>
  <c r="T514" i="10" s="1"/>
  <c r="R514" i="10"/>
  <c r="R513" i="10" s="1"/>
  <c r="U513" i="10" s="1"/>
  <c r="S514" i="10"/>
  <c r="S513" i="10" s="1"/>
  <c r="U514" i="10"/>
  <c r="Q515" i="10"/>
  <c r="T515" i="10" s="1"/>
  <c r="R515" i="10"/>
  <c r="U515" i="10" s="1"/>
  <c r="S515" i="10"/>
  <c r="Q516" i="10"/>
  <c r="R516" i="10"/>
  <c r="U516" i="10" s="1"/>
  <c r="S516" i="10"/>
  <c r="T516" i="10"/>
  <c r="O517" i="10"/>
  <c r="P517" i="10"/>
  <c r="T517" i="10"/>
  <c r="U517" i="10"/>
  <c r="L518" i="10"/>
  <c r="L516" i="10" s="1"/>
  <c r="O516" i="10" s="1"/>
  <c r="M518" i="10"/>
  <c r="P518" i="10" s="1"/>
  <c r="N518" i="10"/>
  <c r="N516" i="10" s="1"/>
  <c r="T518" i="10"/>
  <c r="U518" i="10"/>
  <c r="Q519" i="10"/>
  <c r="T519" i="10" s="1"/>
  <c r="R519" i="10"/>
  <c r="S519" i="10"/>
  <c r="U519" i="10"/>
  <c r="O520" i="10"/>
  <c r="P520" i="10"/>
  <c r="T520" i="10"/>
  <c r="U520" i="10"/>
  <c r="L521" i="10"/>
  <c r="L519" i="10" s="1"/>
  <c r="O519" i="10" s="1"/>
  <c r="M521" i="10"/>
  <c r="N521" i="10"/>
  <c r="N519" i="10" s="1"/>
  <c r="T521" i="10"/>
  <c r="U521" i="10"/>
  <c r="K523" i="10"/>
  <c r="K524" i="10"/>
  <c r="I533" i="10"/>
  <c r="K533" i="10" s="1"/>
  <c r="J533" i="10"/>
  <c r="L535" i="10"/>
  <c r="M535" i="10"/>
  <c r="N535" i="10"/>
  <c r="O535" i="10"/>
  <c r="P535" i="10"/>
  <c r="Q535" i="10"/>
  <c r="R535" i="10"/>
  <c r="S535" i="10"/>
  <c r="U535" i="10"/>
  <c r="L536" i="10"/>
  <c r="O536" i="10" s="1"/>
  <c r="M536" i="10"/>
  <c r="N536" i="10"/>
  <c r="N534" i="10" s="1"/>
  <c r="Q536" i="10"/>
  <c r="T536" i="10" s="1"/>
  <c r="R536" i="10"/>
  <c r="U536" i="10" s="1"/>
  <c r="S536" i="10"/>
  <c r="L537" i="10"/>
  <c r="O537" i="10" s="1"/>
  <c r="M537" i="10"/>
  <c r="P537" i="10" s="1"/>
  <c r="N537" i="10"/>
  <c r="Q537" i="10"/>
  <c r="T537" i="10" s="1"/>
  <c r="R537" i="10"/>
  <c r="U537" i="10" s="1"/>
  <c r="S537" i="10"/>
  <c r="O538" i="10"/>
  <c r="P538" i="10"/>
  <c r="T538" i="10"/>
  <c r="U538" i="10"/>
  <c r="O539" i="10"/>
  <c r="P539" i="10"/>
  <c r="T539" i="10"/>
  <c r="U539" i="10"/>
  <c r="L540" i="10"/>
  <c r="O540" i="10" s="1"/>
  <c r="M540" i="10"/>
  <c r="P540" i="10" s="1"/>
  <c r="N540" i="10"/>
  <c r="Q540" i="10"/>
  <c r="T540" i="10" s="1"/>
  <c r="R540" i="10"/>
  <c r="U540" i="10" s="1"/>
  <c r="S540" i="10"/>
  <c r="O541" i="10"/>
  <c r="P541" i="10"/>
  <c r="T541" i="10"/>
  <c r="U541" i="10"/>
  <c r="O542" i="10"/>
  <c r="P542" i="10"/>
  <c r="T542" i="10"/>
  <c r="U542" i="10"/>
  <c r="I554" i="10"/>
  <c r="K554" i="10" s="1"/>
  <c r="J554" i="10"/>
  <c r="L556" i="10"/>
  <c r="O556" i="10" s="1"/>
  <c r="M556" i="10"/>
  <c r="N556" i="10"/>
  <c r="N555" i="10" s="1"/>
  <c r="Q556" i="10"/>
  <c r="Q555" i="10" s="1"/>
  <c r="T555" i="10" s="1"/>
  <c r="R556" i="10"/>
  <c r="U556" i="10" s="1"/>
  <c r="S556" i="10"/>
  <c r="S555" i="10" s="1"/>
  <c r="T556" i="10"/>
  <c r="L557" i="10"/>
  <c r="O557" i="10" s="1"/>
  <c r="M557" i="10"/>
  <c r="N557" i="10"/>
  <c r="P557" i="10"/>
  <c r="Q557" i="10"/>
  <c r="T557" i="10" s="1"/>
  <c r="R557" i="10"/>
  <c r="R555" i="10" s="1"/>
  <c r="U555" i="10" s="1"/>
  <c r="S557" i="10"/>
  <c r="L558" i="10"/>
  <c r="O558" i="10" s="1"/>
  <c r="M558" i="10"/>
  <c r="N558" i="10"/>
  <c r="P558" i="10"/>
  <c r="Q558" i="10"/>
  <c r="R558" i="10"/>
  <c r="U558" i="10" s="1"/>
  <c r="S558" i="10"/>
  <c r="T558" i="10"/>
  <c r="O559" i="10"/>
  <c r="P559" i="10"/>
  <c r="T559" i="10"/>
  <c r="U559" i="10"/>
  <c r="O560" i="10"/>
  <c r="P560" i="10"/>
  <c r="T560" i="10"/>
  <c r="U560" i="10"/>
  <c r="L561" i="10"/>
  <c r="O561" i="10" s="1"/>
  <c r="M561" i="10"/>
  <c r="N561" i="10"/>
  <c r="P561" i="10"/>
  <c r="Q561" i="10"/>
  <c r="T561" i="10" s="1"/>
  <c r="R561" i="10"/>
  <c r="U561" i="10" s="1"/>
  <c r="S561" i="10"/>
  <c r="O562" i="10"/>
  <c r="P562" i="10"/>
  <c r="T562" i="10"/>
  <c r="U562" i="10"/>
  <c r="O563" i="10"/>
  <c r="P563" i="10"/>
  <c r="T563" i="10"/>
  <c r="U563" i="10"/>
  <c r="I575" i="10"/>
  <c r="K575" i="10" s="1"/>
  <c r="J575" i="10"/>
  <c r="L577" i="10"/>
  <c r="M577" i="10"/>
  <c r="N577" i="10"/>
  <c r="N576" i="10" s="1"/>
  <c r="O577" i="10"/>
  <c r="Q577" i="10"/>
  <c r="Q576" i="10" s="1"/>
  <c r="T576" i="10" s="1"/>
  <c r="R577" i="10"/>
  <c r="R576" i="10" s="1"/>
  <c r="U576" i="10" s="1"/>
  <c r="S577" i="10"/>
  <c r="S576" i="10" s="1"/>
  <c r="T577" i="10"/>
  <c r="U577" i="10"/>
  <c r="L578" i="10"/>
  <c r="L576" i="10" s="1"/>
  <c r="O576" i="10" s="1"/>
  <c r="M578" i="10"/>
  <c r="N578" i="10"/>
  <c r="P578" i="10"/>
  <c r="Q578" i="10"/>
  <c r="T578" i="10" s="1"/>
  <c r="R578" i="10"/>
  <c r="U578" i="10" s="1"/>
  <c r="S578" i="10"/>
  <c r="L579" i="10"/>
  <c r="O579" i="10" s="1"/>
  <c r="M579" i="10"/>
  <c r="P579" i="10" s="1"/>
  <c r="N579" i="10"/>
  <c r="Q579" i="10"/>
  <c r="T579" i="10" s="1"/>
  <c r="R579" i="10"/>
  <c r="U579" i="10" s="1"/>
  <c r="S579" i="10"/>
  <c r="O580" i="10"/>
  <c r="P580" i="10"/>
  <c r="T580" i="10"/>
  <c r="U580" i="10"/>
  <c r="O581" i="10"/>
  <c r="P581" i="10"/>
  <c r="T581" i="10"/>
  <c r="U581" i="10"/>
  <c r="L582" i="10"/>
  <c r="O582" i="10" s="1"/>
  <c r="M582" i="10"/>
  <c r="P582" i="10" s="1"/>
  <c r="N582" i="10"/>
  <c r="Q582" i="10"/>
  <c r="R582" i="10"/>
  <c r="U582" i="10" s="1"/>
  <c r="S582" i="10"/>
  <c r="T582" i="10"/>
  <c r="O583" i="10"/>
  <c r="P583" i="10"/>
  <c r="T583" i="10"/>
  <c r="U583" i="10"/>
  <c r="O584" i="10"/>
  <c r="P584" i="10"/>
  <c r="T584" i="10"/>
  <c r="U584" i="10"/>
  <c r="L600" i="10"/>
  <c r="O600" i="10" s="1"/>
  <c r="M600" i="10"/>
  <c r="P600" i="10" s="1"/>
  <c r="N600" i="10"/>
  <c r="Q600" i="10"/>
  <c r="R600" i="10"/>
  <c r="U600" i="10" s="1"/>
  <c r="S600" i="10"/>
  <c r="L601" i="10"/>
  <c r="O601" i="10" s="1"/>
  <c r="M601" i="10"/>
  <c r="N601" i="10"/>
  <c r="N599" i="10" s="1"/>
  <c r="Q601" i="10"/>
  <c r="T601" i="10" s="1"/>
  <c r="R601" i="10"/>
  <c r="U601" i="10" s="1"/>
  <c r="S601" i="10"/>
  <c r="L602" i="10"/>
  <c r="M602" i="10"/>
  <c r="P602" i="10" s="1"/>
  <c r="N602" i="10"/>
  <c r="O602" i="10"/>
  <c r="Q602" i="10"/>
  <c r="T602" i="10" s="1"/>
  <c r="R602" i="10"/>
  <c r="U602" i="10" s="1"/>
  <c r="S602" i="10"/>
  <c r="O603" i="10"/>
  <c r="P603" i="10"/>
  <c r="T603" i="10"/>
  <c r="U603" i="10"/>
  <c r="O604" i="10"/>
  <c r="P604" i="10"/>
  <c r="T604" i="10"/>
  <c r="U604" i="10"/>
  <c r="L605" i="10"/>
  <c r="O605" i="10" s="1"/>
  <c r="M605" i="10"/>
  <c r="P605" i="10" s="1"/>
  <c r="N605" i="10"/>
  <c r="Q605" i="10"/>
  <c r="T605" i="10" s="1"/>
  <c r="R605" i="10"/>
  <c r="U605" i="10" s="1"/>
  <c r="S605" i="10"/>
  <c r="O606" i="10"/>
  <c r="P606" i="10"/>
  <c r="T606" i="10"/>
  <c r="U606" i="10"/>
  <c r="O607" i="10"/>
  <c r="P607" i="10"/>
  <c r="T607" i="10"/>
  <c r="U607" i="10"/>
  <c r="L617" i="10"/>
  <c r="O617" i="10" s="1"/>
  <c r="M617" i="10"/>
  <c r="N617" i="10"/>
  <c r="Q617" i="10"/>
  <c r="R617" i="10"/>
  <c r="U617" i="10" s="1"/>
  <c r="S617" i="10"/>
  <c r="T617" i="10"/>
  <c r="L618" i="10"/>
  <c r="O618" i="10" s="1"/>
  <c r="M618" i="10"/>
  <c r="N618" i="10"/>
  <c r="P618" i="10"/>
  <c r="L619" i="10"/>
  <c r="M619" i="10"/>
  <c r="P619" i="10" s="1"/>
  <c r="N619" i="10"/>
  <c r="O619" i="10"/>
  <c r="O620" i="10"/>
  <c r="P620" i="10"/>
  <c r="T620" i="10"/>
  <c r="U620" i="10"/>
  <c r="O621" i="10"/>
  <c r="P621" i="10"/>
  <c r="Q621" i="10"/>
  <c r="Q619" i="10" s="1"/>
  <c r="R621" i="10"/>
  <c r="R619" i="10" s="1"/>
  <c r="S621" i="10"/>
  <c r="S619" i="10" s="1"/>
  <c r="L622" i="10"/>
  <c r="O622" i="10" s="1"/>
  <c r="M622" i="10"/>
  <c r="P622" i="10" s="1"/>
  <c r="N622" i="10"/>
  <c r="Q622" i="10"/>
  <c r="T622" i="10" s="1"/>
  <c r="R622" i="10"/>
  <c r="S622" i="10"/>
  <c r="U622" i="10"/>
  <c r="O623" i="10"/>
  <c r="P623" i="10"/>
  <c r="T623" i="10"/>
  <c r="U623" i="10"/>
  <c r="O624" i="10"/>
  <c r="P624" i="10"/>
  <c r="T624" i="10"/>
  <c r="U624" i="10"/>
  <c r="I626" i="10"/>
  <c r="I615" i="10" s="1"/>
  <c r="K615" i="10" s="1"/>
  <c r="J626" i="10"/>
  <c r="J615" i="10" s="1"/>
  <c r="I627" i="10"/>
  <c r="K627" i="10" s="1"/>
  <c r="I628" i="10"/>
  <c r="K628" i="10" s="1"/>
  <c r="J632" i="10"/>
  <c r="I635" i="10"/>
  <c r="K635" i="10" s="1"/>
  <c r="J636" i="10"/>
  <c r="J635" i="10" s="1"/>
  <c r="L643" i="10"/>
  <c r="M643" i="10"/>
  <c r="N643" i="10"/>
  <c r="Q643" i="10"/>
  <c r="R643" i="10"/>
  <c r="S643" i="10"/>
  <c r="L644" i="10"/>
  <c r="O644" i="10" s="1"/>
  <c r="M644" i="10"/>
  <c r="P644" i="10" s="1"/>
  <c r="N644" i="10"/>
  <c r="L645" i="10"/>
  <c r="M645" i="10"/>
  <c r="P645" i="10" s="1"/>
  <c r="N645" i="10"/>
  <c r="O645" i="10"/>
  <c r="O646" i="10"/>
  <c r="P646" i="10"/>
  <c r="T646" i="10"/>
  <c r="U646" i="10"/>
  <c r="O647" i="10"/>
  <c r="P647" i="10"/>
  <c r="Q647" i="10"/>
  <c r="R647" i="10"/>
  <c r="R645" i="10" s="1"/>
  <c r="S647" i="10"/>
  <c r="S644" i="10" s="1"/>
  <c r="L648" i="10"/>
  <c r="O648" i="10" s="1"/>
  <c r="M648" i="10"/>
  <c r="P648" i="10" s="1"/>
  <c r="N648" i="10"/>
  <c r="Q648" i="10"/>
  <c r="T648" i="10" s="1"/>
  <c r="R648" i="10"/>
  <c r="U648" i="10" s="1"/>
  <c r="S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J654" i="10"/>
  <c r="I657" i="10"/>
  <c r="I660" i="10"/>
  <c r="I661" i="10"/>
  <c r="J661" i="10"/>
  <c r="J671" i="10"/>
  <c r="J672" i="10"/>
  <c r="I673" i="10"/>
  <c r="J673" i="10"/>
  <c r="I674" i="10"/>
  <c r="I675" i="10"/>
  <c r="I676" i="10"/>
  <c r="J676" i="10"/>
  <c r="J677" i="10"/>
  <c r="I678" i="10"/>
  <c r="J678" i="10"/>
  <c r="I679" i="10"/>
  <c r="J679" i="10"/>
  <c r="J680" i="10"/>
  <c r="I681" i="10"/>
  <c r="J681" i="10"/>
  <c r="I682" i="10"/>
  <c r="J682" i="10"/>
  <c r="L691" i="10"/>
  <c r="M691" i="10"/>
  <c r="N691" i="10"/>
  <c r="Q691" i="10"/>
  <c r="R691" i="10"/>
  <c r="S691" i="10"/>
  <c r="L692" i="10"/>
  <c r="M692" i="10"/>
  <c r="P692" i="10" s="1"/>
  <c r="N692" i="10"/>
  <c r="O692" i="10"/>
  <c r="L693" i="10"/>
  <c r="O693" i="10" s="1"/>
  <c r="M693" i="10"/>
  <c r="N693" i="10"/>
  <c r="P693" i="10"/>
  <c r="O694" i="10"/>
  <c r="P694" i="10"/>
  <c r="T694" i="10"/>
  <c r="U694" i="10"/>
  <c r="O695" i="10"/>
  <c r="P695" i="10"/>
  <c r="Q695" i="10"/>
  <c r="R695" i="10"/>
  <c r="R693" i="10" s="1"/>
  <c r="S695" i="10"/>
  <c r="S692" i="10" s="1"/>
  <c r="L696" i="10"/>
  <c r="O696" i="10" s="1"/>
  <c r="M696" i="10"/>
  <c r="P696" i="10" s="1"/>
  <c r="N696" i="10"/>
  <c r="Q696" i="10"/>
  <c r="T696" i="10" s="1"/>
  <c r="R696" i="10"/>
  <c r="U696" i="10" s="1"/>
  <c r="S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J705" i="10"/>
  <c r="J706" i="10"/>
  <c r="K706" i="10"/>
  <c r="I707" i="10"/>
  <c r="I689" i="10" s="1"/>
  <c r="K689" i="10" s="1"/>
  <c r="J707" i="10"/>
  <c r="J689" i="10" s="1"/>
  <c r="J708" i="10"/>
  <c r="K708" i="10"/>
  <c r="I709" i="10"/>
  <c r="J709" i="10"/>
  <c r="J710" i="10"/>
  <c r="K710" i="10"/>
  <c r="J712" i="10"/>
  <c r="K712" i="10"/>
  <c r="N714" i="10"/>
  <c r="L715" i="10"/>
  <c r="M715" i="10"/>
  <c r="M714" i="10" s="1"/>
  <c r="P714" i="10" s="1"/>
  <c r="N715" i="10"/>
  <c r="O715" i="10"/>
  <c r="P715" i="10"/>
  <c r="Q715" i="10"/>
  <c r="R715" i="10"/>
  <c r="U715" i="10" s="1"/>
  <c r="S715" i="10"/>
  <c r="L716" i="10"/>
  <c r="O716" i="10" s="1"/>
  <c r="M716" i="10"/>
  <c r="P716" i="10" s="1"/>
  <c r="N716" i="10"/>
  <c r="Q716" i="10"/>
  <c r="T716" i="10" s="1"/>
  <c r="R716" i="10"/>
  <c r="U716" i="10" s="1"/>
  <c r="S716" i="10"/>
  <c r="S714" i="10" s="1"/>
  <c r="L717" i="10"/>
  <c r="O717" i="10" s="1"/>
  <c r="M717" i="10"/>
  <c r="P717" i="10" s="1"/>
  <c r="N717" i="10"/>
  <c r="Q717" i="10"/>
  <c r="R717" i="10"/>
  <c r="S717" i="10"/>
  <c r="T717" i="10"/>
  <c r="U717" i="10"/>
  <c r="O718" i="10"/>
  <c r="P718" i="10"/>
  <c r="T718" i="10"/>
  <c r="U718" i="10"/>
  <c r="O719" i="10"/>
  <c r="P719" i="10"/>
  <c r="T719" i="10"/>
  <c r="U719" i="10"/>
  <c r="L720" i="10"/>
  <c r="M720" i="10"/>
  <c r="P720" i="10" s="1"/>
  <c r="N720" i="10"/>
  <c r="O720" i="10"/>
  <c r="Q720" i="10"/>
  <c r="R720" i="10"/>
  <c r="S720" i="10"/>
  <c r="T720" i="10"/>
  <c r="U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K727" i="10" s="1"/>
  <c r="J727" i="10"/>
  <c r="L729" i="10"/>
  <c r="O729" i="10" s="1"/>
  <c r="M729" i="10"/>
  <c r="M728" i="10" s="1"/>
  <c r="P728" i="10" s="1"/>
  <c r="N729" i="10"/>
  <c r="N728" i="10" s="1"/>
  <c r="Q729" i="10"/>
  <c r="R729" i="10"/>
  <c r="S729" i="10"/>
  <c r="L730" i="10"/>
  <c r="O730" i="10" s="1"/>
  <c r="M730" i="10"/>
  <c r="P730" i="10" s="1"/>
  <c r="N730" i="10"/>
  <c r="L731" i="10"/>
  <c r="M731" i="10"/>
  <c r="P731" i="10" s="1"/>
  <c r="N731" i="10"/>
  <c r="O731" i="10"/>
  <c r="O732" i="10"/>
  <c r="P732" i="10"/>
  <c r="T732" i="10"/>
  <c r="U732" i="10"/>
  <c r="O733" i="10"/>
  <c r="P733" i="10"/>
  <c r="Q733" i="10"/>
  <c r="R733" i="10"/>
  <c r="R731" i="10" s="1"/>
  <c r="U731" i="10" s="1"/>
  <c r="S733" i="10"/>
  <c r="S730" i="10" s="1"/>
  <c r="L734" i="10"/>
  <c r="O734" i="10" s="1"/>
  <c r="M734" i="10"/>
  <c r="N734" i="10"/>
  <c r="P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N760" i="10"/>
  <c r="L761" i="10"/>
  <c r="M761" i="10"/>
  <c r="N761" i="10"/>
  <c r="P761" i="10"/>
  <c r="Q761" i="10"/>
  <c r="R761" i="10"/>
  <c r="S761" i="10"/>
  <c r="L762" i="10"/>
  <c r="O762" i="10" s="1"/>
  <c r="M762" i="10"/>
  <c r="P762" i="10" s="1"/>
  <c r="N762" i="10"/>
  <c r="L763" i="10"/>
  <c r="M763" i="10"/>
  <c r="N763" i="10"/>
  <c r="O763" i="10"/>
  <c r="P763" i="10"/>
  <c r="O764" i="10"/>
  <c r="P764" i="10"/>
  <c r="T764" i="10"/>
  <c r="U764" i="10"/>
  <c r="O765" i="10"/>
  <c r="P765" i="10"/>
  <c r="Q765" i="10"/>
  <c r="Q763" i="10" s="1"/>
  <c r="R765" i="10"/>
  <c r="R763" i="10" s="1"/>
  <c r="S765" i="10"/>
  <c r="S763" i="10" s="1"/>
  <c r="L766" i="10"/>
  <c r="O766" i="10" s="1"/>
  <c r="M766" i="10"/>
  <c r="P766" i="10" s="1"/>
  <c r="N766" i="10"/>
  <c r="Q766" i="10"/>
  <c r="T766" i="10" s="1"/>
  <c r="R766" i="10"/>
  <c r="U766" i="10" s="1"/>
  <c r="S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I759" i="10" s="1"/>
  <c r="K759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M22" i="9"/>
  <c r="N22" i="9"/>
  <c r="N19" i="9" s="1"/>
  <c r="Q22" i="9"/>
  <c r="R22" i="9"/>
  <c r="S22" i="9"/>
  <c r="T22" i="9"/>
  <c r="L25" i="9"/>
  <c r="M25" i="9"/>
  <c r="N25" i="9"/>
  <c r="Q25" i="9"/>
  <c r="Q24" i="9" s="1"/>
  <c r="T24" i="9" s="1"/>
  <c r="R25" i="9"/>
  <c r="S25" i="9"/>
  <c r="Q26" i="9"/>
  <c r="T26" i="9" s="1"/>
  <c r="R26" i="9"/>
  <c r="U26" i="9" s="1"/>
  <c r="S26" i="9"/>
  <c r="L45" i="9"/>
  <c r="O45" i="9" s="1"/>
  <c r="M45" i="9"/>
  <c r="N45" i="9"/>
  <c r="Q45" i="9"/>
  <c r="Q44" i="9" s="1"/>
  <c r="T44" i="9" s="1"/>
  <c r="R45" i="9"/>
  <c r="U45" i="9" s="1"/>
  <c r="S45" i="9"/>
  <c r="S44" i="9" s="1"/>
  <c r="T45" i="9"/>
  <c r="Q46" i="9"/>
  <c r="T46" i="9" s="1"/>
  <c r="R46" i="9"/>
  <c r="S46" i="9"/>
  <c r="U46" i="9"/>
  <c r="Q47" i="9"/>
  <c r="T47" i="9" s="1"/>
  <c r="R47" i="9"/>
  <c r="U47" i="9" s="1"/>
  <c r="S47" i="9"/>
  <c r="O48" i="9"/>
  <c r="P48" i="9"/>
  <c r="T48" i="9"/>
  <c r="U48" i="9"/>
  <c r="L49" i="9"/>
  <c r="L47" i="9" s="1"/>
  <c r="M49" i="9"/>
  <c r="M47" i="9" s="1"/>
  <c r="N49" i="9"/>
  <c r="T49" i="9"/>
  <c r="U49" i="9"/>
  <c r="Q50" i="9"/>
  <c r="T50" i="9" s="1"/>
  <c r="R50" i="9"/>
  <c r="U50" i="9" s="1"/>
  <c r="S50" i="9"/>
  <c r="O51" i="9"/>
  <c r="P51" i="9"/>
  <c r="T51" i="9"/>
  <c r="U51" i="9"/>
  <c r="L52" i="9"/>
  <c r="M52" i="9"/>
  <c r="N52" i="9"/>
  <c r="T52" i="9"/>
  <c r="U52" i="9"/>
  <c r="L60" i="9"/>
  <c r="M60" i="9"/>
  <c r="N60" i="9"/>
  <c r="O60" i="9"/>
  <c r="Q60" i="9"/>
  <c r="Q59" i="9" s="1"/>
  <c r="T59" i="9" s="1"/>
  <c r="R60" i="9"/>
  <c r="R59" i="9" s="1"/>
  <c r="U59" i="9" s="1"/>
  <c r="S60" i="9"/>
  <c r="T60" i="9"/>
  <c r="U60" i="9"/>
  <c r="Q61" i="9"/>
  <c r="T61" i="9" s="1"/>
  <c r="R61" i="9"/>
  <c r="S61" i="9"/>
  <c r="U61" i="9"/>
  <c r="Q62" i="9"/>
  <c r="T62" i="9" s="1"/>
  <c r="R62" i="9"/>
  <c r="U62" i="9" s="1"/>
  <c r="S62" i="9"/>
  <c r="O63" i="9"/>
  <c r="P63" i="9"/>
  <c r="T63" i="9"/>
  <c r="U63" i="9"/>
  <c r="L64" i="9"/>
  <c r="L62" i="9" s="1"/>
  <c r="M64" i="9"/>
  <c r="M62" i="9" s="1"/>
  <c r="N64" i="9"/>
  <c r="N62" i="9" s="1"/>
  <c r="T64" i="9"/>
  <c r="U64" i="9"/>
  <c r="Q65" i="9"/>
  <c r="R65" i="9"/>
  <c r="U65" i="9" s="1"/>
  <c r="S65" i="9"/>
  <c r="T65" i="9"/>
  <c r="O66" i="9"/>
  <c r="P66" i="9"/>
  <c r="T66" i="9"/>
  <c r="U66" i="9"/>
  <c r="L67" i="9"/>
  <c r="M67" i="9"/>
  <c r="N67" i="9"/>
  <c r="N65" i="9" s="1"/>
  <c r="T67" i="9"/>
  <c r="U67" i="9"/>
  <c r="L73" i="9"/>
  <c r="O73" i="9" s="1"/>
  <c r="M73" i="9"/>
  <c r="N73" i="9"/>
  <c r="Q73" i="9"/>
  <c r="R73" i="9"/>
  <c r="U73" i="9" s="1"/>
  <c r="S73" i="9"/>
  <c r="T73" i="9"/>
  <c r="O76" i="9"/>
  <c r="P76" i="9"/>
  <c r="T76" i="9"/>
  <c r="U76" i="9"/>
  <c r="L77" i="9"/>
  <c r="L75" i="9" s="1"/>
  <c r="O75" i="9" s="1"/>
  <c r="M77" i="9"/>
  <c r="M75" i="9" s="1"/>
  <c r="P75" i="9" s="1"/>
  <c r="N77" i="9"/>
  <c r="N75" i="9" s="1"/>
  <c r="Q77" i="9"/>
  <c r="Q74" i="9" s="1"/>
  <c r="T74" i="9" s="1"/>
  <c r="R77" i="9"/>
  <c r="R74" i="9" s="1"/>
  <c r="R72" i="9" s="1"/>
  <c r="U72" i="9" s="1"/>
  <c r="S77" i="9"/>
  <c r="S75" i="9" s="1"/>
  <c r="Q78" i="9"/>
  <c r="T78" i="9" s="1"/>
  <c r="R78" i="9"/>
  <c r="U78" i="9" s="1"/>
  <c r="S78" i="9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T80" i="9"/>
  <c r="U80" i="9"/>
  <c r="J82" i="9"/>
  <c r="J70" i="9" s="1"/>
  <c r="J83" i="9"/>
  <c r="J71" i="9" s="1"/>
  <c r="I84" i="9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O95" i="9"/>
  <c r="Q95" i="9"/>
  <c r="R95" i="9"/>
  <c r="S95" i="9"/>
  <c r="T95" i="9"/>
  <c r="U95" i="9"/>
  <c r="O98" i="9"/>
  <c r="P98" i="9"/>
  <c r="T98" i="9"/>
  <c r="U98" i="9"/>
  <c r="L99" i="9"/>
  <c r="M99" i="9"/>
  <c r="M97" i="9" s="1"/>
  <c r="P97" i="9" s="1"/>
  <c r="N99" i="9"/>
  <c r="N97" i="9" s="1"/>
  <c r="Q99" i="9"/>
  <c r="Q96" i="9" s="1"/>
  <c r="T96" i="9" s="1"/>
  <c r="R99" i="9"/>
  <c r="S99" i="9"/>
  <c r="S96" i="9" s="1"/>
  <c r="S94" i="9" s="1"/>
  <c r="Q100" i="9"/>
  <c r="R100" i="9"/>
  <c r="U100" i="9" s="1"/>
  <c r="S100" i="9"/>
  <c r="T100" i="9"/>
  <c r="O101" i="9"/>
  <c r="P101" i="9"/>
  <c r="T101" i="9"/>
  <c r="U101" i="9"/>
  <c r="L102" i="9"/>
  <c r="O102" i="9" s="1"/>
  <c r="M102" i="9"/>
  <c r="M100" i="9" s="1"/>
  <c r="P100" i="9" s="1"/>
  <c r="N102" i="9"/>
  <c r="N100" i="9" s="1"/>
  <c r="T102" i="9"/>
  <c r="U102" i="9"/>
  <c r="I108" i="9"/>
  <c r="K108" i="9" s="1"/>
  <c r="I109" i="9"/>
  <c r="I93" i="9" s="1"/>
  <c r="K93" i="9" s="1"/>
  <c r="I114" i="9"/>
  <c r="K114" i="9" s="1"/>
  <c r="J116" i="9"/>
  <c r="L118" i="9"/>
  <c r="O118" i="9" s="1"/>
  <c r="M118" i="9"/>
  <c r="P118" i="9" s="1"/>
  <c r="N118" i="9"/>
  <c r="Q118" i="9"/>
  <c r="R118" i="9"/>
  <c r="U118" i="9" s="1"/>
  <c r="S118" i="9"/>
  <c r="T118" i="9"/>
  <c r="O121" i="9"/>
  <c r="P121" i="9"/>
  <c r="T121" i="9"/>
  <c r="U121" i="9"/>
  <c r="L122" i="9"/>
  <c r="M122" i="9"/>
  <c r="M120" i="9" s="1"/>
  <c r="P120" i="9" s="1"/>
  <c r="N122" i="9"/>
  <c r="N120" i="9" s="1"/>
  <c r="Q122" i="9"/>
  <c r="R122" i="9"/>
  <c r="S122" i="9"/>
  <c r="S119" i="9" s="1"/>
  <c r="S117" i="9" s="1"/>
  <c r="Q123" i="9"/>
  <c r="R123" i="9"/>
  <c r="U123" i="9" s="1"/>
  <c r="S123" i="9"/>
  <c r="T123" i="9"/>
  <c r="O124" i="9"/>
  <c r="P124" i="9"/>
  <c r="T124" i="9"/>
  <c r="U124" i="9"/>
  <c r="L125" i="9"/>
  <c r="M125" i="9"/>
  <c r="M123" i="9" s="1"/>
  <c r="P123" i="9" s="1"/>
  <c r="N125" i="9"/>
  <c r="N123" i="9" s="1"/>
  <c r="T125" i="9"/>
  <c r="U125" i="9"/>
  <c r="I127" i="9"/>
  <c r="I116" i="9" s="1"/>
  <c r="I128" i="9"/>
  <c r="K128" i="9" s="1"/>
  <c r="I129" i="9"/>
  <c r="K129" i="9" s="1"/>
  <c r="I130" i="9"/>
  <c r="K130" i="9" s="1"/>
  <c r="J136" i="9"/>
  <c r="J137" i="9"/>
  <c r="J138" i="9"/>
  <c r="L140" i="9"/>
  <c r="M140" i="9"/>
  <c r="N140" i="9"/>
  <c r="Q140" i="9"/>
  <c r="R140" i="9"/>
  <c r="S140" i="9"/>
  <c r="T140" i="9"/>
  <c r="O143" i="9"/>
  <c r="P143" i="9"/>
  <c r="T143" i="9"/>
  <c r="U143" i="9"/>
  <c r="L144" i="9"/>
  <c r="L142" i="9" s="1"/>
  <c r="O142" i="9" s="1"/>
  <c r="M144" i="9"/>
  <c r="N144" i="9"/>
  <c r="Q144" i="9"/>
  <c r="Q141" i="9" s="1"/>
  <c r="R144" i="9"/>
  <c r="R142" i="9" s="1"/>
  <c r="U142" i="9" s="1"/>
  <c r="S144" i="9"/>
  <c r="S141" i="9" s="1"/>
  <c r="Q145" i="9"/>
  <c r="T145" i="9" s="1"/>
  <c r="R145" i="9"/>
  <c r="U145" i="9" s="1"/>
  <c r="S145" i="9"/>
  <c r="O146" i="9"/>
  <c r="P146" i="9"/>
  <c r="T146" i="9"/>
  <c r="U146" i="9"/>
  <c r="L147" i="9"/>
  <c r="L145" i="9" s="1"/>
  <c r="O145" i="9" s="1"/>
  <c r="M147" i="9"/>
  <c r="P147" i="9" s="1"/>
  <c r="N147" i="9"/>
  <c r="N145" i="9" s="1"/>
  <c r="T147" i="9"/>
  <c r="U147" i="9"/>
  <c r="I150" i="9"/>
  <c r="K150" i="9" s="1"/>
  <c r="I151" i="9"/>
  <c r="K151" i="9" s="1"/>
  <c r="I152" i="9"/>
  <c r="I137" i="9" s="1"/>
  <c r="K137" i="9" s="1"/>
  <c r="I153" i="9"/>
  <c r="I138" i="9" s="1"/>
  <c r="K138" i="9" s="1"/>
  <c r="I154" i="9"/>
  <c r="J156" i="9"/>
  <c r="L158" i="9"/>
  <c r="M158" i="9"/>
  <c r="P158" i="9" s="1"/>
  <c r="N158" i="9"/>
  <c r="O158" i="9"/>
  <c r="Q158" i="9"/>
  <c r="R158" i="9"/>
  <c r="S158" i="9"/>
  <c r="T158" i="9"/>
  <c r="U158" i="9"/>
  <c r="O161" i="9"/>
  <c r="P161" i="9"/>
  <c r="T161" i="9"/>
  <c r="U161" i="9"/>
  <c r="L162" i="9"/>
  <c r="L160" i="9" s="1"/>
  <c r="O160" i="9" s="1"/>
  <c r="M162" i="9"/>
  <c r="N162" i="9"/>
  <c r="N160" i="9" s="1"/>
  <c r="Q162" i="9"/>
  <c r="Q159" i="9" s="1"/>
  <c r="T159" i="9" s="1"/>
  <c r="R162" i="9"/>
  <c r="S162" i="9"/>
  <c r="S159" i="9" s="1"/>
  <c r="S157" i="9" s="1"/>
  <c r="Q163" i="9"/>
  <c r="T163" i="9" s="1"/>
  <c r="R163" i="9"/>
  <c r="U163" i="9" s="1"/>
  <c r="S163" i="9"/>
  <c r="O164" i="9"/>
  <c r="P164" i="9"/>
  <c r="T164" i="9"/>
  <c r="U164" i="9"/>
  <c r="L165" i="9"/>
  <c r="L163" i="9" s="1"/>
  <c r="O163" i="9" s="1"/>
  <c r="M165" i="9"/>
  <c r="M163" i="9" s="1"/>
  <c r="P163" i="9" s="1"/>
  <c r="N165" i="9"/>
  <c r="N163" i="9" s="1"/>
  <c r="T165" i="9"/>
  <c r="U165" i="9"/>
  <c r="I167" i="9"/>
  <c r="K167" i="9" s="1"/>
  <c r="I168" i="9"/>
  <c r="K168" i="9" s="1"/>
  <c r="I169" i="9"/>
  <c r="J172" i="9"/>
  <c r="L174" i="9"/>
  <c r="O174" i="9" s="1"/>
  <c r="M174" i="9"/>
  <c r="P174" i="9" s="1"/>
  <c r="N174" i="9"/>
  <c r="Q174" i="9"/>
  <c r="T174" i="9" s="1"/>
  <c r="R174" i="9"/>
  <c r="U174" i="9" s="1"/>
  <c r="S174" i="9"/>
  <c r="O177" i="9"/>
  <c r="P177" i="9"/>
  <c r="T177" i="9"/>
  <c r="U177" i="9"/>
  <c r="L178" i="9"/>
  <c r="L176" i="9" s="1"/>
  <c r="M178" i="9"/>
  <c r="M176" i="9" s="1"/>
  <c r="N178" i="9"/>
  <c r="N176" i="9" s="1"/>
  <c r="Q178" i="9"/>
  <c r="Q175" i="9" s="1"/>
  <c r="T175" i="9" s="1"/>
  <c r="R178" i="9"/>
  <c r="R175" i="9" s="1"/>
  <c r="U175" i="9" s="1"/>
  <c r="S178" i="9"/>
  <c r="S175" i="9" s="1"/>
  <c r="S173" i="9" s="1"/>
  <c r="Q179" i="9"/>
  <c r="R179" i="9"/>
  <c r="U179" i="9" s="1"/>
  <c r="S179" i="9"/>
  <c r="T179" i="9"/>
  <c r="O180" i="9"/>
  <c r="P180" i="9"/>
  <c r="T180" i="9"/>
  <c r="U180" i="9"/>
  <c r="L181" i="9"/>
  <c r="O181" i="9" s="1"/>
  <c r="M181" i="9"/>
  <c r="N181" i="9"/>
  <c r="N179" i="9" s="1"/>
  <c r="T181" i="9"/>
  <c r="U181" i="9"/>
  <c r="I183" i="9"/>
  <c r="I172" i="9" s="1"/>
  <c r="K172" i="9" s="1"/>
  <c r="K184" i="9"/>
  <c r="L187" i="9"/>
  <c r="M187" i="9"/>
  <c r="P187" i="9" s="1"/>
  <c r="N187" i="9"/>
  <c r="Q187" i="9"/>
  <c r="R187" i="9"/>
  <c r="S187" i="9"/>
  <c r="O190" i="9"/>
  <c r="P190" i="9"/>
  <c r="T190" i="9"/>
  <c r="U190" i="9"/>
  <c r="L191" i="9"/>
  <c r="L189" i="9" s="1"/>
  <c r="M191" i="9"/>
  <c r="N191" i="9"/>
  <c r="Q191" i="9"/>
  <c r="T191" i="9" s="1"/>
  <c r="R191" i="9"/>
  <c r="R188" i="9" s="1"/>
  <c r="U188" i="9" s="1"/>
  <c r="S191" i="9"/>
  <c r="S189" i="9" s="1"/>
  <c r="Q192" i="9"/>
  <c r="T192" i="9" s="1"/>
  <c r="R192" i="9"/>
  <c r="S192" i="9"/>
  <c r="U192" i="9"/>
  <c r="O193" i="9"/>
  <c r="P193" i="9"/>
  <c r="T193" i="9"/>
  <c r="U193" i="9"/>
  <c r="L194" i="9"/>
  <c r="L192" i="9" s="1"/>
  <c r="O192" i="9" s="1"/>
  <c r="M194" i="9"/>
  <c r="N194" i="9"/>
  <c r="N192" i="9" s="1"/>
  <c r="T194" i="9"/>
  <c r="U194" i="9"/>
  <c r="J195" i="9"/>
  <c r="L196" i="9"/>
  <c r="O196" i="9" s="1"/>
  <c r="P196" i="9"/>
  <c r="I198" i="9"/>
  <c r="I195" i="9" s="1"/>
  <c r="K195" i="9" s="1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K209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I213" i="9" s="1"/>
  <c r="K213" i="9" s="1"/>
  <c r="J221" i="9"/>
  <c r="N222" i="9"/>
  <c r="P222" i="9"/>
  <c r="L223" i="9"/>
  <c r="L224" i="9"/>
  <c r="L225" i="9"/>
  <c r="I228" i="9"/>
  <c r="K228" i="9" s="1"/>
  <c r="I229" i="9"/>
  <c r="K229" i="9" s="1"/>
  <c r="I230" i="9"/>
  <c r="K230" i="9" s="1"/>
  <c r="J231" i="9"/>
  <c r="J185" i="9" s="1"/>
  <c r="N233" i="9"/>
  <c r="N234" i="9"/>
  <c r="N235" i="9"/>
  <c r="N236" i="9"/>
  <c r="J238" i="9"/>
  <c r="J240" i="9"/>
  <c r="J241" i="9"/>
  <c r="J242" i="9"/>
  <c r="N243" i="9"/>
  <c r="P243" i="9"/>
  <c r="L244" i="9"/>
  <c r="L245" i="9"/>
  <c r="L246" i="9"/>
  <c r="L247" i="9"/>
  <c r="I249" i="9"/>
  <c r="I242" i="9" s="1"/>
  <c r="I251" i="9"/>
  <c r="I252" i="9"/>
  <c r="I241" i="9" s="1"/>
  <c r="J253" i="9"/>
  <c r="N254" i="9"/>
  <c r="P254" i="9"/>
  <c r="L255" i="9"/>
  <c r="L256" i="9"/>
  <c r="L257" i="9"/>
  <c r="L258" i="9"/>
  <c r="I260" i="9"/>
  <c r="K262" i="9"/>
  <c r="K263" i="9"/>
  <c r="J265" i="9"/>
  <c r="L267" i="9"/>
  <c r="M267" i="9"/>
  <c r="N267" i="9"/>
  <c r="Q267" i="9"/>
  <c r="T267" i="9" s="1"/>
  <c r="R267" i="9"/>
  <c r="S267" i="9"/>
  <c r="O270" i="9"/>
  <c r="P270" i="9"/>
  <c r="T270" i="9"/>
  <c r="U270" i="9"/>
  <c r="L271" i="9"/>
  <c r="L269" i="9" s="1"/>
  <c r="O269" i="9" s="1"/>
  <c r="M271" i="9"/>
  <c r="M269" i="9" s="1"/>
  <c r="N271" i="9"/>
  <c r="Q271" i="9"/>
  <c r="Q268" i="9" s="1"/>
  <c r="R271" i="9"/>
  <c r="R269" i="9" s="1"/>
  <c r="S271" i="9"/>
  <c r="S268" i="9" s="1"/>
  <c r="Q272" i="9"/>
  <c r="T272" i="9" s="1"/>
  <c r="R272" i="9"/>
  <c r="U272" i="9" s="1"/>
  <c r="S272" i="9"/>
  <c r="O273" i="9"/>
  <c r="P273" i="9"/>
  <c r="T273" i="9"/>
  <c r="U273" i="9"/>
  <c r="L274" i="9"/>
  <c r="M274" i="9"/>
  <c r="M272" i="9" s="1"/>
  <c r="P272" i="9" s="1"/>
  <c r="N274" i="9"/>
  <c r="N272" i="9" s="1"/>
  <c r="T274" i="9"/>
  <c r="U274" i="9"/>
  <c r="I276" i="9"/>
  <c r="J281" i="9"/>
  <c r="L283" i="9"/>
  <c r="M283" i="9"/>
  <c r="N283" i="9"/>
  <c r="O283" i="9"/>
  <c r="Q283" i="9"/>
  <c r="T283" i="9" s="1"/>
  <c r="R283" i="9"/>
  <c r="R282" i="9" s="1"/>
  <c r="U282" i="9" s="1"/>
  <c r="S283" i="9"/>
  <c r="U283" i="9"/>
  <c r="Q284" i="9"/>
  <c r="T284" i="9" s="1"/>
  <c r="R284" i="9"/>
  <c r="S284" i="9"/>
  <c r="U284" i="9"/>
  <c r="Q285" i="9"/>
  <c r="T285" i="9" s="1"/>
  <c r="R285" i="9"/>
  <c r="U285" i="9" s="1"/>
  <c r="S285" i="9"/>
  <c r="O286" i="9"/>
  <c r="P286" i="9"/>
  <c r="T286" i="9"/>
  <c r="U286" i="9"/>
  <c r="L287" i="9"/>
  <c r="M287" i="9"/>
  <c r="M285" i="9" s="1"/>
  <c r="P285" i="9" s="1"/>
  <c r="N287" i="9"/>
  <c r="N285" i="9" s="1"/>
  <c r="T287" i="9"/>
  <c r="U287" i="9"/>
  <c r="Q288" i="9"/>
  <c r="T288" i="9" s="1"/>
  <c r="R288" i="9"/>
  <c r="U288" i="9" s="1"/>
  <c r="S288" i="9"/>
  <c r="O289" i="9"/>
  <c r="P289" i="9"/>
  <c r="T289" i="9"/>
  <c r="U289" i="9"/>
  <c r="L290" i="9"/>
  <c r="O290" i="9" s="1"/>
  <c r="M290" i="9"/>
  <c r="N290" i="9"/>
  <c r="N288" i="9" s="1"/>
  <c r="T290" i="9"/>
  <c r="U290" i="9"/>
  <c r="I292" i="9"/>
  <c r="K292" i="9" s="1"/>
  <c r="I293" i="9"/>
  <c r="K293" i="9" s="1"/>
  <c r="J293" i="9"/>
  <c r="J280" i="9" s="1"/>
  <c r="I295" i="9"/>
  <c r="K295" i="9" s="1"/>
  <c r="I296" i="9"/>
  <c r="K296" i="9" s="1"/>
  <c r="J302" i="9"/>
  <c r="L304" i="9"/>
  <c r="O304" i="9" s="1"/>
  <c r="M304" i="9"/>
  <c r="N304" i="9"/>
  <c r="Q304" i="9"/>
  <c r="R304" i="9"/>
  <c r="U304" i="9" s="1"/>
  <c r="S304" i="9"/>
  <c r="T304" i="9"/>
  <c r="O307" i="9"/>
  <c r="P307" i="9"/>
  <c r="T307" i="9"/>
  <c r="U307" i="9"/>
  <c r="L308" i="9"/>
  <c r="L306" i="9" s="1"/>
  <c r="O306" i="9" s="1"/>
  <c r="M308" i="9"/>
  <c r="M306" i="9" s="1"/>
  <c r="P306" i="9" s="1"/>
  <c r="N308" i="9"/>
  <c r="N306" i="9" s="1"/>
  <c r="Q308" i="9"/>
  <c r="T308" i="9" s="1"/>
  <c r="R308" i="9"/>
  <c r="S308" i="9"/>
  <c r="S306" i="9" s="1"/>
  <c r="Q309" i="9"/>
  <c r="T309" i="9" s="1"/>
  <c r="R309" i="9"/>
  <c r="U309" i="9" s="1"/>
  <c r="S309" i="9"/>
  <c r="O310" i="9"/>
  <c r="P310" i="9"/>
  <c r="T310" i="9"/>
  <c r="U310" i="9"/>
  <c r="L311" i="9"/>
  <c r="L309" i="9" s="1"/>
  <c r="O309" i="9" s="1"/>
  <c r="M311" i="9"/>
  <c r="N311" i="9"/>
  <c r="N309" i="9" s="1"/>
  <c r="T311" i="9"/>
  <c r="U311" i="9"/>
  <c r="I314" i="9"/>
  <c r="K314" i="9" s="1"/>
  <c r="J319" i="9"/>
  <c r="L321" i="9"/>
  <c r="M321" i="9"/>
  <c r="P321" i="9" s="1"/>
  <c r="N321" i="9"/>
  <c r="Q321" i="9"/>
  <c r="R321" i="9"/>
  <c r="S321" i="9"/>
  <c r="U321" i="9"/>
  <c r="Q322" i="9"/>
  <c r="R322" i="9"/>
  <c r="S322" i="9"/>
  <c r="T322" i="9"/>
  <c r="U322" i="9"/>
  <c r="Q323" i="9"/>
  <c r="T323" i="9" s="1"/>
  <c r="R323" i="9"/>
  <c r="S323" i="9"/>
  <c r="U323" i="9"/>
  <c r="O324" i="9"/>
  <c r="P324" i="9"/>
  <c r="T324" i="9"/>
  <c r="U324" i="9"/>
  <c r="L325" i="9"/>
  <c r="M325" i="9"/>
  <c r="P325" i="9" s="1"/>
  <c r="N325" i="9"/>
  <c r="N323" i="9" s="1"/>
  <c r="T325" i="9"/>
  <c r="U325" i="9"/>
  <c r="Q326" i="9"/>
  <c r="T326" i="9" s="1"/>
  <c r="R326" i="9"/>
  <c r="U326" i="9" s="1"/>
  <c r="S326" i="9"/>
  <c r="O327" i="9"/>
  <c r="P327" i="9"/>
  <c r="T327" i="9"/>
  <c r="U327" i="9"/>
  <c r="L328" i="9"/>
  <c r="O328" i="9" s="1"/>
  <c r="M328" i="9"/>
  <c r="N328" i="9"/>
  <c r="N326" i="9" s="1"/>
  <c r="T328" i="9"/>
  <c r="U328" i="9"/>
  <c r="I330" i="9"/>
  <c r="I319" i="9" s="1"/>
  <c r="K319" i="9" s="1"/>
  <c r="Q333" i="9"/>
  <c r="T333" i="9" s="1"/>
  <c r="L334" i="9"/>
  <c r="M334" i="9"/>
  <c r="N334" i="9"/>
  <c r="P334" i="9"/>
  <c r="Q334" i="9"/>
  <c r="R334" i="9"/>
  <c r="S334" i="9"/>
  <c r="T334" i="9"/>
  <c r="Q335" i="9"/>
  <c r="R335" i="9"/>
  <c r="U335" i="9" s="1"/>
  <c r="S335" i="9"/>
  <c r="T335" i="9"/>
  <c r="Q336" i="9"/>
  <c r="R336" i="9"/>
  <c r="U336" i="9" s="1"/>
  <c r="S336" i="9"/>
  <c r="T336" i="9"/>
  <c r="O337" i="9"/>
  <c r="P337" i="9"/>
  <c r="T337" i="9"/>
  <c r="U337" i="9"/>
  <c r="L338" i="9"/>
  <c r="M338" i="9"/>
  <c r="N338" i="9"/>
  <c r="T338" i="9"/>
  <c r="U338" i="9"/>
  <c r="Q339" i="9"/>
  <c r="T339" i="9" s="1"/>
  <c r="R339" i="9"/>
  <c r="U339" i="9" s="1"/>
  <c r="S339" i="9"/>
  <c r="O340" i="9"/>
  <c r="P340" i="9"/>
  <c r="T340" i="9"/>
  <c r="U340" i="9"/>
  <c r="L341" i="9"/>
  <c r="L339" i="9" s="1"/>
  <c r="O339" i="9" s="1"/>
  <c r="M341" i="9"/>
  <c r="P341" i="9" s="1"/>
  <c r="N341" i="9"/>
  <c r="N339" i="9" s="1"/>
  <c r="T341" i="9"/>
  <c r="U341" i="9"/>
  <c r="I344" i="9"/>
  <c r="I332" i="9" s="1"/>
  <c r="J344" i="9"/>
  <c r="I346" i="9"/>
  <c r="J346" i="9"/>
  <c r="J347" i="9"/>
  <c r="J348" i="9"/>
  <c r="J349" i="9"/>
  <c r="D350" i="9"/>
  <c r="J352" i="9"/>
  <c r="J353" i="9"/>
  <c r="J354" i="9"/>
  <c r="L357" i="9"/>
  <c r="M357" i="9"/>
  <c r="P357" i="9" s="1"/>
  <c r="N357" i="9"/>
  <c r="O357" i="9"/>
  <c r="Q357" i="9"/>
  <c r="T357" i="9" s="1"/>
  <c r="R357" i="9"/>
  <c r="S357" i="9"/>
  <c r="S356" i="9" s="1"/>
  <c r="U357" i="9"/>
  <c r="Q358" i="9"/>
  <c r="T358" i="9" s="1"/>
  <c r="R358" i="9"/>
  <c r="S358" i="9"/>
  <c r="U358" i="9"/>
  <c r="Q359" i="9"/>
  <c r="R359" i="9"/>
  <c r="S359" i="9"/>
  <c r="T359" i="9"/>
  <c r="U359" i="9"/>
  <c r="O360" i="9"/>
  <c r="P360" i="9"/>
  <c r="T360" i="9"/>
  <c r="U360" i="9"/>
  <c r="L361" i="9"/>
  <c r="M361" i="9"/>
  <c r="N361" i="9"/>
  <c r="T361" i="9"/>
  <c r="U361" i="9"/>
  <c r="Q362" i="9"/>
  <c r="T362" i="9" s="1"/>
  <c r="R362" i="9"/>
  <c r="U362" i="9" s="1"/>
  <c r="S362" i="9"/>
  <c r="O363" i="9"/>
  <c r="P363" i="9"/>
  <c r="T363" i="9"/>
  <c r="U363" i="9"/>
  <c r="L364" i="9"/>
  <c r="M364" i="9"/>
  <c r="N364" i="9"/>
  <c r="N362" i="9" s="1"/>
  <c r="T364" i="9"/>
  <c r="U364" i="9"/>
  <c r="J367" i="9"/>
  <c r="K367" i="9"/>
  <c r="I368" i="9"/>
  <c r="K368" i="9" s="1"/>
  <c r="J368" i="9"/>
  <c r="I369" i="9"/>
  <c r="K369" i="9" s="1"/>
  <c r="J369" i="9"/>
  <c r="J370" i="9"/>
  <c r="K370" i="9"/>
  <c r="I371" i="9"/>
  <c r="J371" i="9"/>
  <c r="J365" i="9" s="1"/>
  <c r="J372" i="9"/>
  <c r="K372" i="9"/>
  <c r="D373" i="9"/>
  <c r="J374" i="9"/>
  <c r="L376" i="9"/>
  <c r="L375" i="9" s="1"/>
  <c r="O375" i="9" s="1"/>
  <c r="M376" i="9"/>
  <c r="P376" i="9" s="1"/>
  <c r="N376" i="9"/>
  <c r="O376" i="9"/>
  <c r="Q376" i="9"/>
  <c r="R376" i="9"/>
  <c r="U376" i="9" s="1"/>
  <c r="S376" i="9"/>
  <c r="L377" i="9"/>
  <c r="M377" i="9"/>
  <c r="P377" i="9" s="1"/>
  <c r="N377" i="9"/>
  <c r="O377" i="9"/>
  <c r="L378" i="9"/>
  <c r="O378" i="9" s="1"/>
  <c r="M378" i="9"/>
  <c r="P378" i="9" s="1"/>
  <c r="N378" i="9"/>
  <c r="O379" i="9"/>
  <c r="P379" i="9"/>
  <c r="T379" i="9"/>
  <c r="U379" i="9"/>
  <c r="O380" i="9"/>
  <c r="P380" i="9"/>
  <c r="Q380" i="9"/>
  <c r="R380" i="9"/>
  <c r="R377" i="9" s="1"/>
  <c r="U377" i="9" s="1"/>
  <c r="S380" i="9"/>
  <c r="S377" i="9" s="1"/>
  <c r="S375" i="9" s="1"/>
  <c r="L381" i="9"/>
  <c r="O381" i="9" s="1"/>
  <c r="M381" i="9"/>
  <c r="P381" i="9" s="1"/>
  <c r="N381" i="9"/>
  <c r="Q381" i="9"/>
  <c r="T381" i="9" s="1"/>
  <c r="R381" i="9"/>
  <c r="U381" i="9" s="1"/>
  <c r="S381" i="9"/>
  <c r="O382" i="9"/>
  <c r="P382" i="9"/>
  <c r="T382" i="9"/>
  <c r="U382" i="9"/>
  <c r="O383" i="9"/>
  <c r="P383" i="9"/>
  <c r="T383" i="9"/>
  <c r="U383" i="9"/>
  <c r="I385" i="9"/>
  <c r="K385" i="9" s="1"/>
  <c r="I386" i="9"/>
  <c r="K386" i="9" s="1"/>
  <c r="K387" i="9"/>
  <c r="K388" i="9"/>
  <c r="I391" i="9"/>
  <c r="K391" i="9" s="1"/>
  <c r="J391" i="9"/>
  <c r="M392" i="9"/>
  <c r="P392" i="9" s="1"/>
  <c r="L393" i="9"/>
  <c r="M393" i="9"/>
  <c r="P393" i="9" s="1"/>
  <c r="N393" i="9"/>
  <c r="Q393" i="9"/>
  <c r="T393" i="9" s="1"/>
  <c r="R393" i="9"/>
  <c r="S393" i="9"/>
  <c r="S392" i="9" s="1"/>
  <c r="L394" i="9"/>
  <c r="M394" i="9"/>
  <c r="P394" i="9" s="1"/>
  <c r="N394" i="9"/>
  <c r="O394" i="9"/>
  <c r="Q394" i="9"/>
  <c r="R394" i="9"/>
  <c r="U394" i="9" s="1"/>
  <c r="S394" i="9"/>
  <c r="L395" i="9"/>
  <c r="O395" i="9" s="1"/>
  <c r="M395" i="9"/>
  <c r="P395" i="9" s="1"/>
  <c r="N395" i="9"/>
  <c r="Q395" i="9"/>
  <c r="T395" i="9" s="1"/>
  <c r="R395" i="9"/>
  <c r="S395" i="9"/>
  <c r="U395" i="9"/>
  <c r="O396" i="9"/>
  <c r="P396" i="9"/>
  <c r="T396" i="9"/>
  <c r="U396" i="9"/>
  <c r="O397" i="9"/>
  <c r="P397" i="9"/>
  <c r="T397" i="9"/>
  <c r="U397" i="9"/>
  <c r="L398" i="9"/>
  <c r="M398" i="9"/>
  <c r="P398" i="9" s="1"/>
  <c r="N398" i="9"/>
  <c r="O398" i="9"/>
  <c r="Q398" i="9"/>
  <c r="T398" i="9" s="1"/>
  <c r="R398" i="9"/>
  <c r="U398" i="9" s="1"/>
  <c r="S398" i="9"/>
  <c r="O399" i="9"/>
  <c r="P399" i="9"/>
  <c r="T399" i="9"/>
  <c r="U399" i="9"/>
  <c r="O400" i="9"/>
  <c r="P400" i="9"/>
  <c r="T400" i="9"/>
  <c r="U400" i="9"/>
  <c r="L414" i="9"/>
  <c r="M414" i="9"/>
  <c r="P414" i="9" s="1"/>
  <c r="N414" i="9"/>
  <c r="N413" i="9" s="1"/>
  <c r="Q414" i="9"/>
  <c r="R414" i="9"/>
  <c r="S414" i="9"/>
  <c r="T414" i="9"/>
  <c r="L415" i="9"/>
  <c r="M415" i="9"/>
  <c r="N415" i="9"/>
  <c r="O415" i="9"/>
  <c r="P415" i="9"/>
  <c r="L416" i="9"/>
  <c r="O416" i="9" s="1"/>
  <c r="M416" i="9"/>
  <c r="P416" i="9" s="1"/>
  <c r="N416" i="9"/>
  <c r="O417" i="9"/>
  <c r="P417" i="9"/>
  <c r="T417" i="9"/>
  <c r="U417" i="9"/>
  <c r="O418" i="9"/>
  <c r="P418" i="9"/>
  <c r="Q418" i="9"/>
  <c r="Q416" i="9" s="1"/>
  <c r="T416" i="9" s="1"/>
  <c r="R418" i="9"/>
  <c r="R416" i="9" s="1"/>
  <c r="U416" i="9" s="1"/>
  <c r="S418" i="9"/>
  <c r="L419" i="9"/>
  <c r="M419" i="9"/>
  <c r="P419" i="9" s="1"/>
  <c r="N419" i="9"/>
  <c r="O419" i="9"/>
  <c r="Q419" i="9"/>
  <c r="R419" i="9"/>
  <c r="S419" i="9"/>
  <c r="T419" i="9"/>
  <c r="U419" i="9"/>
  <c r="O420" i="9"/>
  <c r="P420" i="9"/>
  <c r="T420" i="9"/>
  <c r="U420" i="9"/>
  <c r="O421" i="9"/>
  <c r="P421" i="9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I441" i="9"/>
  <c r="K441" i="9" s="1"/>
  <c r="J446" i="9"/>
  <c r="J440" i="9" s="1"/>
  <c r="J423" i="9" s="1"/>
  <c r="J412" i="9" s="1"/>
  <c r="J447" i="9"/>
  <c r="J441" i="9" s="1"/>
  <c r="I457" i="9"/>
  <c r="I458" i="9"/>
  <c r="K458" i="9" s="1"/>
  <c r="J459" i="9"/>
  <c r="J457" i="9" s="1"/>
  <c r="J456" i="9" s="1"/>
  <c r="J460" i="9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M494" i="9"/>
  <c r="P494" i="9" s="1"/>
  <c r="N494" i="9"/>
  <c r="Q494" i="9"/>
  <c r="R494" i="9"/>
  <c r="S494" i="9"/>
  <c r="L495" i="9"/>
  <c r="O495" i="9" s="1"/>
  <c r="M495" i="9"/>
  <c r="N495" i="9"/>
  <c r="L496" i="9"/>
  <c r="M496" i="9"/>
  <c r="P496" i="9" s="1"/>
  <c r="N496" i="9"/>
  <c r="O496" i="9"/>
  <c r="O497" i="9"/>
  <c r="P497" i="9"/>
  <c r="T497" i="9"/>
  <c r="U497" i="9"/>
  <c r="O498" i="9"/>
  <c r="P498" i="9"/>
  <c r="Q498" i="9"/>
  <c r="R498" i="9"/>
  <c r="R496" i="9" s="1"/>
  <c r="U496" i="9" s="1"/>
  <c r="S498" i="9"/>
  <c r="S496" i="9" s="1"/>
  <c r="L499" i="9"/>
  <c r="O499" i="9" s="1"/>
  <c r="M499" i="9"/>
  <c r="P499" i="9" s="1"/>
  <c r="N499" i="9"/>
  <c r="Q499" i="9"/>
  <c r="T499" i="9" s="1"/>
  <c r="R499" i="9"/>
  <c r="U499" i="9" s="1"/>
  <c r="S499" i="9"/>
  <c r="O500" i="9"/>
  <c r="P500" i="9"/>
  <c r="T500" i="9"/>
  <c r="U500" i="9"/>
  <c r="O501" i="9"/>
  <c r="P501" i="9"/>
  <c r="T501" i="9"/>
  <c r="U501" i="9"/>
  <c r="I503" i="9"/>
  <c r="K503" i="9" s="1"/>
  <c r="I504" i="9"/>
  <c r="K504" i="9" s="1"/>
  <c r="I505" i="9"/>
  <c r="K505" i="9" s="1"/>
  <c r="I506" i="9"/>
  <c r="K506" i="9" s="1"/>
  <c r="I507" i="9"/>
  <c r="K507" i="9" s="1"/>
  <c r="K508" i="9"/>
  <c r="I509" i="9"/>
  <c r="K509" i="9" s="1"/>
  <c r="I512" i="9"/>
  <c r="K512" i="9" s="1"/>
  <c r="J512" i="9"/>
  <c r="L514" i="9"/>
  <c r="O514" i="9" s="1"/>
  <c r="M514" i="9"/>
  <c r="P514" i="9" s="1"/>
  <c r="N514" i="9"/>
  <c r="Q514" i="9"/>
  <c r="R514" i="9"/>
  <c r="U514" i="9" s="1"/>
  <c r="S514" i="9"/>
  <c r="T514" i="9"/>
  <c r="Q515" i="9"/>
  <c r="R515" i="9"/>
  <c r="U515" i="9" s="1"/>
  <c r="S515" i="9"/>
  <c r="Q516" i="9"/>
  <c r="R516" i="9"/>
  <c r="U516" i="9" s="1"/>
  <c r="S516" i="9"/>
  <c r="T516" i="9"/>
  <c r="O517" i="9"/>
  <c r="P517" i="9"/>
  <c r="T517" i="9"/>
  <c r="U517" i="9"/>
  <c r="L518" i="9"/>
  <c r="O518" i="9" s="1"/>
  <c r="M518" i="9"/>
  <c r="P518" i="9" s="1"/>
  <c r="N518" i="9"/>
  <c r="N516" i="9" s="1"/>
  <c r="T518" i="9"/>
  <c r="U518" i="9"/>
  <c r="Q519" i="9"/>
  <c r="T519" i="9" s="1"/>
  <c r="R519" i="9"/>
  <c r="U519" i="9" s="1"/>
  <c r="S519" i="9"/>
  <c r="O520" i="9"/>
  <c r="P520" i="9"/>
  <c r="T520" i="9"/>
  <c r="U520" i="9"/>
  <c r="L521" i="9"/>
  <c r="M521" i="9"/>
  <c r="N521" i="9"/>
  <c r="N519" i="9" s="1"/>
  <c r="T521" i="9"/>
  <c r="U521" i="9"/>
  <c r="K523" i="9"/>
  <c r="K524" i="9"/>
  <c r="I533" i="9"/>
  <c r="K533" i="9" s="1"/>
  <c r="J533" i="9"/>
  <c r="L535" i="9"/>
  <c r="O535" i="9" s="1"/>
  <c r="M535" i="9"/>
  <c r="P535" i="9" s="1"/>
  <c r="N535" i="9"/>
  <c r="N534" i="9" s="1"/>
  <c r="Q535" i="9"/>
  <c r="R535" i="9"/>
  <c r="U535" i="9" s="1"/>
  <c r="S535" i="9"/>
  <c r="L536" i="9"/>
  <c r="O536" i="9" s="1"/>
  <c r="M536" i="9"/>
  <c r="P536" i="9" s="1"/>
  <c r="N536" i="9"/>
  <c r="Q536" i="9"/>
  <c r="T536" i="9" s="1"/>
  <c r="R536" i="9"/>
  <c r="U536" i="9" s="1"/>
  <c r="S536" i="9"/>
  <c r="L537" i="9"/>
  <c r="M537" i="9"/>
  <c r="P537" i="9" s="1"/>
  <c r="N537" i="9"/>
  <c r="O537" i="9"/>
  <c r="Q537" i="9"/>
  <c r="T537" i="9" s="1"/>
  <c r="R537" i="9"/>
  <c r="U537" i="9" s="1"/>
  <c r="S537" i="9"/>
  <c r="O538" i="9"/>
  <c r="P538" i="9"/>
  <c r="T538" i="9"/>
  <c r="U538" i="9"/>
  <c r="O539" i="9"/>
  <c r="P539" i="9"/>
  <c r="T539" i="9"/>
  <c r="U539" i="9"/>
  <c r="L540" i="9"/>
  <c r="O540" i="9" s="1"/>
  <c r="M540" i="9"/>
  <c r="P540" i="9" s="1"/>
  <c r="N540" i="9"/>
  <c r="Q540" i="9"/>
  <c r="T540" i="9" s="1"/>
  <c r="R540" i="9"/>
  <c r="U540" i="9" s="1"/>
  <c r="S540" i="9"/>
  <c r="O541" i="9"/>
  <c r="P541" i="9"/>
  <c r="T541" i="9"/>
  <c r="U541" i="9"/>
  <c r="O542" i="9"/>
  <c r="P542" i="9"/>
  <c r="T542" i="9"/>
  <c r="U542" i="9"/>
  <c r="I554" i="9"/>
  <c r="K554" i="9" s="1"/>
  <c r="J554" i="9"/>
  <c r="L556" i="9"/>
  <c r="O556" i="9" s="1"/>
  <c r="M556" i="9"/>
  <c r="N556" i="9"/>
  <c r="Q556" i="9"/>
  <c r="R556" i="9"/>
  <c r="U556" i="9" s="1"/>
  <c r="S556" i="9"/>
  <c r="T556" i="9"/>
  <c r="L557" i="9"/>
  <c r="O557" i="9" s="1"/>
  <c r="M557" i="9"/>
  <c r="P557" i="9" s="1"/>
  <c r="N557" i="9"/>
  <c r="Q557" i="9"/>
  <c r="T557" i="9" s="1"/>
  <c r="R557" i="9"/>
  <c r="U557" i="9" s="1"/>
  <c r="S557" i="9"/>
  <c r="L558" i="9"/>
  <c r="O558" i="9" s="1"/>
  <c r="M558" i="9"/>
  <c r="P558" i="9" s="1"/>
  <c r="N558" i="9"/>
  <c r="Q558" i="9"/>
  <c r="T558" i="9" s="1"/>
  <c r="R558" i="9"/>
  <c r="U558" i="9" s="1"/>
  <c r="S558" i="9"/>
  <c r="O559" i="9"/>
  <c r="P559" i="9"/>
  <c r="T559" i="9"/>
  <c r="U559" i="9"/>
  <c r="O560" i="9"/>
  <c r="P560" i="9"/>
  <c r="T560" i="9"/>
  <c r="U560" i="9"/>
  <c r="L561" i="9"/>
  <c r="O561" i="9" s="1"/>
  <c r="M561" i="9"/>
  <c r="P561" i="9" s="1"/>
  <c r="N561" i="9"/>
  <c r="Q561" i="9"/>
  <c r="T561" i="9" s="1"/>
  <c r="R561" i="9"/>
  <c r="U561" i="9" s="1"/>
  <c r="S561" i="9"/>
  <c r="O562" i="9"/>
  <c r="P562" i="9"/>
  <c r="T562" i="9"/>
  <c r="U562" i="9"/>
  <c r="O563" i="9"/>
  <c r="P563" i="9"/>
  <c r="T563" i="9"/>
  <c r="U563" i="9"/>
  <c r="I575" i="9"/>
  <c r="K575" i="9" s="1"/>
  <c r="J575" i="9"/>
  <c r="N576" i="9"/>
  <c r="L577" i="9"/>
  <c r="M577" i="9"/>
  <c r="N577" i="9"/>
  <c r="O577" i="9"/>
  <c r="P577" i="9"/>
  <c r="Q577" i="9"/>
  <c r="R577" i="9"/>
  <c r="R576" i="9" s="1"/>
  <c r="U576" i="9" s="1"/>
  <c r="S577" i="9"/>
  <c r="L578" i="9"/>
  <c r="O578" i="9" s="1"/>
  <c r="M578" i="9"/>
  <c r="P578" i="9" s="1"/>
  <c r="N578" i="9"/>
  <c r="Q578" i="9"/>
  <c r="T578" i="9" s="1"/>
  <c r="R578" i="9"/>
  <c r="S578" i="9"/>
  <c r="S576" i="9" s="1"/>
  <c r="U578" i="9"/>
  <c r="L579" i="9"/>
  <c r="M579" i="9"/>
  <c r="P579" i="9" s="1"/>
  <c r="N579" i="9"/>
  <c r="O579" i="9"/>
  <c r="Q579" i="9"/>
  <c r="T579" i="9" s="1"/>
  <c r="R579" i="9"/>
  <c r="U579" i="9" s="1"/>
  <c r="S579" i="9"/>
  <c r="O580" i="9"/>
  <c r="P580" i="9"/>
  <c r="T580" i="9"/>
  <c r="U580" i="9"/>
  <c r="O581" i="9"/>
  <c r="P581" i="9"/>
  <c r="T581" i="9"/>
  <c r="U581" i="9"/>
  <c r="L582" i="9"/>
  <c r="O582" i="9" s="1"/>
  <c r="M582" i="9"/>
  <c r="P582" i="9" s="1"/>
  <c r="N582" i="9"/>
  <c r="Q582" i="9"/>
  <c r="R582" i="9"/>
  <c r="U582" i="9" s="1"/>
  <c r="S582" i="9"/>
  <c r="T582" i="9"/>
  <c r="O583" i="9"/>
  <c r="P583" i="9"/>
  <c r="T583" i="9"/>
  <c r="U583" i="9"/>
  <c r="O584" i="9"/>
  <c r="P584" i="9"/>
  <c r="T584" i="9"/>
  <c r="U584" i="9"/>
  <c r="L600" i="9"/>
  <c r="M600" i="9"/>
  <c r="P600" i="9" s="1"/>
  <c r="N600" i="9"/>
  <c r="O600" i="9"/>
  <c r="Q600" i="9"/>
  <c r="T600" i="9" s="1"/>
  <c r="R600" i="9"/>
  <c r="S600" i="9"/>
  <c r="S599" i="9" s="1"/>
  <c r="L601" i="9"/>
  <c r="M601" i="9"/>
  <c r="P601" i="9" s="1"/>
  <c r="N601" i="9"/>
  <c r="N599" i="9" s="1"/>
  <c r="O601" i="9"/>
  <c r="Q601" i="9"/>
  <c r="T601" i="9" s="1"/>
  <c r="R601" i="9"/>
  <c r="U601" i="9" s="1"/>
  <c r="S601" i="9"/>
  <c r="L602" i="9"/>
  <c r="M602" i="9"/>
  <c r="P602" i="9" s="1"/>
  <c r="N602" i="9"/>
  <c r="O602" i="9"/>
  <c r="Q602" i="9"/>
  <c r="R602" i="9"/>
  <c r="S602" i="9"/>
  <c r="T602" i="9"/>
  <c r="U602" i="9"/>
  <c r="O603" i="9"/>
  <c r="P603" i="9"/>
  <c r="T603" i="9"/>
  <c r="U603" i="9"/>
  <c r="O604" i="9"/>
  <c r="P604" i="9"/>
  <c r="T604" i="9"/>
  <c r="U604" i="9"/>
  <c r="L605" i="9"/>
  <c r="M605" i="9"/>
  <c r="P605" i="9" s="1"/>
  <c r="N605" i="9"/>
  <c r="O605" i="9"/>
  <c r="Q605" i="9"/>
  <c r="T605" i="9" s="1"/>
  <c r="R605" i="9"/>
  <c r="U605" i="9" s="1"/>
  <c r="S605" i="9"/>
  <c r="O606" i="9"/>
  <c r="P606" i="9"/>
  <c r="T606" i="9"/>
  <c r="U606" i="9"/>
  <c r="O607" i="9"/>
  <c r="P607" i="9"/>
  <c r="T607" i="9"/>
  <c r="U607" i="9"/>
  <c r="L617" i="9"/>
  <c r="O617" i="9" s="1"/>
  <c r="M617" i="9"/>
  <c r="N617" i="9"/>
  <c r="Q617" i="9"/>
  <c r="T617" i="9" s="1"/>
  <c r="R617" i="9"/>
  <c r="U617" i="9" s="1"/>
  <c r="S617" i="9"/>
  <c r="L618" i="9"/>
  <c r="O618" i="9" s="1"/>
  <c r="M618" i="9"/>
  <c r="N618" i="9"/>
  <c r="P618" i="9"/>
  <c r="L619" i="9"/>
  <c r="O619" i="9" s="1"/>
  <c r="M619" i="9"/>
  <c r="N619" i="9"/>
  <c r="P619" i="9"/>
  <c r="O620" i="9"/>
  <c r="P620" i="9"/>
  <c r="T620" i="9"/>
  <c r="U620" i="9"/>
  <c r="O621" i="9"/>
  <c r="P621" i="9"/>
  <c r="Q621" i="9"/>
  <c r="Q619" i="9" s="1"/>
  <c r="R621" i="9"/>
  <c r="S621" i="9"/>
  <c r="L622" i="9"/>
  <c r="O622" i="9" s="1"/>
  <c r="M622" i="9"/>
  <c r="P622" i="9" s="1"/>
  <c r="N622" i="9"/>
  <c r="Q622" i="9"/>
  <c r="T622" i="9" s="1"/>
  <c r="R622" i="9"/>
  <c r="U622" i="9" s="1"/>
  <c r="S622" i="9"/>
  <c r="O623" i="9"/>
  <c r="P623" i="9"/>
  <c r="T623" i="9"/>
  <c r="U623" i="9"/>
  <c r="O624" i="9"/>
  <c r="P624" i="9"/>
  <c r="T624" i="9"/>
  <c r="U624" i="9"/>
  <c r="I626" i="9"/>
  <c r="I615" i="9" s="1"/>
  <c r="I627" i="9"/>
  <c r="K627" i="9" s="1"/>
  <c r="I628" i="9"/>
  <c r="K628" i="9" s="1"/>
  <c r="J632" i="9"/>
  <c r="I635" i="9"/>
  <c r="K635" i="9" s="1"/>
  <c r="J636" i="9"/>
  <c r="J635" i="9" s="1"/>
  <c r="M642" i="9"/>
  <c r="P642" i="9" s="1"/>
  <c r="N642" i="9"/>
  <c r="L643" i="9"/>
  <c r="L642" i="9" s="1"/>
  <c r="O642" i="9" s="1"/>
  <c r="M643" i="9"/>
  <c r="N643" i="9"/>
  <c r="P643" i="9"/>
  <c r="Q643" i="9"/>
  <c r="R643" i="9"/>
  <c r="S643" i="9"/>
  <c r="L644" i="9"/>
  <c r="O644" i="9" s="1"/>
  <c r="M644" i="9"/>
  <c r="P644" i="9" s="1"/>
  <c r="N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R647" i="9"/>
  <c r="S647" i="9"/>
  <c r="L648" i="9"/>
  <c r="O648" i="9" s="1"/>
  <c r="M648" i="9"/>
  <c r="N648" i="9"/>
  <c r="P648" i="9"/>
  <c r="Q648" i="9"/>
  <c r="T648" i="9" s="1"/>
  <c r="R648" i="9"/>
  <c r="U648" i="9" s="1"/>
  <c r="S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J654" i="9"/>
  <c r="I657" i="9"/>
  <c r="I660" i="9"/>
  <c r="I661" i="9"/>
  <c r="J661" i="9"/>
  <c r="J671" i="9"/>
  <c r="J672" i="9"/>
  <c r="I673" i="9"/>
  <c r="J673" i="9"/>
  <c r="I674" i="9"/>
  <c r="I675" i="9"/>
  <c r="I676" i="9"/>
  <c r="J676" i="9"/>
  <c r="J677" i="9"/>
  <c r="I678" i="9"/>
  <c r="J678" i="9"/>
  <c r="I679" i="9"/>
  <c r="J679" i="9"/>
  <c r="J680" i="9"/>
  <c r="I681" i="9"/>
  <c r="J681" i="9"/>
  <c r="I682" i="9"/>
  <c r="K682" i="9" s="1"/>
  <c r="J682" i="9"/>
  <c r="L691" i="9"/>
  <c r="L690" i="9" s="1"/>
  <c r="O690" i="9" s="1"/>
  <c r="M691" i="9"/>
  <c r="M690" i="9" s="1"/>
  <c r="P690" i="9" s="1"/>
  <c r="N691" i="9"/>
  <c r="N690" i="9" s="1"/>
  <c r="P691" i="9"/>
  <c r="Q691" i="9"/>
  <c r="R691" i="9"/>
  <c r="S691" i="9"/>
  <c r="U691" i="9"/>
  <c r="L692" i="9"/>
  <c r="O692" i="9" s="1"/>
  <c r="M692" i="9"/>
  <c r="P692" i="9" s="1"/>
  <c r="N692" i="9"/>
  <c r="L693" i="9"/>
  <c r="M693" i="9"/>
  <c r="P693" i="9" s="1"/>
  <c r="N693" i="9"/>
  <c r="O693" i="9"/>
  <c r="O694" i="9"/>
  <c r="P694" i="9"/>
  <c r="T694" i="9"/>
  <c r="U694" i="9"/>
  <c r="O695" i="9"/>
  <c r="P695" i="9"/>
  <c r="Q695" i="9"/>
  <c r="Q693" i="9" s="1"/>
  <c r="T693" i="9" s="1"/>
  <c r="R695" i="9"/>
  <c r="S695" i="9"/>
  <c r="S693" i="9" s="1"/>
  <c r="L696" i="9"/>
  <c r="O696" i="9" s="1"/>
  <c r="M696" i="9"/>
  <c r="P696" i="9" s="1"/>
  <c r="N696" i="9"/>
  <c r="Q696" i="9"/>
  <c r="T696" i="9" s="1"/>
  <c r="R696" i="9"/>
  <c r="U696" i="9" s="1"/>
  <c r="S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K705" i="9" s="1"/>
  <c r="J705" i="9"/>
  <c r="J706" i="9"/>
  <c r="K706" i="9"/>
  <c r="I707" i="9"/>
  <c r="I689" i="9" s="1"/>
  <c r="K689" i="9" s="1"/>
  <c r="J707" i="9"/>
  <c r="J689" i="9" s="1"/>
  <c r="J708" i="9"/>
  <c r="K708" i="9"/>
  <c r="I709" i="9"/>
  <c r="K709" i="9" s="1"/>
  <c r="J709" i="9"/>
  <c r="J710" i="9"/>
  <c r="K710" i="9"/>
  <c r="J712" i="9"/>
  <c r="K712" i="9"/>
  <c r="L715" i="9"/>
  <c r="L714" i="9" s="1"/>
  <c r="O714" i="9" s="1"/>
  <c r="M715" i="9"/>
  <c r="N715" i="9"/>
  <c r="N714" i="9" s="1"/>
  <c r="Q715" i="9"/>
  <c r="Q714" i="9" s="1"/>
  <c r="T714" i="9" s="1"/>
  <c r="R715" i="9"/>
  <c r="R714" i="9" s="1"/>
  <c r="U714" i="9" s="1"/>
  <c r="S715" i="9"/>
  <c r="U715" i="9"/>
  <c r="L716" i="9"/>
  <c r="M716" i="9"/>
  <c r="P716" i="9" s="1"/>
  <c r="N716" i="9"/>
  <c r="O716" i="9"/>
  <c r="Q716" i="9"/>
  <c r="T716" i="9" s="1"/>
  <c r="R716" i="9"/>
  <c r="S716" i="9"/>
  <c r="U716" i="9"/>
  <c r="L717" i="9"/>
  <c r="O717" i="9" s="1"/>
  <c r="M717" i="9"/>
  <c r="P717" i="9" s="1"/>
  <c r="N717" i="9"/>
  <c r="Q717" i="9"/>
  <c r="T717" i="9" s="1"/>
  <c r="R717" i="9"/>
  <c r="U717" i="9" s="1"/>
  <c r="S717" i="9"/>
  <c r="O718" i="9"/>
  <c r="P718" i="9"/>
  <c r="T718" i="9"/>
  <c r="U718" i="9"/>
  <c r="O719" i="9"/>
  <c r="P719" i="9"/>
  <c r="T719" i="9"/>
  <c r="U719" i="9"/>
  <c r="L720" i="9"/>
  <c r="O720" i="9" s="1"/>
  <c r="M720" i="9"/>
  <c r="P720" i="9" s="1"/>
  <c r="N720" i="9"/>
  <c r="Q720" i="9"/>
  <c r="T720" i="9" s="1"/>
  <c r="R720" i="9"/>
  <c r="U720" i="9" s="1"/>
  <c r="S720" i="9"/>
  <c r="O721" i="9"/>
  <c r="P721" i="9"/>
  <c r="T721" i="9"/>
  <c r="U721" i="9"/>
  <c r="O722" i="9"/>
  <c r="P722" i="9"/>
  <c r="T722" i="9"/>
  <c r="U722" i="9"/>
  <c r="I726" i="9"/>
  <c r="K726" i="9" s="1"/>
  <c r="J726" i="9"/>
  <c r="I727" i="9"/>
  <c r="K727" i="9" s="1"/>
  <c r="J727" i="9"/>
  <c r="L729" i="9"/>
  <c r="L728" i="9" s="1"/>
  <c r="O728" i="9" s="1"/>
  <c r="M729" i="9"/>
  <c r="M728" i="9" s="1"/>
  <c r="P728" i="9" s="1"/>
  <c r="N729" i="9"/>
  <c r="O729" i="9"/>
  <c r="Q729" i="9"/>
  <c r="R729" i="9"/>
  <c r="U729" i="9" s="1"/>
  <c r="S729" i="9"/>
  <c r="T729" i="9"/>
  <c r="L730" i="9"/>
  <c r="O730" i="9" s="1"/>
  <c r="M730" i="9"/>
  <c r="N730" i="9"/>
  <c r="P730" i="9"/>
  <c r="L731" i="9"/>
  <c r="O731" i="9" s="1"/>
  <c r="M731" i="9"/>
  <c r="P731" i="9" s="1"/>
  <c r="N731" i="9"/>
  <c r="O732" i="9"/>
  <c r="P732" i="9"/>
  <c r="T732" i="9"/>
  <c r="U732" i="9"/>
  <c r="O733" i="9"/>
  <c r="P733" i="9"/>
  <c r="Q733" i="9"/>
  <c r="R733" i="9"/>
  <c r="S733" i="9"/>
  <c r="S731" i="9" s="1"/>
  <c r="L734" i="9"/>
  <c r="M734" i="9"/>
  <c r="P734" i="9" s="1"/>
  <c r="N734" i="9"/>
  <c r="O734" i="9"/>
  <c r="Q734" i="9"/>
  <c r="T734" i="9" s="1"/>
  <c r="R734" i="9"/>
  <c r="S734" i="9"/>
  <c r="U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M760" i="9" s="1"/>
  <c r="P760" i="9" s="1"/>
  <c r="N761" i="9"/>
  <c r="N760" i="9" s="1"/>
  <c r="O761" i="9"/>
  <c r="Q761" i="9"/>
  <c r="T761" i="9" s="1"/>
  <c r="R761" i="9"/>
  <c r="S761" i="9"/>
  <c r="U761" i="9"/>
  <c r="L762" i="9"/>
  <c r="O762" i="9" s="1"/>
  <c r="M762" i="9"/>
  <c r="P762" i="9" s="1"/>
  <c r="N762" i="9"/>
  <c r="L763" i="9"/>
  <c r="O763" i="9" s="1"/>
  <c r="M763" i="9"/>
  <c r="P763" i="9" s="1"/>
  <c r="N763" i="9"/>
  <c r="O764" i="9"/>
  <c r="P764" i="9"/>
  <c r="T764" i="9"/>
  <c r="U764" i="9"/>
  <c r="O765" i="9"/>
  <c r="P765" i="9"/>
  <c r="Q765" i="9"/>
  <c r="Q763" i="9" s="1"/>
  <c r="T763" i="9" s="1"/>
  <c r="R765" i="9"/>
  <c r="S765" i="9"/>
  <c r="S762" i="9" s="1"/>
  <c r="S760" i="9" s="1"/>
  <c r="L766" i="9"/>
  <c r="M766" i="9"/>
  <c r="P766" i="9" s="1"/>
  <c r="N766" i="9"/>
  <c r="O766" i="9"/>
  <c r="Q766" i="9"/>
  <c r="T766" i="9" s="1"/>
  <c r="R766" i="9"/>
  <c r="U766" i="9" s="1"/>
  <c r="S766" i="9"/>
  <c r="O767" i="9"/>
  <c r="P767" i="9"/>
  <c r="T767" i="9"/>
  <c r="U767" i="9"/>
  <c r="O768" i="9"/>
  <c r="P768" i="9"/>
  <c r="T768" i="9"/>
  <c r="U768" i="9"/>
  <c r="I770" i="9"/>
  <c r="K770" i="9" s="1"/>
  <c r="I772" i="9"/>
  <c r="K772" i="9" s="1"/>
  <c r="I774" i="9"/>
  <c r="I775" i="9"/>
  <c r="I776" i="9"/>
  <c r="H777" i="9"/>
  <c r="I778" i="9"/>
  <c r="J778" i="9"/>
  <c r="I779" i="9"/>
  <c r="J779" i="9"/>
  <c r="I780" i="9"/>
  <c r="J780" i="9"/>
  <c r="I781" i="9"/>
  <c r="J781" i="9"/>
  <c r="I782" i="9"/>
  <c r="J782" i="9"/>
  <c r="I783" i="9"/>
  <c r="J783" i="9"/>
  <c r="I784" i="9"/>
  <c r="J784" i="9"/>
  <c r="I785" i="9"/>
  <c r="J785" i="9"/>
  <c r="A788" i="9"/>
  <c r="A789" i="9"/>
  <c r="L22" i="8"/>
  <c r="O22" i="8" s="1"/>
  <c r="M22" i="8"/>
  <c r="N22" i="8"/>
  <c r="P22" i="8"/>
  <c r="Q22" i="8"/>
  <c r="R22" i="8"/>
  <c r="U22" i="8" s="1"/>
  <c r="S22" i="8"/>
  <c r="S19" i="8" s="1"/>
  <c r="T22" i="8"/>
  <c r="L25" i="8"/>
  <c r="O25" i="8" s="1"/>
  <c r="M25" i="8"/>
  <c r="M19" i="8" s="1"/>
  <c r="N25" i="8"/>
  <c r="P25" i="8"/>
  <c r="Q25" i="8"/>
  <c r="R25" i="8"/>
  <c r="U25" i="8" s="1"/>
  <c r="S25" i="8"/>
  <c r="T25" i="8"/>
  <c r="Q26" i="8"/>
  <c r="T26" i="8" s="1"/>
  <c r="R26" i="8"/>
  <c r="S26" i="8"/>
  <c r="L45" i="8"/>
  <c r="M45" i="8"/>
  <c r="P45" i="8" s="1"/>
  <c r="N45" i="8"/>
  <c r="O45" i="8"/>
  <c r="Q45" i="8"/>
  <c r="R45" i="8"/>
  <c r="S45" i="8"/>
  <c r="U45" i="8"/>
  <c r="Q46" i="8"/>
  <c r="T46" i="8" s="1"/>
  <c r="R46" i="8"/>
  <c r="U46" i="8" s="1"/>
  <c r="S46" i="8"/>
  <c r="Q47" i="8"/>
  <c r="T47" i="8" s="1"/>
  <c r="R47" i="8"/>
  <c r="U47" i="8" s="1"/>
  <c r="S47" i="8"/>
  <c r="O48" i="8"/>
  <c r="P48" i="8"/>
  <c r="T48" i="8"/>
  <c r="U48" i="8"/>
  <c r="L49" i="8"/>
  <c r="L47" i="8" s="1"/>
  <c r="M49" i="8"/>
  <c r="N49" i="8"/>
  <c r="T49" i="8"/>
  <c r="U49" i="8"/>
  <c r="Q50" i="8"/>
  <c r="T50" i="8" s="1"/>
  <c r="R50" i="8"/>
  <c r="U50" i="8" s="1"/>
  <c r="S50" i="8"/>
  <c r="O51" i="8"/>
  <c r="P51" i="8"/>
  <c r="T51" i="8"/>
  <c r="U51" i="8"/>
  <c r="L52" i="8"/>
  <c r="L50" i="8" s="1"/>
  <c r="O50" i="8" s="1"/>
  <c r="M52" i="8"/>
  <c r="N52" i="8"/>
  <c r="T52" i="8"/>
  <c r="U52" i="8"/>
  <c r="L60" i="8"/>
  <c r="M60" i="8"/>
  <c r="P60" i="8" s="1"/>
  <c r="N60" i="8"/>
  <c r="O60" i="8"/>
  <c r="Q60" i="8"/>
  <c r="Q59" i="8" s="1"/>
  <c r="T59" i="8" s="1"/>
  <c r="R60" i="8"/>
  <c r="R59" i="8" s="1"/>
  <c r="U59" i="8" s="1"/>
  <c r="S60" i="8"/>
  <c r="U60" i="8"/>
  <c r="Q61" i="8"/>
  <c r="T61" i="8" s="1"/>
  <c r="R61" i="8"/>
  <c r="U61" i="8" s="1"/>
  <c r="S61" i="8"/>
  <c r="S59" i="8" s="1"/>
  <c r="Q62" i="8"/>
  <c r="T62" i="8" s="1"/>
  <c r="R62" i="8"/>
  <c r="U62" i="8" s="1"/>
  <c r="S62" i="8"/>
  <c r="O63" i="8"/>
  <c r="P63" i="8"/>
  <c r="T63" i="8"/>
  <c r="U63" i="8"/>
  <c r="L64" i="8"/>
  <c r="M64" i="8"/>
  <c r="M62" i="8" s="1"/>
  <c r="N64" i="8"/>
  <c r="T64" i="8"/>
  <c r="U64" i="8"/>
  <c r="Q65" i="8"/>
  <c r="T65" i="8" s="1"/>
  <c r="R65" i="8"/>
  <c r="S65" i="8"/>
  <c r="U65" i="8"/>
  <c r="O66" i="8"/>
  <c r="P66" i="8"/>
  <c r="T66" i="8"/>
  <c r="U66" i="8"/>
  <c r="L67" i="8"/>
  <c r="L65" i="8" s="1"/>
  <c r="O65" i="8" s="1"/>
  <c r="M67" i="8"/>
  <c r="N67" i="8"/>
  <c r="N65" i="8" s="1"/>
  <c r="T67" i="8"/>
  <c r="U67" i="8"/>
  <c r="L73" i="8"/>
  <c r="O73" i="8" s="1"/>
  <c r="M73" i="8"/>
  <c r="N73" i="8"/>
  <c r="P73" i="8"/>
  <c r="Q73" i="8"/>
  <c r="R73" i="8"/>
  <c r="U73" i="8" s="1"/>
  <c r="S73" i="8"/>
  <c r="O76" i="8"/>
  <c r="P76" i="8"/>
  <c r="T76" i="8"/>
  <c r="U76" i="8"/>
  <c r="L77" i="8"/>
  <c r="L75" i="8" s="1"/>
  <c r="O75" i="8" s="1"/>
  <c r="M77" i="8"/>
  <c r="N77" i="8"/>
  <c r="Q77" i="8"/>
  <c r="Q74" i="8" s="1"/>
  <c r="T74" i="8" s="1"/>
  <c r="R77" i="8"/>
  <c r="R74" i="8" s="1"/>
  <c r="U74" i="8" s="1"/>
  <c r="S77" i="8"/>
  <c r="Q78" i="8"/>
  <c r="T78" i="8" s="1"/>
  <c r="R78" i="8"/>
  <c r="S78" i="8"/>
  <c r="U78" i="8"/>
  <c r="O79" i="8"/>
  <c r="P79" i="8"/>
  <c r="T79" i="8"/>
  <c r="U79" i="8"/>
  <c r="L80" i="8"/>
  <c r="O80" i="8" s="1"/>
  <c r="M80" i="8"/>
  <c r="M78" i="8" s="1"/>
  <c r="P78" i="8" s="1"/>
  <c r="N80" i="8"/>
  <c r="N78" i="8" s="1"/>
  <c r="T80" i="8"/>
  <c r="U80" i="8"/>
  <c r="J82" i="8"/>
  <c r="J70" i="8" s="1"/>
  <c r="J83" i="8"/>
  <c r="J71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N95" i="8"/>
  <c r="P95" i="8"/>
  <c r="Q95" i="8"/>
  <c r="R95" i="8"/>
  <c r="S95" i="8"/>
  <c r="O98" i="8"/>
  <c r="P98" i="8"/>
  <c r="T98" i="8"/>
  <c r="U98" i="8"/>
  <c r="L99" i="8"/>
  <c r="M99" i="8"/>
  <c r="N99" i="8"/>
  <c r="N97" i="8" s="1"/>
  <c r="Q99" i="8"/>
  <c r="Q97" i="8" s="1"/>
  <c r="T97" i="8" s="1"/>
  <c r="R99" i="8"/>
  <c r="R96" i="8" s="1"/>
  <c r="U96" i="8" s="1"/>
  <c r="S99" i="8"/>
  <c r="Q100" i="8"/>
  <c r="R100" i="8"/>
  <c r="U100" i="8" s="1"/>
  <c r="S100" i="8"/>
  <c r="T100" i="8"/>
  <c r="O101" i="8"/>
  <c r="P101" i="8"/>
  <c r="T101" i="8"/>
  <c r="U101" i="8"/>
  <c r="L102" i="8"/>
  <c r="O102" i="8" s="1"/>
  <c r="M102" i="8"/>
  <c r="P102" i="8" s="1"/>
  <c r="N102" i="8"/>
  <c r="N100" i="8" s="1"/>
  <c r="T102" i="8"/>
  <c r="U102" i="8"/>
  <c r="I108" i="8"/>
  <c r="I92" i="8" s="1"/>
  <c r="K92" i="8" s="1"/>
  <c r="I109" i="8"/>
  <c r="K109" i="8" s="1"/>
  <c r="I114" i="8"/>
  <c r="K114" i="8" s="1"/>
  <c r="J116" i="8"/>
  <c r="L118" i="8"/>
  <c r="O118" i="8" s="1"/>
  <c r="M118" i="8"/>
  <c r="N118" i="8"/>
  <c r="P118" i="8"/>
  <c r="Q118" i="8"/>
  <c r="R118" i="8"/>
  <c r="U118" i="8" s="1"/>
  <c r="S118" i="8"/>
  <c r="O121" i="8"/>
  <c r="P121" i="8"/>
  <c r="T121" i="8"/>
  <c r="U121" i="8"/>
  <c r="L122" i="8"/>
  <c r="M122" i="8"/>
  <c r="P122" i="8" s="1"/>
  <c r="N122" i="8"/>
  <c r="Q122" i="8"/>
  <c r="R122" i="8"/>
  <c r="R119" i="8" s="1"/>
  <c r="S122" i="8"/>
  <c r="S120" i="8" s="1"/>
  <c r="Q123" i="8"/>
  <c r="T123" i="8" s="1"/>
  <c r="R123" i="8"/>
  <c r="S123" i="8"/>
  <c r="U123" i="8"/>
  <c r="O124" i="8"/>
  <c r="P124" i="8"/>
  <c r="T124" i="8"/>
  <c r="U124" i="8"/>
  <c r="L125" i="8"/>
  <c r="O125" i="8" s="1"/>
  <c r="M125" i="8"/>
  <c r="N125" i="8"/>
  <c r="N123" i="8" s="1"/>
  <c r="T125" i="8"/>
  <c r="U125" i="8"/>
  <c r="I127" i="8"/>
  <c r="I116" i="8" s="1"/>
  <c r="K116" i="8" s="1"/>
  <c r="I128" i="8"/>
  <c r="K128" i="8" s="1"/>
  <c r="I129" i="8"/>
  <c r="K129" i="8" s="1"/>
  <c r="I130" i="8"/>
  <c r="K130" i="8" s="1"/>
  <c r="J136" i="8"/>
  <c r="J137" i="8"/>
  <c r="J138" i="8"/>
  <c r="L140" i="8"/>
  <c r="O140" i="8" s="1"/>
  <c r="M140" i="8"/>
  <c r="N140" i="8"/>
  <c r="P140" i="8"/>
  <c r="Q140" i="8"/>
  <c r="R140" i="8"/>
  <c r="U140" i="8" s="1"/>
  <c r="S140" i="8"/>
  <c r="T140" i="8"/>
  <c r="O143" i="8"/>
  <c r="P143" i="8"/>
  <c r="T143" i="8"/>
  <c r="U143" i="8"/>
  <c r="L144" i="8"/>
  <c r="L142" i="8" s="1"/>
  <c r="O142" i="8" s="1"/>
  <c r="M144" i="8"/>
  <c r="N144" i="8"/>
  <c r="N142" i="8" s="1"/>
  <c r="Q144" i="8"/>
  <c r="T144" i="8" s="1"/>
  <c r="R144" i="8"/>
  <c r="R142" i="8" s="1"/>
  <c r="U142" i="8" s="1"/>
  <c r="S144" i="8"/>
  <c r="S141" i="8" s="1"/>
  <c r="S139" i="8" s="1"/>
  <c r="Q145" i="8"/>
  <c r="T145" i="8" s="1"/>
  <c r="R145" i="8"/>
  <c r="U145" i="8" s="1"/>
  <c r="S145" i="8"/>
  <c r="O146" i="8"/>
  <c r="P146" i="8"/>
  <c r="T146" i="8"/>
  <c r="U146" i="8"/>
  <c r="L147" i="8"/>
  <c r="L145" i="8" s="1"/>
  <c r="O145" i="8" s="1"/>
  <c r="M147" i="8"/>
  <c r="P147" i="8" s="1"/>
  <c r="N147" i="8"/>
  <c r="N145" i="8" s="1"/>
  <c r="T147" i="8"/>
  <c r="U147" i="8"/>
  <c r="I150" i="8"/>
  <c r="K150" i="8" s="1"/>
  <c r="I151" i="8"/>
  <c r="K151" i="8" s="1"/>
  <c r="I152" i="8"/>
  <c r="I153" i="8"/>
  <c r="I138" i="8" s="1"/>
  <c r="K138" i="8" s="1"/>
  <c r="I154" i="8"/>
  <c r="J156" i="8"/>
  <c r="L158" i="8"/>
  <c r="M158" i="8"/>
  <c r="P158" i="8" s="1"/>
  <c r="N158" i="8"/>
  <c r="Q158" i="8"/>
  <c r="R158" i="8"/>
  <c r="S158" i="8"/>
  <c r="O161" i="8"/>
  <c r="P161" i="8"/>
  <c r="T161" i="8"/>
  <c r="U161" i="8"/>
  <c r="L162" i="8"/>
  <c r="M162" i="8"/>
  <c r="P162" i="8" s="1"/>
  <c r="N162" i="8"/>
  <c r="N160" i="8" s="1"/>
  <c r="Q162" i="8"/>
  <c r="Q159" i="8" s="1"/>
  <c r="T159" i="8" s="1"/>
  <c r="R162" i="8"/>
  <c r="S162" i="8"/>
  <c r="S159" i="8" s="1"/>
  <c r="S157" i="8" s="1"/>
  <c r="Q163" i="8"/>
  <c r="T163" i="8" s="1"/>
  <c r="R163" i="8"/>
  <c r="U163" i="8" s="1"/>
  <c r="S163" i="8"/>
  <c r="O164" i="8"/>
  <c r="P164" i="8"/>
  <c r="T164" i="8"/>
  <c r="U164" i="8"/>
  <c r="L165" i="8"/>
  <c r="M165" i="8"/>
  <c r="N165" i="8"/>
  <c r="N163" i="8" s="1"/>
  <c r="T165" i="8"/>
  <c r="U165" i="8"/>
  <c r="I167" i="8"/>
  <c r="K167" i="8" s="1"/>
  <c r="I168" i="8"/>
  <c r="K168" i="8" s="1"/>
  <c r="I169" i="8"/>
  <c r="I156" i="8" s="1"/>
  <c r="K156" i="8" s="1"/>
  <c r="J172" i="8"/>
  <c r="L174" i="8"/>
  <c r="M174" i="8"/>
  <c r="N174" i="8"/>
  <c r="P174" i="8"/>
  <c r="Q174" i="8"/>
  <c r="R174" i="8"/>
  <c r="S174" i="8"/>
  <c r="O177" i="8"/>
  <c r="P177" i="8"/>
  <c r="T177" i="8"/>
  <c r="U177" i="8"/>
  <c r="L178" i="8"/>
  <c r="M178" i="8"/>
  <c r="N178" i="8"/>
  <c r="Q178" i="8"/>
  <c r="Q175" i="8" s="1"/>
  <c r="T175" i="8" s="1"/>
  <c r="R178" i="8"/>
  <c r="S178" i="8"/>
  <c r="S175" i="8" s="1"/>
  <c r="S173" i="8" s="1"/>
  <c r="Q179" i="8"/>
  <c r="R179" i="8"/>
  <c r="S179" i="8"/>
  <c r="T179" i="8"/>
  <c r="U179" i="8"/>
  <c r="O180" i="8"/>
  <c r="P180" i="8"/>
  <c r="T180" i="8"/>
  <c r="U180" i="8"/>
  <c r="L181" i="8"/>
  <c r="M181" i="8"/>
  <c r="N181" i="8"/>
  <c r="N179" i="8" s="1"/>
  <c r="T181" i="8"/>
  <c r="U181" i="8"/>
  <c r="I183" i="8"/>
  <c r="K184" i="8"/>
  <c r="L187" i="8"/>
  <c r="O187" i="8" s="1"/>
  <c r="M187" i="8"/>
  <c r="P187" i="8" s="1"/>
  <c r="N187" i="8"/>
  <c r="Q187" i="8"/>
  <c r="T187" i="8" s="1"/>
  <c r="R187" i="8"/>
  <c r="S187" i="8"/>
  <c r="O190" i="8"/>
  <c r="P190" i="8"/>
  <c r="T190" i="8"/>
  <c r="U190" i="8"/>
  <c r="L191" i="8"/>
  <c r="L189" i="8" s="1"/>
  <c r="M191" i="8"/>
  <c r="N191" i="8"/>
  <c r="N189" i="8" s="1"/>
  <c r="Q191" i="8"/>
  <c r="R191" i="8"/>
  <c r="S191" i="8"/>
  <c r="S189" i="8" s="1"/>
  <c r="Q192" i="8"/>
  <c r="R192" i="8"/>
  <c r="U192" i="8" s="1"/>
  <c r="S192" i="8"/>
  <c r="T192" i="8"/>
  <c r="O193" i="8"/>
  <c r="P193" i="8"/>
  <c r="T193" i="8"/>
  <c r="U193" i="8"/>
  <c r="L194" i="8"/>
  <c r="O194" i="8" s="1"/>
  <c r="M194" i="8"/>
  <c r="M192" i="8" s="1"/>
  <c r="P192" i="8" s="1"/>
  <c r="N194" i="8"/>
  <c r="N192" i="8" s="1"/>
  <c r="T194" i="8"/>
  <c r="U194" i="8"/>
  <c r="J195" i="8"/>
  <c r="L196" i="8"/>
  <c r="O196" i="8" s="1"/>
  <c r="P196" i="8"/>
  <c r="I198" i="8"/>
  <c r="I195" i="8" s="1"/>
  <c r="K195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K209" i="8" s="1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I213" i="8" s="1"/>
  <c r="K213" i="8" s="1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N233" i="8"/>
  <c r="N234" i="8"/>
  <c r="N235" i="8"/>
  <c r="N236" i="8"/>
  <c r="J238" i="8"/>
  <c r="J240" i="8"/>
  <c r="J241" i="8"/>
  <c r="J242" i="8"/>
  <c r="J231" i="8" s="1"/>
  <c r="J185" i="8" s="1"/>
  <c r="N243" i="8"/>
  <c r="P243" i="8"/>
  <c r="L244" i="8"/>
  <c r="L245" i="8"/>
  <c r="L246" i="8"/>
  <c r="L247" i="8"/>
  <c r="I249" i="8"/>
  <c r="K249" i="8" s="1"/>
  <c r="I251" i="8"/>
  <c r="K251" i="8" s="1"/>
  <c r="I252" i="8"/>
  <c r="I241" i="8" s="1"/>
  <c r="K241" i="8" s="1"/>
  <c r="J253" i="8"/>
  <c r="N254" i="8"/>
  <c r="N232" i="8" s="1"/>
  <c r="P254" i="8"/>
  <c r="L255" i="8"/>
  <c r="L256" i="8"/>
  <c r="L257" i="8"/>
  <c r="L258" i="8"/>
  <c r="I260" i="8"/>
  <c r="K260" i="8" s="1"/>
  <c r="K262" i="8"/>
  <c r="K263" i="8"/>
  <c r="J265" i="8"/>
  <c r="L267" i="8"/>
  <c r="O267" i="8" s="1"/>
  <c r="M267" i="8"/>
  <c r="P267" i="8" s="1"/>
  <c r="N267" i="8"/>
  <c r="Q267" i="8"/>
  <c r="R267" i="8"/>
  <c r="U267" i="8" s="1"/>
  <c r="S267" i="8"/>
  <c r="T267" i="8"/>
  <c r="O270" i="8"/>
  <c r="P270" i="8"/>
  <c r="T270" i="8"/>
  <c r="U270" i="8"/>
  <c r="L271" i="8"/>
  <c r="L269" i="8" s="1"/>
  <c r="O269" i="8" s="1"/>
  <c r="M271" i="8"/>
  <c r="N271" i="8"/>
  <c r="N269" i="8" s="1"/>
  <c r="Q271" i="8"/>
  <c r="Q268" i="8" s="1"/>
  <c r="R271" i="8"/>
  <c r="R268" i="8" s="1"/>
  <c r="S271" i="8"/>
  <c r="S268" i="8" s="1"/>
  <c r="S266" i="8" s="1"/>
  <c r="Q272" i="8"/>
  <c r="R272" i="8"/>
  <c r="U272" i="8" s="1"/>
  <c r="S272" i="8"/>
  <c r="T272" i="8"/>
  <c r="O273" i="8"/>
  <c r="P273" i="8"/>
  <c r="T273" i="8"/>
  <c r="U273" i="8"/>
  <c r="L274" i="8"/>
  <c r="O274" i="8" s="1"/>
  <c r="M274" i="8"/>
  <c r="N274" i="8"/>
  <c r="N272" i="8" s="1"/>
  <c r="T274" i="8"/>
  <c r="U274" i="8"/>
  <c r="I276" i="8"/>
  <c r="J281" i="8"/>
  <c r="L283" i="8"/>
  <c r="M283" i="8"/>
  <c r="P283" i="8" s="1"/>
  <c r="N283" i="8"/>
  <c r="Q283" i="8"/>
  <c r="R283" i="8"/>
  <c r="S283" i="8"/>
  <c r="S282" i="8" s="1"/>
  <c r="Q284" i="8"/>
  <c r="T284" i="8" s="1"/>
  <c r="R284" i="8"/>
  <c r="U284" i="8" s="1"/>
  <c r="S284" i="8"/>
  <c r="Q285" i="8"/>
  <c r="T285" i="8" s="1"/>
  <c r="R285" i="8"/>
  <c r="U285" i="8" s="1"/>
  <c r="S285" i="8"/>
  <c r="O286" i="8"/>
  <c r="P286" i="8"/>
  <c r="T286" i="8"/>
  <c r="U286" i="8"/>
  <c r="L287" i="8"/>
  <c r="M287" i="8"/>
  <c r="N287" i="8"/>
  <c r="N285" i="8" s="1"/>
  <c r="T287" i="8"/>
  <c r="U287" i="8"/>
  <c r="Q288" i="8"/>
  <c r="T288" i="8" s="1"/>
  <c r="R288" i="8"/>
  <c r="U288" i="8" s="1"/>
  <c r="S288" i="8"/>
  <c r="O289" i="8"/>
  <c r="P289" i="8"/>
  <c r="T289" i="8"/>
  <c r="U289" i="8"/>
  <c r="L290" i="8"/>
  <c r="L288" i="8" s="1"/>
  <c r="O288" i="8" s="1"/>
  <c r="M290" i="8"/>
  <c r="M288" i="8" s="1"/>
  <c r="P288" i="8" s="1"/>
  <c r="N290" i="8"/>
  <c r="N288" i="8" s="1"/>
  <c r="T290" i="8"/>
  <c r="U290" i="8"/>
  <c r="I292" i="8"/>
  <c r="I281" i="8" s="1"/>
  <c r="K281" i="8" s="1"/>
  <c r="I293" i="8"/>
  <c r="I280" i="8" s="1"/>
  <c r="K280" i="8" s="1"/>
  <c r="J293" i="8"/>
  <c r="J280" i="8" s="1"/>
  <c r="I295" i="8"/>
  <c r="K295" i="8" s="1"/>
  <c r="I296" i="8"/>
  <c r="K296" i="8" s="1"/>
  <c r="J302" i="8"/>
  <c r="L304" i="8"/>
  <c r="M304" i="8"/>
  <c r="N304" i="8"/>
  <c r="O304" i="8"/>
  <c r="P304" i="8"/>
  <c r="Q304" i="8"/>
  <c r="R304" i="8"/>
  <c r="S304" i="8"/>
  <c r="U304" i="8"/>
  <c r="O307" i="8"/>
  <c r="P307" i="8"/>
  <c r="T307" i="8"/>
  <c r="U307" i="8"/>
  <c r="L308" i="8"/>
  <c r="M308" i="8"/>
  <c r="N308" i="8"/>
  <c r="N306" i="8" s="1"/>
  <c r="Q308" i="8"/>
  <c r="Q306" i="8" s="1"/>
  <c r="R308" i="8"/>
  <c r="S308" i="8"/>
  <c r="S305" i="8" s="1"/>
  <c r="S303" i="8" s="1"/>
  <c r="Q309" i="8"/>
  <c r="R309" i="8"/>
  <c r="S309" i="8"/>
  <c r="T309" i="8"/>
  <c r="U309" i="8"/>
  <c r="O310" i="8"/>
  <c r="P310" i="8"/>
  <c r="T310" i="8"/>
  <c r="U310" i="8"/>
  <c r="L311" i="8"/>
  <c r="M311" i="8"/>
  <c r="P311" i="8" s="1"/>
  <c r="N311" i="8"/>
  <c r="T311" i="8"/>
  <c r="U311" i="8"/>
  <c r="I314" i="8"/>
  <c r="I302" i="8" s="1"/>
  <c r="K302" i="8" s="1"/>
  <c r="J319" i="8"/>
  <c r="L321" i="8"/>
  <c r="M321" i="8"/>
  <c r="N321" i="8"/>
  <c r="O321" i="8"/>
  <c r="Q321" i="8"/>
  <c r="Q320" i="8" s="1"/>
  <c r="T320" i="8" s="1"/>
  <c r="R321" i="8"/>
  <c r="S321" i="8"/>
  <c r="U321" i="8"/>
  <c r="Q322" i="8"/>
  <c r="T322" i="8" s="1"/>
  <c r="R322" i="8"/>
  <c r="S322" i="8"/>
  <c r="Q323" i="8"/>
  <c r="T323" i="8" s="1"/>
  <c r="R323" i="8"/>
  <c r="U323" i="8" s="1"/>
  <c r="S323" i="8"/>
  <c r="O324" i="8"/>
  <c r="P324" i="8"/>
  <c r="T324" i="8"/>
  <c r="U324" i="8"/>
  <c r="L325" i="8"/>
  <c r="O325" i="8" s="1"/>
  <c r="M325" i="8"/>
  <c r="P325" i="8" s="1"/>
  <c r="N325" i="8"/>
  <c r="T325" i="8"/>
  <c r="U325" i="8"/>
  <c r="Q326" i="8"/>
  <c r="T326" i="8" s="1"/>
  <c r="R326" i="8"/>
  <c r="S326" i="8"/>
  <c r="U326" i="8"/>
  <c r="O327" i="8"/>
  <c r="P327" i="8"/>
  <c r="T327" i="8"/>
  <c r="U327" i="8"/>
  <c r="L328" i="8"/>
  <c r="M328" i="8"/>
  <c r="P328" i="8" s="1"/>
  <c r="N328" i="8"/>
  <c r="N326" i="8" s="1"/>
  <c r="T328" i="8"/>
  <c r="U328" i="8"/>
  <c r="I330" i="8"/>
  <c r="I319" i="8" s="1"/>
  <c r="K319" i="8" s="1"/>
  <c r="L334" i="8"/>
  <c r="M334" i="8"/>
  <c r="P334" i="8" s="1"/>
  <c r="N334" i="8"/>
  <c r="Q334" i="8"/>
  <c r="Q333" i="8" s="1"/>
  <c r="T333" i="8" s="1"/>
  <c r="R334" i="8"/>
  <c r="R333" i="8" s="1"/>
  <c r="U333" i="8" s="1"/>
  <c r="S334" i="8"/>
  <c r="S333" i="8" s="1"/>
  <c r="U334" i="8"/>
  <c r="Q335" i="8"/>
  <c r="T335" i="8" s="1"/>
  <c r="R335" i="8"/>
  <c r="S335" i="8"/>
  <c r="U335" i="8"/>
  <c r="Q336" i="8"/>
  <c r="T336" i="8" s="1"/>
  <c r="R336" i="8"/>
  <c r="U336" i="8" s="1"/>
  <c r="S336" i="8"/>
  <c r="O337" i="8"/>
  <c r="P337" i="8"/>
  <c r="T337" i="8"/>
  <c r="U337" i="8"/>
  <c r="L338" i="8"/>
  <c r="M338" i="8"/>
  <c r="N338" i="8"/>
  <c r="N336" i="8" s="1"/>
  <c r="T338" i="8"/>
  <c r="U338" i="8"/>
  <c r="Q339" i="8"/>
  <c r="T339" i="8" s="1"/>
  <c r="R339" i="8"/>
  <c r="S339" i="8"/>
  <c r="U339" i="8"/>
  <c r="O340" i="8"/>
  <c r="P340" i="8"/>
  <c r="T340" i="8"/>
  <c r="U340" i="8"/>
  <c r="L341" i="8"/>
  <c r="O341" i="8" s="1"/>
  <c r="M341" i="8"/>
  <c r="N341" i="8"/>
  <c r="N339" i="8" s="1"/>
  <c r="T341" i="8"/>
  <c r="U341" i="8"/>
  <c r="I344" i="8"/>
  <c r="I332" i="8" s="1"/>
  <c r="J344" i="8"/>
  <c r="I346" i="8"/>
  <c r="J346" i="8"/>
  <c r="J347" i="8"/>
  <c r="J348" i="8"/>
  <c r="J349" i="8"/>
  <c r="D350" i="8"/>
  <c r="J352" i="8"/>
  <c r="J353" i="8"/>
  <c r="J354" i="8"/>
  <c r="L357" i="8"/>
  <c r="M357" i="8"/>
  <c r="N357" i="8"/>
  <c r="P357" i="8"/>
  <c r="Q357" i="8"/>
  <c r="R357" i="8"/>
  <c r="S357" i="8"/>
  <c r="Q358" i="8"/>
  <c r="T358" i="8" s="1"/>
  <c r="R358" i="8"/>
  <c r="U358" i="8" s="1"/>
  <c r="S358" i="8"/>
  <c r="S356" i="8" s="1"/>
  <c r="Q359" i="8"/>
  <c r="R359" i="8"/>
  <c r="U359" i="8" s="1"/>
  <c r="S359" i="8"/>
  <c r="T359" i="8"/>
  <c r="O360" i="8"/>
  <c r="P360" i="8"/>
  <c r="T360" i="8"/>
  <c r="U360" i="8"/>
  <c r="L361" i="8"/>
  <c r="M361" i="8"/>
  <c r="N361" i="8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L362" i="8" s="1"/>
  <c r="O362" i="8" s="1"/>
  <c r="M364" i="8"/>
  <c r="N364" i="8"/>
  <c r="N362" i="8" s="1"/>
  <c r="T364" i="8"/>
  <c r="U364" i="8"/>
  <c r="J367" i="8"/>
  <c r="K367" i="8"/>
  <c r="I368" i="8"/>
  <c r="K368" i="8" s="1"/>
  <c r="J368" i="8"/>
  <c r="I369" i="8"/>
  <c r="K369" i="8" s="1"/>
  <c r="J369" i="8"/>
  <c r="J370" i="8"/>
  <c r="K370" i="8"/>
  <c r="I371" i="8"/>
  <c r="I365" i="8" s="1"/>
  <c r="K365" i="8" s="1"/>
  <c r="J371" i="8"/>
  <c r="J365" i="8" s="1"/>
  <c r="J372" i="8"/>
  <c r="K372" i="8"/>
  <c r="D373" i="8"/>
  <c r="J374" i="8"/>
  <c r="L376" i="8"/>
  <c r="O376" i="8" s="1"/>
  <c r="M376" i="8"/>
  <c r="N376" i="8"/>
  <c r="N375" i="8" s="1"/>
  <c r="Q376" i="8"/>
  <c r="R376" i="8"/>
  <c r="U376" i="8" s="1"/>
  <c r="S376" i="8"/>
  <c r="T376" i="8"/>
  <c r="L377" i="8"/>
  <c r="M377" i="8"/>
  <c r="P377" i="8" s="1"/>
  <c r="N377" i="8"/>
  <c r="O377" i="8"/>
  <c r="L378" i="8"/>
  <c r="O378" i="8" s="1"/>
  <c r="M378" i="8"/>
  <c r="N378" i="8"/>
  <c r="P378" i="8"/>
  <c r="O379" i="8"/>
  <c r="P379" i="8"/>
  <c r="T379" i="8"/>
  <c r="U379" i="8"/>
  <c r="O380" i="8"/>
  <c r="P380" i="8"/>
  <c r="Q380" i="8"/>
  <c r="Q377" i="8" s="1"/>
  <c r="T377" i="8" s="1"/>
  <c r="R380" i="8"/>
  <c r="S380" i="8"/>
  <c r="S378" i="8" s="1"/>
  <c r="L381" i="8"/>
  <c r="O381" i="8" s="1"/>
  <c r="M381" i="8"/>
  <c r="P381" i="8" s="1"/>
  <c r="N381" i="8"/>
  <c r="Q381" i="8"/>
  <c r="T381" i="8" s="1"/>
  <c r="R381" i="8"/>
  <c r="S381" i="8"/>
  <c r="U381" i="8"/>
  <c r="O382" i="8"/>
  <c r="P382" i="8"/>
  <c r="T382" i="8"/>
  <c r="U382" i="8"/>
  <c r="O383" i="8"/>
  <c r="P383" i="8"/>
  <c r="T383" i="8"/>
  <c r="U383" i="8"/>
  <c r="I385" i="8"/>
  <c r="I374" i="8" s="1"/>
  <c r="K374" i="8" s="1"/>
  <c r="I386" i="8"/>
  <c r="K386" i="8" s="1"/>
  <c r="K387" i="8"/>
  <c r="K388" i="8"/>
  <c r="I391" i="8"/>
  <c r="K391" i="8" s="1"/>
  <c r="J391" i="8"/>
  <c r="L393" i="8"/>
  <c r="M393" i="8"/>
  <c r="N393" i="8"/>
  <c r="N392" i="8" s="1"/>
  <c r="O393" i="8"/>
  <c r="Q393" i="8"/>
  <c r="Q392" i="8" s="1"/>
  <c r="T392" i="8" s="1"/>
  <c r="R393" i="8"/>
  <c r="R392" i="8" s="1"/>
  <c r="U392" i="8" s="1"/>
  <c r="S393" i="8"/>
  <c r="S392" i="8" s="1"/>
  <c r="T393" i="8"/>
  <c r="U393" i="8"/>
  <c r="L394" i="8"/>
  <c r="L392" i="8" s="1"/>
  <c r="O392" i="8" s="1"/>
  <c r="M394" i="8"/>
  <c r="N394" i="8"/>
  <c r="P394" i="8"/>
  <c r="Q394" i="8"/>
  <c r="T394" i="8" s="1"/>
  <c r="R394" i="8"/>
  <c r="U394" i="8" s="1"/>
  <c r="S394" i="8"/>
  <c r="L395" i="8"/>
  <c r="O395" i="8" s="1"/>
  <c r="M395" i="8"/>
  <c r="P395" i="8" s="1"/>
  <c r="N395" i="8"/>
  <c r="Q395" i="8"/>
  <c r="T395" i="8" s="1"/>
  <c r="R395" i="8"/>
  <c r="U395" i="8" s="1"/>
  <c r="S395" i="8"/>
  <c r="O396" i="8"/>
  <c r="P396" i="8"/>
  <c r="T396" i="8"/>
  <c r="U396" i="8"/>
  <c r="O397" i="8"/>
  <c r="P397" i="8"/>
  <c r="T397" i="8"/>
  <c r="U397" i="8"/>
  <c r="L398" i="8"/>
  <c r="O398" i="8" s="1"/>
  <c r="M398" i="8"/>
  <c r="P398" i="8" s="1"/>
  <c r="N398" i="8"/>
  <c r="Q398" i="8"/>
  <c r="T398" i="8" s="1"/>
  <c r="R398" i="8"/>
  <c r="U398" i="8" s="1"/>
  <c r="S398" i="8"/>
  <c r="O399" i="8"/>
  <c r="P399" i="8"/>
  <c r="T399" i="8"/>
  <c r="U399" i="8"/>
  <c r="O400" i="8"/>
  <c r="P400" i="8"/>
  <c r="T400" i="8"/>
  <c r="U400" i="8"/>
  <c r="L414" i="8"/>
  <c r="M414" i="8"/>
  <c r="N414" i="8"/>
  <c r="N413" i="8" s="1"/>
  <c r="Q414" i="8"/>
  <c r="R414" i="8"/>
  <c r="S414" i="8"/>
  <c r="L415" i="8"/>
  <c r="O415" i="8" s="1"/>
  <c r="M415" i="8"/>
  <c r="P415" i="8" s="1"/>
  <c r="N415" i="8"/>
  <c r="L416" i="8"/>
  <c r="O416" i="8" s="1"/>
  <c r="M416" i="8"/>
  <c r="N416" i="8"/>
  <c r="P416" i="8"/>
  <c r="O417" i="8"/>
  <c r="P417" i="8"/>
  <c r="T417" i="8"/>
  <c r="U417" i="8"/>
  <c r="O418" i="8"/>
  <c r="P418" i="8"/>
  <c r="Q418" i="8"/>
  <c r="Q415" i="8" s="1"/>
  <c r="T415" i="8" s="1"/>
  <c r="R418" i="8"/>
  <c r="R416" i="8" s="1"/>
  <c r="U416" i="8" s="1"/>
  <c r="S418" i="8"/>
  <c r="S416" i="8" s="1"/>
  <c r="L419" i="8"/>
  <c r="O419" i="8" s="1"/>
  <c r="M419" i="8"/>
  <c r="P419" i="8" s="1"/>
  <c r="N419" i="8"/>
  <c r="Q419" i="8"/>
  <c r="T419" i="8" s="1"/>
  <c r="R419" i="8"/>
  <c r="U419" i="8" s="1"/>
  <c r="S419" i="8"/>
  <c r="O420" i="8"/>
  <c r="P420" i="8"/>
  <c r="T420" i="8"/>
  <c r="U420" i="8"/>
  <c r="O421" i="8"/>
  <c r="P421" i="8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I423" i="8" s="1"/>
  <c r="I412" i="8" s="1"/>
  <c r="K412" i="8" s="1"/>
  <c r="I441" i="8"/>
  <c r="K441" i="8" s="1"/>
  <c r="J446" i="8"/>
  <c r="J440" i="8" s="1"/>
  <c r="J423" i="8" s="1"/>
  <c r="J412" i="8" s="1"/>
  <c r="J447" i="8"/>
  <c r="J441" i="8" s="1"/>
  <c r="I457" i="8"/>
  <c r="K457" i="8" s="1"/>
  <c r="I458" i="8"/>
  <c r="K458" i="8" s="1"/>
  <c r="J459" i="8"/>
  <c r="J457" i="8" s="1"/>
  <c r="J456" i="8" s="1"/>
  <c r="J460" i="8"/>
  <c r="J467" i="8"/>
  <c r="J468" i="8"/>
  <c r="J475" i="8"/>
  <c r="K475" i="8"/>
  <c r="J476" i="8"/>
  <c r="K476" i="8"/>
  <c r="J477" i="8"/>
  <c r="K477" i="8"/>
  <c r="J482" i="8"/>
  <c r="J483" i="8"/>
  <c r="I484" i="8"/>
  <c r="K484" i="8" s="1"/>
  <c r="J484" i="8"/>
  <c r="I485" i="8"/>
  <c r="K485" i="8" s="1"/>
  <c r="J485" i="8"/>
  <c r="M493" i="8"/>
  <c r="P493" i="8" s="1"/>
  <c r="L494" i="8"/>
  <c r="L493" i="8" s="1"/>
  <c r="O493" i="8" s="1"/>
  <c r="M494" i="8"/>
  <c r="N494" i="8"/>
  <c r="P494" i="8"/>
  <c r="Q494" i="8"/>
  <c r="R494" i="8"/>
  <c r="S494" i="8"/>
  <c r="T494" i="8"/>
  <c r="L495" i="8"/>
  <c r="O495" i="8" s="1"/>
  <c r="M495" i="8"/>
  <c r="P495" i="8" s="1"/>
  <c r="N495" i="8"/>
  <c r="L496" i="8"/>
  <c r="O496" i="8" s="1"/>
  <c r="M496" i="8"/>
  <c r="P496" i="8" s="1"/>
  <c r="N496" i="8"/>
  <c r="O497" i="8"/>
  <c r="P497" i="8"/>
  <c r="T497" i="8"/>
  <c r="U497" i="8"/>
  <c r="O498" i="8"/>
  <c r="P498" i="8"/>
  <c r="Q498" i="8"/>
  <c r="Q496" i="8" s="1"/>
  <c r="T496" i="8" s="1"/>
  <c r="R498" i="8"/>
  <c r="R496" i="8" s="1"/>
  <c r="U496" i="8" s="1"/>
  <c r="S498" i="8"/>
  <c r="S495" i="8" s="1"/>
  <c r="S493" i="8" s="1"/>
  <c r="L499" i="8"/>
  <c r="M499" i="8"/>
  <c r="P499" i="8" s="1"/>
  <c r="N499" i="8"/>
  <c r="O499" i="8"/>
  <c r="Q499" i="8"/>
  <c r="T499" i="8" s="1"/>
  <c r="R499" i="8"/>
  <c r="S499" i="8"/>
  <c r="U499" i="8"/>
  <c r="O500" i="8"/>
  <c r="P500" i="8"/>
  <c r="T500" i="8"/>
  <c r="U500" i="8"/>
  <c r="O501" i="8"/>
  <c r="P501" i="8"/>
  <c r="T501" i="8"/>
  <c r="U501" i="8"/>
  <c r="I503" i="8"/>
  <c r="I492" i="8" s="1"/>
  <c r="K492" i="8" s="1"/>
  <c r="I504" i="8"/>
  <c r="I505" i="8"/>
  <c r="K505" i="8" s="1"/>
  <c r="I506" i="8"/>
  <c r="K506" i="8" s="1"/>
  <c r="I507" i="8"/>
  <c r="K507" i="8" s="1"/>
  <c r="K508" i="8"/>
  <c r="I509" i="8"/>
  <c r="K509" i="8" s="1"/>
  <c r="I512" i="8"/>
  <c r="K512" i="8" s="1"/>
  <c r="J512" i="8"/>
  <c r="L514" i="8"/>
  <c r="M514" i="8"/>
  <c r="N514" i="8"/>
  <c r="Q514" i="8"/>
  <c r="R514" i="8"/>
  <c r="S514" i="8"/>
  <c r="T514" i="8"/>
  <c r="Q515" i="8"/>
  <c r="T515" i="8" s="1"/>
  <c r="R515" i="8"/>
  <c r="U515" i="8" s="1"/>
  <c r="S515" i="8"/>
  <c r="Q516" i="8"/>
  <c r="T516" i="8" s="1"/>
  <c r="R516" i="8"/>
  <c r="U516" i="8" s="1"/>
  <c r="S516" i="8"/>
  <c r="O517" i="8"/>
  <c r="P517" i="8"/>
  <c r="T517" i="8"/>
  <c r="U517" i="8"/>
  <c r="L518" i="8"/>
  <c r="L516" i="8" s="1"/>
  <c r="O516" i="8" s="1"/>
  <c r="M518" i="8"/>
  <c r="P518" i="8" s="1"/>
  <c r="N518" i="8"/>
  <c r="N516" i="8" s="1"/>
  <c r="T518" i="8"/>
  <c r="U518" i="8"/>
  <c r="Q519" i="8"/>
  <c r="T519" i="8" s="1"/>
  <c r="R519" i="8"/>
  <c r="S519" i="8"/>
  <c r="U519" i="8"/>
  <c r="O520" i="8"/>
  <c r="P520" i="8"/>
  <c r="T520" i="8"/>
  <c r="U520" i="8"/>
  <c r="L521" i="8"/>
  <c r="M521" i="8"/>
  <c r="P521" i="8" s="1"/>
  <c r="N521" i="8"/>
  <c r="N519" i="8" s="1"/>
  <c r="T521" i="8"/>
  <c r="U521" i="8"/>
  <c r="K523" i="8"/>
  <c r="K524" i="8"/>
  <c r="I533" i="8"/>
  <c r="J533" i="8"/>
  <c r="K533" i="8"/>
  <c r="Q534" i="8"/>
  <c r="T534" i="8" s="1"/>
  <c r="L535" i="8"/>
  <c r="L534" i="8" s="1"/>
  <c r="O534" i="8" s="1"/>
  <c r="M535" i="8"/>
  <c r="N535" i="8"/>
  <c r="N534" i="8" s="1"/>
  <c r="Q535" i="8"/>
  <c r="T535" i="8" s="1"/>
  <c r="R535" i="8"/>
  <c r="R534" i="8" s="1"/>
  <c r="U534" i="8" s="1"/>
  <c r="S535" i="8"/>
  <c r="U535" i="8"/>
  <c r="L536" i="8"/>
  <c r="M536" i="8"/>
  <c r="P536" i="8" s="1"/>
  <c r="N536" i="8"/>
  <c r="O536" i="8"/>
  <c r="Q536" i="8"/>
  <c r="T536" i="8" s="1"/>
  <c r="R536" i="8"/>
  <c r="S536" i="8"/>
  <c r="U536" i="8"/>
  <c r="L537" i="8"/>
  <c r="O537" i="8" s="1"/>
  <c r="M537" i="8"/>
  <c r="P537" i="8" s="1"/>
  <c r="N537" i="8"/>
  <c r="Q537" i="8"/>
  <c r="T537" i="8" s="1"/>
  <c r="R537" i="8"/>
  <c r="U537" i="8" s="1"/>
  <c r="S537" i="8"/>
  <c r="O538" i="8"/>
  <c r="P538" i="8"/>
  <c r="T538" i="8"/>
  <c r="U538" i="8"/>
  <c r="O539" i="8"/>
  <c r="P539" i="8"/>
  <c r="T539" i="8"/>
  <c r="U539" i="8"/>
  <c r="L540" i="8"/>
  <c r="O540" i="8" s="1"/>
  <c r="M540" i="8"/>
  <c r="P540" i="8" s="1"/>
  <c r="N540" i="8"/>
  <c r="Q540" i="8"/>
  <c r="T540" i="8" s="1"/>
  <c r="R540" i="8"/>
  <c r="U540" i="8" s="1"/>
  <c r="S540" i="8"/>
  <c r="O541" i="8"/>
  <c r="P541" i="8"/>
  <c r="T541" i="8"/>
  <c r="U541" i="8"/>
  <c r="O542" i="8"/>
  <c r="P542" i="8"/>
  <c r="T542" i="8"/>
  <c r="U542" i="8"/>
  <c r="I554" i="8"/>
  <c r="K554" i="8" s="1"/>
  <c r="J554" i="8"/>
  <c r="L556" i="8"/>
  <c r="M556" i="8"/>
  <c r="P556" i="8" s="1"/>
  <c r="N556" i="8"/>
  <c r="N555" i="8" s="1"/>
  <c r="Q556" i="8"/>
  <c r="T556" i="8" s="1"/>
  <c r="R556" i="8"/>
  <c r="S556" i="8"/>
  <c r="L557" i="8"/>
  <c r="O557" i="8" s="1"/>
  <c r="M557" i="8"/>
  <c r="P557" i="8" s="1"/>
  <c r="N557" i="8"/>
  <c r="Q557" i="8"/>
  <c r="Q555" i="8" s="1"/>
  <c r="T555" i="8" s="1"/>
  <c r="R557" i="8"/>
  <c r="S557" i="8"/>
  <c r="T557" i="8"/>
  <c r="U557" i="8"/>
  <c r="L558" i="8"/>
  <c r="M558" i="8"/>
  <c r="N558" i="8"/>
  <c r="O558" i="8"/>
  <c r="P558" i="8"/>
  <c r="Q558" i="8"/>
  <c r="T558" i="8" s="1"/>
  <c r="R558" i="8"/>
  <c r="S558" i="8"/>
  <c r="U558" i="8"/>
  <c r="O559" i="8"/>
  <c r="P559" i="8"/>
  <c r="T559" i="8"/>
  <c r="U559" i="8"/>
  <c r="O560" i="8"/>
  <c r="P560" i="8"/>
  <c r="T560" i="8"/>
  <c r="U560" i="8"/>
  <c r="L561" i="8"/>
  <c r="M561" i="8"/>
  <c r="N561" i="8"/>
  <c r="O561" i="8"/>
  <c r="P561" i="8"/>
  <c r="Q561" i="8"/>
  <c r="T561" i="8" s="1"/>
  <c r="R561" i="8"/>
  <c r="S561" i="8"/>
  <c r="U561" i="8"/>
  <c r="O562" i="8"/>
  <c r="P562" i="8"/>
  <c r="T562" i="8"/>
  <c r="U562" i="8"/>
  <c r="O563" i="8"/>
  <c r="P563" i="8"/>
  <c r="T563" i="8"/>
  <c r="U563" i="8"/>
  <c r="I575" i="8"/>
  <c r="K575" i="8" s="1"/>
  <c r="J575" i="8"/>
  <c r="L577" i="8"/>
  <c r="M577" i="8"/>
  <c r="M576" i="8" s="1"/>
  <c r="P576" i="8" s="1"/>
  <c r="N577" i="8"/>
  <c r="O577" i="8"/>
  <c r="Q577" i="8"/>
  <c r="Q576" i="8" s="1"/>
  <c r="T576" i="8" s="1"/>
  <c r="R577" i="8"/>
  <c r="S577" i="8"/>
  <c r="S576" i="8" s="1"/>
  <c r="T577" i="8"/>
  <c r="U577" i="8"/>
  <c r="L578" i="8"/>
  <c r="L576" i="8" s="1"/>
  <c r="O576" i="8" s="1"/>
  <c r="M578" i="8"/>
  <c r="N578" i="8"/>
  <c r="P578" i="8"/>
  <c r="Q578" i="8"/>
  <c r="T578" i="8" s="1"/>
  <c r="R578" i="8"/>
  <c r="R576" i="8" s="1"/>
  <c r="U576" i="8" s="1"/>
  <c r="S578" i="8"/>
  <c r="U578" i="8"/>
  <c r="L579" i="8"/>
  <c r="O579" i="8" s="1"/>
  <c r="M579" i="8"/>
  <c r="P579" i="8" s="1"/>
  <c r="N579" i="8"/>
  <c r="Q579" i="8"/>
  <c r="T579" i="8" s="1"/>
  <c r="R579" i="8"/>
  <c r="U579" i="8" s="1"/>
  <c r="S579" i="8"/>
  <c r="O580" i="8"/>
  <c r="P580" i="8"/>
  <c r="T580" i="8"/>
  <c r="U580" i="8"/>
  <c r="O581" i="8"/>
  <c r="P581" i="8"/>
  <c r="T581" i="8"/>
  <c r="U581" i="8"/>
  <c r="L582" i="8"/>
  <c r="O582" i="8" s="1"/>
  <c r="M582" i="8"/>
  <c r="P582" i="8" s="1"/>
  <c r="N582" i="8"/>
  <c r="Q582" i="8"/>
  <c r="R582" i="8"/>
  <c r="U582" i="8" s="1"/>
  <c r="S582" i="8"/>
  <c r="T582" i="8"/>
  <c r="O583" i="8"/>
  <c r="P583" i="8"/>
  <c r="T583" i="8"/>
  <c r="U583" i="8"/>
  <c r="O584" i="8"/>
  <c r="P584" i="8"/>
  <c r="T584" i="8"/>
  <c r="U584" i="8"/>
  <c r="L600" i="8"/>
  <c r="O600" i="8" s="1"/>
  <c r="M600" i="8"/>
  <c r="M599" i="8" s="1"/>
  <c r="P599" i="8" s="1"/>
  <c r="N600" i="8"/>
  <c r="Q600" i="8"/>
  <c r="Q599" i="8" s="1"/>
  <c r="T599" i="8" s="1"/>
  <c r="R600" i="8"/>
  <c r="U600" i="8" s="1"/>
  <c r="S600" i="8"/>
  <c r="S599" i="8" s="1"/>
  <c r="T600" i="8"/>
  <c r="L601" i="8"/>
  <c r="L599" i="8" s="1"/>
  <c r="O599" i="8" s="1"/>
  <c r="M601" i="8"/>
  <c r="N601" i="8"/>
  <c r="P601" i="8"/>
  <c r="Q601" i="8"/>
  <c r="T601" i="8" s="1"/>
  <c r="R601" i="8"/>
  <c r="R599" i="8" s="1"/>
  <c r="U599" i="8" s="1"/>
  <c r="S601" i="8"/>
  <c r="U601" i="8"/>
  <c r="L602" i="8"/>
  <c r="O602" i="8" s="1"/>
  <c r="M602" i="8"/>
  <c r="P602" i="8" s="1"/>
  <c r="N602" i="8"/>
  <c r="Q602" i="8"/>
  <c r="T602" i="8" s="1"/>
  <c r="R602" i="8"/>
  <c r="U602" i="8" s="1"/>
  <c r="S602" i="8"/>
  <c r="O603" i="8"/>
  <c r="P603" i="8"/>
  <c r="T603" i="8"/>
  <c r="U603" i="8"/>
  <c r="O604" i="8"/>
  <c r="P604" i="8"/>
  <c r="T604" i="8"/>
  <c r="U604" i="8"/>
  <c r="L605" i="8"/>
  <c r="O605" i="8" s="1"/>
  <c r="M605" i="8"/>
  <c r="P605" i="8" s="1"/>
  <c r="N605" i="8"/>
  <c r="Q605" i="8"/>
  <c r="R605" i="8"/>
  <c r="U605" i="8" s="1"/>
  <c r="S605" i="8"/>
  <c r="T605" i="8"/>
  <c r="O606" i="8"/>
  <c r="P606" i="8"/>
  <c r="T606" i="8"/>
  <c r="U606" i="8"/>
  <c r="O607" i="8"/>
  <c r="P607" i="8"/>
  <c r="T607" i="8"/>
  <c r="U607" i="8"/>
  <c r="L617" i="8"/>
  <c r="M617" i="8"/>
  <c r="N617" i="8"/>
  <c r="P617" i="8"/>
  <c r="Q617" i="8"/>
  <c r="T617" i="8" s="1"/>
  <c r="R617" i="8"/>
  <c r="U617" i="8" s="1"/>
  <c r="S617" i="8"/>
  <c r="L618" i="8"/>
  <c r="M618" i="8"/>
  <c r="P618" i="8" s="1"/>
  <c r="N618" i="8"/>
  <c r="O618" i="8"/>
  <c r="L619" i="8"/>
  <c r="M619" i="8"/>
  <c r="N619" i="8"/>
  <c r="O619" i="8"/>
  <c r="P619" i="8"/>
  <c r="O620" i="8"/>
  <c r="P620" i="8"/>
  <c r="T620" i="8"/>
  <c r="U620" i="8"/>
  <c r="O621" i="8"/>
  <c r="P621" i="8"/>
  <c r="Q621" i="8"/>
  <c r="Q619" i="8" s="1"/>
  <c r="R621" i="8"/>
  <c r="R619" i="8" s="1"/>
  <c r="S621" i="8"/>
  <c r="S618" i="8" s="1"/>
  <c r="L622" i="8"/>
  <c r="O622" i="8" s="1"/>
  <c r="M622" i="8"/>
  <c r="P622" i="8" s="1"/>
  <c r="N622" i="8"/>
  <c r="Q622" i="8"/>
  <c r="R622" i="8"/>
  <c r="U622" i="8" s="1"/>
  <c r="S622" i="8"/>
  <c r="T622" i="8"/>
  <c r="O623" i="8"/>
  <c r="P623" i="8"/>
  <c r="T623" i="8"/>
  <c r="U623" i="8"/>
  <c r="O624" i="8"/>
  <c r="P624" i="8"/>
  <c r="T624" i="8"/>
  <c r="U624" i="8"/>
  <c r="I626" i="8"/>
  <c r="I627" i="8"/>
  <c r="K627" i="8" s="1"/>
  <c r="I628" i="8"/>
  <c r="K628" i="8" s="1"/>
  <c r="J632" i="8"/>
  <c r="I635" i="8"/>
  <c r="K635" i="8" s="1"/>
  <c r="J636" i="8"/>
  <c r="J635" i="8" s="1"/>
  <c r="L643" i="8"/>
  <c r="O643" i="8" s="1"/>
  <c r="M643" i="8"/>
  <c r="N643" i="8"/>
  <c r="N642" i="8" s="1"/>
  <c r="P643" i="8"/>
  <c r="Q643" i="8"/>
  <c r="R643" i="8"/>
  <c r="U643" i="8" s="1"/>
  <c r="S643" i="8"/>
  <c r="L644" i="8"/>
  <c r="O644" i="8" s="1"/>
  <c r="M644" i="8"/>
  <c r="P644" i="8" s="1"/>
  <c r="N644" i="8"/>
  <c r="L645" i="8"/>
  <c r="O645" i="8" s="1"/>
  <c r="M645" i="8"/>
  <c r="N645" i="8"/>
  <c r="P645" i="8"/>
  <c r="O646" i="8"/>
  <c r="P646" i="8"/>
  <c r="T646" i="8"/>
  <c r="U646" i="8"/>
  <c r="O647" i="8"/>
  <c r="P647" i="8"/>
  <c r="Q647" i="8"/>
  <c r="Q645" i="8" s="1"/>
  <c r="R647" i="8"/>
  <c r="R645" i="8" s="1"/>
  <c r="S647" i="8"/>
  <c r="S645" i="8" s="1"/>
  <c r="L648" i="8"/>
  <c r="O648" i="8" s="1"/>
  <c r="M648" i="8"/>
  <c r="P648" i="8" s="1"/>
  <c r="N648" i="8"/>
  <c r="Q648" i="8"/>
  <c r="T648" i="8" s="1"/>
  <c r="R648" i="8"/>
  <c r="U648" i="8" s="1"/>
  <c r="S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J653" i="8"/>
  <c r="I654" i="8"/>
  <c r="J654" i="8"/>
  <c r="I657" i="8"/>
  <c r="I660" i="8"/>
  <c r="I661" i="8"/>
  <c r="J661" i="8"/>
  <c r="J671" i="8"/>
  <c r="J672" i="8"/>
  <c r="I673" i="8"/>
  <c r="J673" i="8"/>
  <c r="I674" i="8"/>
  <c r="I675" i="8"/>
  <c r="I676" i="8"/>
  <c r="J676" i="8"/>
  <c r="J677" i="8"/>
  <c r="I678" i="8"/>
  <c r="J678" i="8"/>
  <c r="I679" i="8"/>
  <c r="J679" i="8"/>
  <c r="J680" i="8"/>
  <c r="I681" i="8"/>
  <c r="J681" i="8"/>
  <c r="I682" i="8"/>
  <c r="J682" i="8"/>
  <c r="L691" i="8"/>
  <c r="O691" i="8" s="1"/>
  <c r="M691" i="8"/>
  <c r="P691" i="8" s="1"/>
  <c r="N691" i="8"/>
  <c r="N690" i="8" s="1"/>
  <c r="Q691" i="8"/>
  <c r="R691" i="8"/>
  <c r="U691" i="8" s="1"/>
  <c r="S691" i="8"/>
  <c r="L692" i="8"/>
  <c r="O692" i="8" s="1"/>
  <c r="M692" i="8"/>
  <c r="P692" i="8" s="1"/>
  <c r="N692" i="8"/>
  <c r="L693" i="8"/>
  <c r="O693" i="8" s="1"/>
  <c r="M693" i="8"/>
  <c r="P693" i="8" s="1"/>
  <c r="N693" i="8"/>
  <c r="O694" i="8"/>
  <c r="P694" i="8"/>
  <c r="T694" i="8"/>
  <c r="U694" i="8"/>
  <c r="O695" i="8"/>
  <c r="P695" i="8"/>
  <c r="Q695" i="8"/>
  <c r="Q693" i="8" s="1"/>
  <c r="R695" i="8"/>
  <c r="S695" i="8"/>
  <c r="S693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J705" i="8"/>
  <c r="J706" i="8"/>
  <c r="K706" i="8"/>
  <c r="I707" i="8"/>
  <c r="I689" i="8" s="1"/>
  <c r="K689" i="8" s="1"/>
  <c r="J707" i="8"/>
  <c r="J689" i="8" s="1"/>
  <c r="J708" i="8"/>
  <c r="K708" i="8"/>
  <c r="I709" i="8"/>
  <c r="J709" i="8"/>
  <c r="J710" i="8"/>
  <c r="K710" i="8"/>
  <c r="J712" i="8"/>
  <c r="K712" i="8"/>
  <c r="L715" i="8"/>
  <c r="M715" i="8"/>
  <c r="M714" i="8" s="1"/>
  <c r="P714" i="8" s="1"/>
  <c r="N715" i="8"/>
  <c r="Q715" i="8"/>
  <c r="T715" i="8" s="1"/>
  <c r="R715" i="8"/>
  <c r="S715" i="8"/>
  <c r="S714" i="8" s="1"/>
  <c r="L716" i="8"/>
  <c r="O716" i="8" s="1"/>
  <c r="M716" i="8"/>
  <c r="N716" i="8"/>
  <c r="N714" i="8" s="1"/>
  <c r="P716" i="8"/>
  <c r="Q716" i="8"/>
  <c r="T716" i="8" s="1"/>
  <c r="R716" i="8"/>
  <c r="U716" i="8" s="1"/>
  <c r="S716" i="8"/>
  <c r="L717" i="8"/>
  <c r="O717" i="8" s="1"/>
  <c r="M717" i="8"/>
  <c r="P717" i="8" s="1"/>
  <c r="N717" i="8"/>
  <c r="Q717" i="8"/>
  <c r="R717" i="8"/>
  <c r="U717" i="8" s="1"/>
  <c r="S717" i="8"/>
  <c r="T717" i="8"/>
  <c r="O718" i="8"/>
  <c r="P718" i="8"/>
  <c r="T718" i="8"/>
  <c r="U718" i="8"/>
  <c r="O719" i="8"/>
  <c r="P719" i="8"/>
  <c r="T719" i="8"/>
  <c r="U719" i="8"/>
  <c r="L720" i="8"/>
  <c r="O720" i="8" s="1"/>
  <c r="M720" i="8"/>
  <c r="P720" i="8" s="1"/>
  <c r="N720" i="8"/>
  <c r="Q720" i="8"/>
  <c r="T720" i="8" s="1"/>
  <c r="R720" i="8"/>
  <c r="U720" i="8" s="1"/>
  <c r="S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M729" i="8"/>
  <c r="P729" i="8" s="1"/>
  <c r="N729" i="8"/>
  <c r="Q729" i="8"/>
  <c r="T729" i="8" s="1"/>
  <c r="R729" i="8"/>
  <c r="S729" i="8"/>
  <c r="L730" i="8"/>
  <c r="O730" i="8" s="1"/>
  <c r="M730" i="8"/>
  <c r="P730" i="8" s="1"/>
  <c r="N730" i="8"/>
  <c r="N728" i="8" s="1"/>
  <c r="L731" i="8"/>
  <c r="O731" i="8" s="1"/>
  <c r="M731" i="8"/>
  <c r="P731" i="8" s="1"/>
  <c r="N731" i="8"/>
  <c r="O732" i="8"/>
  <c r="P732" i="8"/>
  <c r="T732" i="8"/>
  <c r="U732" i="8"/>
  <c r="O733" i="8"/>
  <c r="P733" i="8"/>
  <c r="Q733" i="8"/>
  <c r="R733" i="8"/>
  <c r="R731" i="8" s="1"/>
  <c r="U731" i="8" s="1"/>
  <c r="S733" i="8"/>
  <c r="S730" i="8" s="1"/>
  <c r="S728" i="8" s="1"/>
  <c r="L734" i="8"/>
  <c r="M734" i="8"/>
  <c r="P734" i="8" s="1"/>
  <c r="N734" i="8"/>
  <c r="O734" i="8"/>
  <c r="Q734" i="8"/>
  <c r="T734" i="8" s="1"/>
  <c r="R734" i="8"/>
  <c r="S734" i="8"/>
  <c r="U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O761" i="8" s="1"/>
  <c r="M761" i="8"/>
  <c r="N761" i="8"/>
  <c r="P761" i="8"/>
  <c r="Q761" i="8"/>
  <c r="T761" i="8" s="1"/>
  <c r="R761" i="8"/>
  <c r="U761" i="8" s="1"/>
  <c r="S761" i="8"/>
  <c r="L762" i="8"/>
  <c r="O762" i="8" s="1"/>
  <c r="M762" i="8"/>
  <c r="P762" i="8" s="1"/>
  <c r="N762" i="8"/>
  <c r="N760" i="8" s="1"/>
  <c r="L763" i="8"/>
  <c r="M763" i="8"/>
  <c r="P763" i="8" s="1"/>
  <c r="N763" i="8"/>
  <c r="O763" i="8"/>
  <c r="O764" i="8"/>
  <c r="P764" i="8"/>
  <c r="T764" i="8"/>
  <c r="U764" i="8"/>
  <c r="O765" i="8"/>
  <c r="P765" i="8"/>
  <c r="Q765" i="8"/>
  <c r="Q763" i="8" s="1"/>
  <c r="R765" i="8"/>
  <c r="R763" i="8" s="1"/>
  <c r="S765" i="8"/>
  <c r="S763" i="8" s="1"/>
  <c r="L766" i="8"/>
  <c r="O766" i="8" s="1"/>
  <c r="M766" i="8"/>
  <c r="N766" i="8"/>
  <c r="P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I774" i="8"/>
  <c r="I759" i="8" s="1"/>
  <c r="K759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M22" i="7"/>
  <c r="N22" i="7"/>
  <c r="Q22" i="7"/>
  <c r="T22" i="7" s="1"/>
  <c r="R22" i="7"/>
  <c r="S22" i="7"/>
  <c r="Q24" i="7"/>
  <c r="T24" i="7" s="1"/>
  <c r="L25" i="7"/>
  <c r="M25" i="7"/>
  <c r="N25" i="7"/>
  <c r="Q25" i="7"/>
  <c r="T25" i="7" s="1"/>
  <c r="R25" i="7"/>
  <c r="S25" i="7"/>
  <c r="Q26" i="7"/>
  <c r="T26" i="7" s="1"/>
  <c r="R26" i="7"/>
  <c r="S26" i="7"/>
  <c r="U26" i="7"/>
  <c r="L45" i="7"/>
  <c r="O45" i="7" s="1"/>
  <c r="M45" i="7"/>
  <c r="N45" i="7"/>
  <c r="Q45" i="7"/>
  <c r="Q44" i="7" s="1"/>
  <c r="T44" i="7" s="1"/>
  <c r="R45" i="7"/>
  <c r="U45" i="7" s="1"/>
  <c r="S45" i="7"/>
  <c r="Q46" i="7"/>
  <c r="T46" i="7" s="1"/>
  <c r="R46" i="7"/>
  <c r="S46" i="7"/>
  <c r="U46" i="7"/>
  <c r="Q47" i="7"/>
  <c r="T47" i="7" s="1"/>
  <c r="R47" i="7"/>
  <c r="U47" i="7" s="1"/>
  <c r="S47" i="7"/>
  <c r="O48" i="7"/>
  <c r="P48" i="7"/>
  <c r="T48" i="7"/>
  <c r="U48" i="7"/>
  <c r="L49" i="7"/>
  <c r="L47" i="7" s="1"/>
  <c r="M49" i="7"/>
  <c r="N49" i="7"/>
  <c r="N47" i="7" s="1"/>
  <c r="T49" i="7"/>
  <c r="U49" i="7"/>
  <c r="Q50" i="7"/>
  <c r="T50" i="7" s="1"/>
  <c r="R50" i="7"/>
  <c r="S50" i="7"/>
  <c r="U50" i="7"/>
  <c r="O51" i="7"/>
  <c r="P51" i="7"/>
  <c r="T51" i="7"/>
  <c r="U51" i="7"/>
  <c r="L52" i="7"/>
  <c r="M52" i="7"/>
  <c r="N52" i="7"/>
  <c r="N50" i="7" s="1"/>
  <c r="T52" i="7"/>
  <c r="U52" i="7"/>
  <c r="L60" i="7"/>
  <c r="O60" i="7" s="1"/>
  <c r="M60" i="7"/>
  <c r="N60" i="7"/>
  <c r="Q60" i="7"/>
  <c r="Q59" i="7" s="1"/>
  <c r="T59" i="7" s="1"/>
  <c r="R60" i="7"/>
  <c r="U60" i="7" s="1"/>
  <c r="S60" i="7"/>
  <c r="T60" i="7"/>
  <c r="Q61" i="7"/>
  <c r="R61" i="7"/>
  <c r="U61" i="7" s="1"/>
  <c r="S61" i="7"/>
  <c r="T61" i="7"/>
  <c r="Q62" i="7"/>
  <c r="T62" i="7" s="1"/>
  <c r="R62" i="7"/>
  <c r="U62" i="7" s="1"/>
  <c r="S62" i="7"/>
  <c r="O63" i="7"/>
  <c r="P63" i="7"/>
  <c r="T63" i="7"/>
  <c r="U63" i="7"/>
  <c r="L64" i="7"/>
  <c r="M64" i="7"/>
  <c r="N64" i="7"/>
  <c r="N62" i="7" s="1"/>
  <c r="T64" i="7"/>
  <c r="U64" i="7"/>
  <c r="Q65" i="7"/>
  <c r="T65" i="7" s="1"/>
  <c r="R65" i="7"/>
  <c r="U65" i="7" s="1"/>
  <c r="S65" i="7"/>
  <c r="O66" i="7"/>
  <c r="P66" i="7"/>
  <c r="T66" i="7"/>
  <c r="U66" i="7"/>
  <c r="L67" i="7"/>
  <c r="M67" i="7"/>
  <c r="N67" i="7"/>
  <c r="N65" i="7" s="1"/>
  <c r="T67" i="7"/>
  <c r="U67" i="7"/>
  <c r="L73" i="7"/>
  <c r="O73" i="7" s="1"/>
  <c r="M73" i="7"/>
  <c r="N73" i="7"/>
  <c r="Q73" i="7"/>
  <c r="R73" i="7"/>
  <c r="U73" i="7" s="1"/>
  <c r="S73" i="7"/>
  <c r="T73" i="7"/>
  <c r="O76" i="7"/>
  <c r="P76" i="7"/>
  <c r="T76" i="7"/>
  <c r="U76" i="7"/>
  <c r="L77" i="7"/>
  <c r="O77" i="7" s="1"/>
  <c r="M77" i="7"/>
  <c r="P77" i="7" s="1"/>
  <c r="N77" i="7"/>
  <c r="N75" i="7" s="1"/>
  <c r="Q77" i="7"/>
  <c r="Q74" i="7" s="1"/>
  <c r="T74" i="7" s="1"/>
  <c r="R77" i="7"/>
  <c r="R74" i="7" s="1"/>
  <c r="S77" i="7"/>
  <c r="S74" i="7" s="1"/>
  <c r="Q78" i="7"/>
  <c r="T78" i="7" s="1"/>
  <c r="R78" i="7"/>
  <c r="U78" i="7" s="1"/>
  <c r="S78" i="7"/>
  <c r="O79" i="7"/>
  <c r="P79" i="7"/>
  <c r="T79" i="7"/>
  <c r="U79" i="7"/>
  <c r="L80" i="7"/>
  <c r="O80" i="7" s="1"/>
  <c r="M80" i="7"/>
  <c r="M78" i="7" s="1"/>
  <c r="P78" i="7" s="1"/>
  <c r="N80" i="7"/>
  <c r="N78" i="7" s="1"/>
  <c r="T80" i="7"/>
  <c r="U80" i="7"/>
  <c r="J82" i="7"/>
  <c r="J70" i="7" s="1"/>
  <c r="J83" i="7"/>
  <c r="J71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O95" i="7" s="1"/>
  <c r="M95" i="7"/>
  <c r="P95" i="7" s="1"/>
  <c r="N95" i="7"/>
  <c r="Q95" i="7"/>
  <c r="R95" i="7"/>
  <c r="S95" i="7"/>
  <c r="T95" i="7"/>
  <c r="U95" i="7"/>
  <c r="O98" i="7"/>
  <c r="P98" i="7"/>
  <c r="T98" i="7"/>
  <c r="U98" i="7"/>
  <c r="L99" i="7"/>
  <c r="M99" i="7"/>
  <c r="N99" i="7"/>
  <c r="N97" i="7" s="1"/>
  <c r="Q99" i="7"/>
  <c r="Q96" i="7" s="1"/>
  <c r="R99" i="7"/>
  <c r="R96" i="7" s="1"/>
  <c r="U96" i="7" s="1"/>
  <c r="S99" i="7"/>
  <c r="S96" i="7" s="1"/>
  <c r="Q100" i="7"/>
  <c r="T100" i="7" s="1"/>
  <c r="R100" i="7"/>
  <c r="U100" i="7" s="1"/>
  <c r="S100" i="7"/>
  <c r="O101" i="7"/>
  <c r="P101" i="7"/>
  <c r="T101" i="7"/>
  <c r="U101" i="7"/>
  <c r="L102" i="7"/>
  <c r="L100" i="7" s="1"/>
  <c r="O100" i="7" s="1"/>
  <c r="M102" i="7"/>
  <c r="N102" i="7"/>
  <c r="N100" i="7" s="1"/>
  <c r="T102" i="7"/>
  <c r="U102" i="7"/>
  <c r="I108" i="7"/>
  <c r="K108" i="7" s="1"/>
  <c r="I109" i="7"/>
  <c r="I93" i="7" s="1"/>
  <c r="K93" i="7" s="1"/>
  <c r="I114" i="7"/>
  <c r="K114" i="7" s="1"/>
  <c r="J116" i="7"/>
  <c r="L118" i="7"/>
  <c r="O118" i="7" s="1"/>
  <c r="M118" i="7"/>
  <c r="P118" i="7" s="1"/>
  <c r="N118" i="7"/>
  <c r="Q118" i="7"/>
  <c r="T118" i="7" s="1"/>
  <c r="R118" i="7"/>
  <c r="S118" i="7"/>
  <c r="U118" i="7"/>
  <c r="O121" i="7"/>
  <c r="P121" i="7"/>
  <c r="T121" i="7"/>
  <c r="U121" i="7"/>
  <c r="L122" i="7"/>
  <c r="L120" i="7" s="1"/>
  <c r="O120" i="7" s="1"/>
  <c r="M122" i="7"/>
  <c r="N122" i="7"/>
  <c r="Q122" i="7"/>
  <c r="Q119" i="7" s="1"/>
  <c r="R122" i="7"/>
  <c r="R119" i="7" s="1"/>
  <c r="S122" i="7"/>
  <c r="S119" i="7" s="1"/>
  <c r="S117" i="7" s="1"/>
  <c r="Q123" i="7"/>
  <c r="R123" i="7"/>
  <c r="U123" i="7" s="1"/>
  <c r="S123" i="7"/>
  <c r="T123" i="7"/>
  <c r="O124" i="7"/>
  <c r="P124" i="7"/>
  <c r="T124" i="7"/>
  <c r="U124" i="7"/>
  <c r="L125" i="7"/>
  <c r="O125" i="7" s="1"/>
  <c r="M125" i="7"/>
  <c r="M123" i="7" s="1"/>
  <c r="P123" i="7" s="1"/>
  <c r="N125" i="7"/>
  <c r="N123" i="7" s="1"/>
  <c r="T125" i="7"/>
  <c r="U125" i="7"/>
  <c r="I127" i="7"/>
  <c r="I116" i="7" s="1"/>
  <c r="K116" i="7" s="1"/>
  <c r="I128" i="7"/>
  <c r="K128" i="7" s="1"/>
  <c r="I129" i="7"/>
  <c r="K129" i="7" s="1"/>
  <c r="I130" i="7"/>
  <c r="K130" i="7" s="1"/>
  <c r="J136" i="7"/>
  <c r="J137" i="7"/>
  <c r="J138" i="7"/>
  <c r="L140" i="7"/>
  <c r="O140" i="7" s="1"/>
  <c r="M140" i="7"/>
  <c r="N140" i="7"/>
  <c r="Q140" i="7"/>
  <c r="R140" i="7"/>
  <c r="S140" i="7"/>
  <c r="T140" i="7"/>
  <c r="U140" i="7"/>
  <c r="O143" i="7"/>
  <c r="P143" i="7"/>
  <c r="T143" i="7"/>
  <c r="U143" i="7"/>
  <c r="L144" i="7"/>
  <c r="L142" i="7" s="1"/>
  <c r="O142" i="7" s="1"/>
  <c r="M144" i="7"/>
  <c r="M142" i="7" s="1"/>
  <c r="P142" i="7" s="1"/>
  <c r="N144" i="7"/>
  <c r="Q144" i="7"/>
  <c r="Q141" i="7" s="1"/>
  <c r="T141" i="7" s="1"/>
  <c r="R144" i="7"/>
  <c r="R141" i="7" s="1"/>
  <c r="U141" i="7" s="1"/>
  <c r="S144" i="7"/>
  <c r="S142" i="7" s="1"/>
  <c r="Q145" i="7"/>
  <c r="T145" i="7" s="1"/>
  <c r="R145" i="7"/>
  <c r="U145" i="7" s="1"/>
  <c r="S145" i="7"/>
  <c r="O146" i="7"/>
  <c r="P146" i="7"/>
  <c r="T146" i="7"/>
  <c r="U146" i="7"/>
  <c r="L147" i="7"/>
  <c r="L145" i="7" s="1"/>
  <c r="O145" i="7" s="1"/>
  <c r="M147" i="7"/>
  <c r="N147" i="7"/>
  <c r="N145" i="7" s="1"/>
  <c r="T147" i="7"/>
  <c r="U147" i="7"/>
  <c r="I150" i="7"/>
  <c r="K150" i="7" s="1"/>
  <c r="I151" i="7"/>
  <c r="K151" i="7" s="1"/>
  <c r="I152" i="7"/>
  <c r="I153" i="7"/>
  <c r="K153" i="7" s="1"/>
  <c r="I154" i="7"/>
  <c r="K154" i="7" s="1"/>
  <c r="J156" i="7"/>
  <c r="L158" i="7"/>
  <c r="M158" i="7"/>
  <c r="N158" i="7"/>
  <c r="O158" i="7"/>
  <c r="Q158" i="7"/>
  <c r="R158" i="7"/>
  <c r="U158" i="7" s="1"/>
  <c r="S158" i="7"/>
  <c r="T158" i="7"/>
  <c r="O161" i="7"/>
  <c r="P161" i="7"/>
  <c r="T161" i="7"/>
  <c r="U161" i="7"/>
  <c r="L162" i="7"/>
  <c r="L160" i="7" s="1"/>
  <c r="O160" i="7" s="1"/>
  <c r="M162" i="7"/>
  <c r="N162" i="7"/>
  <c r="Q162" i="7"/>
  <c r="R162" i="7"/>
  <c r="S162" i="7"/>
  <c r="S159" i="7" s="1"/>
  <c r="Q163" i="7"/>
  <c r="T163" i="7" s="1"/>
  <c r="R163" i="7"/>
  <c r="S163" i="7"/>
  <c r="U163" i="7"/>
  <c r="O164" i="7"/>
  <c r="P164" i="7"/>
  <c r="T164" i="7"/>
  <c r="U164" i="7"/>
  <c r="L165" i="7"/>
  <c r="L163" i="7" s="1"/>
  <c r="O163" i="7" s="1"/>
  <c r="M165" i="7"/>
  <c r="N165" i="7"/>
  <c r="N163" i="7" s="1"/>
  <c r="T165" i="7"/>
  <c r="U165" i="7"/>
  <c r="I167" i="7"/>
  <c r="K167" i="7" s="1"/>
  <c r="I168" i="7"/>
  <c r="K168" i="7" s="1"/>
  <c r="I169" i="7"/>
  <c r="K169" i="7" s="1"/>
  <c r="J172" i="7"/>
  <c r="L174" i="7"/>
  <c r="M174" i="7"/>
  <c r="N174" i="7"/>
  <c r="O174" i="7"/>
  <c r="Q174" i="7"/>
  <c r="R174" i="7"/>
  <c r="U174" i="7" s="1"/>
  <c r="S174" i="7"/>
  <c r="T174" i="7"/>
  <c r="O177" i="7"/>
  <c r="P177" i="7"/>
  <c r="T177" i="7"/>
  <c r="U177" i="7"/>
  <c r="L178" i="7"/>
  <c r="M178" i="7"/>
  <c r="N178" i="7"/>
  <c r="N176" i="7" s="1"/>
  <c r="Q178" i="7"/>
  <c r="T178" i="7" s="1"/>
  <c r="R178" i="7"/>
  <c r="S178" i="7"/>
  <c r="Q179" i="7"/>
  <c r="T179" i="7" s="1"/>
  <c r="R179" i="7"/>
  <c r="U179" i="7" s="1"/>
  <c r="S179" i="7"/>
  <c r="O180" i="7"/>
  <c r="P180" i="7"/>
  <c r="T180" i="7"/>
  <c r="U180" i="7"/>
  <c r="L181" i="7"/>
  <c r="O181" i="7" s="1"/>
  <c r="M181" i="7"/>
  <c r="M179" i="7" s="1"/>
  <c r="P179" i="7" s="1"/>
  <c r="N181" i="7"/>
  <c r="N179" i="7" s="1"/>
  <c r="T181" i="7"/>
  <c r="U181" i="7"/>
  <c r="I183" i="7"/>
  <c r="K183" i="7" s="1"/>
  <c r="K184" i="7"/>
  <c r="L187" i="7"/>
  <c r="M187" i="7"/>
  <c r="N187" i="7"/>
  <c r="Q187" i="7"/>
  <c r="T187" i="7" s="1"/>
  <c r="R187" i="7"/>
  <c r="U187" i="7" s="1"/>
  <c r="S187" i="7"/>
  <c r="O190" i="7"/>
  <c r="P190" i="7"/>
  <c r="T190" i="7"/>
  <c r="U190" i="7"/>
  <c r="L191" i="7"/>
  <c r="M191" i="7"/>
  <c r="N191" i="7"/>
  <c r="Q191" i="7"/>
  <c r="Q188" i="7" s="1"/>
  <c r="Q186" i="7" s="1"/>
  <c r="R191" i="7"/>
  <c r="R188" i="7" s="1"/>
  <c r="S191" i="7"/>
  <c r="Q192" i="7"/>
  <c r="T192" i="7" s="1"/>
  <c r="R192" i="7"/>
  <c r="U192" i="7" s="1"/>
  <c r="S192" i="7"/>
  <c r="O193" i="7"/>
  <c r="P193" i="7"/>
  <c r="T193" i="7"/>
  <c r="U193" i="7"/>
  <c r="L194" i="7"/>
  <c r="M194" i="7"/>
  <c r="N194" i="7"/>
  <c r="N192" i="7" s="1"/>
  <c r="T194" i="7"/>
  <c r="U194" i="7"/>
  <c r="J195" i="7"/>
  <c r="L196" i="7"/>
  <c r="O196" i="7" s="1"/>
  <c r="P196" i="7"/>
  <c r="I198" i="7"/>
  <c r="K198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K209" i="7" s="1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K230" i="7" s="1"/>
  <c r="N233" i="7"/>
  <c r="N234" i="7"/>
  <c r="N235" i="7"/>
  <c r="N236" i="7"/>
  <c r="J238" i="7"/>
  <c r="I240" i="7"/>
  <c r="J240" i="7"/>
  <c r="K240" i="7"/>
  <c r="I241" i="7"/>
  <c r="K241" i="7" s="1"/>
  <c r="J241" i="7"/>
  <c r="J242" i="7"/>
  <c r="N243" i="7"/>
  <c r="N232" i="7" s="1"/>
  <c r="P243" i="7"/>
  <c r="L244" i="7"/>
  <c r="L245" i="7"/>
  <c r="L246" i="7"/>
  <c r="L247" i="7"/>
  <c r="I249" i="7"/>
  <c r="K249" i="7" s="1"/>
  <c r="K251" i="7"/>
  <c r="K252" i="7"/>
  <c r="J253" i="7"/>
  <c r="N254" i="7"/>
  <c r="P254" i="7"/>
  <c r="L255" i="7"/>
  <c r="L256" i="7"/>
  <c r="L257" i="7"/>
  <c r="L258" i="7"/>
  <c r="I260" i="7"/>
  <c r="K262" i="7"/>
  <c r="K263" i="7"/>
  <c r="J265" i="7"/>
  <c r="L267" i="7"/>
  <c r="M267" i="7"/>
  <c r="N267" i="7"/>
  <c r="Q267" i="7"/>
  <c r="R267" i="7"/>
  <c r="S267" i="7"/>
  <c r="T267" i="7"/>
  <c r="O270" i="7"/>
  <c r="P270" i="7"/>
  <c r="T270" i="7"/>
  <c r="U270" i="7"/>
  <c r="L271" i="7"/>
  <c r="M271" i="7"/>
  <c r="N271" i="7"/>
  <c r="Q271" i="7"/>
  <c r="Q268" i="7" s="1"/>
  <c r="Q266" i="7" s="1"/>
  <c r="R271" i="7"/>
  <c r="R268" i="7" s="1"/>
  <c r="S271" i="7"/>
  <c r="S268" i="7" s="1"/>
  <c r="Q272" i="7"/>
  <c r="T272" i="7" s="1"/>
  <c r="R272" i="7"/>
  <c r="U272" i="7" s="1"/>
  <c r="S272" i="7"/>
  <c r="O273" i="7"/>
  <c r="P273" i="7"/>
  <c r="T273" i="7"/>
  <c r="U273" i="7"/>
  <c r="L274" i="7"/>
  <c r="L272" i="7" s="1"/>
  <c r="O272" i="7" s="1"/>
  <c r="M274" i="7"/>
  <c r="P274" i="7" s="1"/>
  <c r="N274" i="7"/>
  <c r="N272" i="7" s="1"/>
  <c r="T274" i="7"/>
  <c r="U274" i="7"/>
  <c r="I276" i="7"/>
  <c r="I265" i="7" s="1"/>
  <c r="K265" i="7" s="1"/>
  <c r="J281" i="7"/>
  <c r="L283" i="7"/>
  <c r="M283" i="7"/>
  <c r="N283" i="7"/>
  <c r="O283" i="7"/>
  <c r="Q283" i="7"/>
  <c r="Q282" i="7" s="1"/>
  <c r="T282" i="7" s="1"/>
  <c r="R283" i="7"/>
  <c r="R282" i="7" s="1"/>
  <c r="U282" i="7" s="1"/>
  <c r="S283" i="7"/>
  <c r="S282" i="7" s="1"/>
  <c r="T283" i="7"/>
  <c r="Q284" i="7"/>
  <c r="T284" i="7" s="1"/>
  <c r="R284" i="7"/>
  <c r="S284" i="7"/>
  <c r="U284" i="7"/>
  <c r="Q285" i="7"/>
  <c r="T285" i="7" s="1"/>
  <c r="R285" i="7"/>
  <c r="U285" i="7" s="1"/>
  <c r="S285" i="7"/>
  <c r="O286" i="7"/>
  <c r="P286" i="7"/>
  <c r="T286" i="7"/>
  <c r="U286" i="7"/>
  <c r="L287" i="7"/>
  <c r="O287" i="7" s="1"/>
  <c r="M287" i="7"/>
  <c r="M285" i="7" s="1"/>
  <c r="P285" i="7" s="1"/>
  <c r="N287" i="7"/>
  <c r="N285" i="7" s="1"/>
  <c r="T287" i="7"/>
  <c r="U287" i="7"/>
  <c r="Q288" i="7"/>
  <c r="T288" i="7" s="1"/>
  <c r="R288" i="7"/>
  <c r="S288" i="7"/>
  <c r="U288" i="7"/>
  <c r="O289" i="7"/>
  <c r="P289" i="7"/>
  <c r="T289" i="7"/>
  <c r="U289" i="7"/>
  <c r="L290" i="7"/>
  <c r="M290" i="7"/>
  <c r="N290" i="7"/>
  <c r="N288" i="7" s="1"/>
  <c r="T290" i="7"/>
  <c r="U290" i="7"/>
  <c r="I292" i="7"/>
  <c r="I293" i="7"/>
  <c r="K293" i="7" s="1"/>
  <c r="J293" i="7"/>
  <c r="J280" i="7" s="1"/>
  <c r="I295" i="7"/>
  <c r="K295" i="7" s="1"/>
  <c r="I296" i="7"/>
  <c r="K296" i="7" s="1"/>
  <c r="J302" i="7"/>
  <c r="L304" i="7"/>
  <c r="M304" i="7"/>
  <c r="N304" i="7"/>
  <c r="O304" i="7"/>
  <c r="Q304" i="7"/>
  <c r="R304" i="7"/>
  <c r="S304" i="7"/>
  <c r="T304" i="7"/>
  <c r="O307" i="7"/>
  <c r="P307" i="7"/>
  <c r="T307" i="7"/>
  <c r="U307" i="7"/>
  <c r="L308" i="7"/>
  <c r="M308" i="7"/>
  <c r="N308" i="7"/>
  <c r="N306" i="7" s="1"/>
  <c r="Q308" i="7"/>
  <c r="Q305" i="7" s="1"/>
  <c r="T305" i="7" s="1"/>
  <c r="R308" i="7"/>
  <c r="R305" i="7" s="1"/>
  <c r="U305" i="7" s="1"/>
  <c r="S308" i="7"/>
  <c r="S305" i="7" s="1"/>
  <c r="Q309" i="7"/>
  <c r="T309" i="7" s="1"/>
  <c r="R309" i="7"/>
  <c r="U309" i="7" s="1"/>
  <c r="S309" i="7"/>
  <c r="O310" i="7"/>
  <c r="P310" i="7"/>
  <c r="T310" i="7"/>
  <c r="U310" i="7"/>
  <c r="L311" i="7"/>
  <c r="L309" i="7" s="1"/>
  <c r="O309" i="7" s="1"/>
  <c r="M311" i="7"/>
  <c r="P311" i="7" s="1"/>
  <c r="N311" i="7"/>
  <c r="N309" i="7" s="1"/>
  <c r="T311" i="7"/>
  <c r="U311" i="7"/>
  <c r="I314" i="7"/>
  <c r="I302" i="7" s="1"/>
  <c r="K302" i="7" s="1"/>
  <c r="J319" i="7"/>
  <c r="L321" i="7"/>
  <c r="M321" i="7"/>
  <c r="N321" i="7"/>
  <c r="Q321" i="7"/>
  <c r="R321" i="7"/>
  <c r="S321" i="7"/>
  <c r="S320" i="7" s="1"/>
  <c r="Q322" i="7"/>
  <c r="T322" i="7" s="1"/>
  <c r="R322" i="7"/>
  <c r="S322" i="7"/>
  <c r="U322" i="7"/>
  <c r="Q323" i="7"/>
  <c r="T323" i="7" s="1"/>
  <c r="R323" i="7"/>
  <c r="S323" i="7"/>
  <c r="U323" i="7"/>
  <c r="O324" i="7"/>
  <c r="P324" i="7"/>
  <c r="T324" i="7"/>
  <c r="U324" i="7"/>
  <c r="L325" i="7"/>
  <c r="O325" i="7" s="1"/>
  <c r="M325" i="7"/>
  <c r="N325" i="7"/>
  <c r="N323" i="7" s="1"/>
  <c r="T325" i="7"/>
  <c r="U325" i="7"/>
  <c r="Q326" i="7"/>
  <c r="T326" i="7" s="1"/>
  <c r="R326" i="7"/>
  <c r="U326" i="7" s="1"/>
  <c r="S326" i="7"/>
  <c r="O327" i="7"/>
  <c r="P327" i="7"/>
  <c r="T327" i="7"/>
  <c r="U327" i="7"/>
  <c r="L328" i="7"/>
  <c r="O328" i="7" s="1"/>
  <c r="M328" i="7"/>
  <c r="M326" i="7" s="1"/>
  <c r="P326" i="7" s="1"/>
  <c r="N328" i="7"/>
  <c r="N326" i="7" s="1"/>
  <c r="T328" i="7"/>
  <c r="U328" i="7"/>
  <c r="I330" i="7"/>
  <c r="K330" i="7" s="1"/>
  <c r="L334" i="7"/>
  <c r="M334" i="7"/>
  <c r="P334" i="7" s="1"/>
  <c r="N334" i="7"/>
  <c r="O334" i="7"/>
  <c r="Q334" i="7"/>
  <c r="Q333" i="7" s="1"/>
  <c r="T333" i="7" s="1"/>
  <c r="R334" i="7"/>
  <c r="U334" i="7" s="1"/>
  <c r="S334" i="7"/>
  <c r="T334" i="7"/>
  <c r="Q335" i="7"/>
  <c r="R335" i="7"/>
  <c r="U335" i="7" s="1"/>
  <c r="S335" i="7"/>
  <c r="T335" i="7"/>
  <c r="Q336" i="7"/>
  <c r="T336" i="7" s="1"/>
  <c r="R336" i="7"/>
  <c r="U336" i="7" s="1"/>
  <c r="S336" i="7"/>
  <c r="O337" i="7"/>
  <c r="P337" i="7"/>
  <c r="T337" i="7"/>
  <c r="U337" i="7"/>
  <c r="L338" i="7"/>
  <c r="M338" i="7"/>
  <c r="N338" i="7"/>
  <c r="N336" i="7" s="1"/>
  <c r="T338" i="7"/>
  <c r="U338" i="7"/>
  <c r="Q339" i="7"/>
  <c r="R339" i="7"/>
  <c r="S339" i="7"/>
  <c r="T339" i="7"/>
  <c r="U339" i="7"/>
  <c r="O340" i="7"/>
  <c r="P340" i="7"/>
  <c r="T340" i="7"/>
  <c r="U340" i="7"/>
  <c r="L341" i="7"/>
  <c r="M341" i="7"/>
  <c r="P341" i="7" s="1"/>
  <c r="N341" i="7"/>
  <c r="N339" i="7" s="1"/>
  <c r="T341" i="7"/>
  <c r="U341" i="7"/>
  <c r="I344" i="7"/>
  <c r="J344" i="7"/>
  <c r="I346" i="7"/>
  <c r="J346" i="7"/>
  <c r="J347" i="7"/>
  <c r="J348" i="7"/>
  <c r="J349" i="7"/>
  <c r="D350" i="7"/>
  <c r="J352" i="7"/>
  <c r="J353" i="7"/>
  <c r="J354" i="7"/>
  <c r="S356" i="7"/>
  <c r="L357" i="7"/>
  <c r="O357" i="7" s="1"/>
  <c r="M357" i="7"/>
  <c r="P357" i="7" s="1"/>
  <c r="N357" i="7"/>
  <c r="Q357" i="7"/>
  <c r="R357" i="7"/>
  <c r="U357" i="7" s="1"/>
  <c r="S357" i="7"/>
  <c r="T357" i="7"/>
  <c r="Q358" i="7"/>
  <c r="T358" i="7" s="1"/>
  <c r="R358" i="7"/>
  <c r="U358" i="7" s="1"/>
  <c r="S358" i="7"/>
  <c r="Q359" i="7"/>
  <c r="T359" i="7" s="1"/>
  <c r="R359" i="7"/>
  <c r="S359" i="7"/>
  <c r="U359" i="7"/>
  <c r="O360" i="7"/>
  <c r="P360" i="7"/>
  <c r="T360" i="7"/>
  <c r="U360" i="7"/>
  <c r="L361" i="7"/>
  <c r="M361" i="7"/>
  <c r="N361" i="7"/>
  <c r="T361" i="7"/>
  <c r="U361" i="7"/>
  <c r="Q362" i="7"/>
  <c r="T362" i="7" s="1"/>
  <c r="R362" i="7"/>
  <c r="S362" i="7"/>
  <c r="U362" i="7"/>
  <c r="O363" i="7"/>
  <c r="P363" i="7"/>
  <c r="T363" i="7"/>
  <c r="U363" i="7"/>
  <c r="L364" i="7"/>
  <c r="L362" i="7" s="1"/>
  <c r="O362" i="7" s="1"/>
  <c r="M364" i="7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L376" i="7"/>
  <c r="M376" i="7"/>
  <c r="M375" i="7" s="1"/>
  <c r="P375" i="7" s="1"/>
  <c r="N376" i="7"/>
  <c r="N375" i="7" s="1"/>
  <c r="Q376" i="7"/>
  <c r="T376" i="7" s="1"/>
  <c r="R376" i="7"/>
  <c r="S376" i="7"/>
  <c r="L377" i="7"/>
  <c r="O377" i="7" s="1"/>
  <c r="M377" i="7"/>
  <c r="P377" i="7" s="1"/>
  <c r="N377" i="7"/>
  <c r="L378" i="7"/>
  <c r="O378" i="7" s="1"/>
  <c r="M378" i="7"/>
  <c r="P378" i="7" s="1"/>
  <c r="N378" i="7"/>
  <c r="O379" i="7"/>
  <c r="P379" i="7"/>
  <c r="T379" i="7"/>
  <c r="U379" i="7"/>
  <c r="O380" i="7"/>
  <c r="P380" i="7"/>
  <c r="Q380" i="7"/>
  <c r="Q378" i="7" s="1"/>
  <c r="R380" i="7"/>
  <c r="U380" i="7" s="1"/>
  <c r="S380" i="7"/>
  <c r="S378" i="7" s="1"/>
  <c r="L381" i="7"/>
  <c r="O381" i="7" s="1"/>
  <c r="M381" i="7"/>
  <c r="P381" i="7" s="1"/>
  <c r="N381" i="7"/>
  <c r="Q381" i="7"/>
  <c r="T381" i="7" s="1"/>
  <c r="R381" i="7"/>
  <c r="U381" i="7" s="1"/>
  <c r="S381" i="7"/>
  <c r="O382" i="7"/>
  <c r="P382" i="7"/>
  <c r="T382" i="7"/>
  <c r="U382" i="7"/>
  <c r="O383" i="7"/>
  <c r="P383" i="7"/>
  <c r="T383" i="7"/>
  <c r="U383" i="7"/>
  <c r="J385" i="7"/>
  <c r="K385" i="7"/>
  <c r="I386" i="7"/>
  <c r="J386" i="7"/>
  <c r="J387" i="7"/>
  <c r="K387" i="7"/>
  <c r="I388" i="7"/>
  <c r="K388" i="7" s="1"/>
  <c r="J388" i="7"/>
  <c r="I391" i="7"/>
  <c r="J391" i="7"/>
  <c r="K391" i="7"/>
  <c r="S392" i="7"/>
  <c r="L393" i="7"/>
  <c r="O393" i="7" s="1"/>
  <c r="M393" i="7"/>
  <c r="N393" i="7"/>
  <c r="P393" i="7"/>
  <c r="Q393" i="7"/>
  <c r="T393" i="7" s="1"/>
  <c r="R393" i="7"/>
  <c r="R392" i="7" s="1"/>
  <c r="U392" i="7" s="1"/>
  <c r="S393" i="7"/>
  <c r="L394" i="7"/>
  <c r="O394" i="7" s="1"/>
  <c r="M394" i="7"/>
  <c r="M392" i="7" s="1"/>
  <c r="P392" i="7" s="1"/>
  <c r="N394" i="7"/>
  <c r="P394" i="7"/>
  <c r="Q394" i="7"/>
  <c r="Q392" i="7" s="1"/>
  <c r="T392" i="7" s="1"/>
  <c r="R394" i="7"/>
  <c r="U394" i="7" s="1"/>
  <c r="S394" i="7"/>
  <c r="T394" i="7"/>
  <c r="L395" i="7"/>
  <c r="O395" i="7" s="1"/>
  <c r="M395" i="7"/>
  <c r="P395" i="7" s="1"/>
  <c r="N395" i="7"/>
  <c r="Q395" i="7"/>
  <c r="T395" i="7" s="1"/>
  <c r="R395" i="7"/>
  <c r="U395" i="7" s="1"/>
  <c r="S395" i="7"/>
  <c r="O396" i="7"/>
  <c r="P396" i="7"/>
  <c r="T396" i="7"/>
  <c r="U396" i="7"/>
  <c r="O397" i="7"/>
  <c r="P397" i="7"/>
  <c r="T397" i="7"/>
  <c r="U397" i="7"/>
  <c r="L398" i="7"/>
  <c r="O398" i="7" s="1"/>
  <c r="M398" i="7"/>
  <c r="P398" i="7" s="1"/>
  <c r="N398" i="7"/>
  <c r="Q398" i="7"/>
  <c r="T398" i="7" s="1"/>
  <c r="R398" i="7"/>
  <c r="U398" i="7" s="1"/>
  <c r="S398" i="7"/>
  <c r="O399" i="7"/>
  <c r="P399" i="7"/>
  <c r="T399" i="7"/>
  <c r="U399" i="7"/>
  <c r="O400" i="7"/>
  <c r="P400" i="7"/>
  <c r="T400" i="7"/>
  <c r="U400" i="7"/>
  <c r="L414" i="7"/>
  <c r="O414" i="7" s="1"/>
  <c r="M414" i="7"/>
  <c r="N414" i="7"/>
  <c r="Q414" i="7"/>
  <c r="T414" i="7" s="1"/>
  <c r="R414" i="7"/>
  <c r="S414" i="7"/>
  <c r="U414" i="7"/>
  <c r="L415" i="7"/>
  <c r="O415" i="7" s="1"/>
  <c r="M415" i="7"/>
  <c r="P415" i="7" s="1"/>
  <c r="N415" i="7"/>
  <c r="N413" i="7" s="1"/>
  <c r="L416" i="7"/>
  <c r="M416" i="7"/>
  <c r="P416" i="7" s="1"/>
  <c r="N416" i="7"/>
  <c r="O416" i="7"/>
  <c r="O417" i="7"/>
  <c r="P417" i="7"/>
  <c r="T417" i="7"/>
  <c r="U417" i="7"/>
  <c r="O418" i="7"/>
  <c r="P418" i="7"/>
  <c r="Q418" i="7"/>
  <c r="Q416" i="7" s="1"/>
  <c r="T416" i="7" s="1"/>
  <c r="R418" i="7"/>
  <c r="R416" i="7" s="1"/>
  <c r="U416" i="7" s="1"/>
  <c r="S418" i="7"/>
  <c r="S415" i="7" s="1"/>
  <c r="L419" i="7"/>
  <c r="O419" i="7" s="1"/>
  <c r="M419" i="7"/>
  <c r="P419" i="7" s="1"/>
  <c r="N419" i="7"/>
  <c r="Q419" i="7"/>
  <c r="R419" i="7"/>
  <c r="U419" i="7" s="1"/>
  <c r="S419" i="7"/>
  <c r="T419" i="7"/>
  <c r="O420" i="7"/>
  <c r="P420" i="7"/>
  <c r="T420" i="7"/>
  <c r="U420" i="7"/>
  <c r="O421" i="7"/>
  <c r="P421" i="7"/>
  <c r="T421" i="7"/>
  <c r="U421" i="7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K440" i="7" s="1"/>
  <c r="I441" i="7"/>
  <c r="K441" i="7" s="1"/>
  <c r="J441" i="7"/>
  <c r="J446" i="7"/>
  <c r="J440" i="7" s="1"/>
  <c r="J423" i="7" s="1"/>
  <c r="J412" i="7" s="1"/>
  <c r="J447" i="7"/>
  <c r="I457" i="7"/>
  <c r="I458" i="7"/>
  <c r="K458" i="7" s="1"/>
  <c r="J459" i="7"/>
  <c r="J460" i="7"/>
  <c r="J467" i="7"/>
  <c r="J468" i="7"/>
  <c r="J458" i="7" s="1"/>
  <c r="J475" i="7"/>
  <c r="K475" i="7"/>
  <c r="J476" i="7"/>
  <c r="K476" i="7"/>
  <c r="J477" i="7"/>
  <c r="K477" i="7"/>
  <c r="J482" i="7"/>
  <c r="J483" i="7"/>
  <c r="I484" i="7"/>
  <c r="K484" i="7" s="1"/>
  <c r="J484" i="7"/>
  <c r="I485" i="7"/>
  <c r="K485" i="7" s="1"/>
  <c r="J485" i="7"/>
  <c r="L494" i="7"/>
  <c r="O494" i="7" s="1"/>
  <c r="M494" i="7"/>
  <c r="N494" i="7"/>
  <c r="Q494" i="7"/>
  <c r="T494" i="7" s="1"/>
  <c r="R494" i="7"/>
  <c r="S494" i="7"/>
  <c r="U494" i="7"/>
  <c r="L495" i="7"/>
  <c r="M495" i="7"/>
  <c r="P495" i="7" s="1"/>
  <c r="N495" i="7"/>
  <c r="O495" i="7"/>
  <c r="L496" i="7"/>
  <c r="O496" i="7" s="1"/>
  <c r="M496" i="7"/>
  <c r="P496" i="7" s="1"/>
  <c r="N496" i="7"/>
  <c r="O497" i="7"/>
  <c r="P497" i="7"/>
  <c r="T497" i="7"/>
  <c r="U497" i="7"/>
  <c r="O498" i="7"/>
  <c r="P498" i="7"/>
  <c r="Q498" i="7"/>
  <c r="Q496" i="7" s="1"/>
  <c r="T496" i="7" s="1"/>
  <c r="R498" i="7"/>
  <c r="R496" i="7" s="1"/>
  <c r="U496" i="7" s="1"/>
  <c r="S498" i="7"/>
  <c r="L499" i="7"/>
  <c r="O499" i="7" s="1"/>
  <c r="M499" i="7"/>
  <c r="P499" i="7" s="1"/>
  <c r="N499" i="7"/>
  <c r="Q499" i="7"/>
  <c r="T499" i="7" s="1"/>
  <c r="R499" i="7"/>
  <c r="U499" i="7" s="1"/>
  <c r="S499" i="7"/>
  <c r="O500" i="7"/>
  <c r="P500" i="7"/>
  <c r="T500" i="7"/>
  <c r="U500" i="7"/>
  <c r="O501" i="7"/>
  <c r="P501" i="7"/>
  <c r="T501" i="7"/>
  <c r="U501" i="7"/>
  <c r="I503" i="7"/>
  <c r="I504" i="7"/>
  <c r="K504" i="7" s="1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L514" i="7"/>
  <c r="M514" i="7"/>
  <c r="P514" i="7" s="1"/>
  <c r="N514" i="7"/>
  <c r="O514" i="7"/>
  <c r="Q514" i="7"/>
  <c r="T514" i="7" s="1"/>
  <c r="R514" i="7"/>
  <c r="S514" i="7"/>
  <c r="S513" i="7" s="1"/>
  <c r="U514" i="7"/>
  <c r="Q515" i="7"/>
  <c r="T515" i="7" s="1"/>
  <c r="R515" i="7"/>
  <c r="U515" i="7" s="1"/>
  <c r="S515" i="7"/>
  <c r="Q516" i="7"/>
  <c r="R516" i="7"/>
  <c r="U516" i="7" s="1"/>
  <c r="S516" i="7"/>
  <c r="T516" i="7"/>
  <c r="O517" i="7"/>
  <c r="P517" i="7"/>
  <c r="T517" i="7"/>
  <c r="U517" i="7"/>
  <c r="L518" i="7"/>
  <c r="L516" i="7" s="1"/>
  <c r="O516" i="7" s="1"/>
  <c r="M518" i="7"/>
  <c r="M516" i="7" s="1"/>
  <c r="P516" i="7" s="1"/>
  <c r="N518" i="7"/>
  <c r="N516" i="7" s="1"/>
  <c r="T518" i="7"/>
  <c r="U518" i="7"/>
  <c r="Q519" i="7"/>
  <c r="T519" i="7" s="1"/>
  <c r="R519" i="7"/>
  <c r="S519" i="7"/>
  <c r="U519" i="7"/>
  <c r="O520" i="7"/>
  <c r="P520" i="7"/>
  <c r="T520" i="7"/>
  <c r="U520" i="7"/>
  <c r="L521" i="7"/>
  <c r="M521" i="7"/>
  <c r="N521" i="7"/>
  <c r="N519" i="7" s="1"/>
  <c r="T521" i="7"/>
  <c r="U521" i="7"/>
  <c r="K523" i="7"/>
  <c r="K524" i="7"/>
  <c r="I533" i="7"/>
  <c r="K533" i="7" s="1"/>
  <c r="J533" i="7"/>
  <c r="M534" i="7"/>
  <c r="P534" i="7" s="1"/>
  <c r="L535" i="7"/>
  <c r="O535" i="7" s="1"/>
  <c r="M535" i="7"/>
  <c r="N535" i="7"/>
  <c r="N534" i="7" s="1"/>
  <c r="P535" i="7"/>
  <c r="Q535" i="7"/>
  <c r="R535" i="7"/>
  <c r="R534" i="7" s="1"/>
  <c r="U534" i="7" s="1"/>
  <c r="S535" i="7"/>
  <c r="U535" i="7"/>
  <c r="L536" i="7"/>
  <c r="O536" i="7" s="1"/>
  <c r="M536" i="7"/>
  <c r="P536" i="7" s="1"/>
  <c r="N536" i="7"/>
  <c r="Q536" i="7"/>
  <c r="T536" i="7" s="1"/>
  <c r="R536" i="7"/>
  <c r="U536" i="7" s="1"/>
  <c r="S536" i="7"/>
  <c r="S534" i="7" s="1"/>
  <c r="L537" i="7"/>
  <c r="M537" i="7"/>
  <c r="P537" i="7" s="1"/>
  <c r="N537" i="7"/>
  <c r="O537" i="7"/>
  <c r="Q537" i="7"/>
  <c r="R537" i="7"/>
  <c r="U537" i="7" s="1"/>
  <c r="S537" i="7"/>
  <c r="T537" i="7"/>
  <c r="O538" i="7"/>
  <c r="P538" i="7"/>
  <c r="T538" i="7"/>
  <c r="U538" i="7"/>
  <c r="O539" i="7"/>
  <c r="P539" i="7"/>
  <c r="T539" i="7"/>
  <c r="U539" i="7"/>
  <c r="L540" i="7"/>
  <c r="O540" i="7" s="1"/>
  <c r="M540" i="7"/>
  <c r="P540" i="7" s="1"/>
  <c r="N540" i="7"/>
  <c r="Q540" i="7"/>
  <c r="T540" i="7" s="1"/>
  <c r="R540" i="7"/>
  <c r="S540" i="7"/>
  <c r="U540" i="7"/>
  <c r="O541" i="7"/>
  <c r="P541" i="7"/>
  <c r="T541" i="7"/>
  <c r="U541" i="7"/>
  <c r="O542" i="7"/>
  <c r="P542" i="7"/>
  <c r="T542" i="7"/>
  <c r="U542" i="7"/>
  <c r="I554" i="7"/>
  <c r="J554" i="7"/>
  <c r="K554" i="7"/>
  <c r="L556" i="7"/>
  <c r="M556" i="7"/>
  <c r="N556" i="7"/>
  <c r="Q556" i="7"/>
  <c r="Q555" i="7" s="1"/>
  <c r="T555" i="7" s="1"/>
  <c r="R556" i="7"/>
  <c r="S556" i="7"/>
  <c r="L557" i="7"/>
  <c r="O557" i="7" s="1"/>
  <c r="M557" i="7"/>
  <c r="N557" i="7"/>
  <c r="P557" i="7"/>
  <c r="Q557" i="7"/>
  <c r="R557" i="7"/>
  <c r="U557" i="7" s="1"/>
  <c r="S557" i="7"/>
  <c r="T557" i="7"/>
  <c r="L558" i="7"/>
  <c r="O558" i="7" s="1"/>
  <c r="M558" i="7"/>
  <c r="P558" i="7" s="1"/>
  <c r="N558" i="7"/>
  <c r="Q558" i="7"/>
  <c r="T558" i="7" s="1"/>
  <c r="R558" i="7"/>
  <c r="U558" i="7" s="1"/>
  <c r="S558" i="7"/>
  <c r="O559" i="7"/>
  <c r="P559" i="7"/>
  <c r="T559" i="7"/>
  <c r="U559" i="7"/>
  <c r="O560" i="7"/>
  <c r="P560" i="7"/>
  <c r="T560" i="7"/>
  <c r="U560" i="7"/>
  <c r="L561" i="7"/>
  <c r="O561" i="7" s="1"/>
  <c r="M561" i="7"/>
  <c r="P561" i="7" s="1"/>
  <c r="N561" i="7"/>
  <c r="Q561" i="7"/>
  <c r="T561" i="7" s="1"/>
  <c r="R561" i="7"/>
  <c r="U561" i="7" s="1"/>
  <c r="S561" i="7"/>
  <c r="O562" i="7"/>
  <c r="P562" i="7"/>
  <c r="T562" i="7"/>
  <c r="U562" i="7"/>
  <c r="O563" i="7"/>
  <c r="P563" i="7"/>
  <c r="T563" i="7"/>
  <c r="U563" i="7"/>
  <c r="I575" i="7"/>
  <c r="K575" i="7" s="1"/>
  <c r="J575" i="7"/>
  <c r="M576" i="7"/>
  <c r="P576" i="7" s="1"/>
  <c r="S576" i="7"/>
  <c r="L577" i="7"/>
  <c r="M577" i="7"/>
  <c r="P577" i="7" s="1"/>
  <c r="N577" i="7"/>
  <c r="N576" i="7" s="1"/>
  <c r="O577" i="7"/>
  <c r="Q577" i="7"/>
  <c r="R577" i="7"/>
  <c r="R576" i="7" s="1"/>
  <c r="U576" i="7" s="1"/>
  <c r="S577" i="7"/>
  <c r="U577" i="7"/>
  <c r="L578" i="7"/>
  <c r="O578" i="7" s="1"/>
  <c r="M578" i="7"/>
  <c r="P578" i="7" s="1"/>
  <c r="N578" i="7"/>
  <c r="Q578" i="7"/>
  <c r="T578" i="7" s="1"/>
  <c r="R578" i="7"/>
  <c r="U578" i="7" s="1"/>
  <c r="S578" i="7"/>
  <c r="L579" i="7"/>
  <c r="O579" i="7" s="1"/>
  <c r="M579" i="7"/>
  <c r="P579" i="7" s="1"/>
  <c r="N579" i="7"/>
  <c r="Q579" i="7"/>
  <c r="R579" i="7"/>
  <c r="S579" i="7"/>
  <c r="T579" i="7"/>
  <c r="U579" i="7"/>
  <c r="O580" i="7"/>
  <c r="P580" i="7"/>
  <c r="T580" i="7"/>
  <c r="U580" i="7"/>
  <c r="O581" i="7"/>
  <c r="P581" i="7"/>
  <c r="T581" i="7"/>
  <c r="U581" i="7"/>
  <c r="L582" i="7"/>
  <c r="M582" i="7"/>
  <c r="P582" i="7" s="1"/>
  <c r="N582" i="7"/>
  <c r="O582" i="7"/>
  <c r="Q582" i="7"/>
  <c r="R582" i="7"/>
  <c r="S582" i="7"/>
  <c r="T582" i="7"/>
  <c r="U582" i="7"/>
  <c r="O583" i="7"/>
  <c r="P583" i="7"/>
  <c r="T583" i="7"/>
  <c r="U583" i="7"/>
  <c r="O584" i="7"/>
  <c r="P584" i="7"/>
  <c r="T584" i="7"/>
  <c r="U584" i="7"/>
  <c r="L600" i="7"/>
  <c r="M600" i="7"/>
  <c r="M599" i="7" s="1"/>
  <c r="P599" i="7" s="1"/>
  <c r="N600" i="7"/>
  <c r="O600" i="7"/>
  <c r="Q600" i="7"/>
  <c r="Q599" i="7" s="1"/>
  <c r="T599" i="7" s="1"/>
  <c r="R600" i="7"/>
  <c r="S600" i="7"/>
  <c r="S599" i="7" s="1"/>
  <c r="U600" i="7"/>
  <c r="L601" i="7"/>
  <c r="O601" i="7" s="1"/>
  <c r="M601" i="7"/>
  <c r="P601" i="7" s="1"/>
  <c r="N601" i="7"/>
  <c r="N599" i="7" s="1"/>
  <c r="Q601" i="7"/>
  <c r="T601" i="7" s="1"/>
  <c r="R601" i="7"/>
  <c r="U601" i="7" s="1"/>
  <c r="S601" i="7"/>
  <c r="L602" i="7"/>
  <c r="M602" i="7"/>
  <c r="P602" i="7" s="1"/>
  <c r="N602" i="7"/>
  <c r="O602" i="7"/>
  <c r="Q602" i="7"/>
  <c r="T602" i="7" s="1"/>
  <c r="R602" i="7"/>
  <c r="S602" i="7"/>
  <c r="U602" i="7"/>
  <c r="O603" i="7"/>
  <c r="P603" i="7"/>
  <c r="T603" i="7"/>
  <c r="U603" i="7"/>
  <c r="O604" i="7"/>
  <c r="P604" i="7"/>
  <c r="T604" i="7"/>
  <c r="U604" i="7"/>
  <c r="L605" i="7"/>
  <c r="M605" i="7"/>
  <c r="P605" i="7" s="1"/>
  <c r="N605" i="7"/>
  <c r="O605" i="7"/>
  <c r="Q605" i="7"/>
  <c r="T605" i="7" s="1"/>
  <c r="R605" i="7"/>
  <c r="U605" i="7" s="1"/>
  <c r="S605" i="7"/>
  <c r="O606" i="7"/>
  <c r="P606" i="7"/>
  <c r="T606" i="7"/>
  <c r="U606" i="7"/>
  <c r="O607" i="7"/>
  <c r="P607" i="7"/>
  <c r="T607" i="7"/>
  <c r="U607" i="7"/>
  <c r="L617" i="7"/>
  <c r="M617" i="7"/>
  <c r="N617" i="7"/>
  <c r="Q617" i="7"/>
  <c r="R617" i="7"/>
  <c r="S617" i="7"/>
  <c r="T617" i="7"/>
  <c r="L618" i="7"/>
  <c r="M618" i="7"/>
  <c r="N618" i="7"/>
  <c r="O618" i="7"/>
  <c r="P618" i="7"/>
  <c r="L619" i="7"/>
  <c r="O619" i="7" s="1"/>
  <c r="M619" i="7"/>
  <c r="N619" i="7"/>
  <c r="P619" i="7"/>
  <c r="O620" i="7"/>
  <c r="P620" i="7"/>
  <c r="T620" i="7"/>
  <c r="U620" i="7"/>
  <c r="O621" i="7"/>
  <c r="P621" i="7"/>
  <c r="Q621" i="7"/>
  <c r="Q619" i="7" s="1"/>
  <c r="R621" i="7"/>
  <c r="S621" i="7"/>
  <c r="L622" i="7"/>
  <c r="M622" i="7"/>
  <c r="P622" i="7" s="1"/>
  <c r="N622" i="7"/>
  <c r="O622" i="7"/>
  <c r="Q622" i="7"/>
  <c r="R622" i="7"/>
  <c r="S622" i="7"/>
  <c r="T622" i="7"/>
  <c r="U622" i="7"/>
  <c r="O623" i="7"/>
  <c r="P623" i="7"/>
  <c r="T623" i="7"/>
  <c r="U623" i="7"/>
  <c r="O624" i="7"/>
  <c r="P624" i="7"/>
  <c r="T624" i="7"/>
  <c r="U624" i="7"/>
  <c r="I626" i="7"/>
  <c r="K632" i="7" s="1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Q643" i="7"/>
  <c r="R643" i="7"/>
  <c r="S643" i="7"/>
  <c r="L644" i="7"/>
  <c r="M644" i="7"/>
  <c r="P644" i="7" s="1"/>
  <c r="N644" i="7"/>
  <c r="O644" i="7"/>
  <c r="L645" i="7"/>
  <c r="O645" i="7" s="1"/>
  <c r="M645" i="7"/>
  <c r="N645" i="7"/>
  <c r="P645" i="7"/>
  <c r="O646" i="7"/>
  <c r="P646" i="7"/>
  <c r="T646" i="7"/>
  <c r="U646" i="7"/>
  <c r="O647" i="7"/>
  <c r="P647" i="7"/>
  <c r="Q647" i="7"/>
  <c r="R647" i="7"/>
  <c r="R644" i="7" s="1"/>
  <c r="U644" i="7" s="1"/>
  <c r="S647" i="7"/>
  <c r="S645" i="7" s="1"/>
  <c r="L648" i="7"/>
  <c r="O648" i="7" s="1"/>
  <c r="M648" i="7"/>
  <c r="P648" i="7" s="1"/>
  <c r="N648" i="7"/>
  <c r="Q648" i="7"/>
  <c r="R648" i="7"/>
  <c r="U648" i="7" s="1"/>
  <c r="S648" i="7"/>
  <c r="T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M691" i="7"/>
  <c r="N691" i="7"/>
  <c r="Q691" i="7"/>
  <c r="R691" i="7"/>
  <c r="S691" i="7"/>
  <c r="L692" i="7"/>
  <c r="M692" i="7"/>
  <c r="P692" i="7" s="1"/>
  <c r="N692" i="7"/>
  <c r="O692" i="7"/>
  <c r="L693" i="7"/>
  <c r="O693" i="7" s="1"/>
  <c r="M693" i="7"/>
  <c r="N693" i="7"/>
  <c r="P693" i="7"/>
  <c r="O694" i="7"/>
  <c r="P694" i="7"/>
  <c r="T694" i="7"/>
  <c r="U694" i="7"/>
  <c r="O695" i="7"/>
  <c r="P695" i="7"/>
  <c r="Q695" i="7"/>
  <c r="R695" i="7"/>
  <c r="R692" i="7" s="1"/>
  <c r="S695" i="7"/>
  <c r="S693" i="7" s="1"/>
  <c r="L696" i="7"/>
  <c r="M696" i="7"/>
  <c r="P696" i="7" s="1"/>
  <c r="N696" i="7"/>
  <c r="O696" i="7"/>
  <c r="Q696" i="7"/>
  <c r="T696" i="7" s="1"/>
  <c r="R696" i="7"/>
  <c r="S696" i="7"/>
  <c r="U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K703" i="7" s="1"/>
  <c r="J703" i="7"/>
  <c r="J704" i="7"/>
  <c r="K704" i="7"/>
  <c r="I705" i="7"/>
  <c r="J705" i="7"/>
  <c r="J706" i="7"/>
  <c r="K706" i="7"/>
  <c r="I707" i="7"/>
  <c r="I689" i="7" s="1"/>
  <c r="K689" i="7" s="1"/>
  <c r="J707" i="7"/>
  <c r="J689" i="7" s="1"/>
  <c r="J708" i="7"/>
  <c r="K708" i="7"/>
  <c r="I709" i="7"/>
  <c r="J709" i="7"/>
  <c r="J710" i="7"/>
  <c r="K710" i="7"/>
  <c r="J712" i="7"/>
  <c r="K712" i="7"/>
  <c r="N714" i="7"/>
  <c r="L715" i="7"/>
  <c r="M715" i="7"/>
  <c r="P715" i="7" s="1"/>
  <c r="N715" i="7"/>
  <c r="Q715" i="7"/>
  <c r="R715" i="7"/>
  <c r="S715" i="7"/>
  <c r="S714" i="7" s="1"/>
  <c r="L716" i="7"/>
  <c r="O716" i="7" s="1"/>
  <c r="M716" i="7"/>
  <c r="P716" i="7" s="1"/>
  <c r="N716" i="7"/>
  <c r="Q716" i="7"/>
  <c r="T716" i="7" s="1"/>
  <c r="R716" i="7"/>
  <c r="U716" i="7" s="1"/>
  <c r="S716" i="7"/>
  <c r="L717" i="7"/>
  <c r="M717" i="7"/>
  <c r="P717" i="7" s="1"/>
  <c r="N717" i="7"/>
  <c r="O717" i="7"/>
  <c r="Q717" i="7"/>
  <c r="T717" i="7" s="1"/>
  <c r="R717" i="7"/>
  <c r="S717" i="7"/>
  <c r="U717" i="7"/>
  <c r="O718" i="7"/>
  <c r="P718" i="7"/>
  <c r="T718" i="7"/>
  <c r="U718" i="7"/>
  <c r="O719" i="7"/>
  <c r="P719" i="7"/>
  <c r="T719" i="7"/>
  <c r="U719" i="7"/>
  <c r="L720" i="7"/>
  <c r="M720" i="7"/>
  <c r="P720" i="7" s="1"/>
  <c r="N720" i="7"/>
  <c r="O720" i="7"/>
  <c r="Q720" i="7"/>
  <c r="R720" i="7"/>
  <c r="S720" i="7"/>
  <c r="T720" i="7"/>
  <c r="U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K727" i="7" s="1"/>
  <c r="J727" i="7"/>
  <c r="L729" i="7"/>
  <c r="O729" i="7" s="1"/>
  <c r="M729" i="7"/>
  <c r="M728" i="7" s="1"/>
  <c r="P728" i="7" s="1"/>
  <c r="N729" i="7"/>
  <c r="Q729" i="7"/>
  <c r="R729" i="7"/>
  <c r="S729" i="7"/>
  <c r="U729" i="7"/>
  <c r="L730" i="7"/>
  <c r="O730" i="7" s="1"/>
  <c r="M730" i="7"/>
  <c r="P730" i="7" s="1"/>
  <c r="N730" i="7"/>
  <c r="L731" i="7"/>
  <c r="M731" i="7"/>
  <c r="N731" i="7"/>
  <c r="O731" i="7"/>
  <c r="P731" i="7"/>
  <c r="O732" i="7"/>
  <c r="P732" i="7"/>
  <c r="T732" i="7"/>
  <c r="U732" i="7"/>
  <c r="O733" i="7"/>
  <c r="P733" i="7"/>
  <c r="Q733" i="7"/>
  <c r="Q731" i="7" s="1"/>
  <c r="R733" i="7"/>
  <c r="R731" i="7" s="1"/>
  <c r="S733" i="7"/>
  <c r="S730" i="7" s="1"/>
  <c r="S728" i="7" s="1"/>
  <c r="L734" i="7"/>
  <c r="O734" i="7" s="1"/>
  <c r="M734" i="7"/>
  <c r="P734" i="7" s="1"/>
  <c r="N734" i="7"/>
  <c r="Q734" i="7"/>
  <c r="T734" i="7" s="1"/>
  <c r="R734" i="7"/>
  <c r="U734" i="7" s="1"/>
  <c r="S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M761" i="7"/>
  <c r="N761" i="7"/>
  <c r="N760" i="7" s="1"/>
  <c r="Q761" i="7"/>
  <c r="T761" i="7" s="1"/>
  <c r="R761" i="7"/>
  <c r="S761" i="7"/>
  <c r="L762" i="7"/>
  <c r="M762" i="7"/>
  <c r="P762" i="7" s="1"/>
  <c r="N762" i="7"/>
  <c r="O762" i="7"/>
  <c r="L763" i="7"/>
  <c r="M763" i="7"/>
  <c r="P763" i="7" s="1"/>
  <c r="N763" i="7"/>
  <c r="O763" i="7"/>
  <c r="O764" i="7"/>
  <c r="P764" i="7"/>
  <c r="T764" i="7"/>
  <c r="U764" i="7"/>
  <c r="O765" i="7"/>
  <c r="P765" i="7"/>
  <c r="Q765" i="7"/>
  <c r="Q763" i="7" s="1"/>
  <c r="T763" i="7" s="1"/>
  <c r="R765" i="7"/>
  <c r="R763" i="7" s="1"/>
  <c r="U763" i="7" s="1"/>
  <c r="S765" i="7"/>
  <c r="S762" i="7" s="1"/>
  <c r="L766" i="7"/>
  <c r="O766" i="7" s="1"/>
  <c r="M766" i="7"/>
  <c r="P766" i="7" s="1"/>
  <c r="N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I774" i="7"/>
  <c r="K774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K782" i="7" s="1"/>
  <c r="J782" i="7"/>
  <c r="I783" i="7"/>
  <c r="K783" i="7" s="1"/>
  <c r="J783" i="7"/>
  <c r="I784" i="7"/>
  <c r="J784" i="7"/>
  <c r="I785" i="7"/>
  <c r="J785" i="7"/>
  <c r="A788" i="7"/>
  <c r="A789" i="7"/>
  <c r="L22" i="6"/>
  <c r="M22" i="6"/>
  <c r="N22" i="6"/>
  <c r="O22" i="6"/>
  <c r="Q22" i="6"/>
  <c r="T22" i="6" s="1"/>
  <c r="R22" i="6"/>
  <c r="S22" i="6"/>
  <c r="L25" i="6"/>
  <c r="O25" i="6" s="1"/>
  <c r="M25" i="6"/>
  <c r="N25" i="6"/>
  <c r="Q25" i="6"/>
  <c r="T25" i="6" s="1"/>
  <c r="R25" i="6"/>
  <c r="S25" i="6"/>
  <c r="U25" i="6"/>
  <c r="Q26" i="6"/>
  <c r="R26" i="6"/>
  <c r="S26" i="6"/>
  <c r="U26" i="6"/>
  <c r="L45" i="6"/>
  <c r="O45" i="6" s="1"/>
  <c r="M45" i="6"/>
  <c r="P45" i="6" s="1"/>
  <c r="N45" i="6"/>
  <c r="Q45" i="6"/>
  <c r="Q44" i="6" s="1"/>
  <c r="T44" i="6" s="1"/>
  <c r="R45" i="6"/>
  <c r="U45" i="6" s="1"/>
  <c r="S45" i="6"/>
  <c r="T45" i="6"/>
  <c r="Q46" i="6"/>
  <c r="R46" i="6"/>
  <c r="U46" i="6" s="1"/>
  <c r="S46" i="6"/>
  <c r="T46" i="6"/>
  <c r="Q47" i="6"/>
  <c r="T47" i="6" s="1"/>
  <c r="R47" i="6"/>
  <c r="U47" i="6" s="1"/>
  <c r="S47" i="6"/>
  <c r="O48" i="6"/>
  <c r="P48" i="6"/>
  <c r="T48" i="6"/>
  <c r="U48" i="6"/>
  <c r="L49" i="6"/>
  <c r="L47" i="6" s="1"/>
  <c r="M49" i="6"/>
  <c r="N49" i="6"/>
  <c r="N47" i="6" s="1"/>
  <c r="T49" i="6"/>
  <c r="U49" i="6"/>
  <c r="Q50" i="6"/>
  <c r="T50" i="6" s="1"/>
  <c r="R50" i="6"/>
  <c r="U50" i="6" s="1"/>
  <c r="S50" i="6"/>
  <c r="O51" i="6"/>
  <c r="P51" i="6"/>
  <c r="T51" i="6"/>
  <c r="U51" i="6"/>
  <c r="L52" i="6"/>
  <c r="L50" i="6" s="1"/>
  <c r="O50" i="6" s="1"/>
  <c r="M52" i="6"/>
  <c r="M50" i="6" s="1"/>
  <c r="P50" i="6" s="1"/>
  <c r="N52" i="6"/>
  <c r="T52" i="6"/>
  <c r="U52" i="6"/>
  <c r="L60" i="6"/>
  <c r="M60" i="6"/>
  <c r="P60" i="6" s="1"/>
  <c r="N60" i="6"/>
  <c r="Q60" i="6"/>
  <c r="Q59" i="6" s="1"/>
  <c r="T59" i="6" s="1"/>
  <c r="R60" i="6"/>
  <c r="S60" i="6"/>
  <c r="T60" i="6"/>
  <c r="Q61" i="6"/>
  <c r="R61" i="6"/>
  <c r="U61" i="6" s="1"/>
  <c r="S61" i="6"/>
  <c r="T61" i="6"/>
  <c r="Q62" i="6"/>
  <c r="T62" i="6" s="1"/>
  <c r="R62" i="6"/>
  <c r="U62" i="6" s="1"/>
  <c r="S62" i="6"/>
  <c r="O63" i="6"/>
  <c r="P63" i="6"/>
  <c r="T63" i="6"/>
  <c r="U63" i="6"/>
  <c r="L64" i="6"/>
  <c r="L62" i="6" s="1"/>
  <c r="M64" i="6"/>
  <c r="M62" i="6" s="1"/>
  <c r="N64" i="6"/>
  <c r="T64" i="6"/>
  <c r="U64" i="6"/>
  <c r="Q65" i="6"/>
  <c r="T65" i="6" s="1"/>
  <c r="R65" i="6"/>
  <c r="S65" i="6"/>
  <c r="U65" i="6"/>
  <c r="O66" i="6"/>
  <c r="P66" i="6"/>
  <c r="T66" i="6"/>
  <c r="U66" i="6"/>
  <c r="L67" i="6"/>
  <c r="L65" i="6" s="1"/>
  <c r="O65" i="6" s="1"/>
  <c r="M67" i="6"/>
  <c r="N67" i="6"/>
  <c r="N65" i="6" s="1"/>
  <c r="T67" i="6"/>
  <c r="U67" i="6"/>
  <c r="J71" i="6"/>
  <c r="L73" i="6"/>
  <c r="O73" i="6" s="1"/>
  <c r="M73" i="6"/>
  <c r="N73" i="6"/>
  <c r="P73" i="6"/>
  <c r="Q73" i="6"/>
  <c r="R73" i="6"/>
  <c r="U73" i="6" s="1"/>
  <c r="S73" i="6"/>
  <c r="O76" i="6"/>
  <c r="P76" i="6"/>
  <c r="T76" i="6"/>
  <c r="U76" i="6"/>
  <c r="L77" i="6"/>
  <c r="M77" i="6"/>
  <c r="M75" i="6" s="1"/>
  <c r="N77" i="6"/>
  <c r="Q77" i="6"/>
  <c r="Q74" i="6" s="1"/>
  <c r="R77" i="6"/>
  <c r="R74" i="6" s="1"/>
  <c r="S77" i="6"/>
  <c r="S74" i="6" s="1"/>
  <c r="Q78" i="6"/>
  <c r="T78" i="6" s="1"/>
  <c r="R78" i="6"/>
  <c r="S78" i="6"/>
  <c r="U78" i="6"/>
  <c r="O79" i="6"/>
  <c r="P79" i="6"/>
  <c r="T79" i="6"/>
  <c r="U79" i="6"/>
  <c r="L80" i="6"/>
  <c r="O80" i="6" s="1"/>
  <c r="M80" i="6"/>
  <c r="N80" i="6"/>
  <c r="N78" i="6" s="1"/>
  <c r="T80" i="6"/>
  <c r="U80" i="6"/>
  <c r="J82" i="6"/>
  <c r="J70" i="6" s="1"/>
  <c r="J83" i="6"/>
  <c r="I84" i="6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P95" i="6" s="1"/>
  <c r="N95" i="6"/>
  <c r="O95" i="6"/>
  <c r="Q95" i="6"/>
  <c r="T95" i="6" s="1"/>
  <c r="R95" i="6"/>
  <c r="U95" i="6" s="1"/>
  <c r="S95" i="6"/>
  <c r="O98" i="6"/>
  <c r="P98" i="6"/>
  <c r="T98" i="6"/>
  <c r="U98" i="6"/>
  <c r="L99" i="6"/>
  <c r="M99" i="6"/>
  <c r="M97" i="6" s="1"/>
  <c r="P97" i="6" s="1"/>
  <c r="N99" i="6"/>
  <c r="Q99" i="6"/>
  <c r="R99" i="6"/>
  <c r="R96" i="6" s="1"/>
  <c r="S99" i="6"/>
  <c r="S96" i="6" s="1"/>
  <c r="S94" i="6" s="1"/>
  <c r="Q100" i="6"/>
  <c r="T100" i="6" s="1"/>
  <c r="R100" i="6"/>
  <c r="S100" i="6"/>
  <c r="U100" i="6"/>
  <c r="O101" i="6"/>
  <c r="P101" i="6"/>
  <c r="T101" i="6"/>
  <c r="U101" i="6"/>
  <c r="L102" i="6"/>
  <c r="O102" i="6" s="1"/>
  <c r="M102" i="6"/>
  <c r="P102" i="6" s="1"/>
  <c r="N102" i="6"/>
  <c r="N100" i="6" s="1"/>
  <c r="T102" i="6"/>
  <c r="U102" i="6"/>
  <c r="I108" i="6"/>
  <c r="I92" i="6" s="1"/>
  <c r="I109" i="6"/>
  <c r="I113" i="6"/>
  <c r="K113" i="6" s="1"/>
  <c r="I114" i="6"/>
  <c r="K114" i="6" s="1"/>
  <c r="J116" i="6"/>
  <c r="L118" i="6"/>
  <c r="O118" i="6" s="1"/>
  <c r="M118" i="6"/>
  <c r="N118" i="6"/>
  <c r="Q118" i="6"/>
  <c r="T118" i="6" s="1"/>
  <c r="R118" i="6"/>
  <c r="U118" i="6" s="1"/>
  <c r="S118" i="6"/>
  <c r="O121" i="6"/>
  <c r="P121" i="6"/>
  <c r="T121" i="6"/>
  <c r="U121" i="6"/>
  <c r="L122" i="6"/>
  <c r="L120" i="6" s="1"/>
  <c r="O120" i="6" s="1"/>
  <c r="M122" i="6"/>
  <c r="N122" i="6"/>
  <c r="Q122" i="6"/>
  <c r="Q119" i="6" s="1"/>
  <c r="R122" i="6"/>
  <c r="R120" i="6" s="1"/>
  <c r="S122" i="6"/>
  <c r="S120" i="6" s="1"/>
  <c r="Q123" i="6"/>
  <c r="T123" i="6" s="1"/>
  <c r="R123" i="6"/>
  <c r="S123" i="6"/>
  <c r="U123" i="6"/>
  <c r="O124" i="6"/>
  <c r="P124" i="6"/>
  <c r="T124" i="6"/>
  <c r="U124" i="6"/>
  <c r="L125" i="6"/>
  <c r="M125" i="6"/>
  <c r="N125" i="6"/>
  <c r="N123" i="6" s="1"/>
  <c r="T125" i="6"/>
  <c r="U125" i="6"/>
  <c r="I127" i="6"/>
  <c r="I128" i="6"/>
  <c r="K128" i="6" s="1"/>
  <c r="I129" i="6"/>
  <c r="K129" i="6" s="1"/>
  <c r="I130" i="6"/>
  <c r="K130" i="6" s="1"/>
  <c r="J136" i="6"/>
  <c r="J137" i="6"/>
  <c r="J138" i="6"/>
  <c r="L140" i="6"/>
  <c r="O140" i="6" s="1"/>
  <c r="M140" i="6"/>
  <c r="P140" i="6" s="1"/>
  <c r="N140" i="6"/>
  <c r="Q140" i="6"/>
  <c r="T140" i="6" s="1"/>
  <c r="R140" i="6"/>
  <c r="U140" i="6" s="1"/>
  <c r="S140" i="6"/>
  <c r="O143" i="6"/>
  <c r="P143" i="6"/>
  <c r="T143" i="6"/>
  <c r="U143" i="6"/>
  <c r="L144" i="6"/>
  <c r="L142" i="6" s="1"/>
  <c r="O142" i="6" s="1"/>
  <c r="M144" i="6"/>
  <c r="M142" i="6" s="1"/>
  <c r="P142" i="6" s="1"/>
  <c r="N144" i="6"/>
  <c r="Q144" i="6"/>
  <c r="Q141" i="6" s="1"/>
  <c r="T141" i="6" s="1"/>
  <c r="R144" i="6"/>
  <c r="R141" i="6" s="1"/>
  <c r="S144" i="6"/>
  <c r="S141" i="6" s="1"/>
  <c r="Q145" i="6"/>
  <c r="T145" i="6" s="1"/>
  <c r="R145" i="6"/>
  <c r="U145" i="6" s="1"/>
  <c r="S145" i="6"/>
  <c r="O146" i="6"/>
  <c r="P146" i="6"/>
  <c r="T146" i="6"/>
  <c r="U146" i="6"/>
  <c r="L147" i="6"/>
  <c r="O147" i="6" s="1"/>
  <c r="M147" i="6"/>
  <c r="P147" i="6" s="1"/>
  <c r="N147" i="6"/>
  <c r="N145" i="6" s="1"/>
  <c r="T147" i="6"/>
  <c r="U147" i="6"/>
  <c r="I150" i="6"/>
  <c r="K150" i="6" s="1"/>
  <c r="I151" i="6"/>
  <c r="K151" i="6" s="1"/>
  <c r="I152" i="6"/>
  <c r="K152" i="6" s="1"/>
  <c r="I153" i="6"/>
  <c r="K153" i="6" s="1"/>
  <c r="I154" i="6"/>
  <c r="I136" i="6" s="1"/>
  <c r="K136" i="6" s="1"/>
  <c r="J156" i="6"/>
  <c r="L158" i="6"/>
  <c r="M158" i="6"/>
  <c r="N158" i="6"/>
  <c r="O158" i="6"/>
  <c r="P158" i="6"/>
  <c r="Q158" i="6"/>
  <c r="T158" i="6" s="1"/>
  <c r="R158" i="6"/>
  <c r="S158" i="6"/>
  <c r="U158" i="6"/>
  <c r="O161" i="6"/>
  <c r="P161" i="6"/>
  <c r="T161" i="6"/>
  <c r="U161" i="6"/>
  <c r="L162" i="6"/>
  <c r="L160" i="6" s="1"/>
  <c r="M162" i="6"/>
  <c r="N162" i="6"/>
  <c r="Q162" i="6"/>
  <c r="R162" i="6"/>
  <c r="R160" i="6" s="1"/>
  <c r="U160" i="6" s="1"/>
  <c r="S162" i="6"/>
  <c r="Q163" i="6"/>
  <c r="T163" i="6" s="1"/>
  <c r="R163" i="6"/>
  <c r="S163" i="6"/>
  <c r="U163" i="6"/>
  <c r="O164" i="6"/>
  <c r="P164" i="6"/>
  <c r="T164" i="6"/>
  <c r="U164" i="6"/>
  <c r="L165" i="6"/>
  <c r="M165" i="6"/>
  <c r="N165" i="6"/>
  <c r="N163" i="6" s="1"/>
  <c r="T165" i="6"/>
  <c r="U165" i="6"/>
  <c r="I167" i="6"/>
  <c r="I156" i="6" s="1"/>
  <c r="K156" i="6" s="1"/>
  <c r="J172" i="6"/>
  <c r="L174" i="6"/>
  <c r="M174" i="6"/>
  <c r="P174" i="6" s="1"/>
  <c r="N174" i="6"/>
  <c r="O174" i="6"/>
  <c r="Q174" i="6"/>
  <c r="T174" i="6" s="1"/>
  <c r="R174" i="6"/>
  <c r="S174" i="6"/>
  <c r="U174" i="6"/>
  <c r="O177" i="6"/>
  <c r="P177" i="6"/>
  <c r="T177" i="6"/>
  <c r="U177" i="6"/>
  <c r="L178" i="6"/>
  <c r="M178" i="6"/>
  <c r="M176" i="6" s="1"/>
  <c r="N178" i="6"/>
  <c r="Q178" i="6"/>
  <c r="R178" i="6"/>
  <c r="R176" i="6" s="1"/>
  <c r="U176" i="6" s="1"/>
  <c r="S178" i="6"/>
  <c r="S176" i="6" s="1"/>
  <c r="Q179" i="6"/>
  <c r="T179" i="6" s="1"/>
  <c r="R179" i="6"/>
  <c r="U179" i="6" s="1"/>
  <c r="S179" i="6"/>
  <c r="O180" i="6"/>
  <c r="P180" i="6"/>
  <c r="T180" i="6"/>
  <c r="U180" i="6"/>
  <c r="L181" i="6"/>
  <c r="O181" i="6" s="1"/>
  <c r="M181" i="6"/>
  <c r="M179" i="6" s="1"/>
  <c r="P179" i="6" s="1"/>
  <c r="N181" i="6"/>
  <c r="N179" i="6" s="1"/>
  <c r="T181" i="6"/>
  <c r="U181" i="6"/>
  <c r="I183" i="6"/>
  <c r="K183" i="6" s="1"/>
  <c r="K184" i="6"/>
  <c r="L187" i="6"/>
  <c r="O187" i="6" s="1"/>
  <c r="M187" i="6"/>
  <c r="P187" i="6" s="1"/>
  <c r="N187" i="6"/>
  <c r="Q187" i="6"/>
  <c r="T187" i="6" s="1"/>
  <c r="R187" i="6"/>
  <c r="U187" i="6" s="1"/>
  <c r="S187" i="6"/>
  <c r="O190" i="6"/>
  <c r="P190" i="6"/>
  <c r="T190" i="6"/>
  <c r="U190" i="6"/>
  <c r="L191" i="6"/>
  <c r="M191" i="6"/>
  <c r="N191" i="6"/>
  <c r="N189" i="6" s="1"/>
  <c r="Q191" i="6"/>
  <c r="Q188" i="6" s="1"/>
  <c r="R191" i="6"/>
  <c r="R188" i="6" s="1"/>
  <c r="S191" i="6"/>
  <c r="Q192" i="6"/>
  <c r="T192" i="6" s="1"/>
  <c r="R192" i="6"/>
  <c r="S192" i="6"/>
  <c r="U192" i="6"/>
  <c r="O193" i="6"/>
  <c r="P193" i="6"/>
  <c r="T193" i="6"/>
  <c r="U193" i="6"/>
  <c r="L194" i="6"/>
  <c r="L192" i="6" s="1"/>
  <c r="O192" i="6" s="1"/>
  <c r="M194" i="6"/>
  <c r="N194" i="6"/>
  <c r="N192" i="6" s="1"/>
  <c r="T194" i="6"/>
  <c r="U194" i="6"/>
  <c r="J195" i="6"/>
  <c r="L196" i="6"/>
  <c r="O196" i="6" s="1"/>
  <c r="P196" i="6"/>
  <c r="I198" i="6"/>
  <c r="K198" i="6" s="1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K229" i="6" s="1"/>
  <c r="I230" i="6"/>
  <c r="K230" i="6" s="1"/>
  <c r="N233" i="6"/>
  <c r="N234" i="6"/>
  <c r="N235" i="6"/>
  <c r="N236" i="6"/>
  <c r="J238" i="6"/>
  <c r="I240" i="6"/>
  <c r="J240" i="6"/>
  <c r="K240" i="6"/>
  <c r="I241" i="6"/>
  <c r="K241" i="6" s="1"/>
  <c r="J241" i="6"/>
  <c r="J242" i="6"/>
  <c r="J231" i="6" s="1"/>
  <c r="J185" i="6" s="1"/>
  <c r="N243" i="6"/>
  <c r="N232" i="6" s="1"/>
  <c r="P243" i="6"/>
  <c r="L244" i="6"/>
  <c r="L245" i="6"/>
  <c r="L246" i="6"/>
  <c r="L247" i="6"/>
  <c r="I249" i="6"/>
  <c r="K251" i="6"/>
  <c r="K252" i="6"/>
  <c r="J253" i="6"/>
  <c r="N254" i="6"/>
  <c r="P254" i="6"/>
  <c r="L255" i="6"/>
  <c r="L256" i="6"/>
  <c r="L257" i="6"/>
  <c r="L258" i="6"/>
  <c r="I260" i="6"/>
  <c r="K262" i="6"/>
  <c r="K263" i="6"/>
  <c r="J265" i="6"/>
  <c r="L267" i="6"/>
  <c r="M267" i="6"/>
  <c r="N267" i="6"/>
  <c r="O267" i="6"/>
  <c r="Q267" i="6"/>
  <c r="T267" i="6" s="1"/>
  <c r="R267" i="6"/>
  <c r="U267" i="6" s="1"/>
  <c r="S267" i="6"/>
  <c r="O270" i="6"/>
  <c r="P270" i="6"/>
  <c r="T270" i="6"/>
  <c r="U270" i="6"/>
  <c r="L271" i="6"/>
  <c r="L269" i="6" s="1"/>
  <c r="O269" i="6" s="1"/>
  <c r="M271" i="6"/>
  <c r="N271" i="6"/>
  <c r="N269" i="6" s="1"/>
  <c r="Q271" i="6"/>
  <c r="R271" i="6"/>
  <c r="R268" i="6" s="1"/>
  <c r="S271" i="6"/>
  <c r="Q272" i="6"/>
  <c r="T272" i="6" s="1"/>
  <c r="R272" i="6"/>
  <c r="U272" i="6" s="1"/>
  <c r="S272" i="6"/>
  <c r="O273" i="6"/>
  <c r="P273" i="6"/>
  <c r="T273" i="6"/>
  <c r="U273" i="6"/>
  <c r="L274" i="6"/>
  <c r="L272" i="6" s="1"/>
  <c r="O272" i="6" s="1"/>
  <c r="M274" i="6"/>
  <c r="P274" i="6" s="1"/>
  <c r="N274" i="6"/>
  <c r="N272" i="6" s="1"/>
  <c r="T274" i="6"/>
  <c r="U274" i="6"/>
  <c r="I276" i="6"/>
  <c r="K276" i="6" s="1"/>
  <c r="J280" i="6"/>
  <c r="J281" i="6"/>
  <c r="L283" i="6"/>
  <c r="M283" i="6"/>
  <c r="P283" i="6" s="1"/>
  <c r="N283" i="6"/>
  <c r="O283" i="6"/>
  <c r="Q283" i="6"/>
  <c r="R283" i="6"/>
  <c r="S283" i="6"/>
  <c r="T283" i="6"/>
  <c r="U283" i="6"/>
  <c r="Q284" i="6"/>
  <c r="R284" i="6"/>
  <c r="S284" i="6"/>
  <c r="S282" i="6" s="1"/>
  <c r="Q285" i="6"/>
  <c r="R285" i="6"/>
  <c r="U285" i="6" s="1"/>
  <c r="S285" i="6"/>
  <c r="T285" i="6"/>
  <c r="O286" i="6"/>
  <c r="P286" i="6"/>
  <c r="T286" i="6"/>
  <c r="U286" i="6"/>
  <c r="L287" i="6"/>
  <c r="L285" i="6" s="1"/>
  <c r="O285" i="6" s="1"/>
  <c r="M287" i="6"/>
  <c r="P287" i="6" s="1"/>
  <c r="N287" i="6"/>
  <c r="T287" i="6"/>
  <c r="U287" i="6"/>
  <c r="Q288" i="6"/>
  <c r="T288" i="6" s="1"/>
  <c r="R288" i="6"/>
  <c r="S288" i="6"/>
  <c r="U288" i="6"/>
  <c r="O289" i="6"/>
  <c r="P289" i="6"/>
  <c r="T289" i="6"/>
  <c r="U289" i="6"/>
  <c r="L290" i="6"/>
  <c r="L288" i="6" s="1"/>
  <c r="O288" i="6" s="1"/>
  <c r="M290" i="6"/>
  <c r="P290" i="6" s="1"/>
  <c r="N290" i="6"/>
  <c r="N288" i="6" s="1"/>
  <c r="T290" i="6"/>
  <c r="U290" i="6"/>
  <c r="I292" i="6"/>
  <c r="I281" i="6" s="1"/>
  <c r="K281" i="6" s="1"/>
  <c r="I293" i="6"/>
  <c r="K293" i="6" s="1"/>
  <c r="J293" i="6"/>
  <c r="I295" i="6"/>
  <c r="K295" i="6" s="1"/>
  <c r="I296" i="6"/>
  <c r="K296" i="6" s="1"/>
  <c r="J302" i="6"/>
  <c r="L304" i="6"/>
  <c r="O304" i="6" s="1"/>
  <c r="M304" i="6"/>
  <c r="N304" i="6"/>
  <c r="P304" i="6"/>
  <c r="Q304" i="6"/>
  <c r="R304" i="6"/>
  <c r="S304" i="6"/>
  <c r="T304" i="6"/>
  <c r="O307" i="6"/>
  <c r="P307" i="6"/>
  <c r="T307" i="6"/>
  <c r="U307" i="6"/>
  <c r="L308" i="6"/>
  <c r="L306" i="6" s="1"/>
  <c r="M308" i="6"/>
  <c r="N308" i="6"/>
  <c r="Q308" i="6"/>
  <c r="R308" i="6"/>
  <c r="R305" i="6" s="1"/>
  <c r="S308" i="6"/>
  <c r="S305" i="6" s="1"/>
  <c r="Q309" i="6"/>
  <c r="R309" i="6"/>
  <c r="U309" i="6" s="1"/>
  <c r="S309" i="6"/>
  <c r="T309" i="6"/>
  <c r="O310" i="6"/>
  <c r="P310" i="6"/>
  <c r="T310" i="6"/>
  <c r="U310" i="6"/>
  <c r="L311" i="6"/>
  <c r="O311" i="6" s="1"/>
  <c r="M311" i="6"/>
  <c r="P311" i="6" s="1"/>
  <c r="N311" i="6"/>
  <c r="N309" i="6" s="1"/>
  <c r="T311" i="6"/>
  <c r="U311" i="6"/>
  <c r="I314" i="6"/>
  <c r="I302" i="6" s="1"/>
  <c r="J319" i="6"/>
  <c r="L321" i="6"/>
  <c r="O321" i="6" s="1"/>
  <c r="M321" i="6"/>
  <c r="N321" i="6"/>
  <c r="Q321" i="6"/>
  <c r="R321" i="6"/>
  <c r="S321" i="6"/>
  <c r="Q322" i="6"/>
  <c r="T322" i="6" s="1"/>
  <c r="R322" i="6"/>
  <c r="U322" i="6" s="1"/>
  <c r="S322" i="6"/>
  <c r="Q323" i="6"/>
  <c r="T323" i="6" s="1"/>
  <c r="R323" i="6"/>
  <c r="U323" i="6" s="1"/>
  <c r="S323" i="6"/>
  <c r="O324" i="6"/>
  <c r="P324" i="6"/>
  <c r="T324" i="6"/>
  <c r="U324" i="6"/>
  <c r="L325" i="6"/>
  <c r="M325" i="6"/>
  <c r="N325" i="6"/>
  <c r="N323" i="6" s="1"/>
  <c r="T325" i="6"/>
  <c r="U325" i="6"/>
  <c r="Q326" i="6"/>
  <c r="R326" i="6"/>
  <c r="U326" i="6" s="1"/>
  <c r="S326" i="6"/>
  <c r="T326" i="6"/>
  <c r="O327" i="6"/>
  <c r="P327" i="6"/>
  <c r="T327" i="6"/>
  <c r="U327" i="6"/>
  <c r="L328" i="6"/>
  <c r="O328" i="6" s="1"/>
  <c r="M328" i="6"/>
  <c r="N328" i="6"/>
  <c r="N326" i="6" s="1"/>
  <c r="T328" i="6"/>
  <c r="U328" i="6"/>
  <c r="I330" i="6"/>
  <c r="I319" i="6" s="1"/>
  <c r="K319" i="6" s="1"/>
  <c r="L334" i="6"/>
  <c r="M334" i="6"/>
  <c r="N334" i="6"/>
  <c r="Q334" i="6"/>
  <c r="R334" i="6"/>
  <c r="S334" i="6"/>
  <c r="S333" i="6" s="1"/>
  <c r="T334" i="6"/>
  <c r="Q335" i="6"/>
  <c r="T335" i="6" s="1"/>
  <c r="R335" i="6"/>
  <c r="U335" i="6" s="1"/>
  <c r="S335" i="6"/>
  <c r="Q336" i="6"/>
  <c r="T336" i="6" s="1"/>
  <c r="R336" i="6"/>
  <c r="U336" i="6" s="1"/>
  <c r="S336" i="6"/>
  <c r="O337" i="6"/>
  <c r="P337" i="6"/>
  <c r="T337" i="6"/>
  <c r="U337" i="6"/>
  <c r="L338" i="6"/>
  <c r="L336" i="6" s="1"/>
  <c r="M338" i="6"/>
  <c r="M336" i="6" s="1"/>
  <c r="N338" i="6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L339" i="6" s="1"/>
  <c r="O339" i="6" s="1"/>
  <c r="M341" i="6"/>
  <c r="P341" i="6" s="1"/>
  <c r="N341" i="6"/>
  <c r="N339" i="6" s="1"/>
  <c r="T341" i="6"/>
  <c r="U341" i="6"/>
  <c r="I344" i="6"/>
  <c r="I332" i="6" s="1"/>
  <c r="J344" i="6"/>
  <c r="I346" i="6"/>
  <c r="J346" i="6"/>
  <c r="J347" i="6"/>
  <c r="J348" i="6"/>
  <c r="J349" i="6"/>
  <c r="D350" i="6"/>
  <c r="J352" i="6"/>
  <c r="J353" i="6"/>
  <c r="J354" i="6"/>
  <c r="L357" i="6"/>
  <c r="M357" i="6"/>
  <c r="P357" i="6" s="1"/>
  <c r="N357" i="6"/>
  <c r="O357" i="6"/>
  <c r="Q357" i="6"/>
  <c r="T357" i="6" s="1"/>
  <c r="R357" i="6"/>
  <c r="U357" i="6" s="1"/>
  <c r="S357" i="6"/>
  <c r="Q358" i="6"/>
  <c r="T358" i="6" s="1"/>
  <c r="R358" i="6"/>
  <c r="U358" i="6" s="1"/>
  <c r="S358" i="6"/>
  <c r="Q359" i="6"/>
  <c r="T359" i="6" s="1"/>
  <c r="R359" i="6"/>
  <c r="U359" i="6" s="1"/>
  <c r="S359" i="6"/>
  <c r="O360" i="6"/>
  <c r="P360" i="6"/>
  <c r="T360" i="6"/>
  <c r="U360" i="6"/>
  <c r="L361" i="6"/>
  <c r="L359" i="6" s="1"/>
  <c r="M361" i="6"/>
  <c r="N361" i="6"/>
  <c r="T361" i="6"/>
  <c r="U361" i="6"/>
  <c r="Q362" i="6"/>
  <c r="T362" i="6" s="1"/>
  <c r="R362" i="6"/>
  <c r="U362" i="6" s="1"/>
  <c r="S362" i="6"/>
  <c r="O363" i="6"/>
  <c r="P363" i="6"/>
  <c r="T363" i="6"/>
  <c r="U363" i="6"/>
  <c r="L364" i="6"/>
  <c r="M364" i="6"/>
  <c r="M362" i="6" s="1"/>
  <c r="P362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J374" i="6"/>
  <c r="L376" i="6"/>
  <c r="M376" i="6"/>
  <c r="N376" i="6"/>
  <c r="Q376" i="6"/>
  <c r="T376" i="6" s="1"/>
  <c r="R376" i="6"/>
  <c r="S376" i="6"/>
  <c r="U376" i="6"/>
  <c r="L377" i="6"/>
  <c r="O377" i="6" s="1"/>
  <c r="M377" i="6"/>
  <c r="P377" i="6" s="1"/>
  <c r="N377" i="6"/>
  <c r="N375" i="6" s="1"/>
  <c r="L378" i="6"/>
  <c r="O378" i="6" s="1"/>
  <c r="M378" i="6"/>
  <c r="P378" i="6" s="1"/>
  <c r="N378" i="6"/>
  <c r="O379" i="6"/>
  <c r="P379" i="6"/>
  <c r="T379" i="6"/>
  <c r="U379" i="6"/>
  <c r="O380" i="6"/>
  <c r="P380" i="6"/>
  <c r="Q380" i="6"/>
  <c r="Q378" i="6" s="1"/>
  <c r="T378" i="6" s="1"/>
  <c r="R380" i="6"/>
  <c r="S380" i="6"/>
  <c r="L381" i="6"/>
  <c r="O381" i="6" s="1"/>
  <c r="M381" i="6"/>
  <c r="P381" i="6" s="1"/>
  <c r="N381" i="6"/>
  <c r="Q381" i="6"/>
  <c r="T381" i="6" s="1"/>
  <c r="R381" i="6"/>
  <c r="U381" i="6" s="1"/>
  <c r="S381" i="6"/>
  <c r="O382" i="6"/>
  <c r="P382" i="6"/>
  <c r="T382" i="6"/>
  <c r="U382" i="6"/>
  <c r="O383" i="6"/>
  <c r="P383" i="6"/>
  <c r="T383" i="6"/>
  <c r="U383" i="6"/>
  <c r="I385" i="6"/>
  <c r="I386" i="6"/>
  <c r="K386" i="6" s="1"/>
  <c r="K387" i="6"/>
  <c r="K388" i="6"/>
  <c r="I391" i="6"/>
  <c r="K391" i="6" s="1"/>
  <c r="J391" i="6"/>
  <c r="S392" i="6"/>
  <c r="L393" i="6"/>
  <c r="M393" i="6"/>
  <c r="N393" i="6"/>
  <c r="O393" i="6"/>
  <c r="Q393" i="6"/>
  <c r="T393" i="6" s="1"/>
  <c r="R393" i="6"/>
  <c r="S393" i="6"/>
  <c r="L394" i="6"/>
  <c r="M394" i="6"/>
  <c r="P394" i="6" s="1"/>
  <c r="N394" i="6"/>
  <c r="N392" i="6" s="1"/>
  <c r="O394" i="6"/>
  <c r="Q394" i="6"/>
  <c r="R394" i="6"/>
  <c r="S394" i="6"/>
  <c r="T394" i="6"/>
  <c r="U394" i="6"/>
  <c r="L395" i="6"/>
  <c r="O395" i="6" s="1"/>
  <c r="M395" i="6"/>
  <c r="N395" i="6"/>
  <c r="P395" i="6"/>
  <c r="Q395" i="6"/>
  <c r="T395" i="6" s="1"/>
  <c r="R395" i="6"/>
  <c r="U395" i="6" s="1"/>
  <c r="S395" i="6"/>
  <c r="O396" i="6"/>
  <c r="P396" i="6"/>
  <c r="T396" i="6"/>
  <c r="U396" i="6"/>
  <c r="O397" i="6"/>
  <c r="P397" i="6"/>
  <c r="T397" i="6"/>
  <c r="U397" i="6"/>
  <c r="L398" i="6"/>
  <c r="O398" i="6" s="1"/>
  <c r="M398" i="6"/>
  <c r="P398" i="6" s="1"/>
  <c r="N398" i="6"/>
  <c r="Q398" i="6"/>
  <c r="T398" i="6" s="1"/>
  <c r="R398" i="6"/>
  <c r="U398" i="6" s="1"/>
  <c r="S398" i="6"/>
  <c r="O399" i="6"/>
  <c r="P399" i="6"/>
  <c r="T399" i="6"/>
  <c r="U399" i="6"/>
  <c r="O400" i="6"/>
  <c r="P400" i="6"/>
  <c r="T400" i="6"/>
  <c r="U400" i="6"/>
  <c r="L414" i="6"/>
  <c r="M414" i="6"/>
  <c r="M413" i="6" s="1"/>
  <c r="P413" i="6" s="1"/>
  <c r="N414" i="6"/>
  <c r="O414" i="6"/>
  <c r="P414" i="6"/>
  <c r="Q414" i="6"/>
  <c r="R414" i="6"/>
  <c r="S414" i="6"/>
  <c r="T414" i="6"/>
  <c r="U414" i="6"/>
  <c r="L415" i="6"/>
  <c r="O415" i="6" s="1"/>
  <c r="M415" i="6"/>
  <c r="N415" i="6"/>
  <c r="P415" i="6"/>
  <c r="L416" i="6"/>
  <c r="O416" i="6" s="1"/>
  <c r="M416" i="6"/>
  <c r="P416" i="6" s="1"/>
  <c r="N416" i="6"/>
  <c r="O417" i="6"/>
  <c r="P417" i="6"/>
  <c r="T417" i="6"/>
  <c r="U417" i="6"/>
  <c r="O418" i="6"/>
  <c r="P418" i="6"/>
  <c r="Q418" i="6"/>
  <c r="R418" i="6"/>
  <c r="S418" i="6"/>
  <c r="S415" i="6" s="1"/>
  <c r="S413" i="6" s="1"/>
  <c r="L419" i="6"/>
  <c r="M419" i="6"/>
  <c r="N419" i="6"/>
  <c r="O419" i="6"/>
  <c r="P419" i="6"/>
  <c r="Q419" i="6"/>
  <c r="T419" i="6" s="1"/>
  <c r="R419" i="6"/>
  <c r="S419" i="6"/>
  <c r="U419" i="6"/>
  <c r="O420" i="6"/>
  <c r="P420" i="6"/>
  <c r="T420" i="6"/>
  <c r="U420" i="6"/>
  <c r="O421" i="6"/>
  <c r="P421" i="6"/>
  <c r="T421" i="6"/>
  <c r="U421" i="6"/>
  <c r="J423" i="6"/>
  <c r="J412" i="6" s="1"/>
  <c r="I424" i="6"/>
  <c r="K424" i="6" s="1"/>
  <c r="J424" i="6"/>
  <c r="I425" i="6"/>
  <c r="K425" i="6" s="1"/>
  <c r="J425" i="6"/>
  <c r="I432" i="6"/>
  <c r="K432" i="6" s="1"/>
  <c r="J432" i="6"/>
  <c r="I433" i="6"/>
  <c r="K433" i="6" s="1"/>
  <c r="J433" i="6"/>
  <c r="I440" i="6"/>
  <c r="I441" i="6"/>
  <c r="K441" i="6" s="1"/>
  <c r="J441" i="6"/>
  <c r="J446" i="6"/>
  <c r="J440" i="6" s="1"/>
  <c r="J447" i="6"/>
  <c r="I457" i="6"/>
  <c r="K457" i="6" s="1"/>
  <c r="I458" i="6"/>
  <c r="K458" i="6" s="1"/>
  <c r="J459" i="6"/>
  <c r="J460" i="6"/>
  <c r="J467" i="6"/>
  <c r="J468" i="6"/>
  <c r="J475" i="6"/>
  <c r="K475" i="6"/>
  <c r="J476" i="6"/>
  <c r="K476" i="6"/>
  <c r="J477" i="6"/>
  <c r="K477" i="6"/>
  <c r="J482" i="6"/>
  <c r="J483" i="6"/>
  <c r="I484" i="6"/>
  <c r="K484" i="6" s="1"/>
  <c r="J484" i="6"/>
  <c r="I485" i="6"/>
  <c r="K485" i="6" s="1"/>
  <c r="J485" i="6"/>
  <c r="L494" i="6"/>
  <c r="M494" i="6"/>
  <c r="N494" i="6"/>
  <c r="Q494" i="6"/>
  <c r="R494" i="6"/>
  <c r="U494" i="6" s="1"/>
  <c r="S494" i="6"/>
  <c r="T494" i="6"/>
  <c r="L495" i="6"/>
  <c r="O495" i="6" s="1"/>
  <c r="M495" i="6"/>
  <c r="N495" i="6"/>
  <c r="N493" i="6" s="1"/>
  <c r="P495" i="6"/>
  <c r="L496" i="6"/>
  <c r="O496" i="6" s="1"/>
  <c r="M496" i="6"/>
  <c r="P496" i="6" s="1"/>
  <c r="N496" i="6"/>
  <c r="O497" i="6"/>
  <c r="P497" i="6"/>
  <c r="T497" i="6"/>
  <c r="U497" i="6"/>
  <c r="O498" i="6"/>
  <c r="P498" i="6"/>
  <c r="Q498" i="6"/>
  <c r="R498" i="6"/>
  <c r="R495" i="6" s="1"/>
  <c r="U495" i="6" s="1"/>
  <c r="S498" i="6"/>
  <c r="L499" i="6"/>
  <c r="M499" i="6"/>
  <c r="P499" i="6" s="1"/>
  <c r="N499" i="6"/>
  <c r="O499" i="6"/>
  <c r="Q499" i="6"/>
  <c r="T499" i="6" s="1"/>
  <c r="R499" i="6"/>
  <c r="S499" i="6"/>
  <c r="U499" i="6"/>
  <c r="O500" i="6"/>
  <c r="P500" i="6"/>
  <c r="T500" i="6"/>
  <c r="U500" i="6"/>
  <c r="O501" i="6"/>
  <c r="P501" i="6"/>
  <c r="T501" i="6"/>
  <c r="U501" i="6"/>
  <c r="I503" i="6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K512" i="6" s="1"/>
  <c r="J512" i="6"/>
  <c r="L514" i="6"/>
  <c r="M514" i="6"/>
  <c r="N514" i="6"/>
  <c r="P514" i="6"/>
  <c r="Q514" i="6"/>
  <c r="R514" i="6"/>
  <c r="U514" i="6" s="1"/>
  <c r="S514" i="6"/>
  <c r="T514" i="6"/>
  <c r="Q515" i="6"/>
  <c r="R515" i="6"/>
  <c r="U515" i="6" s="1"/>
  <c r="S515" i="6"/>
  <c r="T515" i="6"/>
  <c r="Q516" i="6"/>
  <c r="R516" i="6"/>
  <c r="U516" i="6" s="1"/>
  <c r="S516" i="6"/>
  <c r="T516" i="6"/>
  <c r="O517" i="6"/>
  <c r="P517" i="6"/>
  <c r="T517" i="6"/>
  <c r="U517" i="6"/>
  <c r="L518" i="6"/>
  <c r="O518" i="6" s="1"/>
  <c r="M518" i="6"/>
  <c r="M516" i="6" s="1"/>
  <c r="P516" i="6" s="1"/>
  <c r="N518" i="6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O521" i="6" s="1"/>
  <c r="M521" i="6"/>
  <c r="M519" i="6" s="1"/>
  <c r="P519" i="6" s="1"/>
  <c r="N521" i="6"/>
  <c r="N519" i="6" s="1"/>
  <c r="T521" i="6"/>
  <c r="U521" i="6"/>
  <c r="K523" i="6"/>
  <c r="K524" i="6"/>
  <c r="I533" i="6"/>
  <c r="K533" i="6" s="1"/>
  <c r="J533" i="6"/>
  <c r="L535" i="6"/>
  <c r="M535" i="6"/>
  <c r="N535" i="6"/>
  <c r="Q535" i="6"/>
  <c r="T535" i="6" s="1"/>
  <c r="R535" i="6"/>
  <c r="S535" i="6"/>
  <c r="L536" i="6"/>
  <c r="O536" i="6" s="1"/>
  <c r="M536" i="6"/>
  <c r="P536" i="6" s="1"/>
  <c r="N536" i="6"/>
  <c r="N534" i="6" s="1"/>
  <c r="Q536" i="6"/>
  <c r="R536" i="6"/>
  <c r="S536" i="6"/>
  <c r="T536" i="6"/>
  <c r="U536" i="6"/>
  <c r="L537" i="6"/>
  <c r="M537" i="6"/>
  <c r="N537" i="6"/>
  <c r="O537" i="6"/>
  <c r="P537" i="6"/>
  <c r="Q537" i="6"/>
  <c r="T537" i="6" s="1"/>
  <c r="R537" i="6"/>
  <c r="U537" i="6" s="1"/>
  <c r="S537" i="6"/>
  <c r="O538" i="6"/>
  <c r="P538" i="6"/>
  <c r="T538" i="6"/>
  <c r="U538" i="6"/>
  <c r="O539" i="6"/>
  <c r="P539" i="6"/>
  <c r="T539" i="6"/>
  <c r="U539" i="6"/>
  <c r="L540" i="6"/>
  <c r="O540" i="6" s="1"/>
  <c r="M540" i="6"/>
  <c r="N540" i="6"/>
  <c r="P540" i="6"/>
  <c r="Q540" i="6"/>
  <c r="T540" i="6" s="1"/>
  <c r="R540" i="6"/>
  <c r="S540" i="6"/>
  <c r="U540" i="6"/>
  <c r="O541" i="6"/>
  <c r="P541" i="6"/>
  <c r="T541" i="6"/>
  <c r="U541" i="6"/>
  <c r="O542" i="6"/>
  <c r="P542" i="6"/>
  <c r="T542" i="6"/>
  <c r="U542" i="6"/>
  <c r="I554" i="6"/>
  <c r="K554" i="6" s="1"/>
  <c r="J554" i="6"/>
  <c r="L556" i="6"/>
  <c r="M556" i="6"/>
  <c r="P556" i="6" s="1"/>
  <c r="N556" i="6"/>
  <c r="N555" i="6" s="1"/>
  <c r="O556" i="6"/>
  <c r="Q556" i="6"/>
  <c r="R556" i="6"/>
  <c r="S556" i="6"/>
  <c r="T556" i="6"/>
  <c r="U556" i="6"/>
  <c r="L557" i="6"/>
  <c r="L555" i="6" s="1"/>
  <c r="O555" i="6" s="1"/>
  <c r="M557" i="6"/>
  <c r="N557" i="6"/>
  <c r="O557" i="6"/>
  <c r="P557" i="6"/>
  <c r="Q557" i="6"/>
  <c r="T557" i="6" s="1"/>
  <c r="R557" i="6"/>
  <c r="S557" i="6"/>
  <c r="U557" i="6"/>
  <c r="L558" i="6"/>
  <c r="O558" i="6" s="1"/>
  <c r="M558" i="6"/>
  <c r="P558" i="6" s="1"/>
  <c r="N558" i="6"/>
  <c r="Q558" i="6"/>
  <c r="T558" i="6" s="1"/>
  <c r="R558" i="6"/>
  <c r="U558" i="6" s="1"/>
  <c r="S558" i="6"/>
  <c r="O559" i="6"/>
  <c r="P559" i="6"/>
  <c r="T559" i="6"/>
  <c r="U559" i="6"/>
  <c r="O560" i="6"/>
  <c r="P560" i="6"/>
  <c r="T560" i="6"/>
  <c r="U560" i="6"/>
  <c r="L561" i="6"/>
  <c r="O561" i="6" s="1"/>
  <c r="M561" i="6"/>
  <c r="P561" i="6" s="1"/>
  <c r="N561" i="6"/>
  <c r="Q561" i="6"/>
  <c r="T561" i="6" s="1"/>
  <c r="R561" i="6"/>
  <c r="U561" i="6" s="1"/>
  <c r="S561" i="6"/>
  <c r="O562" i="6"/>
  <c r="P562" i="6"/>
  <c r="T562" i="6"/>
  <c r="U562" i="6"/>
  <c r="O563" i="6"/>
  <c r="P563" i="6"/>
  <c r="T563" i="6"/>
  <c r="U563" i="6"/>
  <c r="I575" i="6"/>
  <c r="J575" i="6"/>
  <c r="K575" i="6"/>
  <c r="Q576" i="6"/>
  <c r="T576" i="6" s="1"/>
  <c r="L577" i="6"/>
  <c r="M577" i="6"/>
  <c r="N577" i="6"/>
  <c r="Q577" i="6"/>
  <c r="T577" i="6" s="1"/>
  <c r="R577" i="6"/>
  <c r="S577" i="6"/>
  <c r="L578" i="6"/>
  <c r="O578" i="6" s="1"/>
  <c r="M578" i="6"/>
  <c r="P578" i="6" s="1"/>
  <c r="N578" i="6"/>
  <c r="N576" i="6" s="1"/>
  <c r="Q578" i="6"/>
  <c r="R578" i="6"/>
  <c r="U578" i="6" s="1"/>
  <c r="S578" i="6"/>
  <c r="T578" i="6"/>
  <c r="L579" i="6"/>
  <c r="M579" i="6"/>
  <c r="N579" i="6"/>
  <c r="O579" i="6"/>
  <c r="P579" i="6"/>
  <c r="Q579" i="6"/>
  <c r="T579" i="6" s="1"/>
  <c r="R579" i="6"/>
  <c r="S579" i="6"/>
  <c r="U579" i="6"/>
  <c r="O580" i="6"/>
  <c r="P580" i="6"/>
  <c r="T580" i="6"/>
  <c r="U580" i="6"/>
  <c r="O581" i="6"/>
  <c r="P581" i="6"/>
  <c r="T581" i="6"/>
  <c r="U581" i="6"/>
  <c r="L582" i="6"/>
  <c r="M582" i="6"/>
  <c r="N582" i="6"/>
  <c r="O582" i="6"/>
  <c r="P582" i="6"/>
  <c r="Q582" i="6"/>
  <c r="R582" i="6"/>
  <c r="S582" i="6"/>
  <c r="T582" i="6"/>
  <c r="U582" i="6"/>
  <c r="O583" i="6"/>
  <c r="P583" i="6"/>
  <c r="T583" i="6"/>
  <c r="U583" i="6"/>
  <c r="O584" i="6"/>
  <c r="P584" i="6"/>
  <c r="T584" i="6"/>
  <c r="U584" i="6"/>
  <c r="L600" i="6"/>
  <c r="M600" i="6"/>
  <c r="N600" i="6"/>
  <c r="N599" i="6" s="1"/>
  <c r="P600" i="6"/>
  <c r="Q600" i="6"/>
  <c r="T600" i="6" s="1"/>
  <c r="R600" i="6"/>
  <c r="S600" i="6"/>
  <c r="S599" i="6" s="1"/>
  <c r="L601" i="6"/>
  <c r="O601" i="6" s="1"/>
  <c r="M601" i="6"/>
  <c r="P601" i="6" s="1"/>
  <c r="N601" i="6"/>
  <c r="Q601" i="6"/>
  <c r="T601" i="6" s="1"/>
  <c r="R601" i="6"/>
  <c r="U601" i="6" s="1"/>
  <c r="S601" i="6"/>
  <c r="L602" i="6"/>
  <c r="O602" i="6" s="1"/>
  <c r="M602" i="6"/>
  <c r="P602" i="6" s="1"/>
  <c r="N602" i="6"/>
  <c r="Q602" i="6"/>
  <c r="T602" i="6" s="1"/>
  <c r="R602" i="6"/>
  <c r="S602" i="6"/>
  <c r="U602" i="6"/>
  <c r="O603" i="6"/>
  <c r="P603" i="6"/>
  <c r="T603" i="6"/>
  <c r="U603" i="6"/>
  <c r="O604" i="6"/>
  <c r="P604" i="6"/>
  <c r="T604" i="6"/>
  <c r="U604" i="6"/>
  <c r="L605" i="6"/>
  <c r="M605" i="6"/>
  <c r="N605" i="6"/>
  <c r="O605" i="6"/>
  <c r="P605" i="6"/>
  <c r="Q605" i="6"/>
  <c r="T605" i="6" s="1"/>
  <c r="R605" i="6"/>
  <c r="S605" i="6"/>
  <c r="U605" i="6"/>
  <c r="O606" i="6"/>
  <c r="P606" i="6"/>
  <c r="T606" i="6"/>
  <c r="U606" i="6"/>
  <c r="O607" i="6"/>
  <c r="P607" i="6"/>
  <c r="T607" i="6"/>
  <c r="U607" i="6"/>
  <c r="L617" i="6"/>
  <c r="M617" i="6"/>
  <c r="P617" i="6" s="1"/>
  <c r="N617" i="6"/>
  <c r="N616" i="6" s="1"/>
  <c r="O617" i="6"/>
  <c r="Q617" i="6"/>
  <c r="R617" i="6"/>
  <c r="S617" i="6"/>
  <c r="T617" i="6"/>
  <c r="U617" i="6"/>
  <c r="L618" i="6"/>
  <c r="M618" i="6"/>
  <c r="N618" i="6"/>
  <c r="P618" i="6"/>
  <c r="L619" i="6"/>
  <c r="O619" i="6" s="1"/>
  <c r="M619" i="6"/>
  <c r="P619" i="6" s="1"/>
  <c r="N619" i="6"/>
  <c r="O620" i="6"/>
  <c r="P620" i="6"/>
  <c r="T620" i="6"/>
  <c r="U620" i="6"/>
  <c r="O621" i="6"/>
  <c r="P621" i="6"/>
  <c r="Q621" i="6"/>
  <c r="R621" i="6"/>
  <c r="R619" i="6" s="1"/>
  <c r="S621" i="6"/>
  <c r="S618" i="6" s="1"/>
  <c r="L622" i="6"/>
  <c r="M622" i="6"/>
  <c r="N622" i="6"/>
  <c r="O622" i="6"/>
  <c r="P622" i="6"/>
  <c r="Q622" i="6"/>
  <c r="R622" i="6"/>
  <c r="S622" i="6"/>
  <c r="T622" i="6"/>
  <c r="U622" i="6"/>
  <c r="O623" i="6"/>
  <c r="P623" i="6"/>
  <c r="T623" i="6"/>
  <c r="U623" i="6"/>
  <c r="O624" i="6"/>
  <c r="P624" i="6"/>
  <c r="T624" i="6"/>
  <c r="U624" i="6"/>
  <c r="I626" i="6"/>
  <c r="I615" i="6" s="1"/>
  <c r="I627" i="6"/>
  <c r="K627" i="6" s="1"/>
  <c r="I628" i="6"/>
  <c r="K628" i="6" s="1"/>
  <c r="J632" i="6"/>
  <c r="J626" i="6" s="1"/>
  <c r="J615" i="6" s="1"/>
  <c r="I635" i="6"/>
  <c r="K635" i="6" s="1"/>
  <c r="J636" i="6"/>
  <c r="J635" i="6" s="1"/>
  <c r="L643" i="6"/>
  <c r="O643" i="6" s="1"/>
  <c r="M643" i="6"/>
  <c r="P643" i="6" s="1"/>
  <c r="N643" i="6"/>
  <c r="N642" i="6" s="1"/>
  <c r="Q643" i="6"/>
  <c r="R643" i="6"/>
  <c r="S643" i="6"/>
  <c r="T643" i="6"/>
  <c r="U643" i="6"/>
  <c r="L644" i="6"/>
  <c r="O644" i="6" s="1"/>
  <c r="M644" i="6"/>
  <c r="N644" i="6"/>
  <c r="P644" i="6"/>
  <c r="L645" i="6"/>
  <c r="O645" i="6" s="1"/>
  <c r="M645" i="6"/>
  <c r="N645" i="6"/>
  <c r="P645" i="6"/>
  <c r="O646" i="6"/>
  <c r="P646" i="6"/>
  <c r="T646" i="6"/>
  <c r="U646" i="6"/>
  <c r="O647" i="6"/>
  <c r="P647" i="6"/>
  <c r="Q647" i="6"/>
  <c r="R647" i="6"/>
  <c r="S647" i="6"/>
  <c r="S644" i="6" s="1"/>
  <c r="L648" i="6"/>
  <c r="M648" i="6"/>
  <c r="P648" i="6" s="1"/>
  <c r="N648" i="6"/>
  <c r="O648" i="6"/>
  <c r="Q648" i="6"/>
  <c r="R648" i="6"/>
  <c r="S648" i="6"/>
  <c r="T648" i="6"/>
  <c r="U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J654" i="6"/>
  <c r="I657" i="6"/>
  <c r="I660" i="6"/>
  <c r="I661" i="6"/>
  <c r="K661" i="6" s="1"/>
  <c r="J661" i="6"/>
  <c r="J671" i="6"/>
  <c r="J672" i="6"/>
  <c r="I673" i="6"/>
  <c r="J673" i="6"/>
  <c r="I674" i="6"/>
  <c r="I675" i="6"/>
  <c r="I676" i="6"/>
  <c r="J676" i="6"/>
  <c r="J677" i="6"/>
  <c r="I678" i="6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O691" i="6" s="1"/>
  <c r="M691" i="6"/>
  <c r="P691" i="6" s="1"/>
  <c r="N691" i="6"/>
  <c r="Q691" i="6"/>
  <c r="T691" i="6" s="1"/>
  <c r="R691" i="6"/>
  <c r="U691" i="6" s="1"/>
  <c r="S691" i="6"/>
  <c r="L692" i="6"/>
  <c r="O692" i="6" s="1"/>
  <c r="M692" i="6"/>
  <c r="P692" i="6" s="1"/>
  <c r="N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3" i="6" s="1"/>
  <c r="R695" i="6"/>
  <c r="S695" i="6"/>
  <c r="S692" i="6" s="1"/>
  <c r="S690" i="6" s="1"/>
  <c r="L696" i="6"/>
  <c r="O696" i="6" s="1"/>
  <c r="M696" i="6"/>
  <c r="P696" i="6" s="1"/>
  <c r="N696" i="6"/>
  <c r="Q696" i="6"/>
  <c r="T696" i="6" s="1"/>
  <c r="R696" i="6"/>
  <c r="U696" i="6" s="1"/>
  <c r="S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I689" i="6" s="1"/>
  <c r="J707" i="6"/>
  <c r="J689" i="6" s="1"/>
  <c r="J708" i="6"/>
  <c r="K708" i="6"/>
  <c r="I709" i="6"/>
  <c r="J709" i="6"/>
  <c r="J710" i="6"/>
  <c r="K710" i="6"/>
  <c r="J712" i="6"/>
  <c r="K712" i="6"/>
  <c r="N714" i="6"/>
  <c r="L715" i="6"/>
  <c r="M715" i="6"/>
  <c r="N715" i="6"/>
  <c r="Q715" i="6"/>
  <c r="T715" i="6" s="1"/>
  <c r="R715" i="6"/>
  <c r="S715" i="6"/>
  <c r="L716" i="6"/>
  <c r="O716" i="6" s="1"/>
  <c r="M716" i="6"/>
  <c r="N716" i="6"/>
  <c r="P716" i="6"/>
  <c r="Q716" i="6"/>
  <c r="T716" i="6" s="1"/>
  <c r="R716" i="6"/>
  <c r="U716" i="6" s="1"/>
  <c r="S716" i="6"/>
  <c r="L717" i="6"/>
  <c r="O717" i="6" s="1"/>
  <c r="M717" i="6"/>
  <c r="P717" i="6" s="1"/>
  <c r="N717" i="6"/>
  <c r="Q717" i="6"/>
  <c r="R717" i="6"/>
  <c r="U717" i="6" s="1"/>
  <c r="S717" i="6"/>
  <c r="T717" i="6"/>
  <c r="O718" i="6"/>
  <c r="P718" i="6"/>
  <c r="T718" i="6"/>
  <c r="U718" i="6"/>
  <c r="O719" i="6"/>
  <c r="P719" i="6"/>
  <c r="T719" i="6"/>
  <c r="U719" i="6"/>
  <c r="L720" i="6"/>
  <c r="O720" i="6" s="1"/>
  <c r="M720" i="6"/>
  <c r="P720" i="6" s="1"/>
  <c r="N720" i="6"/>
  <c r="Q720" i="6"/>
  <c r="T720" i="6" s="1"/>
  <c r="R720" i="6"/>
  <c r="U720" i="6" s="1"/>
  <c r="S720" i="6"/>
  <c r="O721" i="6"/>
  <c r="P721" i="6"/>
  <c r="T721" i="6"/>
  <c r="U721" i="6"/>
  <c r="O722" i="6"/>
  <c r="P722" i="6"/>
  <c r="T722" i="6"/>
  <c r="U722" i="6"/>
  <c r="I726" i="6"/>
  <c r="K726" i="6" s="1"/>
  <c r="J726" i="6"/>
  <c r="I727" i="6"/>
  <c r="K727" i="6" s="1"/>
  <c r="J727" i="6"/>
  <c r="N728" i="6"/>
  <c r="L729" i="6"/>
  <c r="O729" i="6" s="1"/>
  <c r="M729" i="6"/>
  <c r="N729" i="6"/>
  <c r="P729" i="6"/>
  <c r="Q729" i="6"/>
  <c r="T729" i="6" s="1"/>
  <c r="R729" i="6"/>
  <c r="U729" i="6" s="1"/>
  <c r="S729" i="6"/>
  <c r="L730" i="6"/>
  <c r="O730" i="6" s="1"/>
  <c r="M730" i="6"/>
  <c r="N730" i="6"/>
  <c r="L731" i="6"/>
  <c r="O731" i="6" s="1"/>
  <c r="M731" i="6"/>
  <c r="P731" i="6" s="1"/>
  <c r="N731" i="6"/>
  <c r="O732" i="6"/>
  <c r="P732" i="6"/>
  <c r="T732" i="6"/>
  <c r="U732" i="6"/>
  <c r="O733" i="6"/>
  <c r="P733" i="6"/>
  <c r="Q733" i="6"/>
  <c r="Q731" i="6" s="1"/>
  <c r="R733" i="6"/>
  <c r="S733" i="6"/>
  <c r="S730" i="6" s="1"/>
  <c r="L734" i="6"/>
  <c r="M734" i="6"/>
  <c r="P734" i="6" s="1"/>
  <c r="N734" i="6"/>
  <c r="O734" i="6"/>
  <c r="Q734" i="6"/>
  <c r="T734" i="6" s="1"/>
  <c r="R734" i="6"/>
  <c r="S734" i="6"/>
  <c r="U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M761" i="6"/>
  <c r="N761" i="6"/>
  <c r="N760" i="6" s="1"/>
  <c r="O761" i="6"/>
  <c r="P761" i="6"/>
  <c r="Q761" i="6"/>
  <c r="R761" i="6"/>
  <c r="S761" i="6"/>
  <c r="U761" i="6"/>
  <c r="L762" i="6"/>
  <c r="O762" i="6" s="1"/>
  <c r="M762" i="6"/>
  <c r="P762" i="6" s="1"/>
  <c r="N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2" i="6" s="1"/>
  <c r="T762" i="6" s="1"/>
  <c r="R765" i="6"/>
  <c r="R762" i="6" s="1"/>
  <c r="U762" i="6" s="1"/>
  <c r="S765" i="6"/>
  <c r="S763" i="6" s="1"/>
  <c r="L766" i="6"/>
  <c r="O766" i="6" s="1"/>
  <c r="M766" i="6"/>
  <c r="P766" i="6" s="1"/>
  <c r="N766" i="6"/>
  <c r="Q766" i="6"/>
  <c r="T766" i="6" s="1"/>
  <c r="R766" i="6"/>
  <c r="U766" i="6" s="1"/>
  <c r="S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I759" i="6" s="1"/>
  <c r="K759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L19" i="5" s="1"/>
  <c r="M22" i="5"/>
  <c r="N22" i="5"/>
  <c r="Q22" i="5"/>
  <c r="R22" i="5"/>
  <c r="S22" i="5"/>
  <c r="L25" i="5"/>
  <c r="M25" i="5"/>
  <c r="N25" i="5"/>
  <c r="Q25" i="5"/>
  <c r="T25" i="5" s="1"/>
  <c r="R25" i="5"/>
  <c r="S25" i="5"/>
  <c r="S24" i="5" s="1"/>
  <c r="Q26" i="5"/>
  <c r="R26" i="5"/>
  <c r="U26" i="5" s="1"/>
  <c r="S26" i="5"/>
  <c r="L45" i="5"/>
  <c r="O45" i="5" s="1"/>
  <c r="M45" i="5"/>
  <c r="N45" i="5"/>
  <c r="Q45" i="5"/>
  <c r="Q44" i="5" s="1"/>
  <c r="T44" i="5" s="1"/>
  <c r="R45" i="5"/>
  <c r="U45" i="5" s="1"/>
  <c r="S45" i="5"/>
  <c r="S44" i="5" s="1"/>
  <c r="T45" i="5"/>
  <c r="Q46" i="5"/>
  <c r="T46" i="5" s="1"/>
  <c r="R46" i="5"/>
  <c r="S46" i="5"/>
  <c r="U46" i="5"/>
  <c r="Q47" i="5"/>
  <c r="T47" i="5" s="1"/>
  <c r="R47" i="5"/>
  <c r="U47" i="5" s="1"/>
  <c r="S47" i="5"/>
  <c r="O48" i="5"/>
  <c r="P48" i="5"/>
  <c r="T48" i="5"/>
  <c r="U48" i="5"/>
  <c r="L49" i="5"/>
  <c r="L47" i="5" s="1"/>
  <c r="M49" i="5"/>
  <c r="N49" i="5"/>
  <c r="T49" i="5"/>
  <c r="U49" i="5"/>
  <c r="Q50" i="5"/>
  <c r="T50" i="5" s="1"/>
  <c r="R50" i="5"/>
  <c r="U50" i="5" s="1"/>
  <c r="S50" i="5"/>
  <c r="O51" i="5"/>
  <c r="P51" i="5"/>
  <c r="T51" i="5"/>
  <c r="U51" i="5"/>
  <c r="L52" i="5"/>
  <c r="M52" i="5"/>
  <c r="N52" i="5"/>
  <c r="N50" i="5" s="1"/>
  <c r="T52" i="5"/>
  <c r="U52" i="5"/>
  <c r="L60" i="5"/>
  <c r="M60" i="5"/>
  <c r="N60" i="5"/>
  <c r="O60" i="5"/>
  <c r="Q60" i="5"/>
  <c r="Q59" i="5" s="1"/>
  <c r="T59" i="5" s="1"/>
  <c r="R60" i="5"/>
  <c r="R59" i="5" s="1"/>
  <c r="U59" i="5" s="1"/>
  <c r="S60" i="5"/>
  <c r="T60" i="5"/>
  <c r="U60" i="5"/>
  <c r="Q61" i="5"/>
  <c r="T61" i="5" s="1"/>
  <c r="R61" i="5"/>
  <c r="U61" i="5" s="1"/>
  <c r="S61" i="5"/>
  <c r="Q62" i="5"/>
  <c r="T62" i="5" s="1"/>
  <c r="R62" i="5"/>
  <c r="U62" i="5" s="1"/>
  <c r="S62" i="5"/>
  <c r="O63" i="5"/>
  <c r="P63" i="5"/>
  <c r="T63" i="5"/>
  <c r="U63" i="5"/>
  <c r="L64" i="5"/>
  <c r="L62" i="5" s="1"/>
  <c r="M64" i="5"/>
  <c r="M62" i="5" s="1"/>
  <c r="N64" i="5"/>
  <c r="N62" i="5" s="1"/>
  <c r="T64" i="5"/>
  <c r="U64" i="5"/>
  <c r="Q65" i="5"/>
  <c r="R65" i="5"/>
  <c r="U65" i="5" s="1"/>
  <c r="S65" i="5"/>
  <c r="T65" i="5"/>
  <c r="O66" i="5"/>
  <c r="P66" i="5"/>
  <c r="T66" i="5"/>
  <c r="U66" i="5"/>
  <c r="L67" i="5"/>
  <c r="M67" i="5"/>
  <c r="N67" i="5"/>
  <c r="N65" i="5" s="1"/>
  <c r="T67" i="5"/>
  <c r="U67" i="5"/>
  <c r="L73" i="5"/>
  <c r="M73" i="5"/>
  <c r="N73" i="5"/>
  <c r="O73" i="5"/>
  <c r="Q73" i="5"/>
  <c r="T73" i="5" s="1"/>
  <c r="R73" i="5"/>
  <c r="S73" i="5"/>
  <c r="O76" i="5"/>
  <c r="P76" i="5"/>
  <c r="T76" i="5"/>
  <c r="U76" i="5"/>
  <c r="L77" i="5"/>
  <c r="O77" i="5" s="1"/>
  <c r="M77" i="5"/>
  <c r="M75" i="5" s="1"/>
  <c r="P75" i="5" s="1"/>
  <c r="N77" i="5"/>
  <c r="Q77" i="5"/>
  <c r="Q74" i="5" s="1"/>
  <c r="R77" i="5"/>
  <c r="R74" i="5" s="1"/>
  <c r="U74" i="5" s="1"/>
  <c r="S77" i="5"/>
  <c r="S75" i="5" s="1"/>
  <c r="Q78" i="5"/>
  <c r="T78" i="5" s="1"/>
  <c r="R78" i="5"/>
  <c r="U78" i="5" s="1"/>
  <c r="S78" i="5"/>
  <c r="O79" i="5"/>
  <c r="P79" i="5"/>
  <c r="T79" i="5"/>
  <c r="U79" i="5"/>
  <c r="L80" i="5"/>
  <c r="O80" i="5" s="1"/>
  <c r="M80" i="5"/>
  <c r="N80" i="5"/>
  <c r="N78" i="5" s="1"/>
  <c r="T80" i="5"/>
  <c r="U80" i="5"/>
  <c r="J82" i="5"/>
  <c r="J70" i="5" s="1"/>
  <c r="J83" i="5"/>
  <c r="J71" i="5" s="1"/>
  <c r="I84" i="5"/>
  <c r="I85" i="5"/>
  <c r="K85" i="5" s="1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O95" i="5"/>
  <c r="P95" i="5"/>
  <c r="Q95" i="5"/>
  <c r="R95" i="5"/>
  <c r="S95" i="5"/>
  <c r="T95" i="5"/>
  <c r="U95" i="5"/>
  <c r="O98" i="5"/>
  <c r="P98" i="5"/>
  <c r="T98" i="5"/>
  <c r="U98" i="5"/>
  <c r="L99" i="5"/>
  <c r="M99" i="5"/>
  <c r="N99" i="5"/>
  <c r="N97" i="5" s="1"/>
  <c r="Q99" i="5"/>
  <c r="Q96" i="5" s="1"/>
  <c r="T96" i="5" s="1"/>
  <c r="R99" i="5"/>
  <c r="R96" i="5" s="1"/>
  <c r="S99" i="5"/>
  <c r="S96" i="5" s="1"/>
  <c r="S94" i="5" s="1"/>
  <c r="Q100" i="5"/>
  <c r="R100" i="5"/>
  <c r="U100" i="5" s="1"/>
  <c r="S100" i="5"/>
  <c r="T100" i="5"/>
  <c r="O101" i="5"/>
  <c r="P101" i="5"/>
  <c r="T101" i="5"/>
  <c r="U101" i="5"/>
  <c r="L102" i="5"/>
  <c r="O102" i="5" s="1"/>
  <c r="M102" i="5"/>
  <c r="N102" i="5"/>
  <c r="N100" i="5" s="1"/>
  <c r="T102" i="5"/>
  <c r="U102" i="5"/>
  <c r="I108" i="5"/>
  <c r="K108" i="5" s="1"/>
  <c r="I109" i="5"/>
  <c r="I93" i="5" s="1"/>
  <c r="K93" i="5" s="1"/>
  <c r="I114" i="5"/>
  <c r="K114" i="5" s="1"/>
  <c r="J116" i="5"/>
  <c r="L118" i="5"/>
  <c r="O118" i="5" s="1"/>
  <c r="M118" i="5"/>
  <c r="P118" i="5" s="1"/>
  <c r="N118" i="5"/>
  <c r="Q118" i="5"/>
  <c r="R118" i="5"/>
  <c r="S118" i="5"/>
  <c r="T118" i="5"/>
  <c r="O121" i="5"/>
  <c r="P121" i="5"/>
  <c r="T121" i="5"/>
  <c r="U121" i="5"/>
  <c r="L122" i="5"/>
  <c r="M122" i="5"/>
  <c r="P122" i="5" s="1"/>
  <c r="N122" i="5"/>
  <c r="N120" i="5" s="1"/>
  <c r="Q122" i="5"/>
  <c r="R122" i="5"/>
  <c r="R119" i="5" s="1"/>
  <c r="S122" i="5"/>
  <c r="Q123" i="5"/>
  <c r="R123" i="5"/>
  <c r="U123" i="5" s="1"/>
  <c r="S123" i="5"/>
  <c r="T123" i="5"/>
  <c r="O124" i="5"/>
  <c r="P124" i="5"/>
  <c r="T124" i="5"/>
  <c r="U124" i="5"/>
  <c r="L125" i="5"/>
  <c r="M125" i="5"/>
  <c r="N125" i="5"/>
  <c r="N123" i="5" s="1"/>
  <c r="T125" i="5"/>
  <c r="U125" i="5"/>
  <c r="I127" i="5"/>
  <c r="I116" i="5" s="1"/>
  <c r="K116" i="5" s="1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Q140" i="5"/>
  <c r="R140" i="5"/>
  <c r="S140" i="5"/>
  <c r="T140" i="5"/>
  <c r="O143" i="5"/>
  <c r="P143" i="5"/>
  <c r="T143" i="5"/>
  <c r="U143" i="5"/>
  <c r="L144" i="5"/>
  <c r="L142" i="5" s="1"/>
  <c r="M144" i="5"/>
  <c r="N144" i="5"/>
  <c r="Q144" i="5"/>
  <c r="Q141" i="5" s="1"/>
  <c r="Q139" i="5" s="1"/>
  <c r="T139" i="5" s="1"/>
  <c r="R144" i="5"/>
  <c r="S144" i="5"/>
  <c r="S141" i="5" s="1"/>
  <c r="Q145" i="5"/>
  <c r="T145" i="5" s="1"/>
  <c r="R145" i="5"/>
  <c r="U145" i="5" s="1"/>
  <c r="S145" i="5"/>
  <c r="O146" i="5"/>
  <c r="P146" i="5"/>
  <c r="T146" i="5"/>
  <c r="U146" i="5"/>
  <c r="L147" i="5"/>
  <c r="L145" i="5" s="1"/>
  <c r="O145" i="5" s="1"/>
  <c r="M147" i="5"/>
  <c r="N147" i="5"/>
  <c r="T147" i="5"/>
  <c r="U147" i="5"/>
  <c r="I150" i="5"/>
  <c r="K150" i="5" s="1"/>
  <c r="I151" i="5"/>
  <c r="K151" i="5" s="1"/>
  <c r="I152" i="5"/>
  <c r="I137" i="5" s="1"/>
  <c r="I153" i="5"/>
  <c r="I138" i="5" s="1"/>
  <c r="I154" i="5"/>
  <c r="J156" i="5"/>
  <c r="L158" i="5"/>
  <c r="O158" i="5" s="1"/>
  <c r="M158" i="5"/>
  <c r="N158" i="5"/>
  <c r="P158" i="5"/>
  <c r="Q158" i="5"/>
  <c r="T158" i="5" s="1"/>
  <c r="R158" i="5"/>
  <c r="U158" i="5" s="1"/>
  <c r="S158" i="5"/>
  <c r="O161" i="5"/>
  <c r="P161" i="5"/>
  <c r="T161" i="5"/>
  <c r="U161" i="5"/>
  <c r="L162" i="5"/>
  <c r="L160" i="5" s="1"/>
  <c r="O160" i="5" s="1"/>
  <c r="M162" i="5"/>
  <c r="N162" i="5"/>
  <c r="N160" i="5" s="1"/>
  <c r="Q162" i="5"/>
  <c r="R162" i="5"/>
  <c r="S162" i="5"/>
  <c r="S159" i="5" s="1"/>
  <c r="S157" i="5" s="1"/>
  <c r="Q163" i="5"/>
  <c r="R163" i="5"/>
  <c r="U163" i="5" s="1"/>
  <c r="S163" i="5"/>
  <c r="T163" i="5"/>
  <c r="O164" i="5"/>
  <c r="P164" i="5"/>
  <c r="T164" i="5"/>
  <c r="U164" i="5"/>
  <c r="L165" i="5"/>
  <c r="M165" i="5"/>
  <c r="M163" i="5" s="1"/>
  <c r="P163" i="5" s="1"/>
  <c r="N165" i="5"/>
  <c r="N163" i="5" s="1"/>
  <c r="T165" i="5"/>
  <c r="U165" i="5"/>
  <c r="I167" i="5"/>
  <c r="K167" i="5" s="1"/>
  <c r="I168" i="5"/>
  <c r="K168" i="5" s="1"/>
  <c r="I169" i="5"/>
  <c r="J172" i="5"/>
  <c r="L174" i="5"/>
  <c r="M174" i="5"/>
  <c r="N174" i="5"/>
  <c r="O174" i="5"/>
  <c r="P174" i="5"/>
  <c r="Q174" i="5"/>
  <c r="T174" i="5" s="1"/>
  <c r="R174" i="5"/>
  <c r="S174" i="5"/>
  <c r="U174" i="5"/>
  <c r="O177" i="5"/>
  <c r="P177" i="5"/>
  <c r="T177" i="5"/>
  <c r="U177" i="5"/>
  <c r="L178" i="5"/>
  <c r="L176" i="5" s="1"/>
  <c r="O176" i="5" s="1"/>
  <c r="M178" i="5"/>
  <c r="M176" i="5" s="1"/>
  <c r="P176" i="5" s="1"/>
  <c r="N178" i="5"/>
  <c r="N176" i="5" s="1"/>
  <c r="Q178" i="5"/>
  <c r="R178" i="5"/>
  <c r="R175" i="5" s="1"/>
  <c r="U175" i="5" s="1"/>
  <c r="S178" i="5"/>
  <c r="S175" i="5" s="1"/>
  <c r="S173" i="5" s="1"/>
  <c r="Q179" i="5"/>
  <c r="T179" i="5" s="1"/>
  <c r="R179" i="5"/>
  <c r="U179" i="5" s="1"/>
  <c r="S179" i="5"/>
  <c r="O180" i="5"/>
  <c r="P180" i="5"/>
  <c r="T180" i="5"/>
  <c r="U180" i="5"/>
  <c r="L181" i="5"/>
  <c r="O181" i="5" s="1"/>
  <c r="M181" i="5"/>
  <c r="M179" i="5" s="1"/>
  <c r="P179" i="5" s="1"/>
  <c r="N181" i="5"/>
  <c r="N179" i="5" s="1"/>
  <c r="T181" i="5"/>
  <c r="U181" i="5"/>
  <c r="I183" i="5"/>
  <c r="I172" i="5" s="1"/>
  <c r="K172" i="5" s="1"/>
  <c r="K184" i="5"/>
  <c r="L187" i="5"/>
  <c r="M187" i="5"/>
  <c r="P187" i="5" s="1"/>
  <c r="N187" i="5"/>
  <c r="Q187" i="5"/>
  <c r="R187" i="5"/>
  <c r="S187" i="5"/>
  <c r="O190" i="5"/>
  <c r="P190" i="5"/>
  <c r="T190" i="5"/>
  <c r="U190" i="5"/>
  <c r="L191" i="5"/>
  <c r="M191" i="5"/>
  <c r="N191" i="5"/>
  <c r="Q191" i="5"/>
  <c r="R191" i="5"/>
  <c r="R188" i="5" s="1"/>
  <c r="S191" i="5"/>
  <c r="Q192" i="5"/>
  <c r="T192" i="5" s="1"/>
  <c r="R192" i="5"/>
  <c r="U192" i="5" s="1"/>
  <c r="S192" i="5"/>
  <c r="O193" i="5"/>
  <c r="P193" i="5"/>
  <c r="T193" i="5"/>
  <c r="U193" i="5"/>
  <c r="L194" i="5"/>
  <c r="L192" i="5" s="1"/>
  <c r="O192" i="5" s="1"/>
  <c r="M194" i="5"/>
  <c r="M192" i="5" s="1"/>
  <c r="P192" i="5" s="1"/>
  <c r="N194" i="5"/>
  <c r="N192" i="5" s="1"/>
  <c r="T194" i="5"/>
  <c r="U194" i="5"/>
  <c r="J195" i="5"/>
  <c r="L196" i="5"/>
  <c r="N196" i="5"/>
  <c r="P196" i="5"/>
  <c r="I198" i="5"/>
  <c r="I195" i="5" s="1"/>
  <c r="K195" i="5" s="1"/>
  <c r="J199" i="5"/>
  <c r="J202" i="5"/>
  <c r="P203" i="5"/>
  <c r="S203" i="5"/>
  <c r="U203" i="5"/>
  <c r="L204" i="5"/>
  <c r="N204" i="5"/>
  <c r="N203" i="5" s="1"/>
  <c r="L205" i="5"/>
  <c r="L206" i="5"/>
  <c r="Q206" i="5"/>
  <c r="Q203" i="5" s="1"/>
  <c r="T203" i="5" s="1"/>
  <c r="L207" i="5"/>
  <c r="I209" i="5"/>
  <c r="I202" i="5" s="1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K230" i="5" s="1"/>
  <c r="N234" i="5"/>
  <c r="N236" i="5"/>
  <c r="J238" i="5"/>
  <c r="J240" i="5"/>
  <c r="J241" i="5"/>
  <c r="J242" i="5"/>
  <c r="J231" i="5" s="1"/>
  <c r="J185" i="5" s="1"/>
  <c r="P243" i="5"/>
  <c r="L244" i="5"/>
  <c r="N244" i="5"/>
  <c r="N233" i="5" s="1"/>
  <c r="L245" i="5"/>
  <c r="L246" i="5"/>
  <c r="N246" i="5"/>
  <c r="N235" i="5" s="1"/>
  <c r="L247" i="5"/>
  <c r="I249" i="5"/>
  <c r="K249" i="5" s="1"/>
  <c r="I251" i="5"/>
  <c r="I240" i="5" s="1"/>
  <c r="K240" i="5" s="1"/>
  <c r="I252" i="5"/>
  <c r="J253" i="5"/>
  <c r="N254" i="5"/>
  <c r="P254" i="5"/>
  <c r="L255" i="5"/>
  <c r="L256" i="5"/>
  <c r="L257" i="5"/>
  <c r="L258" i="5"/>
  <c r="I260" i="5"/>
  <c r="K260" i="5" s="1"/>
  <c r="K262" i="5"/>
  <c r="K263" i="5"/>
  <c r="J265" i="5"/>
  <c r="L267" i="5"/>
  <c r="O267" i="5" s="1"/>
  <c r="M267" i="5"/>
  <c r="N267" i="5"/>
  <c r="P267" i="5"/>
  <c r="Q267" i="5"/>
  <c r="T267" i="5" s="1"/>
  <c r="R267" i="5"/>
  <c r="U267" i="5" s="1"/>
  <c r="S267" i="5"/>
  <c r="O270" i="5"/>
  <c r="P270" i="5"/>
  <c r="T270" i="5"/>
  <c r="U270" i="5"/>
  <c r="L271" i="5"/>
  <c r="L269" i="5" s="1"/>
  <c r="O269" i="5" s="1"/>
  <c r="M271" i="5"/>
  <c r="M269" i="5" s="1"/>
  <c r="N271" i="5"/>
  <c r="N269" i="5" s="1"/>
  <c r="Q271" i="5"/>
  <c r="R271" i="5"/>
  <c r="R268" i="5" s="1"/>
  <c r="S271" i="5"/>
  <c r="S268" i="5" s="1"/>
  <c r="S266" i="5" s="1"/>
  <c r="Q272" i="5"/>
  <c r="T272" i="5" s="1"/>
  <c r="R272" i="5"/>
  <c r="U272" i="5" s="1"/>
  <c r="S272" i="5"/>
  <c r="O273" i="5"/>
  <c r="P273" i="5"/>
  <c r="T273" i="5"/>
  <c r="U273" i="5"/>
  <c r="L274" i="5"/>
  <c r="O274" i="5" s="1"/>
  <c r="M274" i="5"/>
  <c r="M272" i="5" s="1"/>
  <c r="P272" i="5" s="1"/>
  <c r="N274" i="5"/>
  <c r="N272" i="5" s="1"/>
  <c r="T274" i="5"/>
  <c r="U274" i="5"/>
  <c r="I276" i="5"/>
  <c r="I265" i="5" s="1"/>
  <c r="J281" i="5"/>
  <c r="L283" i="5"/>
  <c r="M283" i="5"/>
  <c r="P283" i="5" s="1"/>
  <c r="N283" i="5"/>
  <c r="O283" i="5"/>
  <c r="Q283" i="5"/>
  <c r="T283" i="5" s="1"/>
  <c r="R283" i="5"/>
  <c r="S283" i="5"/>
  <c r="S282" i="5" s="1"/>
  <c r="U283" i="5"/>
  <c r="Q284" i="5"/>
  <c r="T284" i="5" s="1"/>
  <c r="R284" i="5"/>
  <c r="U284" i="5" s="1"/>
  <c r="S284" i="5"/>
  <c r="Q285" i="5"/>
  <c r="T285" i="5" s="1"/>
  <c r="R285" i="5"/>
  <c r="U285" i="5" s="1"/>
  <c r="S285" i="5"/>
  <c r="O286" i="5"/>
  <c r="P286" i="5"/>
  <c r="T286" i="5"/>
  <c r="U286" i="5"/>
  <c r="L287" i="5"/>
  <c r="L285" i="5" s="1"/>
  <c r="O285" i="5" s="1"/>
  <c r="M287" i="5"/>
  <c r="M285" i="5" s="1"/>
  <c r="P285" i="5" s="1"/>
  <c r="N287" i="5"/>
  <c r="N285" i="5" s="1"/>
  <c r="T287" i="5"/>
  <c r="U287" i="5"/>
  <c r="Q288" i="5"/>
  <c r="T288" i="5" s="1"/>
  <c r="R288" i="5"/>
  <c r="U288" i="5" s="1"/>
  <c r="S288" i="5"/>
  <c r="O289" i="5"/>
  <c r="P289" i="5"/>
  <c r="T289" i="5"/>
  <c r="U289" i="5"/>
  <c r="L290" i="5"/>
  <c r="M290" i="5"/>
  <c r="M288" i="5" s="1"/>
  <c r="P288" i="5" s="1"/>
  <c r="N290" i="5"/>
  <c r="N288" i="5" s="1"/>
  <c r="T290" i="5"/>
  <c r="U290" i="5"/>
  <c r="I292" i="5"/>
  <c r="K292" i="5" s="1"/>
  <c r="I293" i="5"/>
  <c r="J293" i="5"/>
  <c r="J280" i="5" s="1"/>
  <c r="I295" i="5"/>
  <c r="K295" i="5" s="1"/>
  <c r="I296" i="5"/>
  <c r="K296" i="5" s="1"/>
  <c r="J302" i="5"/>
  <c r="L304" i="5"/>
  <c r="M304" i="5"/>
  <c r="N304" i="5"/>
  <c r="O304" i="5"/>
  <c r="Q304" i="5"/>
  <c r="T304" i="5" s="1"/>
  <c r="R304" i="5"/>
  <c r="U304" i="5" s="1"/>
  <c r="S304" i="5"/>
  <c r="O307" i="5"/>
  <c r="P307" i="5"/>
  <c r="T307" i="5"/>
  <c r="U307" i="5"/>
  <c r="L308" i="5"/>
  <c r="M308" i="5"/>
  <c r="M306" i="5" s="1"/>
  <c r="P306" i="5" s="1"/>
  <c r="N308" i="5"/>
  <c r="Q308" i="5"/>
  <c r="R308" i="5"/>
  <c r="S308" i="5"/>
  <c r="S305" i="5" s="1"/>
  <c r="Q309" i="5"/>
  <c r="T309" i="5" s="1"/>
  <c r="R309" i="5"/>
  <c r="U309" i="5" s="1"/>
  <c r="S309" i="5"/>
  <c r="O310" i="5"/>
  <c r="P310" i="5"/>
  <c r="T310" i="5"/>
  <c r="U310" i="5"/>
  <c r="L311" i="5"/>
  <c r="M311" i="5"/>
  <c r="P311" i="5" s="1"/>
  <c r="N311" i="5"/>
  <c r="N309" i="5" s="1"/>
  <c r="T311" i="5"/>
  <c r="U311" i="5"/>
  <c r="I314" i="5"/>
  <c r="I302" i="5" s="1"/>
  <c r="K302" i="5" s="1"/>
  <c r="J319" i="5"/>
  <c r="Q320" i="5"/>
  <c r="T320" i="5" s="1"/>
  <c r="L321" i="5"/>
  <c r="O321" i="5" s="1"/>
  <c r="M321" i="5"/>
  <c r="N321" i="5"/>
  <c r="Q321" i="5"/>
  <c r="R321" i="5"/>
  <c r="U321" i="5" s="1"/>
  <c r="S321" i="5"/>
  <c r="T321" i="5"/>
  <c r="Q322" i="5"/>
  <c r="T322" i="5" s="1"/>
  <c r="R322" i="5"/>
  <c r="S322" i="5"/>
  <c r="Q323" i="5"/>
  <c r="T323" i="5" s="1"/>
  <c r="R323" i="5"/>
  <c r="U323" i="5" s="1"/>
  <c r="S323" i="5"/>
  <c r="O324" i="5"/>
  <c r="P324" i="5"/>
  <c r="T324" i="5"/>
  <c r="U324" i="5"/>
  <c r="L325" i="5"/>
  <c r="M325" i="5"/>
  <c r="M323" i="5" s="1"/>
  <c r="N325" i="5"/>
  <c r="N323" i="5" s="1"/>
  <c r="T325" i="5"/>
  <c r="U325" i="5"/>
  <c r="Q326" i="5"/>
  <c r="T326" i="5" s="1"/>
  <c r="R326" i="5"/>
  <c r="U326" i="5" s="1"/>
  <c r="S326" i="5"/>
  <c r="O327" i="5"/>
  <c r="P327" i="5"/>
  <c r="T327" i="5"/>
  <c r="U327" i="5"/>
  <c r="L328" i="5"/>
  <c r="M328" i="5"/>
  <c r="M326" i="5" s="1"/>
  <c r="P326" i="5" s="1"/>
  <c r="N328" i="5"/>
  <c r="N326" i="5" s="1"/>
  <c r="T328" i="5"/>
  <c r="U328" i="5"/>
  <c r="I330" i="5"/>
  <c r="K330" i="5" s="1"/>
  <c r="L334" i="5"/>
  <c r="M334" i="5"/>
  <c r="P334" i="5" s="1"/>
  <c r="N334" i="5"/>
  <c r="Q334" i="5"/>
  <c r="T334" i="5" s="1"/>
  <c r="R334" i="5"/>
  <c r="S334" i="5"/>
  <c r="Q335" i="5"/>
  <c r="R335" i="5"/>
  <c r="U335" i="5" s="1"/>
  <c r="S335" i="5"/>
  <c r="T335" i="5"/>
  <c r="Q336" i="5"/>
  <c r="R336" i="5"/>
  <c r="U336" i="5" s="1"/>
  <c r="S336" i="5"/>
  <c r="T336" i="5"/>
  <c r="O337" i="5"/>
  <c r="P337" i="5"/>
  <c r="T337" i="5"/>
  <c r="U337" i="5"/>
  <c r="L338" i="5"/>
  <c r="M338" i="5"/>
  <c r="M336" i="5" s="1"/>
  <c r="N338" i="5"/>
  <c r="N336" i="5" s="1"/>
  <c r="T338" i="5"/>
  <c r="U338" i="5"/>
  <c r="Q339" i="5"/>
  <c r="T339" i="5" s="1"/>
  <c r="R339" i="5"/>
  <c r="U339" i="5" s="1"/>
  <c r="S339" i="5"/>
  <c r="O340" i="5"/>
  <c r="P340" i="5"/>
  <c r="T340" i="5"/>
  <c r="U340" i="5"/>
  <c r="L341" i="5"/>
  <c r="O341" i="5" s="1"/>
  <c r="M341" i="5"/>
  <c r="M339" i="5" s="1"/>
  <c r="P339" i="5" s="1"/>
  <c r="N341" i="5"/>
  <c r="N339" i="5" s="1"/>
  <c r="T341" i="5"/>
  <c r="U341" i="5"/>
  <c r="I344" i="5"/>
  <c r="I332" i="5" s="1"/>
  <c r="J344" i="5"/>
  <c r="I346" i="5"/>
  <c r="J346" i="5"/>
  <c r="J347" i="5"/>
  <c r="J348" i="5"/>
  <c r="J349" i="5"/>
  <c r="D350" i="5"/>
  <c r="J352" i="5"/>
  <c r="J353" i="5"/>
  <c r="J354" i="5"/>
  <c r="L357" i="5"/>
  <c r="O357" i="5" s="1"/>
  <c r="M357" i="5"/>
  <c r="P357" i="5" s="1"/>
  <c r="N357" i="5"/>
  <c r="Q357" i="5"/>
  <c r="R357" i="5"/>
  <c r="S357" i="5"/>
  <c r="S356" i="5" s="1"/>
  <c r="Q358" i="5"/>
  <c r="R358" i="5"/>
  <c r="S358" i="5"/>
  <c r="T358" i="5"/>
  <c r="U358" i="5"/>
  <c r="Q359" i="5"/>
  <c r="T359" i="5" s="1"/>
  <c r="R359" i="5"/>
  <c r="U359" i="5" s="1"/>
  <c r="S359" i="5"/>
  <c r="O360" i="5"/>
  <c r="P360" i="5"/>
  <c r="T360" i="5"/>
  <c r="U360" i="5"/>
  <c r="L361" i="5"/>
  <c r="M361" i="5"/>
  <c r="N361" i="5"/>
  <c r="T361" i="5"/>
  <c r="U361" i="5"/>
  <c r="Q362" i="5"/>
  <c r="T362" i="5" s="1"/>
  <c r="R362" i="5"/>
  <c r="U362" i="5" s="1"/>
  <c r="S362" i="5"/>
  <c r="O363" i="5"/>
  <c r="P363" i="5"/>
  <c r="T363" i="5"/>
  <c r="U363" i="5"/>
  <c r="L364" i="5"/>
  <c r="O364" i="5" s="1"/>
  <c r="M364" i="5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L376" i="5"/>
  <c r="M376" i="5"/>
  <c r="N376" i="5"/>
  <c r="Q376" i="5"/>
  <c r="R376" i="5"/>
  <c r="S376" i="5"/>
  <c r="T376" i="5"/>
  <c r="L377" i="5"/>
  <c r="O377" i="5" s="1"/>
  <c r="M377" i="5"/>
  <c r="P377" i="5" s="1"/>
  <c r="N377" i="5"/>
  <c r="L378" i="5"/>
  <c r="O378" i="5" s="1"/>
  <c r="M378" i="5"/>
  <c r="P378" i="5" s="1"/>
  <c r="N378" i="5"/>
  <c r="O379" i="5"/>
  <c r="P379" i="5"/>
  <c r="T379" i="5"/>
  <c r="U379" i="5"/>
  <c r="O380" i="5"/>
  <c r="P380" i="5"/>
  <c r="Q380" i="5"/>
  <c r="Q378" i="5" s="1"/>
  <c r="R380" i="5"/>
  <c r="S380" i="5"/>
  <c r="S378" i="5" s="1"/>
  <c r="L381" i="5"/>
  <c r="O381" i="5" s="1"/>
  <c r="M381" i="5"/>
  <c r="P381" i="5" s="1"/>
  <c r="N381" i="5"/>
  <c r="Q381" i="5"/>
  <c r="R381" i="5"/>
  <c r="U381" i="5" s="1"/>
  <c r="S381" i="5"/>
  <c r="T381" i="5"/>
  <c r="O382" i="5"/>
  <c r="P382" i="5"/>
  <c r="T382" i="5"/>
  <c r="U382" i="5"/>
  <c r="O383" i="5"/>
  <c r="P383" i="5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R392" i="5"/>
  <c r="U392" i="5" s="1"/>
  <c r="S392" i="5"/>
  <c r="L393" i="5"/>
  <c r="M393" i="5"/>
  <c r="N393" i="5"/>
  <c r="P393" i="5"/>
  <c r="Q393" i="5"/>
  <c r="T393" i="5" s="1"/>
  <c r="R393" i="5"/>
  <c r="U393" i="5" s="1"/>
  <c r="S393" i="5"/>
  <c r="L394" i="5"/>
  <c r="O394" i="5" s="1"/>
  <c r="M394" i="5"/>
  <c r="N394" i="5"/>
  <c r="Q394" i="5"/>
  <c r="T394" i="5" s="1"/>
  <c r="R394" i="5"/>
  <c r="U394" i="5" s="1"/>
  <c r="S394" i="5"/>
  <c r="L395" i="5"/>
  <c r="O395" i="5" s="1"/>
  <c r="M395" i="5"/>
  <c r="P395" i="5" s="1"/>
  <c r="N395" i="5"/>
  <c r="Q395" i="5"/>
  <c r="R395" i="5"/>
  <c r="U395" i="5" s="1"/>
  <c r="S395" i="5"/>
  <c r="T395" i="5"/>
  <c r="O396" i="5"/>
  <c r="P396" i="5"/>
  <c r="T396" i="5"/>
  <c r="U396" i="5"/>
  <c r="O397" i="5"/>
  <c r="P397" i="5"/>
  <c r="T397" i="5"/>
  <c r="U397" i="5"/>
  <c r="L398" i="5"/>
  <c r="O398" i="5" s="1"/>
  <c r="M398" i="5"/>
  <c r="P398" i="5" s="1"/>
  <c r="N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M414" i="5"/>
  <c r="P414" i="5" s="1"/>
  <c r="N414" i="5"/>
  <c r="Q414" i="5"/>
  <c r="R414" i="5"/>
  <c r="S414" i="5"/>
  <c r="L415" i="5"/>
  <c r="O415" i="5" s="1"/>
  <c r="M415" i="5"/>
  <c r="N415" i="5"/>
  <c r="L416" i="5"/>
  <c r="O416" i="5" s="1"/>
  <c r="M416" i="5"/>
  <c r="P416" i="5" s="1"/>
  <c r="N416" i="5"/>
  <c r="O417" i="5"/>
  <c r="P417" i="5"/>
  <c r="T417" i="5"/>
  <c r="U417" i="5"/>
  <c r="O418" i="5"/>
  <c r="P418" i="5"/>
  <c r="Q418" i="5"/>
  <c r="R418" i="5"/>
  <c r="R416" i="5" s="1"/>
  <c r="U416" i="5" s="1"/>
  <c r="S418" i="5"/>
  <c r="S415" i="5" s="1"/>
  <c r="L419" i="5"/>
  <c r="O419" i="5" s="1"/>
  <c r="M419" i="5"/>
  <c r="P419" i="5" s="1"/>
  <c r="N419" i="5"/>
  <c r="Q419" i="5"/>
  <c r="T419" i="5" s="1"/>
  <c r="R419" i="5"/>
  <c r="U419" i="5" s="1"/>
  <c r="S419" i="5"/>
  <c r="O420" i="5"/>
  <c r="P420" i="5"/>
  <c r="T420" i="5"/>
  <c r="U420" i="5"/>
  <c r="O421" i="5"/>
  <c r="P421" i="5"/>
  <c r="T421" i="5"/>
  <c r="U421" i="5"/>
  <c r="I424" i="5"/>
  <c r="K424" i="5" s="1"/>
  <c r="J424" i="5"/>
  <c r="I425" i="5"/>
  <c r="K425" i="5" s="1"/>
  <c r="J425" i="5"/>
  <c r="I432" i="5"/>
  <c r="K432" i="5" s="1"/>
  <c r="J432" i="5"/>
  <c r="I433" i="5"/>
  <c r="K433" i="5" s="1"/>
  <c r="J433" i="5"/>
  <c r="I440" i="5"/>
  <c r="K440" i="5" s="1"/>
  <c r="I441" i="5"/>
  <c r="K441" i="5" s="1"/>
  <c r="J441" i="5"/>
  <c r="J446" i="5"/>
  <c r="J440" i="5" s="1"/>
  <c r="J423" i="5" s="1"/>
  <c r="J412" i="5" s="1"/>
  <c r="J447" i="5"/>
  <c r="I457" i="5"/>
  <c r="I456" i="5" s="1"/>
  <c r="K456" i="5" s="1"/>
  <c r="I458" i="5"/>
  <c r="K458" i="5" s="1"/>
  <c r="J458" i="5"/>
  <c r="J459" i="5"/>
  <c r="J460" i="5"/>
  <c r="J467" i="5"/>
  <c r="J468" i="5"/>
  <c r="J475" i="5"/>
  <c r="K475" i="5"/>
  <c r="J476" i="5"/>
  <c r="K476" i="5"/>
  <c r="J477" i="5"/>
  <c r="K477" i="5"/>
  <c r="J482" i="5"/>
  <c r="J483" i="5"/>
  <c r="I484" i="5"/>
  <c r="J484" i="5"/>
  <c r="K484" i="5"/>
  <c r="I485" i="5"/>
  <c r="K485" i="5" s="1"/>
  <c r="J485" i="5"/>
  <c r="N493" i="5"/>
  <c r="L494" i="5"/>
  <c r="M494" i="5"/>
  <c r="N494" i="5"/>
  <c r="Q494" i="5"/>
  <c r="T494" i="5" s="1"/>
  <c r="R494" i="5"/>
  <c r="S494" i="5"/>
  <c r="L495" i="5"/>
  <c r="O495" i="5" s="1"/>
  <c r="M495" i="5"/>
  <c r="P495" i="5" s="1"/>
  <c r="N495" i="5"/>
  <c r="L496" i="5"/>
  <c r="M496" i="5"/>
  <c r="P496" i="5" s="1"/>
  <c r="N496" i="5"/>
  <c r="O496" i="5"/>
  <c r="O497" i="5"/>
  <c r="P497" i="5"/>
  <c r="T497" i="5"/>
  <c r="U497" i="5"/>
  <c r="O498" i="5"/>
  <c r="P498" i="5"/>
  <c r="Q498" i="5"/>
  <c r="Q495" i="5" s="1"/>
  <c r="R498" i="5"/>
  <c r="R496" i="5" s="1"/>
  <c r="S498" i="5"/>
  <c r="L499" i="5"/>
  <c r="O499" i="5" s="1"/>
  <c r="M499" i="5"/>
  <c r="N499" i="5"/>
  <c r="P499" i="5"/>
  <c r="Q499" i="5"/>
  <c r="T499" i="5" s="1"/>
  <c r="R499" i="5"/>
  <c r="U499" i="5" s="1"/>
  <c r="S499" i="5"/>
  <c r="O500" i="5"/>
  <c r="P500" i="5"/>
  <c r="T500" i="5"/>
  <c r="U500" i="5"/>
  <c r="O501" i="5"/>
  <c r="P501" i="5"/>
  <c r="T501" i="5"/>
  <c r="U501" i="5"/>
  <c r="I503" i="5"/>
  <c r="I492" i="5" s="1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J512" i="5"/>
  <c r="K512" i="5"/>
  <c r="Q513" i="5"/>
  <c r="T513" i="5" s="1"/>
  <c r="L514" i="5"/>
  <c r="M514" i="5"/>
  <c r="N514" i="5"/>
  <c r="O514" i="5"/>
  <c r="Q514" i="5"/>
  <c r="T514" i="5" s="1"/>
  <c r="R514" i="5"/>
  <c r="R513" i="5" s="1"/>
  <c r="U513" i="5" s="1"/>
  <c r="S514" i="5"/>
  <c r="Q515" i="5"/>
  <c r="T515" i="5" s="1"/>
  <c r="R515" i="5"/>
  <c r="U515" i="5" s="1"/>
  <c r="S515" i="5"/>
  <c r="Q516" i="5"/>
  <c r="T516" i="5" s="1"/>
  <c r="R516" i="5"/>
  <c r="U516" i="5" s="1"/>
  <c r="S516" i="5"/>
  <c r="O517" i="5"/>
  <c r="P517" i="5"/>
  <c r="T517" i="5"/>
  <c r="U517" i="5"/>
  <c r="L518" i="5"/>
  <c r="M518" i="5"/>
  <c r="M516" i="5" s="1"/>
  <c r="P516" i="5" s="1"/>
  <c r="N518" i="5"/>
  <c r="N516" i="5" s="1"/>
  <c r="T518" i="5"/>
  <c r="U518" i="5"/>
  <c r="Q519" i="5"/>
  <c r="R519" i="5"/>
  <c r="S519" i="5"/>
  <c r="T519" i="5"/>
  <c r="U519" i="5"/>
  <c r="O520" i="5"/>
  <c r="P520" i="5"/>
  <c r="T520" i="5"/>
  <c r="U520" i="5"/>
  <c r="L521" i="5"/>
  <c r="M521" i="5"/>
  <c r="N521" i="5"/>
  <c r="N519" i="5" s="1"/>
  <c r="T521" i="5"/>
  <c r="U521" i="5"/>
  <c r="K523" i="5"/>
  <c r="K524" i="5"/>
  <c r="I533" i="5"/>
  <c r="K533" i="5" s="1"/>
  <c r="J533" i="5"/>
  <c r="S534" i="5"/>
  <c r="L535" i="5"/>
  <c r="M535" i="5"/>
  <c r="N535" i="5"/>
  <c r="Q535" i="5"/>
  <c r="R535" i="5"/>
  <c r="S535" i="5"/>
  <c r="L536" i="5"/>
  <c r="O536" i="5" s="1"/>
  <c r="M536" i="5"/>
  <c r="P536" i="5" s="1"/>
  <c r="N536" i="5"/>
  <c r="Q536" i="5"/>
  <c r="T536" i="5" s="1"/>
  <c r="R536" i="5"/>
  <c r="U536" i="5" s="1"/>
  <c r="S536" i="5"/>
  <c r="L537" i="5"/>
  <c r="O537" i="5" s="1"/>
  <c r="M537" i="5"/>
  <c r="P537" i="5" s="1"/>
  <c r="N537" i="5"/>
  <c r="Q537" i="5"/>
  <c r="R537" i="5"/>
  <c r="U537" i="5" s="1"/>
  <c r="S537" i="5"/>
  <c r="T537" i="5"/>
  <c r="O538" i="5"/>
  <c r="P538" i="5"/>
  <c r="T538" i="5"/>
  <c r="U538" i="5"/>
  <c r="O539" i="5"/>
  <c r="P539" i="5"/>
  <c r="T539" i="5"/>
  <c r="U539" i="5"/>
  <c r="L540" i="5"/>
  <c r="O540" i="5" s="1"/>
  <c r="M540" i="5"/>
  <c r="P540" i="5" s="1"/>
  <c r="N540" i="5"/>
  <c r="Q540" i="5"/>
  <c r="T540" i="5" s="1"/>
  <c r="R540" i="5"/>
  <c r="U540" i="5" s="1"/>
  <c r="S540" i="5"/>
  <c r="O541" i="5"/>
  <c r="P541" i="5"/>
  <c r="T541" i="5"/>
  <c r="U541" i="5"/>
  <c r="O542" i="5"/>
  <c r="P542" i="5"/>
  <c r="T542" i="5"/>
  <c r="U542" i="5"/>
  <c r="I554" i="5"/>
  <c r="K554" i="5" s="1"/>
  <c r="J554" i="5"/>
  <c r="L556" i="5"/>
  <c r="M556" i="5"/>
  <c r="P556" i="5" s="1"/>
  <c r="N556" i="5"/>
  <c r="Q556" i="5"/>
  <c r="R556" i="5"/>
  <c r="S556" i="5"/>
  <c r="L557" i="5"/>
  <c r="M557" i="5"/>
  <c r="N557" i="5"/>
  <c r="O557" i="5"/>
  <c r="Q557" i="5"/>
  <c r="T557" i="5" s="1"/>
  <c r="R557" i="5"/>
  <c r="U557" i="5" s="1"/>
  <c r="S557" i="5"/>
  <c r="L558" i="5"/>
  <c r="M558" i="5"/>
  <c r="P558" i="5" s="1"/>
  <c r="N558" i="5"/>
  <c r="O558" i="5"/>
  <c r="Q558" i="5"/>
  <c r="T558" i="5" s="1"/>
  <c r="R558" i="5"/>
  <c r="S558" i="5"/>
  <c r="U558" i="5"/>
  <c r="O559" i="5"/>
  <c r="P559" i="5"/>
  <c r="T559" i="5"/>
  <c r="U559" i="5"/>
  <c r="O560" i="5"/>
  <c r="P560" i="5"/>
  <c r="T560" i="5"/>
  <c r="U560" i="5"/>
  <c r="L561" i="5"/>
  <c r="M561" i="5"/>
  <c r="P561" i="5" s="1"/>
  <c r="N561" i="5"/>
  <c r="O561" i="5"/>
  <c r="Q561" i="5"/>
  <c r="T561" i="5" s="1"/>
  <c r="R561" i="5"/>
  <c r="S561" i="5"/>
  <c r="U561" i="5"/>
  <c r="O562" i="5"/>
  <c r="P562" i="5"/>
  <c r="T562" i="5"/>
  <c r="U562" i="5"/>
  <c r="O563" i="5"/>
  <c r="P563" i="5"/>
  <c r="T563" i="5"/>
  <c r="U563" i="5"/>
  <c r="I575" i="5"/>
  <c r="K575" i="5" s="1"/>
  <c r="J575" i="5"/>
  <c r="M576" i="5"/>
  <c r="P576" i="5"/>
  <c r="L577" i="5"/>
  <c r="O577" i="5" s="1"/>
  <c r="M577" i="5"/>
  <c r="N577" i="5"/>
  <c r="P577" i="5"/>
  <c r="Q577" i="5"/>
  <c r="R577" i="5"/>
  <c r="U577" i="5" s="1"/>
  <c r="S577" i="5"/>
  <c r="S576" i="5" s="1"/>
  <c r="T577" i="5"/>
  <c r="L578" i="5"/>
  <c r="M578" i="5"/>
  <c r="P578" i="5" s="1"/>
  <c r="N578" i="5"/>
  <c r="Q578" i="5"/>
  <c r="R578" i="5"/>
  <c r="U578" i="5" s="1"/>
  <c r="S578" i="5"/>
  <c r="T578" i="5"/>
  <c r="L579" i="5"/>
  <c r="O579" i="5" s="1"/>
  <c r="M579" i="5"/>
  <c r="P579" i="5" s="1"/>
  <c r="N579" i="5"/>
  <c r="Q579" i="5"/>
  <c r="T579" i="5" s="1"/>
  <c r="R579" i="5"/>
  <c r="U579" i="5" s="1"/>
  <c r="S579" i="5"/>
  <c r="O580" i="5"/>
  <c r="P580" i="5"/>
  <c r="T580" i="5"/>
  <c r="U580" i="5"/>
  <c r="O581" i="5"/>
  <c r="P581" i="5"/>
  <c r="T581" i="5"/>
  <c r="U581" i="5"/>
  <c r="L582" i="5"/>
  <c r="O582" i="5" s="1"/>
  <c r="M582" i="5"/>
  <c r="P582" i="5" s="1"/>
  <c r="N582" i="5"/>
  <c r="Q582" i="5"/>
  <c r="R582" i="5"/>
  <c r="U582" i="5" s="1"/>
  <c r="S582" i="5"/>
  <c r="T582" i="5"/>
  <c r="O583" i="5"/>
  <c r="P583" i="5"/>
  <c r="T583" i="5"/>
  <c r="U583" i="5"/>
  <c r="O584" i="5"/>
  <c r="P584" i="5"/>
  <c r="T584" i="5"/>
  <c r="U584" i="5"/>
  <c r="L600" i="5"/>
  <c r="M600" i="5"/>
  <c r="N600" i="5"/>
  <c r="Q600" i="5"/>
  <c r="R600" i="5"/>
  <c r="S600" i="5"/>
  <c r="S599" i="5" s="1"/>
  <c r="T600" i="5"/>
  <c r="L601" i="5"/>
  <c r="O601" i="5" s="1"/>
  <c r="M601" i="5"/>
  <c r="P601" i="5" s="1"/>
  <c r="N601" i="5"/>
  <c r="Q601" i="5"/>
  <c r="T601" i="5" s="1"/>
  <c r="R601" i="5"/>
  <c r="U601" i="5" s="1"/>
  <c r="S601" i="5"/>
  <c r="L602" i="5"/>
  <c r="O602" i="5" s="1"/>
  <c r="M602" i="5"/>
  <c r="N602" i="5"/>
  <c r="P602" i="5"/>
  <c r="Q602" i="5"/>
  <c r="R602" i="5"/>
  <c r="U602" i="5" s="1"/>
  <c r="S602" i="5"/>
  <c r="T602" i="5"/>
  <c r="O603" i="5"/>
  <c r="P603" i="5"/>
  <c r="T603" i="5"/>
  <c r="U603" i="5"/>
  <c r="O604" i="5"/>
  <c r="P604" i="5"/>
  <c r="T604" i="5"/>
  <c r="U604" i="5"/>
  <c r="L605" i="5"/>
  <c r="O605" i="5" s="1"/>
  <c r="M605" i="5"/>
  <c r="P605" i="5" s="1"/>
  <c r="N605" i="5"/>
  <c r="Q605" i="5"/>
  <c r="T605" i="5" s="1"/>
  <c r="R605" i="5"/>
  <c r="U605" i="5" s="1"/>
  <c r="S605" i="5"/>
  <c r="O606" i="5"/>
  <c r="P606" i="5"/>
  <c r="T606" i="5"/>
  <c r="U606" i="5"/>
  <c r="O607" i="5"/>
  <c r="P607" i="5"/>
  <c r="T607" i="5"/>
  <c r="U607" i="5"/>
  <c r="L617" i="5"/>
  <c r="M617" i="5"/>
  <c r="N617" i="5"/>
  <c r="Q617" i="5"/>
  <c r="T617" i="5" s="1"/>
  <c r="R617" i="5"/>
  <c r="S617" i="5"/>
  <c r="U617" i="5"/>
  <c r="L618" i="5"/>
  <c r="M618" i="5"/>
  <c r="P618" i="5" s="1"/>
  <c r="N618" i="5"/>
  <c r="O618" i="5"/>
  <c r="L619" i="5"/>
  <c r="O619" i="5" s="1"/>
  <c r="M619" i="5"/>
  <c r="P619" i="5" s="1"/>
  <c r="N619" i="5"/>
  <c r="O620" i="5"/>
  <c r="P620" i="5"/>
  <c r="T620" i="5"/>
  <c r="U620" i="5"/>
  <c r="O621" i="5"/>
  <c r="P621" i="5"/>
  <c r="Q621" i="5"/>
  <c r="Q619" i="5" s="1"/>
  <c r="R621" i="5"/>
  <c r="R619" i="5" s="1"/>
  <c r="S621" i="5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32" i="5" s="1"/>
  <c r="I627" i="5"/>
  <c r="K627" i="5" s="1"/>
  <c r="I628" i="5"/>
  <c r="K628" i="5" s="1"/>
  <c r="J632" i="5"/>
  <c r="J626" i="5" s="1"/>
  <c r="J615" i="5" s="1"/>
  <c r="I635" i="5"/>
  <c r="K635" i="5" s="1"/>
  <c r="J635" i="5"/>
  <c r="J636" i="5"/>
  <c r="L643" i="5"/>
  <c r="O643" i="5" s="1"/>
  <c r="M643" i="5"/>
  <c r="N643" i="5"/>
  <c r="Q643" i="5"/>
  <c r="R643" i="5"/>
  <c r="U643" i="5" s="1"/>
  <c r="S643" i="5"/>
  <c r="T643" i="5"/>
  <c r="L644" i="5"/>
  <c r="O644" i="5" s="1"/>
  <c r="M644" i="5"/>
  <c r="N644" i="5"/>
  <c r="P644" i="5"/>
  <c r="L645" i="5"/>
  <c r="O645" i="5" s="1"/>
  <c r="M645" i="5"/>
  <c r="N645" i="5"/>
  <c r="P645" i="5"/>
  <c r="O646" i="5"/>
  <c r="P646" i="5"/>
  <c r="T646" i="5"/>
  <c r="U646" i="5"/>
  <c r="O647" i="5"/>
  <c r="P647" i="5"/>
  <c r="Q647" i="5"/>
  <c r="R647" i="5"/>
  <c r="R644" i="5" s="1"/>
  <c r="U644" i="5" s="1"/>
  <c r="S647" i="5"/>
  <c r="S645" i="5" s="1"/>
  <c r="L648" i="5"/>
  <c r="O648" i="5" s="1"/>
  <c r="M648" i="5"/>
  <c r="P648" i="5" s="1"/>
  <c r="N648" i="5"/>
  <c r="Q648" i="5"/>
  <c r="R648" i="5"/>
  <c r="U648" i="5" s="1"/>
  <c r="S648" i="5"/>
  <c r="T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1" i="5"/>
  <c r="O691" i="5" s="1"/>
  <c r="M691" i="5"/>
  <c r="P691" i="5" s="1"/>
  <c r="N691" i="5"/>
  <c r="N690" i="5" s="1"/>
  <c r="Q691" i="5"/>
  <c r="T691" i="5" s="1"/>
  <c r="R691" i="5"/>
  <c r="S691" i="5"/>
  <c r="L692" i="5"/>
  <c r="L690" i="5" s="1"/>
  <c r="O690" i="5" s="1"/>
  <c r="M692" i="5"/>
  <c r="P692" i="5" s="1"/>
  <c r="N692" i="5"/>
  <c r="L693" i="5"/>
  <c r="O693" i="5" s="1"/>
  <c r="M693" i="5"/>
  <c r="N693" i="5"/>
  <c r="P693" i="5"/>
  <c r="O694" i="5"/>
  <c r="P694" i="5"/>
  <c r="T694" i="5"/>
  <c r="U694" i="5"/>
  <c r="O695" i="5"/>
  <c r="P695" i="5"/>
  <c r="Q695" i="5"/>
  <c r="R695" i="5"/>
  <c r="R692" i="5" s="1"/>
  <c r="S695" i="5"/>
  <c r="S693" i="5" s="1"/>
  <c r="L696" i="5"/>
  <c r="O696" i="5" s="1"/>
  <c r="M696" i="5"/>
  <c r="P696" i="5" s="1"/>
  <c r="N696" i="5"/>
  <c r="Q696" i="5"/>
  <c r="T696" i="5" s="1"/>
  <c r="R696" i="5"/>
  <c r="U696" i="5" s="1"/>
  <c r="S696" i="5"/>
  <c r="O697" i="5"/>
  <c r="P697" i="5"/>
  <c r="T697" i="5"/>
  <c r="U697" i="5"/>
  <c r="O698" i="5"/>
  <c r="P698" i="5"/>
  <c r="T698" i="5"/>
  <c r="U698" i="5"/>
  <c r="I700" i="5"/>
  <c r="K700" i="5" s="1"/>
  <c r="I701" i="5"/>
  <c r="J701" i="5"/>
  <c r="J702" i="5"/>
  <c r="K702" i="5"/>
  <c r="I703" i="5"/>
  <c r="J703" i="5"/>
  <c r="J704" i="5"/>
  <c r="K704" i="5"/>
  <c r="I705" i="5"/>
  <c r="J705" i="5"/>
  <c r="J706" i="5"/>
  <c r="K706" i="5"/>
  <c r="I707" i="5"/>
  <c r="J707" i="5"/>
  <c r="J689" i="5" s="1"/>
  <c r="J708" i="5"/>
  <c r="K708" i="5"/>
  <c r="I709" i="5"/>
  <c r="J712" i="5"/>
  <c r="K712" i="5"/>
  <c r="L715" i="5"/>
  <c r="O715" i="5" s="1"/>
  <c r="M715" i="5"/>
  <c r="N715" i="5"/>
  <c r="P715" i="5"/>
  <c r="Q715" i="5"/>
  <c r="R715" i="5"/>
  <c r="U715" i="5" s="1"/>
  <c r="S715" i="5"/>
  <c r="T715" i="5"/>
  <c r="L716" i="5"/>
  <c r="O716" i="5" s="1"/>
  <c r="M716" i="5"/>
  <c r="N716" i="5"/>
  <c r="P716" i="5"/>
  <c r="Q716" i="5"/>
  <c r="Q714" i="5" s="1"/>
  <c r="T714" i="5" s="1"/>
  <c r="R716" i="5"/>
  <c r="S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R720" i="5"/>
  <c r="U720" i="5" s="1"/>
  <c r="S720" i="5"/>
  <c r="T720" i="5"/>
  <c r="O721" i="5"/>
  <c r="P721" i="5"/>
  <c r="T721" i="5"/>
  <c r="U721" i="5"/>
  <c r="O722" i="5"/>
  <c r="P722" i="5"/>
  <c r="T722" i="5"/>
  <c r="U722" i="5"/>
  <c r="I726" i="5"/>
  <c r="J726" i="5"/>
  <c r="I727" i="5"/>
  <c r="K727" i="5" s="1"/>
  <c r="J727" i="5"/>
  <c r="L728" i="5"/>
  <c r="O728" i="5" s="1"/>
  <c r="L729" i="5"/>
  <c r="O729" i="5" s="1"/>
  <c r="M729" i="5"/>
  <c r="N729" i="5"/>
  <c r="Q729" i="5"/>
  <c r="R729" i="5"/>
  <c r="U729" i="5" s="1"/>
  <c r="S729" i="5"/>
  <c r="T729" i="5"/>
  <c r="L730" i="5"/>
  <c r="M730" i="5"/>
  <c r="P730" i="5" s="1"/>
  <c r="N730" i="5"/>
  <c r="O730" i="5"/>
  <c r="L731" i="5"/>
  <c r="O731" i="5" s="1"/>
  <c r="M731" i="5"/>
  <c r="P731" i="5" s="1"/>
  <c r="N731" i="5"/>
  <c r="O732" i="5"/>
  <c r="P732" i="5"/>
  <c r="T732" i="5"/>
  <c r="U732" i="5"/>
  <c r="O733" i="5"/>
  <c r="P733" i="5"/>
  <c r="Q733" i="5"/>
  <c r="Q730" i="5" s="1"/>
  <c r="R733" i="5"/>
  <c r="R731" i="5" s="1"/>
  <c r="S733" i="5"/>
  <c r="S730" i="5" s="1"/>
  <c r="L734" i="5"/>
  <c r="M734" i="5"/>
  <c r="P734" i="5" s="1"/>
  <c r="N734" i="5"/>
  <c r="O734" i="5"/>
  <c r="Q734" i="5"/>
  <c r="T734" i="5" s="1"/>
  <c r="R734" i="5"/>
  <c r="U734" i="5" s="1"/>
  <c r="S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L760" i="5" s="1"/>
  <c r="O760" i="5" s="1"/>
  <c r="M761" i="5"/>
  <c r="N761" i="5"/>
  <c r="N760" i="5" s="1"/>
  <c r="Q761" i="5"/>
  <c r="T761" i="5" s="1"/>
  <c r="R761" i="5"/>
  <c r="S761" i="5"/>
  <c r="U761" i="5"/>
  <c r="L762" i="5"/>
  <c r="M762" i="5"/>
  <c r="P762" i="5" s="1"/>
  <c r="N762" i="5"/>
  <c r="O762" i="5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Q762" i="5" s="1"/>
  <c r="R765" i="5"/>
  <c r="R762" i="5" s="1"/>
  <c r="R760" i="5" s="1"/>
  <c r="S765" i="5"/>
  <c r="L766" i="5"/>
  <c r="O766" i="5" s="1"/>
  <c r="M766" i="5"/>
  <c r="P766" i="5" s="1"/>
  <c r="N766" i="5"/>
  <c r="Q766" i="5"/>
  <c r="T766" i="5" s="1"/>
  <c r="R766" i="5"/>
  <c r="S766" i="5"/>
  <c r="U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K774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M22" i="4"/>
  <c r="M19" i="4" s="1"/>
  <c r="N22" i="4"/>
  <c r="Q22" i="4"/>
  <c r="R22" i="4"/>
  <c r="S22" i="4"/>
  <c r="T22" i="4"/>
  <c r="Q24" i="4"/>
  <c r="T24" i="4" s="1"/>
  <c r="L25" i="4"/>
  <c r="M25" i="4"/>
  <c r="N25" i="4"/>
  <c r="Q25" i="4"/>
  <c r="R25" i="4"/>
  <c r="S25" i="4"/>
  <c r="S24" i="4" s="1"/>
  <c r="T25" i="4"/>
  <c r="Q26" i="4"/>
  <c r="R26" i="4"/>
  <c r="U26" i="4" s="1"/>
  <c r="S26" i="4"/>
  <c r="T26" i="4"/>
  <c r="L45" i="4"/>
  <c r="O45" i="4" s="1"/>
  <c r="M45" i="4"/>
  <c r="N45" i="4"/>
  <c r="Q45" i="4"/>
  <c r="Q44" i="4" s="1"/>
  <c r="T44" i="4" s="1"/>
  <c r="R45" i="4"/>
  <c r="R44" i="4" s="1"/>
  <c r="U44" i="4" s="1"/>
  <c r="S45" i="4"/>
  <c r="S44" i="4" s="1"/>
  <c r="U45" i="4"/>
  <c r="Q46" i="4"/>
  <c r="T46" i="4" s="1"/>
  <c r="R46" i="4"/>
  <c r="S46" i="4"/>
  <c r="U46" i="4"/>
  <c r="Q47" i="4"/>
  <c r="T47" i="4" s="1"/>
  <c r="R47" i="4"/>
  <c r="U47" i="4" s="1"/>
  <c r="S47" i="4"/>
  <c r="O48" i="4"/>
  <c r="P48" i="4"/>
  <c r="T48" i="4"/>
  <c r="U48" i="4"/>
  <c r="L49" i="4"/>
  <c r="M49" i="4"/>
  <c r="M47" i="4" s="1"/>
  <c r="N49" i="4"/>
  <c r="N47" i="4" s="1"/>
  <c r="T49" i="4"/>
  <c r="U49" i="4"/>
  <c r="Q50" i="4"/>
  <c r="R50" i="4"/>
  <c r="S50" i="4"/>
  <c r="T50" i="4"/>
  <c r="U50" i="4"/>
  <c r="O51" i="4"/>
  <c r="P51" i="4"/>
  <c r="T51" i="4"/>
  <c r="U51" i="4"/>
  <c r="L52" i="4"/>
  <c r="M52" i="4"/>
  <c r="N52" i="4"/>
  <c r="N50" i="4" s="1"/>
  <c r="T52" i="4"/>
  <c r="U52" i="4"/>
  <c r="R59" i="4"/>
  <c r="U59" i="4" s="1"/>
  <c r="L60" i="4"/>
  <c r="O60" i="4" s="1"/>
  <c r="M60" i="4"/>
  <c r="N60" i="4"/>
  <c r="Q60" i="4"/>
  <c r="Q59" i="4" s="1"/>
  <c r="T59" i="4" s="1"/>
  <c r="R60" i="4"/>
  <c r="U60" i="4" s="1"/>
  <c r="S60" i="4"/>
  <c r="T60" i="4"/>
  <c r="Q61" i="4"/>
  <c r="T61" i="4" s="1"/>
  <c r="R61" i="4"/>
  <c r="S61" i="4"/>
  <c r="U61" i="4"/>
  <c r="Q62" i="4"/>
  <c r="T62" i="4" s="1"/>
  <c r="R62" i="4"/>
  <c r="U62" i="4" s="1"/>
  <c r="S62" i="4"/>
  <c r="O63" i="4"/>
  <c r="P63" i="4"/>
  <c r="T63" i="4"/>
  <c r="U63" i="4"/>
  <c r="L64" i="4"/>
  <c r="L62" i="4" s="1"/>
  <c r="M64" i="4"/>
  <c r="M62" i="4" s="1"/>
  <c r="N64" i="4"/>
  <c r="N62" i="4" s="1"/>
  <c r="T64" i="4"/>
  <c r="U64" i="4"/>
  <c r="Q65" i="4"/>
  <c r="R65" i="4"/>
  <c r="U65" i="4" s="1"/>
  <c r="S65" i="4"/>
  <c r="T65" i="4"/>
  <c r="O66" i="4"/>
  <c r="P66" i="4"/>
  <c r="T66" i="4"/>
  <c r="U66" i="4"/>
  <c r="L67" i="4"/>
  <c r="M67" i="4"/>
  <c r="N67" i="4"/>
  <c r="N65" i="4" s="1"/>
  <c r="T67" i="4"/>
  <c r="U67" i="4"/>
  <c r="L73" i="4"/>
  <c r="O73" i="4" s="1"/>
  <c r="M73" i="4"/>
  <c r="N73" i="4"/>
  <c r="Q73" i="4"/>
  <c r="R73" i="4"/>
  <c r="U73" i="4" s="1"/>
  <c r="S73" i="4"/>
  <c r="T73" i="4"/>
  <c r="O76" i="4"/>
  <c r="P76" i="4"/>
  <c r="T76" i="4"/>
  <c r="U76" i="4"/>
  <c r="L77" i="4"/>
  <c r="O77" i="4" s="1"/>
  <c r="M77" i="4"/>
  <c r="M75" i="4" s="1"/>
  <c r="P75" i="4" s="1"/>
  <c r="N77" i="4"/>
  <c r="N75" i="4" s="1"/>
  <c r="Q77" i="4"/>
  <c r="Q74" i="4" s="1"/>
  <c r="T74" i="4" s="1"/>
  <c r="R77" i="4"/>
  <c r="R74" i="4" s="1"/>
  <c r="R72" i="4" s="1"/>
  <c r="U72" i="4" s="1"/>
  <c r="S77" i="4"/>
  <c r="S75" i="4" s="1"/>
  <c r="Q78" i="4"/>
  <c r="T78" i="4" s="1"/>
  <c r="R78" i="4"/>
  <c r="U78" i="4" s="1"/>
  <c r="S78" i="4"/>
  <c r="O79" i="4"/>
  <c r="P79" i="4"/>
  <c r="T79" i="4"/>
  <c r="U79" i="4"/>
  <c r="L80" i="4"/>
  <c r="O80" i="4" s="1"/>
  <c r="M80" i="4"/>
  <c r="M78" i="4" s="1"/>
  <c r="P78" i="4" s="1"/>
  <c r="N80" i="4"/>
  <c r="N78" i="4" s="1"/>
  <c r="T80" i="4"/>
  <c r="U80" i="4"/>
  <c r="J82" i="4"/>
  <c r="J70" i="4" s="1"/>
  <c r="J83" i="4"/>
  <c r="J71" i="4" s="1"/>
  <c r="I84" i="4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O95" i="4"/>
  <c r="Q95" i="4"/>
  <c r="T95" i="4" s="1"/>
  <c r="R95" i="4"/>
  <c r="S95" i="4"/>
  <c r="O98" i="4"/>
  <c r="P98" i="4"/>
  <c r="T98" i="4"/>
  <c r="U98" i="4"/>
  <c r="L99" i="4"/>
  <c r="O99" i="4" s="1"/>
  <c r="M99" i="4"/>
  <c r="M97" i="4" s="1"/>
  <c r="P97" i="4" s="1"/>
  <c r="N99" i="4"/>
  <c r="N97" i="4" s="1"/>
  <c r="Q99" i="4"/>
  <c r="Q96" i="4" s="1"/>
  <c r="T96" i="4" s="1"/>
  <c r="R99" i="4"/>
  <c r="R96" i="4" s="1"/>
  <c r="U96" i="4" s="1"/>
  <c r="S99" i="4"/>
  <c r="S96" i="4" s="1"/>
  <c r="S94" i="4" s="1"/>
  <c r="Q100" i="4"/>
  <c r="T100" i="4" s="1"/>
  <c r="R100" i="4"/>
  <c r="U100" i="4" s="1"/>
  <c r="S100" i="4"/>
  <c r="O101" i="4"/>
  <c r="P101" i="4"/>
  <c r="T101" i="4"/>
  <c r="U101" i="4"/>
  <c r="L102" i="4"/>
  <c r="O102" i="4" s="1"/>
  <c r="M102" i="4"/>
  <c r="P102" i="4" s="1"/>
  <c r="N102" i="4"/>
  <c r="N100" i="4" s="1"/>
  <c r="T102" i="4"/>
  <c r="U102" i="4"/>
  <c r="I108" i="4"/>
  <c r="I92" i="4" s="1"/>
  <c r="K92" i="4" s="1"/>
  <c r="I109" i="4"/>
  <c r="I93" i="4" s="1"/>
  <c r="K93" i="4" s="1"/>
  <c r="I114" i="4"/>
  <c r="K114" i="4" s="1"/>
  <c r="J116" i="4"/>
  <c r="L118" i="4"/>
  <c r="M118" i="4"/>
  <c r="P118" i="4" s="1"/>
  <c r="N118" i="4"/>
  <c r="O118" i="4"/>
  <c r="Q118" i="4"/>
  <c r="T118" i="4" s="1"/>
  <c r="R118" i="4"/>
  <c r="S118" i="4"/>
  <c r="U118" i="4"/>
  <c r="O121" i="4"/>
  <c r="P121" i="4"/>
  <c r="T121" i="4"/>
  <c r="U121" i="4"/>
  <c r="L122" i="4"/>
  <c r="M122" i="4"/>
  <c r="P122" i="4" s="1"/>
  <c r="N122" i="4"/>
  <c r="N120" i="4" s="1"/>
  <c r="Q122" i="4"/>
  <c r="Q119" i="4" s="1"/>
  <c r="R122" i="4"/>
  <c r="R119" i="4" s="1"/>
  <c r="S122" i="4"/>
  <c r="S119" i="4" s="1"/>
  <c r="Q123" i="4"/>
  <c r="R123" i="4"/>
  <c r="U123" i="4" s="1"/>
  <c r="S123" i="4"/>
  <c r="T123" i="4"/>
  <c r="O124" i="4"/>
  <c r="P124" i="4"/>
  <c r="T124" i="4"/>
  <c r="U124" i="4"/>
  <c r="L125" i="4"/>
  <c r="O125" i="4" s="1"/>
  <c r="M125" i="4"/>
  <c r="M123" i="4" s="1"/>
  <c r="P123" i="4" s="1"/>
  <c r="N125" i="4"/>
  <c r="N123" i="4" s="1"/>
  <c r="T125" i="4"/>
  <c r="U125" i="4"/>
  <c r="I127" i="4"/>
  <c r="I116" i="4" s="1"/>
  <c r="K116" i="4" s="1"/>
  <c r="I128" i="4"/>
  <c r="K128" i="4" s="1"/>
  <c r="I129" i="4"/>
  <c r="K129" i="4" s="1"/>
  <c r="I130" i="4"/>
  <c r="K130" i="4" s="1"/>
  <c r="J136" i="4"/>
  <c r="J137" i="4"/>
  <c r="J138" i="4"/>
  <c r="L140" i="4"/>
  <c r="M140" i="4"/>
  <c r="N140" i="4"/>
  <c r="Q140" i="4"/>
  <c r="T140" i="4" s="1"/>
  <c r="R140" i="4"/>
  <c r="S140" i="4"/>
  <c r="O143" i="4"/>
  <c r="P143" i="4"/>
  <c r="T143" i="4"/>
  <c r="U143" i="4"/>
  <c r="L144" i="4"/>
  <c r="L142" i="4" s="1"/>
  <c r="M144" i="4"/>
  <c r="N144" i="4"/>
  <c r="Q144" i="4"/>
  <c r="Q141" i="4" s="1"/>
  <c r="T141" i="4" s="1"/>
  <c r="R144" i="4"/>
  <c r="R142" i="4" s="1"/>
  <c r="U142" i="4" s="1"/>
  <c r="S144" i="4"/>
  <c r="Q145" i="4"/>
  <c r="T145" i="4" s="1"/>
  <c r="R145" i="4"/>
  <c r="U145" i="4" s="1"/>
  <c r="S145" i="4"/>
  <c r="O146" i="4"/>
  <c r="P146" i="4"/>
  <c r="T146" i="4"/>
  <c r="U146" i="4"/>
  <c r="L147" i="4"/>
  <c r="L145" i="4" s="1"/>
  <c r="O145" i="4" s="1"/>
  <c r="M147" i="4"/>
  <c r="N147" i="4"/>
  <c r="N145" i="4" s="1"/>
  <c r="T147" i="4"/>
  <c r="U147" i="4"/>
  <c r="I150" i="4"/>
  <c r="K150" i="4" s="1"/>
  <c r="I151" i="4"/>
  <c r="K151" i="4" s="1"/>
  <c r="I152" i="4"/>
  <c r="I153" i="4"/>
  <c r="I138" i="4" s="1"/>
  <c r="K138" i="4" s="1"/>
  <c r="I154" i="4"/>
  <c r="J156" i="4"/>
  <c r="L158" i="4"/>
  <c r="M158" i="4"/>
  <c r="P158" i="4" s="1"/>
  <c r="N158" i="4"/>
  <c r="O158" i="4"/>
  <c r="Q158" i="4"/>
  <c r="R158" i="4"/>
  <c r="U158" i="4" s="1"/>
  <c r="S158" i="4"/>
  <c r="T158" i="4"/>
  <c r="O161" i="4"/>
  <c r="P161" i="4"/>
  <c r="T161" i="4"/>
  <c r="U161" i="4"/>
  <c r="L162" i="4"/>
  <c r="L160" i="4" s="1"/>
  <c r="M162" i="4"/>
  <c r="N162" i="4"/>
  <c r="N160" i="4" s="1"/>
  <c r="Q162" i="4"/>
  <c r="Q159" i="4" s="1"/>
  <c r="T159" i="4" s="1"/>
  <c r="R162" i="4"/>
  <c r="R159" i="4" s="1"/>
  <c r="U159" i="4" s="1"/>
  <c r="S162" i="4"/>
  <c r="S159" i="4" s="1"/>
  <c r="S157" i="4" s="1"/>
  <c r="Q163" i="4"/>
  <c r="T163" i="4" s="1"/>
  <c r="R163" i="4"/>
  <c r="U163" i="4" s="1"/>
  <c r="S163" i="4"/>
  <c r="O164" i="4"/>
  <c r="P164" i="4"/>
  <c r="T164" i="4"/>
  <c r="U164" i="4"/>
  <c r="L165" i="4"/>
  <c r="O165" i="4" s="1"/>
  <c r="M165" i="4"/>
  <c r="M163" i="4" s="1"/>
  <c r="P163" i="4" s="1"/>
  <c r="N165" i="4"/>
  <c r="N163" i="4" s="1"/>
  <c r="T165" i="4"/>
  <c r="U165" i="4"/>
  <c r="I167" i="4"/>
  <c r="J172" i="4"/>
  <c r="L174" i="4"/>
  <c r="O174" i="4" s="1"/>
  <c r="M174" i="4"/>
  <c r="N174" i="4"/>
  <c r="P174" i="4"/>
  <c r="Q174" i="4"/>
  <c r="R174" i="4"/>
  <c r="U174" i="4" s="1"/>
  <c r="S174" i="4"/>
  <c r="T174" i="4"/>
  <c r="O177" i="4"/>
  <c r="P177" i="4"/>
  <c r="T177" i="4"/>
  <c r="U177" i="4"/>
  <c r="L178" i="4"/>
  <c r="M178" i="4"/>
  <c r="N178" i="4"/>
  <c r="N176" i="4" s="1"/>
  <c r="Q178" i="4"/>
  <c r="R178" i="4"/>
  <c r="R175" i="4" s="1"/>
  <c r="S178" i="4"/>
  <c r="S175" i="4" s="1"/>
  <c r="Q179" i="4"/>
  <c r="R179" i="4"/>
  <c r="U179" i="4" s="1"/>
  <c r="S179" i="4"/>
  <c r="T179" i="4"/>
  <c r="O180" i="4"/>
  <c r="P180" i="4"/>
  <c r="T180" i="4"/>
  <c r="U180" i="4"/>
  <c r="L181" i="4"/>
  <c r="O181" i="4" s="1"/>
  <c r="M181" i="4"/>
  <c r="M179" i="4" s="1"/>
  <c r="P179" i="4" s="1"/>
  <c r="N181" i="4"/>
  <c r="N179" i="4" s="1"/>
  <c r="T181" i="4"/>
  <c r="U181" i="4"/>
  <c r="I183" i="4"/>
  <c r="I172" i="4" s="1"/>
  <c r="K172" i="4" s="1"/>
  <c r="K184" i="4"/>
  <c r="L187" i="4"/>
  <c r="M187" i="4"/>
  <c r="N187" i="4"/>
  <c r="Q187" i="4"/>
  <c r="R187" i="4"/>
  <c r="S187" i="4"/>
  <c r="O190" i="4"/>
  <c r="P190" i="4"/>
  <c r="T190" i="4"/>
  <c r="U190" i="4"/>
  <c r="L191" i="4"/>
  <c r="L189" i="4" s="1"/>
  <c r="M191" i="4"/>
  <c r="M189" i="4" s="1"/>
  <c r="N191" i="4"/>
  <c r="Q191" i="4"/>
  <c r="R191" i="4"/>
  <c r="S191" i="4"/>
  <c r="S189" i="4" s="1"/>
  <c r="Q192" i="4"/>
  <c r="T192" i="4" s="1"/>
  <c r="R192" i="4"/>
  <c r="U192" i="4" s="1"/>
  <c r="S192" i="4"/>
  <c r="O193" i="4"/>
  <c r="P193" i="4"/>
  <c r="T193" i="4"/>
  <c r="U193" i="4"/>
  <c r="L194" i="4"/>
  <c r="O194" i="4" s="1"/>
  <c r="M194" i="4"/>
  <c r="N194" i="4"/>
  <c r="N192" i="4" s="1"/>
  <c r="T194" i="4"/>
  <c r="U194" i="4"/>
  <c r="J195" i="4"/>
  <c r="L196" i="4"/>
  <c r="O196" i="4" s="1"/>
  <c r="P196" i="4"/>
  <c r="I198" i="4"/>
  <c r="I195" i="4" s="1"/>
  <c r="K195" i="4" s="1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K209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N233" i="4"/>
  <c r="N234" i="4"/>
  <c r="N235" i="4"/>
  <c r="N236" i="4"/>
  <c r="J238" i="4"/>
  <c r="J240" i="4"/>
  <c r="J241" i="4"/>
  <c r="J242" i="4"/>
  <c r="N243" i="4"/>
  <c r="N232" i="4" s="1"/>
  <c r="P243" i="4"/>
  <c r="L244" i="4"/>
  <c r="L245" i="4"/>
  <c r="L246" i="4"/>
  <c r="L247" i="4"/>
  <c r="I249" i="4"/>
  <c r="I251" i="4"/>
  <c r="K251" i="4" s="1"/>
  <c r="I252" i="4"/>
  <c r="J253" i="4"/>
  <c r="N254" i="4"/>
  <c r="P254" i="4"/>
  <c r="L255" i="4"/>
  <c r="L256" i="4"/>
  <c r="L257" i="4"/>
  <c r="L258" i="4"/>
  <c r="I260" i="4"/>
  <c r="I253" i="4" s="1"/>
  <c r="K253" i="4" s="1"/>
  <c r="I262" i="4"/>
  <c r="I263" i="4"/>
  <c r="K263" i="4" s="1"/>
  <c r="J265" i="4"/>
  <c r="L267" i="4"/>
  <c r="M267" i="4"/>
  <c r="N267" i="4"/>
  <c r="O267" i="4"/>
  <c r="Q267" i="4"/>
  <c r="R267" i="4"/>
  <c r="S267" i="4"/>
  <c r="T267" i="4"/>
  <c r="O270" i="4"/>
  <c r="P270" i="4"/>
  <c r="T270" i="4"/>
  <c r="U270" i="4"/>
  <c r="L271" i="4"/>
  <c r="L269" i="4" s="1"/>
  <c r="O269" i="4" s="1"/>
  <c r="M271" i="4"/>
  <c r="M269" i="4" s="1"/>
  <c r="N271" i="4"/>
  <c r="N269" i="4" s="1"/>
  <c r="Q271" i="4"/>
  <c r="Q268" i="4" s="1"/>
  <c r="R271" i="4"/>
  <c r="R268" i="4" s="1"/>
  <c r="S271" i="4"/>
  <c r="S268" i="4" s="1"/>
  <c r="Q272" i="4"/>
  <c r="T272" i="4" s="1"/>
  <c r="R272" i="4"/>
  <c r="U272" i="4" s="1"/>
  <c r="S272" i="4"/>
  <c r="O273" i="4"/>
  <c r="P273" i="4"/>
  <c r="T273" i="4"/>
  <c r="U273" i="4"/>
  <c r="L274" i="4"/>
  <c r="L272" i="4" s="1"/>
  <c r="O272" i="4" s="1"/>
  <c r="M274" i="4"/>
  <c r="M272" i="4" s="1"/>
  <c r="P272" i="4" s="1"/>
  <c r="N274" i="4"/>
  <c r="N272" i="4" s="1"/>
  <c r="T274" i="4"/>
  <c r="U274" i="4"/>
  <c r="I276" i="4"/>
  <c r="I265" i="4" s="1"/>
  <c r="K265" i="4" s="1"/>
  <c r="J280" i="4"/>
  <c r="J281" i="4"/>
  <c r="L283" i="4"/>
  <c r="O283" i="4" s="1"/>
  <c r="M283" i="4"/>
  <c r="N283" i="4"/>
  <c r="P283" i="4"/>
  <c r="Q283" i="4"/>
  <c r="T283" i="4" s="1"/>
  <c r="R283" i="4"/>
  <c r="R282" i="4" s="1"/>
  <c r="U282" i="4" s="1"/>
  <c r="S283" i="4"/>
  <c r="Q284" i="4"/>
  <c r="T284" i="4" s="1"/>
  <c r="R284" i="4"/>
  <c r="U284" i="4" s="1"/>
  <c r="S284" i="4"/>
  <c r="S282" i="4" s="1"/>
  <c r="Q285" i="4"/>
  <c r="T285" i="4" s="1"/>
  <c r="R285" i="4"/>
  <c r="U285" i="4" s="1"/>
  <c r="S285" i="4"/>
  <c r="O286" i="4"/>
  <c r="P286" i="4"/>
  <c r="T286" i="4"/>
  <c r="U286" i="4"/>
  <c r="L287" i="4"/>
  <c r="L285" i="4" s="1"/>
  <c r="O285" i="4" s="1"/>
  <c r="M287" i="4"/>
  <c r="P287" i="4" s="1"/>
  <c r="N287" i="4"/>
  <c r="T287" i="4"/>
  <c r="U287" i="4"/>
  <c r="Q288" i="4"/>
  <c r="T288" i="4" s="1"/>
  <c r="R288" i="4"/>
  <c r="U288" i="4" s="1"/>
  <c r="S288" i="4"/>
  <c r="O289" i="4"/>
  <c r="P289" i="4"/>
  <c r="T289" i="4"/>
  <c r="U289" i="4"/>
  <c r="L290" i="4"/>
  <c r="L288" i="4" s="1"/>
  <c r="O288" i="4" s="1"/>
  <c r="M290" i="4"/>
  <c r="N290" i="4"/>
  <c r="N288" i="4" s="1"/>
  <c r="T290" i="4"/>
  <c r="U290" i="4"/>
  <c r="I292" i="4"/>
  <c r="I293" i="4"/>
  <c r="K293" i="4" s="1"/>
  <c r="J293" i="4"/>
  <c r="I295" i="4"/>
  <c r="K295" i="4" s="1"/>
  <c r="I296" i="4"/>
  <c r="K296" i="4" s="1"/>
  <c r="J302" i="4"/>
  <c r="L304" i="4"/>
  <c r="M304" i="4"/>
  <c r="N304" i="4"/>
  <c r="P304" i="4"/>
  <c r="Q304" i="4"/>
  <c r="R304" i="4"/>
  <c r="S304" i="4"/>
  <c r="T304" i="4"/>
  <c r="O307" i="4"/>
  <c r="P307" i="4"/>
  <c r="T307" i="4"/>
  <c r="U307" i="4"/>
  <c r="L308" i="4"/>
  <c r="M308" i="4"/>
  <c r="M306" i="4" s="1"/>
  <c r="N308" i="4"/>
  <c r="Q308" i="4"/>
  <c r="Q305" i="4" s="1"/>
  <c r="R308" i="4"/>
  <c r="S308" i="4"/>
  <c r="S305" i="4" s="1"/>
  <c r="S303" i="4" s="1"/>
  <c r="Q309" i="4"/>
  <c r="T309" i="4" s="1"/>
  <c r="R309" i="4"/>
  <c r="U309" i="4" s="1"/>
  <c r="S309" i="4"/>
  <c r="O310" i="4"/>
  <c r="P310" i="4"/>
  <c r="T310" i="4"/>
  <c r="U310" i="4"/>
  <c r="L311" i="4"/>
  <c r="O311" i="4" s="1"/>
  <c r="M311" i="4"/>
  <c r="N311" i="4"/>
  <c r="N309" i="4" s="1"/>
  <c r="T311" i="4"/>
  <c r="U311" i="4"/>
  <c r="I314" i="4"/>
  <c r="I302" i="4" s="1"/>
  <c r="K302" i="4" s="1"/>
  <c r="J319" i="4"/>
  <c r="L321" i="4"/>
  <c r="M321" i="4"/>
  <c r="N321" i="4"/>
  <c r="Q321" i="4"/>
  <c r="Q320" i="4" s="1"/>
  <c r="T320" i="4" s="1"/>
  <c r="R321" i="4"/>
  <c r="S321" i="4"/>
  <c r="Q322" i="4"/>
  <c r="T322" i="4" s="1"/>
  <c r="R322" i="4"/>
  <c r="S322" i="4"/>
  <c r="U322" i="4"/>
  <c r="Q323" i="4"/>
  <c r="T323" i="4" s="1"/>
  <c r="R323" i="4"/>
  <c r="U323" i="4" s="1"/>
  <c r="S323" i="4"/>
  <c r="O324" i="4"/>
  <c r="P324" i="4"/>
  <c r="T324" i="4"/>
  <c r="U324" i="4"/>
  <c r="L325" i="4"/>
  <c r="L323" i="4" s="1"/>
  <c r="O323" i="4" s="1"/>
  <c r="M325" i="4"/>
  <c r="M323" i="4" s="1"/>
  <c r="P323" i="4" s="1"/>
  <c r="N325" i="4"/>
  <c r="N323" i="4" s="1"/>
  <c r="T325" i="4"/>
  <c r="U325" i="4"/>
  <c r="Q326" i="4"/>
  <c r="R326" i="4"/>
  <c r="U326" i="4" s="1"/>
  <c r="S326" i="4"/>
  <c r="T326" i="4"/>
  <c r="O327" i="4"/>
  <c r="P327" i="4"/>
  <c r="T327" i="4"/>
  <c r="U327" i="4"/>
  <c r="L328" i="4"/>
  <c r="M328" i="4"/>
  <c r="P328" i="4" s="1"/>
  <c r="N328" i="4"/>
  <c r="N326" i="4" s="1"/>
  <c r="T328" i="4"/>
  <c r="U328" i="4"/>
  <c r="I330" i="4"/>
  <c r="K330" i="4" s="1"/>
  <c r="L334" i="4"/>
  <c r="O334" i="4" s="1"/>
  <c r="M334" i="4"/>
  <c r="N334" i="4"/>
  <c r="Q334" i="4"/>
  <c r="T334" i="4" s="1"/>
  <c r="R334" i="4"/>
  <c r="R333" i="4" s="1"/>
  <c r="U333" i="4" s="1"/>
  <c r="S334" i="4"/>
  <c r="S333" i="4" s="1"/>
  <c r="U334" i="4"/>
  <c r="Q335" i="4"/>
  <c r="T335" i="4" s="1"/>
  <c r="R335" i="4"/>
  <c r="U335" i="4" s="1"/>
  <c r="S335" i="4"/>
  <c r="Q336" i="4"/>
  <c r="T336" i="4" s="1"/>
  <c r="R336" i="4"/>
  <c r="U336" i="4" s="1"/>
  <c r="S336" i="4"/>
  <c r="O337" i="4"/>
  <c r="P337" i="4"/>
  <c r="T337" i="4"/>
  <c r="U337" i="4"/>
  <c r="L338" i="4"/>
  <c r="L336" i="4" s="1"/>
  <c r="M338" i="4"/>
  <c r="M336" i="4" s="1"/>
  <c r="N338" i="4"/>
  <c r="N336" i="4" s="1"/>
  <c r="T338" i="4"/>
  <c r="U338" i="4"/>
  <c r="Q339" i="4"/>
  <c r="T339" i="4" s="1"/>
  <c r="R339" i="4"/>
  <c r="S339" i="4"/>
  <c r="U339" i="4"/>
  <c r="O340" i="4"/>
  <c r="P340" i="4"/>
  <c r="T340" i="4"/>
  <c r="U340" i="4"/>
  <c r="L341" i="4"/>
  <c r="M341" i="4"/>
  <c r="N341" i="4"/>
  <c r="N339" i="4" s="1"/>
  <c r="T341" i="4"/>
  <c r="U341" i="4"/>
  <c r="I344" i="4"/>
  <c r="I332" i="4" s="1"/>
  <c r="J344" i="4"/>
  <c r="I346" i="4"/>
  <c r="J346" i="4"/>
  <c r="J347" i="4"/>
  <c r="J348" i="4"/>
  <c r="J349" i="4"/>
  <c r="D350" i="4"/>
  <c r="J352" i="4"/>
  <c r="J353" i="4"/>
  <c r="J354" i="4"/>
  <c r="L357" i="4"/>
  <c r="O357" i="4" s="1"/>
  <c r="M357" i="4"/>
  <c r="N357" i="4"/>
  <c r="P357" i="4"/>
  <c r="Q357" i="4"/>
  <c r="R357" i="4"/>
  <c r="U357" i="4" s="1"/>
  <c r="S357" i="4"/>
  <c r="Q358" i="4"/>
  <c r="T358" i="4" s="1"/>
  <c r="R358" i="4"/>
  <c r="U358" i="4" s="1"/>
  <c r="S358" i="4"/>
  <c r="S356" i="4" s="1"/>
  <c r="Q359" i="4"/>
  <c r="R359" i="4"/>
  <c r="U359" i="4" s="1"/>
  <c r="S359" i="4"/>
  <c r="T359" i="4"/>
  <c r="O360" i="4"/>
  <c r="P360" i="4"/>
  <c r="T360" i="4"/>
  <c r="U360" i="4"/>
  <c r="L361" i="4"/>
  <c r="M361" i="4"/>
  <c r="N361" i="4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L362" i="4" s="1"/>
  <c r="O362" i="4" s="1"/>
  <c r="M364" i="4"/>
  <c r="P364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L376" i="4"/>
  <c r="M376" i="4"/>
  <c r="N376" i="4"/>
  <c r="Q376" i="4"/>
  <c r="T376" i="4" s="1"/>
  <c r="R376" i="4"/>
  <c r="S376" i="4"/>
  <c r="L377" i="4"/>
  <c r="O377" i="4" s="1"/>
  <c r="M377" i="4"/>
  <c r="P377" i="4" s="1"/>
  <c r="N377" i="4"/>
  <c r="N375" i="4" s="1"/>
  <c r="L378" i="4"/>
  <c r="M378" i="4"/>
  <c r="P378" i="4" s="1"/>
  <c r="N378" i="4"/>
  <c r="O378" i="4"/>
  <c r="O379" i="4"/>
  <c r="P379" i="4"/>
  <c r="T379" i="4"/>
  <c r="U379" i="4"/>
  <c r="O380" i="4"/>
  <c r="P380" i="4"/>
  <c r="Q380" i="4"/>
  <c r="R380" i="4"/>
  <c r="S380" i="4"/>
  <c r="S378" i="4" s="1"/>
  <c r="L381" i="4"/>
  <c r="O381" i="4" s="1"/>
  <c r="M381" i="4"/>
  <c r="P381" i="4" s="1"/>
  <c r="N381" i="4"/>
  <c r="Q381" i="4"/>
  <c r="T381" i="4" s="1"/>
  <c r="R381" i="4"/>
  <c r="U381" i="4" s="1"/>
  <c r="S381" i="4"/>
  <c r="O382" i="4"/>
  <c r="P382" i="4"/>
  <c r="T382" i="4"/>
  <c r="U382" i="4"/>
  <c r="O383" i="4"/>
  <c r="P383" i="4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J391" i="4"/>
  <c r="K391" i="4"/>
  <c r="R392" i="4"/>
  <c r="U392" i="4" s="1"/>
  <c r="L393" i="4"/>
  <c r="M393" i="4"/>
  <c r="P393" i="4" s="1"/>
  <c r="N393" i="4"/>
  <c r="O393" i="4"/>
  <c r="Q393" i="4"/>
  <c r="Q392" i="4" s="1"/>
  <c r="T392" i="4" s="1"/>
  <c r="R393" i="4"/>
  <c r="U393" i="4" s="1"/>
  <c r="S393" i="4"/>
  <c r="T393" i="4"/>
  <c r="L394" i="4"/>
  <c r="O394" i="4" s="1"/>
  <c r="M394" i="4"/>
  <c r="N394" i="4"/>
  <c r="P394" i="4"/>
  <c r="Q394" i="4"/>
  <c r="T394" i="4" s="1"/>
  <c r="R394" i="4"/>
  <c r="S394" i="4"/>
  <c r="S392" i="4" s="1"/>
  <c r="U394" i="4"/>
  <c r="L395" i="4"/>
  <c r="O395" i="4" s="1"/>
  <c r="M395" i="4"/>
  <c r="P395" i="4" s="1"/>
  <c r="N395" i="4"/>
  <c r="Q395" i="4"/>
  <c r="R395" i="4"/>
  <c r="U395" i="4" s="1"/>
  <c r="S395" i="4"/>
  <c r="T395" i="4"/>
  <c r="O396" i="4"/>
  <c r="P396" i="4"/>
  <c r="T396" i="4"/>
  <c r="U396" i="4"/>
  <c r="O397" i="4"/>
  <c r="P397" i="4"/>
  <c r="T397" i="4"/>
  <c r="U397" i="4"/>
  <c r="L398" i="4"/>
  <c r="O398" i="4" s="1"/>
  <c r="M398" i="4"/>
  <c r="N398" i="4"/>
  <c r="P398" i="4"/>
  <c r="Q398" i="4"/>
  <c r="R398" i="4"/>
  <c r="U398" i="4" s="1"/>
  <c r="S398" i="4"/>
  <c r="T398" i="4"/>
  <c r="O399" i="4"/>
  <c r="P399" i="4"/>
  <c r="T399" i="4"/>
  <c r="U399" i="4"/>
  <c r="O400" i="4"/>
  <c r="P400" i="4"/>
  <c r="T400" i="4"/>
  <c r="U400" i="4"/>
  <c r="L414" i="4"/>
  <c r="O414" i="4" s="1"/>
  <c r="M414" i="4"/>
  <c r="P414" i="4" s="1"/>
  <c r="N414" i="4"/>
  <c r="N413" i="4" s="1"/>
  <c r="Q414" i="4"/>
  <c r="T414" i="4" s="1"/>
  <c r="R414" i="4"/>
  <c r="S414" i="4"/>
  <c r="U414" i="4"/>
  <c r="L415" i="4"/>
  <c r="M415" i="4"/>
  <c r="M413" i="4" s="1"/>
  <c r="P413" i="4" s="1"/>
  <c r="N415" i="4"/>
  <c r="O415" i="4"/>
  <c r="L416" i="4"/>
  <c r="O416" i="4" s="1"/>
  <c r="M416" i="4"/>
  <c r="P416" i="4" s="1"/>
  <c r="N416" i="4"/>
  <c r="O417" i="4"/>
  <c r="P417" i="4"/>
  <c r="T417" i="4"/>
  <c r="U417" i="4"/>
  <c r="O418" i="4"/>
  <c r="P418" i="4"/>
  <c r="Q418" i="4"/>
  <c r="R418" i="4"/>
  <c r="R415" i="4" s="1"/>
  <c r="U415" i="4" s="1"/>
  <c r="S418" i="4"/>
  <c r="S415" i="4" s="1"/>
  <c r="L419" i="4"/>
  <c r="O419" i="4" s="1"/>
  <c r="M419" i="4"/>
  <c r="N419" i="4"/>
  <c r="P419" i="4"/>
  <c r="Q419" i="4"/>
  <c r="R419" i="4"/>
  <c r="U419" i="4" s="1"/>
  <c r="S419" i="4"/>
  <c r="T419" i="4"/>
  <c r="O420" i="4"/>
  <c r="P420" i="4"/>
  <c r="T420" i="4"/>
  <c r="U420" i="4"/>
  <c r="O421" i="4"/>
  <c r="P421" i="4"/>
  <c r="T421" i="4"/>
  <c r="U421" i="4"/>
  <c r="I424" i="4"/>
  <c r="K424" i="4" s="1"/>
  <c r="J424" i="4"/>
  <c r="I425" i="4"/>
  <c r="K425" i="4" s="1"/>
  <c r="J425" i="4"/>
  <c r="I432" i="4"/>
  <c r="K432" i="4" s="1"/>
  <c r="J432" i="4"/>
  <c r="I433" i="4"/>
  <c r="K433" i="4" s="1"/>
  <c r="J433" i="4"/>
  <c r="I440" i="4"/>
  <c r="I441" i="4"/>
  <c r="K441" i="4" s="1"/>
  <c r="J446" i="4"/>
  <c r="J440" i="4" s="1"/>
  <c r="J423" i="4" s="1"/>
  <c r="J412" i="4" s="1"/>
  <c r="J447" i="4"/>
  <c r="J441" i="4" s="1"/>
  <c r="I457" i="4"/>
  <c r="I458" i="4"/>
  <c r="K458" i="4" s="1"/>
  <c r="J459" i="4"/>
  <c r="J457" i="4" s="1"/>
  <c r="J456" i="4" s="1"/>
  <c r="J460" i="4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K485" i="4" s="1"/>
  <c r="J485" i="4"/>
  <c r="L494" i="4"/>
  <c r="M494" i="4"/>
  <c r="N494" i="4"/>
  <c r="Q494" i="4"/>
  <c r="T494" i="4" s="1"/>
  <c r="R494" i="4"/>
  <c r="S494" i="4"/>
  <c r="L495" i="4"/>
  <c r="O495" i="4" s="1"/>
  <c r="M495" i="4"/>
  <c r="P495" i="4" s="1"/>
  <c r="N495" i="4"/>
  <c r="L496" i="4"/>
  <c r="M496" i="4"/>
  <c r="P496" i="4" s="1"/>
  <c r="N496" i="4"/>
  <c r="O496" i="4"/>
  <c r="O497" i="4"/>
  <c r="P497" i="4"/>
  <c r="T497" i="4"/>
  <c r="U497" i="4"/>
  <c r="O498" i="4"/>
  <c r="P498" i="4"/>
  <c r="Q498" i="4"/>
  <c r="R498" i="4"/>
  <c r="S498" i="4"/>
  <c r="S496" i="4" s="1"/>
  <c r="L499" i="4"/>
  <c r="O499" i="4" s="1"/>
  <c r="M499" i="4"/>
  <c r="P499" i="4" s="1"/>
  <c r="N499" i="4"/>
  <c r="Q499" i="4"/>
  <c r="T499" i="4" s="1"/>
  <c r="R499" i="4"/>
  <c r="U499" i="4" s="1"/>
  <c r="S499" i="4"/>
  <c r="O500" i="4"/>
  <c r="P500" i="4"/>
  <c r="T500" i="4"/>
  <c r="U500" i="4"/>
  <c r="O501" i="4"/>
  <c r="P501" i="4"/>
  <c r="T501" i="4"/>
  <c r="U501" i="4"/>
  <c r="I503" i="4"/>
  <c r="I504" i="4"/>
  <c r="K504" i="4" s="1"/>
  <c r="I505" i="4"/>
  <c r="K505" i="4" s="1"/>
  <c r="I506" i="4"/>
  <c r="I507" i="4"/>
  <c r="K507" i="4" s="1"/>
  <c r="K508" i="4"/>
  <c r="I509" i="4"/>
  <c r="K509" i="4" s="1"/>
  <c r="I512" i="4"/>
  <c r="K512" i="4" s="1"/>
  <c r="J512" i="4"/>
  <c r="L514" i="4"/>
  <c r="O514" i="4" s="1"/>
  <c r="M514" i="4"/>
  <c r="N514" i="4"/>
  <c r="P514" i="4"/>
  <c r="Q514" i="4"/>
  <c r="R514" i="4"/>
  <c r="S514" i="4"/>
  <c r="U514" i="4"/>
  <c r="Q515" i="4"/>
  <c r="T515" i="4" s="1"/>
  <c r="R515" i="4"/>
  <c r="U515" i="4" s="1"/>
  <c r="S515" i="4"/>
  <c r="S513" i="4" s="1"/>
  <c r="Q516" i="4"/>
  <c r="R516" i="4"/>
  <c r="U516" i="4" s="1"/>
  <c r="S516" i="4"/>
  <c r="T516" i="4"/>
  <c r="O517" i="4"/>
  <c r="P517" i="4"/>
  <c r="T517" i="4"/>
  <c r="U517" i="4"/>
  <c r="L518" i="4"/>
  <c r="M518" i="4"/>
  <c r="N518" i="4"/>
  <c r="T518" i="4"/>
  <c r="U518" i="4"/>
  <c r="Q519" i="4"/>
  <c r="T519" i="4" s="1"/>
  <c r="R519" i="4"/>
  <c r="U519" i="4" s="1"/>
  <c r="S519" i="4"/>
  <c r="O520" i="4"/>
  <c r="P520" i="4"/>
  <c r="T520" i="4"/>
  <c r="U520" i="4"/>
  <c r="L521" i="4"/>
  <c r="L519" i="4" s="1"/>
  <c r="O519" i="4" s="1"/>
  <c r="M521" i="4"/>
  <c r="M519" i="4" s="1"/>
  <c r="P519" i="4" s="1"/>
  <c r="N521" i="4"/>
  <c r="N519" i="4" s="1"/>
  <c r="T521" i="4"/>
  <c r="U521" i="4"/>
  <c r="K523" i="4"/>
  <c r="K524" i="4"/>
  <c r="I533" i="4"/>
  <c r="K533" i="4" s="1"/>
  <c r="J533" i="4"/>
  <c r="L535" i="4"/>
  <c r="M535" i="4"/>
  <c r="N535" i="4"/>
  <c r="Q535" i="4"/>
  <c r="R535" i="4"/>
  <c r="S535" i="4"/>
  <c r="L536" i="4"/>
  <c r="O536" i="4" s="1"/>
  <c r="M536" i="4"/>
  <c r="P536" i="4" s="1"/>
  <c r="N536" i="4"/>
  <c r="Q536" i="4"/>
  <c r="R536" i="4"/>
  <c r="U536" i="4" s="1"/>
  <c r="S536" i="4"/>
  <c r="T536" i="4"/>
  <c r="L537" i="4"/>
  <c r="M537" i="4"/>
  <c r="P537" i="4" s="1"/>
  <c r="N537" i="4"/>
  <c r="O537" i="4"/>
  <c r="Q537" i="4"/>
  <c r="T537" i="4" s="1"/>
  <c r="R537" i="4"/>
  <c r="S537" i="4"/>
  <c r="U537" i="4"/>
  <c r="O538" i="4"/>
  <c r="P538" i="4"/>
  <c r="T538" i="4"/>
  <c r="U538" i="4"/>
  <c r="O539" i="4"/>
  <c r="P539" i="4"/>
  <c r="T539" i="4"/>
  <c r="U539" i="4"/>
  <c r="L540" i="4"/>
  <c r="M540" i="4"/>
  <c r="P540" i="4" s="1"/>
  <c r="N540" i="4"/>
  <c r="O540" i="4"/>
  <c r="Q540" i="4"/>
  <c r="T540" i="4" s="1"/>
  <c r="R540" i="4"/>
  <c r="S540" i="4"/>
  <c r="U540" i="4"/>
  <c r="O541" i="4"/>
  <c r="P541" i="4"/>
  <c r="T541" i="4"/>
  <c r="U541" i="4"/>
  <c r="O542" i="4"/>
  <c r="P542" i="4"/>
  <c r="T542" i="4"/>
  <c r="U542" i="4"/>
  <c r="I554" i="4"/>
  <c r="K554" i="4" s="1"/>
  <c r="J554" i="4"/>
  <c r="L555" i="4"/>
  <c r="O555" i="4" s="1"/>
  <c r="S555" i="4"/>
  <c r="L556" i="4"/>
  <c r="O556" i="4" s="1"/>
  <c r="M556" i="4"/>
  <c r="P556" i="4" s="1"/>
  <c r="N556" i="4"/>
  <c r="Q556" i="4"/>
  <c r="T556" i="4" s="1"/>
  <c r="R556" i="4"/>
  <c r="R555" i="4" s="1"/>
  <c r="U555" i="4" s="1"/>
  <c r="S556" i="4"/>
  <c r="U556" i="4"/>
  <c r="L557" i="4"/>
  <c r="M557" i="4"/>
  <c r="P557" i="4" s="1"/>
  <c r="N557" i="4"/>
  <c r="O557" i="4"/>
  <c r="Q557" i="4"/>
  <c r="T557" i="4" s="1"/>
  <c r="R557" i="4"/>
  <c r="S557" i="4"/>
  <c r="U557" i="4"/>
  <c r="L558" i="4"/>
  <c r="O558" i="4" s="1"/>
  <c r="M558" i="4"/>
  <c r="P558" i="4" s="1"/>
  <c r="N558" i="4"/>
  <c r="Q558" i="4"/>
  <c r="R558" i="4"/>
  <c r="U558" i="4" s="1"/>
  <c r="S558" i="4"/>
  <c r="T558" i="4"/>
  <c r="O559" i="4"/>
  <c r="P559" i="4"/>
  <c r="T559" i="4"/>
  <c r="U559" i="4"/>
  <c r="O560" i="4"/>
  <c r="P560" i="4"/>
  <c r="T560" i="4"/>
  <c r="U560" i="4"/>
  <c r="L561" i="4"/>
  <c r="O561" i="4" s="1"/>
  <c r="M561" i="4"/>
  <c r="P561" i="4" s="1"/>
  <c r="N561" i="4"/>
  <c r="Q561" i="4"/>
  <c r="T561" i="4" s="1"/>
  <c r="R561" i="4"/>
  <c r="U561" i="4" s="1"/>
  <c r="S561" i="4"/>
  <c r="O562" i="4"/>
  <c r="P562" i="4"/>
  <c r="T562" i="4"/>
  <c r="U562" i="4"/>
  <c r="O563" i="4"/>
  <c r="P563" i="4"/>
  <c r="T563" i="4"/>
  <c r="U563" i="4"/>
  <c r="I575" i="4"/>
  <c r="K575" i="4" s="1"/>
  <c r="J575" i="4"/>
  <c r="L577" i="4"/>
  <c r="M577" i="4"/>
  <c r="P577" i="4" s="1"/>
  <c r="N577" i="4"/>
  <c r="Q577" i="4"/>
  <c r="R577" i="4"/>
  <c r="S577" i="4"/>
  <c r="L578" i="4"/>
  <c r="O578" i="4" s="1"/>
  <c r="M578" i="4"/>
  <c r="P578" i="4" s="1"/>
  <c r="N578" i="4"/>
  <c r="Q578" i="4"/>
  <c r="T578" i="4" s="1"/>
  <c r="R578" i="4"/>
  <c r="U578" i="4" s="1"/>
  <c r="S578" i="4"/>
  <c r="L579" i="4"/>
  <c r="M579" i="4"/>
  <c r="P579" i="4" s="1"/>
  <c r="N579" i="4"/>
  <c r="O579" i="4"/>
  <c r="Q579" i="4"/>
  <c r="T579" i="4" s="1"/>
  <c r="R579" i="4"/>
  <c r="S579" i="4"/>
  <c r="U579" i="4"/>
  <c r="O580" i="4"/>
  <c r="P580" i="4"/>
  <c r="T580" i="4"/>
  <c r="U580" i="4"/>
  <c r="O581" i="4"/>
  <c r="P581" i="4"/>
  <c r="T581" i="4"/>
  <c r="U581" i="4"/>
  <c r="L582" i="4"/>
  <c r="M582" i="4"/>
  <c r="P582" i="4" s="1"/>
  <c r="N582" i="4"/>
  <c r="O582" i="4"/>
  <c r="Q582" i="4"/>
  <c r="R582" i="4"/>
  <c r="S582" i="4"/>
  <c r="T582" i="4"/>
  <c r="U582" i="4"/>
  <c r="O583" i="4"/>
  <c r="P583" i="4"/>
  <c r="T583" i="4"/>
  <c r="U583" i="4"/>
  <c r="O584" i="4"/>
  <c r="P584" i="4"/>
  <c r="T584" i="4"/>
  <c r="U584" i="4"/>
  <c r="L600" i="4"/>
  <c r="M600" i="4"/>
  <c r="N600" i="4"/>
  <c r="P600" i="4"/>
  <c r="Q600" i="4"/>
  <c r="R600" i="4"/>
  <c r="S600" i="4"/>
  <c r="L601" i="4"/>
  <c r="O601" i="4" s="1"/>
  <c r="M601" i="4"/>
  <c r="P601" i="4" s="1"/>
  <c r="N601" i="4"/>
  <c r="Q601" i="4"/>
  <c r="R601" i="4"/>
  <c r="U601" i="4" s="1"/>
  <c r="S601" i="4"/>
  <c r="T601" i="4"/>
  <c r="L602" i="4"/>
  <c r="O602" i="4" s="1"/>
  <c r="M602" i="4"/>
  <c r="P602" i="4" s="1"/>
  <c r="N602" i="4"/>
  <c r="Q602" i="4"/>
  <c r="T602" i="4" s="1"/>
  <c r="R602" i="4"/>
  <c r="S602" i="4"/>
  <c r="U602" i="4"/>
  <c r="O603" i="4"/>
  <c r="P603" i="4"/>
  <c r="T603" i="4"/>
  <c r="U603" i="4"/>
  <c r="O604" i="4"/>
  <c r="P604" i="4"/>
  <c r="T604" i="4"/>
  <c r="U604" i="4"/>
  <c r="L605" i="4"/>
  <c r="O605" i="4" s="1"/>
  <c r="M605" i="4"/>
  <c r="P605" i="4" s="1"/>
  <c r="N605" i="4"/>
  <c r="Q605" i="4"/>
  <c r="T605" i="4" s="1"/>
  <c r="R605" i="4"/>
  <c r="U605" i="4" s="1"/>
  <c r="S605" i="4"/>
  <c r="O606" i="4"/>
  <c r="P606" i="4"/>
  <c r="T606" i="4"/>
  <c r="U606" i="4"/>
  <c r="O607" i="4"/>
  <c r="P607" i="4"/>
  <c r="T607" i="4"/>
  <c r="U607" i="4"/>
  <c r="L616" i="4"/>
  <c r="O616" i="4" s="1"/>
  <c r="M616" i="4"/>
  <c r="P616" i="4" s="1"/>
  <c r="L617" i="4"/>
  <c r="M617" i="4"/>
  <c r="P617" i="4" s="1"/>
  <c r="N617" i="4"/>
  <c r="O617" i="4"/>
  <c r="Q617" i="4"/>
  <c r="T617" i="4" s="1"/>
  <c r="R617" i="4"/>
  <c r="U617" i="4" s="1"/>
  <c r="S617" i="4"/>
  <c r="L618" i="4"/>
  <c r="O618" i="4" s="1"/>
  <c r="M618" i="4"/>
  <c r="N618" i="4"/>
  <c r="P618" i="4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Q619" i="4" s="1"/>
  <c r="R621" i="4"/>
  <c r="R618" i="4" s="1"/>
  <c r="S621" i="4"/>
  <c r="S618" i="4" s="1"/>
  <c r="S616" i="4" s="1"/>
  <c r="L622" i="4"/>
  <c r="M622" i="4"/>
  <c r="N622" i="4"/>
  <c r="O622" i="4"/>
  <c r="P622" i="4"/>
  <c r="Q622" i="4"/>
  <c r="T622" i="4" s="1"/>
  <c r="R622" i="4"/>
  <c r="S622" i="4"/>
  <c r="U622" i="4"/>
  <c r="O623" i="4"/>
  <c r="P623" i="4"/>
  <c r="T623" i="4"/>
  <c r="U623" i="4"/>
  <c r="O624" i="4"/>
  <c r="P624" i="4"/>
  <c r="T624" i="4"/>
  <c r="U624" i="4"/>
  <c r="I626" i="4"/>
  <c r="I615" i="4" s="1"/>
  <c r="K615" i="4" s="1"/>
  <c r="I627" i="4"/>
  <c r="K627" i="4" s="1"/>
  <c r="I628" i="4"/>
  <c r="K628" i="4" s="1"/>
  <c r="J632" i="4"/>
  <c r="J626" i="4" s="1"/>
  <c r="J615" i="4" s="1"/>
  <c r="I635" i="4"/>
  <c r="K635" i="4" s="1"/>
  <c r="J636" i="4"/>
  <c r="J635" i="4" s="1"/>
  <c r="L642" i="4"/>
  <c r="O642" i="4" s="1"/>
  <c r="L643" i="4"/>
  <c r="O643" i="4" s="1"/>
  <c r="M643" i="4"/>
  <c r="N643" i="4"/>
  <c r="Q643" i="4"/>
  <c r="T643" i="4" s="1"/>
  <c r="R643" i="4"/>
  <c r="U643" i="4" s="1"/>
  <c r="S643" i="4"/>
  <c r="L644" i="4"/>
  <c r="M644" i="4"/>
  <c r="N644" i="4"/>
  <c r="O644" i="4"/>
  <c r="P644" i="4"/>
  <c r="L645" i="4"/>
  <c r="O645" i="4" s="1"/>
  <c r="M645" i="4"/>
  <c r="N645" i="4"/>
  <c r="P645" i="4"/>
  <c r="O646" i="4"/>
  <c r="P646" i="4"/>
  <c r="T646" i="4"/>
  <c r="U646" i="4"/>
  <c r="O647" i="4"/>
  <c r="P647" i="4"/>
  <c r="Q647" i="4"/>
  <c r="Q644" i="4" s="1"/>
  <c r="R647" i="4"/>
  <c r="S647" i="4"/>
  <c r="L648" i="4"/>
  <c r="M648" i="4"/>
  <c r="P648" i="4" s="1"/>
  <c r="N648" i="4"/>
  <c r="O648" i="4"/>
  <c r="Q648" i="4"/>
  <c r="R648" i="4"/>
  <c r="S648" i="4"/>
  <c r="T648" i="4"/>
  <c r="U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J653" i="4"/>
  <c r="I654" i="4"/>
  <c r="J654" i="4"/>
  <c r="I657" i="4"/>
  <c r="I660" i="4"/>
  <c r="I661" i="4"/>
  <c r="J665" i="4"/>
  <c r="J666" i="4"/>
  <c r="J667" i="4"/>
  <c r="J661" i="4" s="1"/>
  <c r="J671" i="4"/>
  <c r="J672" i="4"/>
  <c r="I673" i="4"/>
  <c r="J673" i="4"/>
  <c r="I674" i="4"/>
  <c r="I675" i="4"/>
  <c r="I676" i="4"/>
  <c r="J676" i="4"/>
  <c r="J677" i="4"/>
  <c r="I678" i="4"/>
  <c r="J678" i="4"/>
  <c r="I679" i="4"/>
  <c r="J679" i="4"/>
  <c r="J680" i="4"/>
  <c r="I681" i="4"/>
  <c r="J681" i="4"/>
  <c r="I682" i="4"/>
  <c r="J682" i="4"/>
  <c r="L691" i="4"/>
  <c r="M691" i="4"/>
  <c r="P691" i="4" s="1"/>
  <c r="N691" i="4"/>
  <c r="N690" i="4" s="1"/>
  <c r="O691" i="4"/>
  <c r="Q691" i="4"/>
  <c r="R691" i="4"/>
  <c r="S691" i="4"/>
  <c r="L692" i="4"/>
  <c r="O692" i="4" s="1"/>
  <c r="M692" i="4"/>
  <c r="P692" i="4" s="1"/>
  <c r="N692" i="4"/>
  <c r="L693" i="4"/>
  <c r="M693" i="4"/>
  <c r="P693" i="4" s="1"/>
  <c r="N693" i="4"/>
  <c r="O693" i="4"/>
  <c r="O694" i="4"/>
  <c r="P694" i="4"/>
  <c r="T694" i="4"/>
  <c r="U694" i="4"/>
  <c r="O695" i="4"/>
  <c r="P695" i="4"/>
  <c r="Q695" i="4"/>
  <c r="R695" i="4"/>
  <c r="R693" i="4" s="1"/>
  <c r="S695" i="4"/>
  <c r="S693" i="4" s="1"/>
  <c r="L696" i="4"/>
  <c r="O696" i="4" s="1"/>
  <c r="M696" i="4"/>
  <c r="N696" i="4"/>
  <c r="P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I701" i="4"/>
  <c r="J701" i="4"/>
  <c r="J702" i="4"/>
  <c r="K702" i="4"/>
  <c r="I703" i="4"/>
  <c r="J703" i="4"/>
  <c r="J704" i="4"/>
  <c r="K704" i="4"/>
  <c r="I705" i="4"/>
  <c r="J705" i="4"/>
  <c r="J706" i="4"/>
  <c r="K706" i="4"/>
  <c r="I707" i="4"/>
  <c r="I689" i="4" s="1"/>
  <c r="J707" i="4"/>
  <c r="J689" i="4" s="1"/>
  <c r="J708" i="4"/>
  <c r="K708" i="4"/>
  <c r="I709" i="4"/>
  <c r="J712" i="4"/>
  <c r="K712" i="4"/>
  <c r="L715" i="4"/>
  <c r="L714" i="4" s="1"/>
  <c r="O714" i="4" s="1"/>
  <c r="M715" i="4"/>
  <c r="N715" i="4"/>
  <c r="P715" i="4"/>
  <c r="Q715" i="4"/>
  <c r="R715" i="4"/>
  <c r="S715" i="4"/>
  <c r="L716" i="4"/>
  <c r="O716" i="4" s="1"/>
  <c r="M716" i="4"/>
  <c r="P716" i="4" s="1"/>
  <c r="N716" i="4"/>
  <c r="Q716" i="4"/>
  <c r="T716" i="4" s="1"/>
  <c r="R716" i="4"/>
  <c r="U716" i="4" s="1"/>
  <c r="S716" i="4"/>
  <c r="L717" i="4"/>
  <c r="O717" i="4" s="1"/>
  <c r="M717" i="4"/>
  <c r="N717" i="4"/>
  <c r="P717" i="4"/>
  <c r="Q717" i="4"/>
  <c r="R717" i="4"/>
  <c r="U717" i="4" s="1"/>
  <c r="S717" i="4"/>
  <c r="T717" i="4"/>
  <c r="O718" i="4"/>
  <c r="P718" i="4"/>
  <c r="T718" i="4"/>
  <c r="U718" i="4"/>
  <c r="O719" i="4"/>
  <c r="P719" i="4"/>
  <c r="T719" i="4"/>
  <c r="U719" i="4"/>
  <c r="L720" i="4"/>
  <c r="O720" i="4" s="1"/>
  <c r="M720" i="4"/>
  <c r="N720" i="4"/>
  <c r="P720" i="4"/>
  <c r="Q720" i="4"/>
  <c r="R720" i="4"/>
  <c r="U720" i="4" s="1"/>
  <c r="S720" i="4"/>
  <c r="T720" i="4"/>
  <c r="O721" i="4"/>
  <c r="P721" i="4"/>
  <c r="T721" i="4"/>
  <c r="U721" i="4"/>
  <c r="O722" i="4"/>
  <c r="P722" i="4"/>
  <c r="T722" i="4"/>
  <c r="U722" i="4"/>
  <c r="I726" i="4"/>
  <c r="K726" i="4" s="1"/>
  <c r="J726" i="4"/>
  <c r="I727" i="4"/>
  <c r="J727" i="4"/>
  <c r="L729" i="4"/>
  <c r="M729" i="4"/>
  <c r="M728" i="4" s="1"/>
  <c r="P728" i="4" s="1"/>
  <c r="N729" i="4"/>
  <c r="Q729" i="4"/>
  <c r="R729" i="4"/>
  <c r="S729" i="4"/>
  <c r="L730" i="4"/>
  <c r="O730" i="4" s="1"/>
  <c r="M730" i="4"/>
  <c r="P730" i="4" s="1"/>
  <c r="N730" i="4"/>
  <c r="N728" i="4" s="1"/>
  <c r="L731" i="4"/>
  <c r="M731" i="4"/>
  <c r="P731" i="4" s="1"/>
  <c r="N731" i="4"/>
  <c r="O731" i="4"/>
  <c r="O732" i="4"/>
  <c r="P732" i="4"/>
  <c r="T732" i="4"/>
  <c r="U732" i="4"/>
  <c r="O733" i="4"/>
  <c r="P733" i="4"/>
  <c r="Q733" i="4"/>
  <c r="Q731" i="4" s="1"/>
  <c r="R733" i="4"/>
  <c r="S733" i="4"/>
  <c r="L734" i="4"/>
  <c r="O734" i="4" s="1"/>
  <c r="M734" i="4"/>
  <c r="P734" i="4" s="1"/>
  <c r="N734" i="4"/>
  <c r="Q734" i="4"/>
  <c r="T734" i="4" s="1"/>
  <c r="R734" i="4"/>
  <c r="U734" i="4" s="1"/>
  <c r="S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M761" i="4"/>
  <c r="N761" i="4"/>
  <c r="Q761" i="4"/>
  <c r="T761" i="4" s="1"/>
  <c r="R761" i="4"/>
  <c r="S761" i="4"/>
  <c r="L762" i="4"/>
  <c r="M762" i="4"/>
  <c r="P762" i="4" s="1"/>
  <c r="N762" i="4"/>
  <c r="O762" i="4"/>
  <c r="L763" i="4"/>
  <c r="O763" i="4" s="1"/>
  <c r="M763" i="4"/>
  <c r="N763" i="4"/>
  <c r="P763" i="4"/>
  <c r="O764" i="4"/>
  <c r="P764" i="4"/>
  <c r="T764" i="4"/>
  <c r="U764" i="4"/>
  <c r="O765" i="4"/>
  <c r="P765" i="4"/>
  <c r="Q765" i="4"/>
  <c r="R765" i="4"/>
  <c r="R763" i="4" s="1"/>
  <c r="S765" i="4"/>
  <c r="S762" i="4" s="1"/>
  <c r="L766" i="4"/>
  <c r="O766" i="4" s="1"/>
  <c r="M766" i="4"/>
  <c r="P766" i="4" s="1"/>
  <c r="N766" i="4"/>
  <c r="Q766" i="4"/>
  <c r="R766" i="4"/>
  <c r="U766" i="4" s="1"/>
  <c r="S766" i="4"/>
  <c r="T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I774" i="4"/>
  <c r="K774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O22" i="3" s="1"/>
  <c r="M22" i="3"/>
  <c r="M19" i="3" s="1"/>
  <c r="N22" i="3"/>
  <c r="P22" i="3"/>
  <c r="Q22" i="3"/>
  <c r="T22" i="3" s="1"/>
  <c r="R22" i="3"/>
  <c r="S22" i="3"/>
  <c r="S19" i="3" s="1"/>
  <c r="U22" i="3"/>
  <c r="L25" i="3"/>
  <c r="M25" i="3"/>
  <c r="P25" i="3" s="1"/>
  <c r="N25" i="3"/>
  <c r="O25" i="3"/>
  <c r="Q25" i="3"/>
  <c r="T25" i="3" s="1"/>
  <c r="R25" i="3"/>
  <c r="U25" i="3" s="1"/>
  <c r="S25" i="3"/>
  <c r="S24" i="3" s="1"/>
  <c r="Q26" i="3"/>
  <c r="T26" i="3" s="1"/>
  <c r="R26" i="3"/>
  <c r="S26" i="3"/>
  <c r="L45" i="3"/>
  <c r="O45" i="3" s="1"/>
  <c r="M45" i="3"/>
  <c r="N45" i="3"/>
  <c r="P45" i="3"/>
  <c r="Q45" i="3"/>
  <c r="R45" i="3"/>
  <c r="U45" i="3" s="1"/>
  <c r="S45" i="3"/>
  <c r="Q46" i="3"/>
  <c r="R46" i="3"/>
  <c r="U46" i="3" s="1"/>
  <c r="S46" i="3"/>
  <c r="S44" i="3" s="1"/>
  <c r="T46" i="3"/>
  <c r="Q47" i="3"/>
  <c r="R47" i="3"/>
  <c r="U47" i="3" s="1"/>
  <c r="S47" i="3"/>
  <c r="T47" i="3"/>
  <c r="O48" i="3"/>
  <c r="P48" i="3"/>
  <c r="T48" i="3"/>
  <c r="U48" i="3"/>
  <c r="L49" i="3"/>
  <c r="L47" i="3" s="1"/>
  <c r="M49" i="3"/>
  <c r="N49" i="3"/>
  <c r="N47" i="3" s="1"/>
  <c r="T49" i="3"/>
  <c r="U49" i="3"/>
  <c r="Q50" i="3"/>
  <c r="T50" i="3" s="1"/>
  <c r="R50" i="3"/>
  <c r="U50" i="3" s="1"/>
  <c r="S50" i="3"/>
  <c r="O51" i="3"/>
  <c r="P51" i="3"/>
  <c r="T51" i="3"/>
  <c r="U51" i="3"/>
  <c r="L52" i="3"/>
  <c r="M52" i="3"/>
  <c r="P52" i="3" s="1"/>
  <c r="N52" i="3"/>
  <c r="T52" i="3"/>
  <c r="U52" i="3"/>
  <c r="L60" i="3"/>
  <c r="O60" i="3" s="1"/>
  <c r="M60" i="3"/>
  <c r="P60" i="3" s="1"/>
  <c r="N60" i="3"/>
  <c r="Q60" i="3"/>
  <c r="R60" i="3"/>
  <c r="U60" i="3" s="1"/>
  <c r="S60" i="3"/>
  <c r="T60" i="3"/>
  <c r="Q61" i="3"/>
  <c r="T61" i="3" s="1"/>
  <c r="R61" i="3"/>
  <c r="U61" i="3" s="1"/>
  <c r="S61" i="3"/>
  <c r="Q62" i="3"/>
  <c r="R62" i="3"/>
  <c r="U62" i="3" s="1"/>
  <c r="S62" i="3"/>
  <c r="T62" i="3"/>
  <c r="O63" i="3"/>
  <c r="P63" i="3"/>
  <c r="T63" i="3"/>
  <c r="U63" i="3"/>
  <c r="L64" i="3"/>
  <c r="L62" i="3" s="1"/>
  <c r="M64" i="3"/>
  <c r="M62" i="3" s="1"/>
  <c r="N64" i="3"/>
  <c r="N62" i="3" s="1"/>
  <c r="T64" i="3"/>
  <c r="U64" i="3"/>
  <c r="Q65" i="3"/>
  <c r="T65" i="3" s="1"/>
  <c r="R65" i="3"/>
  <c r="U65" i="3" s="1"/>
  <c r="S65" i="3"/>
  <c r="O66" i="3"/>
  <c r="P66" i="3"/>
  <c r="T66" i="3"/>
  <c r="U66" i="3"/>
  <c r="L67" i="3"/>
  <c r="O67" i="3" s="1"/>
  <c r="M67" i="3"/>
  <c r="M65" i="3" s="1"/>
  <c r="P65" i="3" s="1"/>
  <c r="N67" i="3"/>
  <c r="N65" i="3" s="1"/>
  <c r="T67" i="3"/>
  <c r="U67" i="3"/>
  <c r="L73" i="3"/>
  <c r="O73" i="3" s="1"/>
  <c r="M73" i="3"/>
  <c r="N73" i="3"/>
  <c r="P73" i="3"/>
  <c r="Q73" i="3"/>
  <c r="R73" i="3"/>
  <c r="S73" i="3"/>
  <c r="O76" i="3"/>
  <c r="P76" i="3"/>
  <c r="T76" i="3"/>
  <c r="U76" i="3"/>
  <c r="L77" i="3"/>
  <c r="M77" i="3"/>
  <c r="M75" i="3" s="1"/>
  <c r="P75" i="3" s="1"/>
  <c r="N77" i="3"/>
  <c r="N75" i="3" s="1"/>
  <c r="Q77" i="3"/>
  <c r="R77" i="3"/>
  <c r="R74" i="3" s="1"/>
  <c r="U74" i="3" s="1"/>
  <c r="S77" i="3"/>
  <c r="Q78" i="3"/>
  <c r="T78" i="3" s="1"/>
  <c r="R78" i="3"/>
  <c r="U78" i="3" s="1"/>
  <c r="S78" i="3"/>
  <c r="O79" i="3"/>
  <c r="P79" i="3"/>
  <c r="T79" i="3"/>
  <c r="U79" i="3"/>
  <c r="L80" i="3"/>
  <c r="O80" i="3" s="1"/>
  <c r="M80" i="3"/>
  <c r="M78" i="3" s="1"/>
  <c r="P78" i="3" s="1"/>
  <c r="N80" i="3"/>
  <c r="N78" i="3" s="1"/>
  <c r="T80" i="3"/>
  <c r="U80" i="3"/>
  <c r="J82" i="3"/>
  <c r="J70" i="3" s="1"/>
  <c r="J83" i="3"/>
  <c r="J71" i="3" s="1"/>
  <c r="I84" i="3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O95" i="3" s="1"/>
  <c r="M95" i="3"/>
  <c r="P95" i="3" s="1"/>
  <c r="N95" i="3"/>
  <c r="Q95" i="3"/>
  <c r="R95" i="3"/>
  <c r="S95" i="3"/>
  <c r="U95" i="3"/>
  <c r="O98" i="3"/>
  <c r="P98" i="3"/>
  <c r="T98" i="3"/>
  <c r="U98" i="3"/>
  <c r="L99" i="3"/>
  <c r="M99" i="3"/>
  <c r="N99" i="3"/>
  <c r="N97" i="3" s="1"/>
  <c r="Q99" i="3"/>
  <c r="Q96" i="3" s="1"/>
  <c r="R99" i="3"/>
  <c r="R96" i="3" s="1"/>
  <c r="S99" i="3"/>
  <c r="S96" i="3" s="1"/>
  <c r="Q100" i="3"/>
  <c r="T100" i="3" s="1"/>
  <c r="R100" i="3"/>
  <c r="U100" i="3" s="1"/>
  <c r="S100" i="3"/>
  <c r="O101" i="3"/>
  <c r="P101" i="3"/>
  <c r="T101" i="3"/>
  <c r="U101" i="3"/>
  <c r="L102" i="3"/>
  <c r="L100" i="3" s="1"/>
  <c r="O100" i="3" s="1"/>
  <c r="M102" i="3"/>
  <c r="P102" i="3" s="1"/>
  <c r="N102" i="3"/>
  <c r="N100" i="3" s="1"/>
  <c r="T102" i="3"/>
  <c r="U102" i="3"/>
  <c r="I108" i="3"/>
  <c r="I109" i="3"/>
  <c r="I93" i="3" s="1"/>
  <c r="I113" i="3"/>
  <c r="K113" i="3" s="1"/>
  <c r="I114" i="3"/>
  <c r="K114" i="3" s="1"/>
  <c r="J116" i="3"/>
  <c r="L118" i="3"/>
  <c r="M118" i="3"/>
  <c r="P118" i="3" s="1"/>
  <c r="N118" i="3"/>
  <c r="O118" i="3"/>
  <c r="Q118" i="3"/>
  <c r="T118" i="3" s="1"/>
  <c r="R118" i="3"/>
  <c r="S118" i="3"/>
  <c r="U118" i="3"/>
  <c r="O121" i="3"/>
  <c r="P121" i="3"/>
  <c r="T121" i="3"/>
  <c r="U121" i="3"/>
  <c r="L122" i="3"/>
  <c r="L120" i="3" s="1"/>
  <c r="O120" i="3" s="1"/>
  <c r="M122" i="3"/>
  <c r="P122" i="3" s="1"/>
  <c r="N122" i="3"/>
  <c r="Q122" i="3"/>
  <c r="Q119" i="3" s="1"/>
  <c r="R122" i="3"/>
  <c r="S122" i="3"/>
  <c r="S120" i="3" s="1"/>
  <c r="Q123" i="3"/>
  <c r="T123" i="3" s="1"/>
  <c r="R123" i="3"/>
  <c r="U123" i="3" s="1"/>
  <c r="S123" i="3"/>
  <c r="O124" i="3"/>
  <c r="P124" i="3"/>
  <c r="T124" i="3"/>
  <c r="U124" i="3"/>
  <c r="L125" i="3"/>
  <c r="L123" i="3" s="1"/>
  <c r="O123" i="3" s="1"/>
  <c r="M125" i="3"/>
  <c r="P125" i="3" s="1"/>
  <c r="N125" i="3"/>
  <c r="N123" i="3" s="1"/>
  <c r="T125" i="3"/>
  <c r="U125" i="3"/>
  <c r="I127" i="3"/>
  <c r="K127" i="3" s="1"/>
  <c r="I128" i="3"/>
  <c r="K128" i="3" s="1"/>
  <c r="I129" i="3"/>
  <c r="K129" i="3" s="1"/>
  <c r="I130" i="3"/>
  <c r="K130" i="3" s="1"/>
  <c r="J136" i="3"/>
  <c r="J137" i="3"/>
  <c r="J138" i="3"/>
  <c r="L140" i="3"/>
  <c r="O140" i="3" s="1"/>
  <c r="M140" i="3"/>
  <c r="N140" i="3"/>
  <c r="Q140" i="3"/>
  <c r="T140" i="3" s="1"/>
  <c r="R140" i="3"/>
  <c r="S140" i="3"/>
  <c r="U140" i="3"/>
  <c r="O143" i="3"/>
  <c r="P143" i="3"/>
  <c r="T143" i="3"/>
  <c r="U143" i="3"/>
  <c r="L144" i="3"/>
  <c r="M144" i="3"/>
  <c r="P144" i="3" s="1"/>
  <c r="N144" i="3"/>
  <c r="Q144" i="3"/>
  <c r="R144" i="3"/>
  <c r="R141" i="3" s="1"/>
  <c r="U141" i="3" s="1"/>
  <c r="S144" i="3"/>
  <c r="S141" i="3" s="1"/>
  <c r="S139" i="3" s="1"/>
  <c r="Q145" i="3"/>
  <c r="T145" i="3" s="1"/>
  <c r="R145" i="3"/>
  <c r="S145" i="3"/>
  <c r="U145" i="3"/>
  <c r="O146" i="3"/>
  <c r="P146" i="3"/>
  <c r="T146" i="3"/>
  <c r="U146" i="3"/>
  <c r="L147" i="3"/>
  <c r="L145" i="3" s="1"/>
  <c r="O145" i="3" s="1"/>
  <c r="M147" i="3"/>
  <c r="N147" i="3"/>
  <c r="N145" i="3" s="1"/>
  <c r="T147" i="3"/>
  <c r="U147" i="3"/>
  <c r="I150" i="3"/>
  <c r="K150" i="3" s="1"/>
  <c r="I151" i="3"/>
  <c r="K151" i="3" s="1"/>
  <c r="I152" i="3"/>
  <c r="I153" i="3"/>
  <c r="K153" i="3" s="1"/>
  <c r="I154" i="3"/>
  <c r="I136" i="3" s="1"/>
  <c r="K136" i="3" s="1"/>
  <c r="J156" i="3"/>
  <c r="L158" i="3"/>
  <c r="M158" i="3"/>
  <c r="N158" i="3"/>
  <c r="O158" i="3"/>
  <c r="P158" i="3"/>
  <c r="Q158" i="3"/>
  <c r="R158" i="3"/>
  <c r="S158" i="3"/>
  <c r="U158" i="3"/>
  <c r="O161" i="3"/>
  <c r="P161" i="3"/>
  <c r="T161" i="3"/>
  <c r="U161" i="3"/>
  <c r="L162" i="3"/>
  <c r="M162" i="3"/>
  <c r="P162" i="3" s="1"/>
  <c r="N162" i="3"/>
  <c r="N160" i="3" s="1"/>
  <c r="Q162" i="3"/>
  <c r="T162" i="3" s="1"/>
  <c r="R162" i="3"/>
  <c r="R160" i="3" s="1"/>
  <c r="U160" i="3" s="1"/>
  <c r="S162" i="3"/>
  <c r="Q163" i="3"/>
  <c r="R163" i="3"/>
  <c r="S163" i="3"/>
  <c r="T163" i="3"/>
  <c r="U163" i="3"/>
  <c r="O164" i="3"/>
  <c r="P164" i="3"/>
  <c r="T164" i="3"/>
  <c r="U164" i="3"/>
  <c r="L165" i="3"/>
  <c r="M165" i="3"/>
  <c r="N165" i="3"/>
  <c r="N163" i="3" s="1"/>
  <c r="T165" i="3"/>
  <c r="U165" i="3"/>
  <c r="I167" i="3"/>
  <c r="K167" i="3" s="1"/>
  <c r="I168" i="3"/>
  <c r="K168" i="3" s="1"/>
  <c r="I169" i="3"/>
  <c r="J172" i="3"/>
  <c r="L174" i="3"/>
  <c r="M174" i="3"/>
  <c r="P174" i="3" s="1"/>
  <c r="N174" i="3"/>
  <c r="O174" i="3"/>
  <c r="Q174" i="3"/>
  <c r="T174" i="3" s="1"/>
  <c r="R174" i="3"/>
  <c r="S174" i="3"/>
  <c r="U174" i="3"/>
  <c r="O177" i="3"/>
  <c r="P177" i="3"/>
  <c r="T177" i="3"/>
  <c r="U177" i="3"/>
  <c r="L178" i="3"/>
  <c r="L176" i="3" s="1"/>
  <c r="M178" i="3"/>
  <c r="N178" i="3"/>
  <c r="Q178" i="3"/>
  <c r="T178" i="3" s="1"/>
  <c r="R178" i="3"/>
  <c r="U178" i="3" s="1"/>
  <c r="S178" i="3"/>
  <c r="S176" i="3" s="1"/>
  <c r="Q179" i="3"/>
  <c r="R179" i="3"/>
  <c r="U179" i="3" s="1"/>
  <c r="S179" i="3"/>
  <c r="T179" i="3"/>
  <c r="O180" i="3"/>
  <c r="P180" i="3"/>
  <c r="T180" i="3"/>
  <c r="U180" i="3"/>
  <c r="L181" i="3"/>
  <c r="M181" i="3"/>
  <c r="P181" i="3" s="1"/>
  <c r="N181" i="3"/>
  <c r="N179" i="3" s="1"/>
  <c r="T181" i="3"/>
  <c r="U181" i="3"/>
  <c r="I183" i="3"/>
  <c r="K184" i="3"/>
  <c r="L187" i="3"/>
  <c r="O187" i="3" s="1"/>
  <c r="M187" i="3"/>
  <c r="N187" i="3"/>
  <c r="P187" i="3"/>
  <c r="Q187" i="3"/>
  <c r="R187" i="3"/>
  <c r="U187" i="3" s="1"/>
  <c r="S187" i="3"/>
  <c r="O190" i="3"/>
  <c r="P190" i="3"/>
  <c r="T190" i="3"/>
  <c r="U190" i="3"/>
  <c r="L191" i="3"/>
  <c r="M191" i="3"/>
  <c r="M189" i="3" s="1"/>
  <c r="N191" i="3"/>
  <c r="Q191" i="3"/>
  <c r="R191" i="3"/>
  <c r="S191" i="3"/>
  <c r="Q192" i="3"/>
  <c r="T192" i="3" s="1"/>
  <c r="R192" i="3"/>
  <c r="S192" i="3"/>
  <c r="U192" i="3"/>
  <c r="O193" i="3"/>
  <c r="P193" i="3"/>
  <c r="T193" i="3"/>
  <c r="U193" i="3"/>
  <c r="L194" i="3"/>
  <c r="M194" i="3"/>
  <c r="N194" i="3"/>
  <c r="N192" i="3" s="1"/>
  <c r="T194" i="3"/>
  <c r="U194" i="3"/>
  <c r="J195" i="3"/>
  <c r="L196" i="3"/>
  <c r="O196" i="3" s="1"/>
  <c r="P196" i="3"/>
  <c r="I198" i="3"/>
  <c r="I195" i="3" s="1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02" i="3" s="1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I213" i="3" s="1"/>
  <c r="J221" i="3"/>
  <c r="N222" i="3"/>
  <c r="P222" i="3"/>
  <c r="L223" i="3"/>
  <c r="L224" i="3"/>
  <c r="L225" i="3"/>
  <c r="I228" i="3"/>
  <c r="K228" i="3" s="1"/>
  <c r="I229" i="3"/>
  <c r="K229" i="3" s="1"/>
  <c r="I230" i="3"/>
  <c r="K230" i="3" s="1"/>
  <c r="N233" i="3"/>
  <c r="N234" i="3"/>
  <c r="N235" i="3"/>
  <c r="N236" i="3"/>
  <c r="J238" i="3"/>
  <c r="J240" i="3"/>
  <c r="J241" i="3"/>
  <c r="J242" i="3"/>
  <c r="N243" i="3"/>
  <c r="P243" i="3"/>
  <c r="L244" i="3"/>
  <c r="L245" i="3"/>
  <c r="L246" i="3"/>
  <c r="L247" i="3"/>
  <c r="I249" i="3"/>
  <c r="I242" i="3" s="1"/>
  <c r="I251" i="3"/>
  <c r="I252" i="3"/>
  <c r="K252" i="3" s="1"/>
  <c r="J253" i="3"/>
  <c r="N254" i="3"/>
  <c r="P254" i="3"/>
  <c r="L255" i="3"/>
  <c r="L256" i="3"/>
  <c r="L257" i="3"/>
  <c r="L258" i="3"/>
  <c r="I260" i="3"/>
  <c r="K262" i="3"/>
  <c r="K263" i="3"/>
  <c r="J265" i="3"/>
  <c r="L267" i="3"/>
  <c r="M267" i="3"/>
  <c r="N267" i="3"/>
  <c r="O267" i="3"/>
  <c r="P267" i="3"/>
  <c r="Q267" i="3"/>
  <c r="T267" i="3" s="1"/>
  <c r="R267" i="3"/>
  <c r="S267" i="3"/>
  <c r="U267" i="3"/>
  <c r="O270" i="3"/>
  <c r="P270" i="3"/>
  <c r="T270" i="3"/>
  <c r="U270" i="3"/>
  <c r="L271" i="3"/>
  <c r="L269" i="3" s="1"/>
  <c r="O269" i="3" s="1"/>
  <c r="M271" i="3"/>
  <c r="N271" i="3"/>
  <c r="Q271" i="3"/>
  <c r="R271" i="3"/>
  <c r="R269" i="3" s="1"/>
  <c r="S271" i="3"/>
  <c r="S269" i="3" s="1"/>
  <c r="Q272" i="3"/>
  <c r="T272" i="3" s="1"/>
  <c r="R272" i="3"/>
  <c r="S272" i="3"/>
  <c r="U272" i="3"/>
  <c r="O273" i="3"/>
  <c r="P273" i="3"/>
  <c r="T273" i="3"/>
  <c r="U273" i="3"/>
  <c r="L274" i="3"/>
  <c r="M274" i="3"/>
  <c r="P274" i="3" s="1"/>
  <c r="N274" i="3"/>
  <c r="N272" i="3" s="1"/>
  <c r="T274" i="3"/>
  <c r="U274" i="3"/>
  <c r="I276" i="3"/>
  <c r="J281" i="3"/>
  <c r="L283" i="3"/>
  <c r="O283" i="3" s="1"/>
  <c r="M283" i="3"/>
  <c r="P283" i="3" s="1"/>
  <c r="N283" i="3"/>
  <c r="Q283" i="3"/>
  <c r="T283" i="3" s="1"/>
  <c r="R283" i="3"/>
  <c r="U283" i="3" s="1"/>
  <c r="S283" i="3"/>
  <c r="Q284" i="3"/>
  <c r="T284" i="3" s="1"/>
  <c r="R284" i="3"/>
  <c r="U284" i="3" s="1"/>
  <c r="S284" i="3"/>
  <c r="Q285" i="3"/>
  <c r="T285" i="3" s="1"/>
  <c r="R285" i="3"/>
  <c r="S285" i="3"/>
  <c r="U285" i="3"/>
  <c r="O286" i="3"/>
  <c r="P286" i="3"/>
  <c r="T286" i="3"/>
  <c r="U286" i="3"/>
  <c r="L287" i="3"/>
  <c r="M287" i="3"/>
  <c r="M285" i="3" s="1"/>
  <c r="P285" i="3" s="1"/>
  <c r="N287" i="3"/>
  <c r="T287" i="3"/>
  <c r="U287" i="3"/>
  <c r="Q288" i="3"/>
  <c r="T288" i="3" s="1"/>
  <c r="R288" i="3"/>
  <c r="U288" i="3" s="1"/>
  <c r="S288" i="3"/>
  <c r="O289" i="3"/>
  <c r="P289" i="3"/>
  <c r="T289" i="3"/>
  <c r="U289" i="3"/>
  <c r="L290" i="3"/>
  <c r="M290" i="3"/>
  <c r="M288" i="3" s="1"/>
  <c r="P288" i="3" s="1"/>
  <c r="N290" i="3"/>
  <c r="N288" i="3" s="1"/>
  <c r="T290" i="3"/>
  <c r="U290" i="3"/>
  <c r="I292" i="3"/>
  <c r="K292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O304" i="3" s="1"/>
  <c r="M304" i="3"/>
  <c r="N304" i="3"/>
  <c r="P304" i="3"/>
  <c r="Q304" i="3"/>
  <c r="R304" i="3"/>
  <c r="U304" i="3" s="1"/>
  <c r="S304" i="3"/>
  <c r="O307" i="3"/>
  <c r="P307" i="3"/>
  <c r="T307" i="3"/>
  <c r="U307" i="3"/>
  <c r="L308" i="3"/>
  <c r="L306" i="3" s="1"/>
  <c r="O306" i="3" s="1"/>
  <c r="M308" i="3"/>
  <c r="M306" i="3" s="1"/>
  <c r="P306" i="3" s="1"/>
  <c r="N308" i="3"/>
  <c r="N306" i="3" s="1"/>
  <c r="Q308" i="3"/>
  <c r="Q305" i="3" s="1"/>
  <c r="R308" i="3"/>
  <c r="R305" i="3" s="1"/>
  <c r="S308" i="3"/>
  <c r="S306" i="3" s="1"/>
  <c r="Q309" i="3"/>
  <c r="R309" i="3"/>
  <c r="U309" i="3" s="1"/>
  <c r="S309" i="3"/>
  <c r="T309" i="3"/>
  <c r="O310" i="3"/>
  <c r="P310" i="3"/>
  <c r="T310" i="3"/>
  <c r="U310" i="3"/>
  <c r="L311" i="3"/>
  <c r="M311" i="3"/>
  <c r="M309" i="3" s="1"/>
  <c r="P309" i="3" s="1"/>
  <c r="N311" i="3"/>
  <c r="N309" i="3" s="1"/>
  <c r="T311" i="3"/>
  <c r="U311" i="3"/>
  <c r="I314" i="3"/>
  <c r="K314" i="3" s="1"/>
  <c r="J319" i="3"/>
  <c r="R320" i="3"/>
  <c r="U320" i="3" s="1"/>
  <c r="L321" i="3"/>
  <c r="M321" i="3"/>
  <c r="N321" i="3"/>
  <c r="O321" i="3"/>
  <c r="P321" i="3"/>
  <c r="Q321" i="3"/>
  <c r="T321" i="3" s="1"/>
  <c r="R321" i="3"/>
  <c r="S321" i="3"/>
  <c r="U321" i="3"/>
  <c r="Q322" i="3"/>
  <c r="T322" i="3" s="1"/>
  <c r="R322" i="3"/>
  <c r="U322" i="3" s="1"/>
  <c r="S322" i="3"/>
  <c r="Q323" i="3"/>
  <c r="R323" i="3"/>
  <c r="U323" i="3" s="1"/>
  <c r="S323" i="3"/>
  <c r="T323" i="3"/>
  <c r="O324" i="3"/>
  <c r="P324" i="3"/>
  <c r="T324" i="3"/>
  <c r="U324" i="3"/>
  <c r="L325" i="3"/>
  <c r="M325" i="3"/>
  <c r="N325" i="3"/>
  <c r="T325" i="3"/>
  <c r="U325" i="3"/>
  <c r="Q326" i="3"/>
  <c r="T326" i="3" s="1"/>
  <c r="R326" i="3"/>
  <c r="U326" i="3" s="1"/>
  <c r="S326" i="3"/>
  <c r="O327" i="3"/>
  <c r="P327" i="3"/>
  <c r="T327" i="3"/>
  <c r="U327" i="3"/>
  <c r="L328" i="3"/>
  <c r="L326" i="3" s="1"/>
  <c r="O326" i="3" s="1"/>
  <c r="M328" i="3"/>
  <c r="P328" i="3" s="1"/>
  <c r="N328" i="3"/>
  <c r="N326" i="3" s="1"/>
  <c r="T328" i="3"/>
  <c r="U328" i="3"/>
  <c r="I330" i="3"/>
  <c r="I319" i="3" s="1"/>
  <c r="K319" i="3" s="1"/>
  <c r="L334" i="3"/>
  <c r="M334" i="3"/>
  <c r="N334" i="3"/>
  <c r="Q334" i="3"/>
  <c r="T334" i="3" s="1"/>
  <c r="R334" i="3"/>
  <c r="S334" i="3"/>
  <c r="Q335" i="3"/>
  <c r="R335" i="3"/>
  <c r="S335" i="3"/>
  <c r="T335" i="3"/>
  <c r="U335" i="3"/>
  <c r="Q336" i="3"/>
  <c r="T336" i="3" s="1"/>
  <c r="R336" i="3"/>
  <c r="S336" i="3"/>
  <c r="U336" i="3"/>
  <c r="O337" i="3"/>
  <c r="P337" i="3"/>
  <c r="T337" i="3"/>
  <c r="U337" i="3"/>
  <c r="L338" i="3"/>
  <c r="L336" i="3" s="1"/>
  <c r="M338" i="3"/>
  <c r="N338" i="3"/>
  <c r="N336" i="3" s="1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O341" i="3" s="1"/>
  <c r="M341" i="3"/>
  <c r="M339" i="3" s="1"/>
  <c r="P339" i="3" s="1"/>
  <c r="N341" i="3"/>
  <c r="N339" i="3" s="1"/>
  <c r="T341" i="3"/>
  <c r="U341" i="3"/>
  <c r="I344" i="3"/>
  <c r="I332" i="3" s="1"/>
  <c r="J344" i="3"/>
  <c r="I346" i="3"/>
  <c r="J346" i="3"/>
  <c r="J347" i="3"/>
  <c r="J348" i="3"/>
  <c r="J349" i="3"/>
  <c r="D350" i="3"/>
  <c r="J352" i="3"/>
  <c r="J353" i="3"/>
  <c r="J354" i="3"/>
  <c r="L357" i="3"/>
  <c r="O357" i="3" s="1"/>
  <c r="M357" i="3"/>
  <c r="N357" i="3"/>
  <c r="P357" i="3"/>
  <c r="Q357" i="3"/>
  <c r="R357" i="3"/>
  <c r="U357" i="3" s="1"/>
  <c r="S357" i="3"/>
  <c r="T357" i="3"/>
  <c r="Q358" i="3"/>
  <c r="R358" i="3"/>
  <c r="S358" i="3"/>
  <c r="S356" i="3" s="1"/>
  <c r="Q359" i="3"/>
  <c r="T359" i="3" s="1"/>
  <c r="R359" i="3"/>
  <c r="U359" i="3" s="1"/>
  <c r="S359" i="3"/>
  <c r="O360" i="3"/>
  <c r="P360" i="3"/>
  <c r="T360" i="3"/>
  <c r="U360" i="3"/>
  <c r="L361" i="3"/>
  <c r="L359" i="3" s="1"/>
  <c r="M361" i="3"/>
  <c r="N361" i="3"/>
  <c r="N359" i="3" s="1"/>
  <c r="T361" i="3"/>
  <c r="U361" i="3"/>
  <c r="Q362" i="3"/>
  <c r="T362" i="3" s="1"/>
  <c r="R362" i="3"/>
  <c r="S362" i="3"/>
  <c r="U362" i="3"/>
  <c r="O363" i="3"/>
  <c r="P363" i="3"/>
  <c r="T363" i="3"/>
  <c r="U363" i="3"/>
  <c r="L364" i="3"/>
  <c r="M364" i="3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M376" i="3"/>
  <c r="N376" i="3"/>
  <c r="Q376" i="3"/>
  <c r="R376" i="3"/>
  <c r="S376" i="3"/>
  <c r="L377" i="3"/>
  <c r="O377" i="3" s="1"/>
  <c r="M377" i="3"/>
  <c r="P377" i="3" s="1"/>
  <c r="N377" i="3"/>
  <c r="N375" i="3" s="1"/>
  <c r="L378" i="3"/>
  <c r="M378" i="3"/>
  <c r="P378" i="3" s="1"/>
  <c r="N378" i="3"/>
  <c r="O378" i="3"/>
  <c r="O379" i="3"/>
  <c r="P379" i="3"/>
  <c r="T379" i="3"/>
  <c r="U379" i="3"/>
  <c r="O380" i="3"/>
  <c r="P380" i="3"/>
  <c r="Q380" i="3"/>
  <c r="R380" i="3"/>
  <c r="S380" i="3"/>
  <c r="S378" i="3" s="1"/>
  <c r="L381" i="3"/>
  <c r="O381" i="3" s="1"/>
  <c r="M381" i="3"/>
  <c r="P381" i="3" s="1"/>
  <c r="N381" i="3"/>
  <c r="Q381" i="3"/>
  <c r="T381" i="3" s="1"/>
  <c r="R381" i="3"/>
  <c r="U381" i="3" s="1"/>
  <c r="S381" i="3"/>
  <c r="O382" i="3"/>
  <c r="P382" i="3"/>
  <c r="T382" i="3"/>
  <c r="U382" i="3"/>
  <c r="O383" i="3"/>
  <c r="P383" i="3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L393" i="3"/>
  <c r="M393" i="3"/>
  <c r="N393" i="3"/>
  <c r="O393" i="3"/>
  <c r="Q393" i="3"/>
  <c r="R393" i="3"/>
  <c r="R392" i="3" s="1"/>
  <c r="U392" i="3" s="1"/>
  <c r="S393" i="3"/>
  <c r="T393" i="3"/>
  <c r="L394" i="3"/>
  <c r="O394" i="3" s="1"/>
  <c r="M394" i="3"/>
  <c r="N394" i="3"/>
  <c r="P394" i="3"/>
  <c r="Q394" i="3"/>
  <c r="R394" i="3"/>
  <c r="U394" i="3" s="1"/>
  <c r="S394" i="3"/>
  <c r="L395" i="3"/>
  <c r="O395" i="3" s="1"/>
  <c r="M395" i="3"/>
  <c r="P395" i="3" s="1"/>
  <c r="N395" i="3"/>
  <c r="Q395" i="3"/>
  <c r="T395" i="3" s="1"/>
  <c r="R395" i="3"/>
  <c r="U395" i="3" s="1"/>
  <c r="S395" i="3"/>
  <c r="O396" i="3"/>
  <c r="P396" i="3"/>
  <c r="T396" i="3"/>
  <c r="U396" i="3"/>
  <c r="O397" i="3"/>
  <c r="P397" i="3"/>
  <c r="T397" i="3"/>
  <c r="U397" i="3"/>
  <c r="L398" i="3"/>
  <c r="O398" i="3" s="1"/>
  <c r="M398" i="3"/>
  <c r="P398" i="3" s="1"/>
  <c r="N398" i="3"/>
  <c r="Q398" i="3"/>
  <c r="R398" i="3"/>
  <c r="U398" i="3" s="1"/>
  <c r="S398" i="3"/>
  <c r="T398" i="3"/>
  <c r="O399" i="3"/>
  <c r="P399" i="3"/>
  <c r="T399" i="3"/>
  <c r="U399" i="3"/>
  <c r="O400" i="3"/>
  <c r="P400" i="3"/>
  <c r="T400" i="3"/>
  <c r="U400" i="3"/>
  <c r="L414" i="3"/>
  <c r="M414" i="3"/>
  <c r="N414" i="3"/>
  <c r="Q414" i="3"/>
  <c r="R414" i="3"/>
  <c r="S414" i="3"/>
  <c r="L415" i="3"/>
  <c r="M415" i="3"/>
  <c r="P415" i="3" s="1"/>
  <c r="N415" i="3"/>
  <c r="O415" i="3"/>
  <c r="L416" i="3"/>
  <c r="O416" i="3" s="1"/>
  <c r="M416" i="3"/>
  <c r="N416" i="3"/>
  <c r="P416" i="3"/>
  <c r="O417" i="3"/>
  <c r="P417" i="3"/>
  <c r="T417" i="3"/>
  <c r="U417" i="3"/>
  <c r="O418" i="3"/>
  <c r="P418" i="3"/>
  <c r="Q418" i="3"/>
  <c r="R418" i="3"/>
  <c r="R415" i="3" s="1"/>
  <c r="U415" i="3" s="1"/>
  <c r="S418" i="3"/>
  <c r="S416" i="3" s="1"/>
  <c r="L419" i="3"/>
  <c r="O419" i="3" s="1"/>
  <c r="M419" i="3"/>
  <c r="P419" i="3" s="1"/>
  <c r="N419" i="3"/>
  <c r="Q419" i="3"/>
  <c r="R419" i="3"/>
  <c r="U419" i="3" s="1"/>
  <c r="S419" i="3"/>
  <c r="T419" i="3"/>
  <c r="O420" i="3"/>
  <c r="P420" i="3"/>
  <c r="T420" i="3"/>
  <c r="U420" i="3"/>
  <c r="O421" i="3"/>
  <c r="P421" i="3"/>
  <c r="T421" i="3"/>
  <c r="U421" i="3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I441" i="3"/>
  <c r="K441" i="3" s="1"/>
  <c r="J446" i="3"/>
  <c r="J440" i="3" s="1"/>
  <c r="J423" i="3" s="1"/>
  <c r="J412" i="3" s="1"/>
  <c r="J447" i="3"/>
  <c r="J441" i="3" s="1"/>
  <c r="I457" i="3"/>
  <c r="K457" i="3" s="1"/>
  <c r="I458" i="3"/>
  <c r="K458" i="3" s="1"/>
  <c r="J459" i="3"/>
  <c r="J460" i="3"/>
  <c r="J458" i="3" s="1"/>
  <c r="J467" i="3"/>
  <c r="J457" i="3" s="1"/>
  <c r="J456" i="3" s="1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M493" i="3"/>
  <c r="P493" i="3" s="1"/>
  <c r="L494" i="3"/>
  <c r="L493" i="3" s="1"/>
  <c r="O493" i="3" s="1"/>
  <c r="M494" i="3"/>
  <c r="P494" i="3" s="1"/>
  <c r="N494" i="3"/>
  <c r="Q494" i="3"/>
  <c r="R494" i="3"/>
  <c r="U494" i="3" s="1"/>
  <c r="S494" i="3"/>
  <c r="L495" i="3"/>
  <c r="O495" i="3" s="1"/>
  <c r="M495" i="3"/>
  <c r="P495" i="3" s="1"/>
  <c r="N495" i="3"/>
  <c r="L496" i="3"/>
  <c r="M496" i="3"/>
  <c r="P496" i="3" s="1"/>
  <c r="N496" i="3"/>
  <c r="O496" i="3"/>
  <c r="O497" i="3"/>
  <c r="P497" i="3"/>
  <c r="T497" i="3"/>
  <c r="U497" i="3"/>
  <c r="O498" i="3"/>
  <c r="P498" i="3"/>
  <c r="Q498" i="3"/>
  <c r="Q496" i="3" s="1"/>
  <c r="T496" i="3" s="1"/>
  <c r="R498" i="3"/>
  <c r="R496" i="3" s="1"/>
  <c r="U496" i="3" s="1"/>
  <c r="S498" i="3"/>
  <c r="S496" i="3" s="1"/>
  <c r="L499" i="3"/>
  <c r="O499" i="3" s="1"/>
  <c r="M499" i="3"/>
  <c r="P499" i="3" s="1"/>
  <c r="N499" i="3"/>
  <c r="Q499" i="3"/>
  <c r="T499" i="3" s="1"/>
  <c r="R499" i="3"/>
  <c r="U499" i="3" s="1"/>
  <c r="S499" i="3"/>
  <c r="O500" i="3"/>
  <c r="P500" i="3"/>
  <c r="T500" i="3"/>
  <c r="U500" i="3"/>
  <c r="O501" i="3"/>
  <c r="P501" i="3"/>
  <c r="T501" i="3"/>
  <c r="U501" i="3"/>
  <c r="I503" i="3"/>
  <c r="I492" i="3" s="1"/>
  <c r="K492" i="3" s="1"/>
  <c r="I504" i="3"/>
  <c r="K504" i="3" s="1"/>
  <c r="I505" i="3"/>
  <c r="I506" i="3"/>
  <c r="K506" i="3" s="1"/>
  <c r="I507" i="3"/>
  <c r="K507" i="3" s="1"/>
  <c r="K508" i="3"/>
  <c r="I509" i="3"/>
  <c r="K509" i="3" s="1"/>
  <c r="I512" i="3"/>
  <c r="J512" i="3"/>
  <c r="K512" i="3"/>
  <c r="Q513" i="3"/>
  <c r="T513" i="3" s="1"/>
  <c r="L514" i="3"/>
  <c r="M514" i="3"/>
  <c r="N514" i="3"/>
  <c r="O514" i="3"/>
  <c r="Q514" i="3"/>
  <c r="T514" i="3" s="1"/>
  <c r="R514" i="3"/>
  <c r="S514" i="3"/>
  <c r="Q515" i="3"/>
  <c r="T515" i="3" s="1"/>
  <c r="R515" i="3"/>
  <c r="U515" i="3" s="1"/>
  <c r="S515" i="3"/>
  <c r="Q516" i="3"/>
  <c r="T516" i="3" s="1"/>
  <c r="R516" i="3"/>
  <c r="U516" i="3" s="1"/>
  <c r="S516" i="3"/>
  <c r="O517" i="3"/>
  <c r="P517" i="3"/>
  <c r="T517" i="3"/>
  <c r="U517" i="3"/>
  <c r="L518" i="3"/>
  <c r="L516" i="3" s="1"/>
  <c r="O516" i="3" s="1"/>
  <c r="M518" i="3"/>
  <c r="M516" i="3" s="1"/>
  <c r="P516" i="3" s="1"/>
  <c r="N518" i="3"/>
  <c r="N516" i="3" s="1"/>
  <c r="T518" i="3"/>
  <c r="U518" i="3"/>
  <c r="Q519" i="3"/>
  <c r="R519" i="3"/>
  <c r="S519" i="3"/>
  <c r="T519" i="3"/>
  <c r="U519" i="3"/>
  <c r="O520" i="3"/>
  <c r="P520" i="3"/>
  <c r="T520" i="3"/>
  <c r="U520" i="3"/>
  <c r="L521" i="3"/>
  <c r="M521" i="3"/>
  <c r="N521" i="3"/>
  <c r="N519" i="3" s="1"/>
  <c r="T521" i="3"/>
  <c r="U521" i="3"/>
  <c r="K523" i="3"/>
  <c r="K524" i="3"/>
  <c r="I533" i="3"/>
  <c r="K533" i="3" s="1"/>
  <c r="J533" i="3"/>
  <c r="S534" i="3"/>
  <c r="L535" i="3"/>
  <c r="L534" i="3" s="1"/>
  <c r="O534" i="3" s="1"/>
  <c r="M535" i="3"/>
  <c r="N535" i="3"/>
  <c r="Q535" i="3"/>
  <c r="T535" i="3" s="1"/>
  <c r="R535" i="3"/>
  <c r="U535" i="3" s="1"/>
  <c r="S535" i="3"/>
  <c r="L536" i="3"/>
  <c r="O536" i="3" s="1"/>
  <c r="M536" i="3"/>
  <c r="P536" i="3" s="1"/>
  <c r="N536" i="3"/>
  <c r="Q536" i="3"/>
  <c r="T536" i="3" s="1"/>
  <c r="R536" i="3"/>
  <c r="U536" i="3" s="1"/>
  <c r="S536" i="3"/>
  <c r="L537" i="3"/>
  <c r="O537" i="3" s="1"/>
  <c r="M537" i="3"/>
  <c r="P537" i="3" s="1"/>
  <c r="N537" i="3"/>
  <c r="Q537" i="3"/>
  <c r="R537" i="3"/>
  <c r="U537" i="3" s="1"/>
  <c r="S537" i="3"/>
  <c r="T537" i="3"/>
  <c r="O538" i="3"/>
  <c r="P538" i="3"/>
  <c r="T538" i="3"/>
  <c r="U538" i="3"/>
  <c r="O539" i="3"/>
  <c r="P539" i="3"/>
  <c r="T539" i="3"/>
  <c r="U539" i="3"/>
  <c r="L540" i="3"/>
  <c r="O540" i="3" s="1"/>
  <c r="M540" i="3"/>
  <c r="P540" i="3" s="1"/>
  <c r="N540" i="3"/>
  <c r="Q540" i="3"/>
  <c r="T540" i="3" s="1"/>
  <c r="R540" i="3"/>
  <c r="U540" i="3" s="1"/>
  <c r="S540" i="3"/>
  <c r="O541" i="3"/>
  <c r="P541" i="3"/>
  <c r="T541" i="3"/>
  <c r="U541" i="3"/>
  <c r="O542" i="3"/>
  <c r="P542" i="3"/>
  <c r="T542" i="3"/>
  <c r="U542" i="3"/>
  <c r="I554" i="3"/>
  <c r="K554" i="3" s="1"/>
  <c r="J554" i="3"/>
  <c r="L556" i="3"/>
  <c r="M556" i="3"/>
  <c r="N556" i="3"/>
  <c r="Q556" i="3"/>
  <c r="R556" i="3"/>
  <c r="S556" i="3"/>
  <c r="S555" i="3" s="1"/>
  <c r="L557" i="3"/>
  <c r="M557" i="3"/>
  <c r="P557" i="3" s="1"/>
  <c r="N557" i="3"/>
  <c r="O557" i="3"/>
  <c r="Q557" i="3"/>
  <c r="T557" i="3" s="1"/>
  <c r="R557" i="3"/>
  <c r="U557" i="3" s="1"/>
  <c r="S557" i="3"/>
  <c r="L558" i="3"/>
  <c r="O558" i="3" s="1"/>
  <c r="M558" i="3"/>
  <c r="P558" i="3" s="1"/>
  <c r="N558" i="3"/>
  <c r="Q558" i="3"/>
  <c r="T558" i="3" s="1"/>
  <c r="R558" i="3"/>
  <c r="S558" i="3"/>
  <c r="U558" i="3"/>
  <c r="O559" i="3"/>
  <c r="P559" i="3"/>
  <c r="T559" i="3"/>
  <c r="U559" i="3"/>
  <c r="O560" i="3"/>
  <c r="P560" i="3"/>
  <c r="T560" i="3"/>
  <c r="U560" i="3"/>
  <c r="L561" i="3"/>
  <c r="M561" i="3"/>
  <c r="P561" i="3" s="1"/>
  <c r="N561" i="3"/>
  <c r="O561" i="3"/>
  <c r="Q561" i="3"/>
  <c r="T561" i="3" s="1"/>
  <c r="R561" i="3"/>
  <c r="S561" i="3"/>
  <c r="U561" i="3"/>
  <c r="O562" i="3"/>
  <c r="P562" i="3"/>
  <c r="T562" i="3"/>
  <c r="U562" i="3"/>
  <c r="O563" i="3"/>
  <c r="P563" i="3"/>
  <c r="T563" i="3"/>
  <c r="U563" i="3"/>
  <c r="I575" i="3"/>
  <c r="K575" i="3" s="1"/>
  <c r="J575" i="3"/>
  <c r="M576" i="3"/>
  <c r="P576" i="3" s="1"/>
  <c r="L577" i="3"/>
  <c r="L576" i="3" s="1"/>
  <c r="O576" i="3" s="1"/>
  <c r="M577" i="3"/>
  <c r="N577" i="3"/>
  <c r="O577" i="3"/>
  <c r="P577" i="3"/>
  <c r="Q577" i="3"/>
  <c r="R577" i="3"/>
  <c r="R576" i="3" s="1"/>
  <c r="U576" i="3" s="1"/>
  <c r="S577" i="3"/>
  <c r="S576" i="3" s="1"/>
  <c r="T577" i="3"/>
  <c r="U577" i="3"/>
  <c r="L578" i="3"/>
  <c r="O578" i="3" s="1"/>
  <c r="M578" i="3"/>
  <c r="N578" i="3"/>
  <c r="P578" i="3"/>
  <c r="Q578" i="3"/>
  <c r="T578" i="3" s="1"/>
  <c r="R578" i="3"/>
  <c r="U578" i="3" s="1"/>
  <c r="S578" i="3"/>
  <c r="L579" i="3"/>
  <c r="O579" i="3" s="1"/>
  <c r="M579" i="3"/>
  <c r="P579" i="3" s="1"/>
  <c r="N579" i="3"/>
  <c r="Q579" i="3"/>
  <c r="T579" i="3" s="1"/>
  <c r="R579" i="3"/>
  <c r="U579" i="3" s="1"/>
  <c r="S579" i="3"/>
  <c r="O580" i="3"/>
  <c r="P580" i="3"/>
  <c r="T580" i="3"/>
  <c r="U580" i="3"/>
  <c r="O581" i="3"/>
  <c r="P581" i="3"/>
  <c r="T581" i="3"/>
  <c r="U581" i="3"/>
  <c r="L582" i="3"/>
  <c r="O582" i="3" s="1"/>
  <c r="M582" i="3"/>
  <c r="P582" i="3" s="1"/>
  <c r="N582" i="3"/>
  <c r="Q582" i="3"/>
  <c r="R582" i="3"/>
  <c r="U582" i="3" s="1"/>
  <c r="S582" i="3"/>
  <c r="T582" i="3"/>
  <c r="O583" i="3"/>
  <c r="P583" i="3"/>
  <c r="T583" i="3"/>
  <c r="U583" i="3"/>
  <c r="O584" i="3"/>
  <c r="P584" i="3"/>
  <c r="T584" i="3"/>
  <c r="U584" i="3"/>
  <c r="L600" i="3"/>
  <c r="M600" i="3"/>
  <c r="N600" i="3"/>
  <c r="P600" i="3"/>
  <c r="Q600" i="3"/>
  <c r="Q599" i="3" s="1"/>
  <c r="T599" i="3" s="1"/>
  <c r="R600" i="3"/>
  <c r="S600" i="3"/>
  <c r="L601" i="3"/>
  <c r="O601" i="3" s="1"/>
  <c r="M601" i="3"/>
  <c r="P601" i="3" s="1"/>
  <c r="N601" i="3"/>
  <c r="Q601" i="3"/>
  <c r="T601" i="3" s="1"/>
  <c r="R601" i="3"/>
  <c r="U601" i="3" s="1"/>
  <c r="S601" i="3"/>
  <c r="S599" i="3" s="1"/>
  <c r="L602" i="3"/>
  <c r="O602" i="3" s="1"/>
  <c r="M602" i="3"/>
  <c r="P602" i="3" s="1"/>
  <c r="N602" i="3"/>
  <c r="Q602" i="3"/>
  <c r="R602" i="3"/>
  <c r="U602" i="3" s="1"/>
  <c r="S602" i="3"/>
  <c r="T602" i="3"/>
  <c r="O603" i="3"/>
  <c r="P603" i="3"/>
  <c r="T603" i="3"/>
  <c r="U603" i="3"/>
  <c r="O604" i="3"/>
  <c r="P604" i="3"/>
  <c r="T604" i="3"/>
  <c r="U604" i="3"/>
  <c r="L605" i="3"/>
  <c r="O605" i="3" s="1"/>
  <c r="M605" i="3"/>
  <c r="P605" i="3" s="1"/>
  <c r="N605" i="3"/>
  <c r="Q605" i="3"/>
  <c r="T605" i="3" s="1"/>
  <c r="R605" i="3"/>
  <c r="U605" i="3" s="1"/>
  <c r="S605" i="3"/>
  <c r="O606" i="3"/>
  <c r="P606" i="3"/>
  <c r="T606" i="3"/>
  <c r="U606" i="3"/>
  <c r="O607" i="3"/>
  <c r="P607" i="3"/>
  <c r="T607" i="3"/>
  <c r="U607" i="3"/>
  <c r="L617" i="3"/>
  <c r="M617" i="3"/>
  <c r="N617" i="3"/>
  <c r="Q617" i="3"/>
  <c r="R617" i="3"/>
  <c r="S617" i="3"/>
  <c r="L618" i="3"/>
  <c r="O618" i="3" s="1"/>
  <c r="M618" i="3"/>
  <c r="P618" i="3" s="1"/>
  <c r="N618" i="3"/>
  <c r="L619" i="3"/>
  <c r="O619" i="3" s="1"/>
  <c r="M619" i="3"/>
  <c r="P619" i="3" s="1"/>
  <c r="N619" i="3"/>
  <c r="O620" i="3"/>
  <c r="P620" i="3"/>
  <c r="T620" i="3"/>
  <c r="U620" i="3"/>
  <c r="O621" i="3"/>
  <c r="P621" i="3"/>
  <c r="Q621" i="3"/>
  <c r="R621" i="3"/>
  <c r="S621" i="3"/>
  <c r="S619" i="3" s="1"/>
  <c r="L622" i="3"/>
  <c r="O622" i="3" s="1"/>
  <c r="M622" i="3"/>
  <c r="P622" i="3" s="1"/>
  <c r="N622" i="3"/>
  <c r="Q622" i="3"/>
  <c r="T622" i="3" s="1"/>
  <c r="R622" i="3"/>
  <c r="U622" i="3" s="1"/>
  <c r="S622" i="3"/>
  <c r="O623" i="3"/>
  <c r="P623" i="3"/>
  <c r="T623" i="3"/>
  <c r="U623" i="3"/>
  <c r="O624" i="3"/>
  <c r="P624" i="3"/>
  <c r="T624" i="3"/>
  <c r="U624" i="3"/>
  <c r="I626" i="3"/>
  <c r="K629" i="3" s="1"/>
  <c r="J626" i="3"/>
  <c r="J615" i="3" s="1"/>
  <c r="I627" i="3"/>
  <c r="K627" i="3" s="1"/>
  <c r="I628" i="3"/>
  <c r="K628" i="3" s="1"/>
  <c r="J632" i="3"/>
  <c r="I635" i="3"/>
  <c r="K635" i="3" s="1"/>
  <c r="J636" i="3"/>
  <c r="J635" i="3" s="1"/>
  <c r="L643" i="3"/>
  <c r="M643" i="3"/>
  <c r="N643" i="3"/>
  <c r="Q643" i="3"/>
  <c r="R643" i="3"/>
  <c r="S643" i="3"/>
  <c r="L644" i="3"/>
  <c r="O644" i="3" s="1"/>
  <c r="M644" i="3"/>
  <c r="P644" i="3" s="1"/>
  <c r="N644" i="3"/>
  <c r="N642" i="3" s="1"/>
  <c r="L645" i="3"/>
  <c r="O645" i="3" s="1"/>
  <c r="M645" i="3"/>
  <c r="P645" i="3" s="1"/>
  <c r="N645" i="3"/>
  <c r="O646" i="3"/>
  <c r="P646" i="3"/>
  <c r="T646" i="3"/>
  <c r="U646" i="3"/>
  <c r="O647" i="3"/>
  <c r="P647" i="3"/>
  <c r="Q647" i="3"/>
  <c r="Q644" i="3" s="1"/>
  <c r="R647" i="3"/>
  <c r="S647" i="3"/>
  <c r="S645" i="3" s="1"/>
  <c r="L648" i="3"/>
  <c r="O648" i="3" s="1"/>
  <c r="M648" i="3"/>
  <c r="P648" i="3" s="1"/>
  <c r="N648" i="3"/>
  <c r="Q648" i="3"/>
  <c r="T648" i="3" s="1"/>
  <c r="R648" i="3"/>
  <c r="U648" i="3" s="1"/>
  <c r="S648" i="3"/>
  <c r="O649" i="3"/>
  <c r="P649" i="3"/>
  <c r="T649" i="3"/>
  <c r="U649" i="3"/>
  <c r="O650" i="3"/>
  <c r="P650" i="3"/>
  <c r="T650" i="3"/>
  <c r="U650" i="3"/>
  <c r="I652" i="3"/>
  <c r="J652" i="3"/>
  <c r="I653" i="3"/>
  <c r="J653" i="3"/>
  <c r="I654" i="3"/>
  <c r="K654" i="3" s="1"/>
  <c r="J654" i="3"/>
  <c r="I657" i="3"/>
  <c r="I660" i="3"/>
  <c r="I661" i="3"/>
  <c r="J661" i="3"/>
  <c r="J671" i="3"/>
  <c r="J672" i="3"/>
  <c r="I673" i="3"/>
  <c r="J673" i="3"/>
  <c r="I674" i="3"/>
  <c r="I675" i="3"/>
  <c r="I676" i="3"/>
  <c r="J676" i="3"/>
  <c r="J677" i="3"/>
  <c r="I678" i="3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L690" i="3" s="1"/>
  <c r="O690" i="3" s="1"/>
  <c r="M691" i="3"/>
  <c r="P691" i="3" s="1"/>
  <c r="N691" i="3"/>
  <c r="Q691" i="3"/>
  <c r="R691" i="3"/>
  <c r="S691" i="3"/>
  <c r="L692" i="3"/>
  <c r="O692" i="3" s="1"/>
  <c r="M692" i="3"/>
  <c r="P692" i="3" s="1"/>
  <c r="N692" i="3"/>
  <c r="N690" i="3" s="1"/>
  <c r="L693" i="3"/>
  <c r="O693" i="3" s="1"/>
  <c r="M693" i="3"/>
  <c r="P693" i="3" s="1"/>
  <c r="N693" i="3"/>
  <c r="O694" i="3"/>
  <c r="P694" i="3"/>
  <c r="T694" i="3"/>
  <c r="U694" i="3"/>
  <c r="O695" i="3"/>
  <c r="P695" i="3"/>
  <c r="Q695" i="3"/>
  <c r="Q692" i="3" s="1"/>
  <c r="R695" i="3"/>
  <c r="R693" i="3" s="1"/>
  <c r="S695" i="3"/>
  <c r="S693" i="3" s="1"/>
  <c r="L696" i="3"/>
  <c r="O696" i="3" s="1"/>
  <c r="M696" i="3"/>
  <c r="P696" i="3" s="1"/>
  <c r="N696" i="3"/>
  <c r="Q696" i="3"/>
  <c r="T696" i="3" s="1"/>
  <c r="R696" i="3"/>
  <c r="U696" i="3" s="1"/>
  <c r="S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J707" i="3"/>
  <c r="J689" i="3" s="1"/>
  <c r="J708" i="3"/>
  <c r="K708" i="3"/>
  <c r="I709" i="3"/>
  <c r="J709" i="3"/>
  <c r="J710" i="3"/>
  <c r="K710" i="3"/>
  <c r="J712" i="3"/>
  <c r="K712" i="3"/>
  <c r="R714" i="3"/>
  <c r="U714" i="3" s="1"/>
  <c r="L715" i="3"/>
  <c r="L714" i="3" s="1"/>
  <c r="O714" i="3" s="1"/>
  <c r="M715" i="3"/>
  <c r="N715" i="3"/>
  <c r="O715" i="3"/>
  <c r="P715" i="3"/>
  <c r="Q715" i="3"/>
  <c r="T715" i="3" s="1"/>
  <c r="R715" i="3"/>
  <c r="S715" i="3"/>
  <c r="S714" i="3" s="1"/>
  <c r="U715" i="3"/>
  <c r="L716" i="3"/>
  <c r="O716" i="3" s="1"/>
  <c r="M716" i="3"/>
  <c r="P716" i="3" s="1"/>
  <c r="N716" i="3"/>
  <c r="Q716" i="3"/>
  <c r="T716" i="3" s="1"/>
  <c r="R716" i="3"/>
  <c r="U716" i="3" s="1"/>
  <c r="S716" i="3"/>
  <c r="L717" i="3"/>
  <c r="O717" i="3" s="1"/>
  <c r="M717" i="3"/>
  <c r="P717" i="3" s="1"/>
  <c r="N717" i="3"/>
  <c r="Q717" i="3"/>
  <c r="R717" i="3"/>
  <c r="U717" i="3" s="1"/>
  <c r="S717" i="3"/>
  <c r="T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R720" i="3"/>
  <c r="U720" i="3" s="1"/>
  <c r="S720" i="3"/>
  <c r="T720" i="3"/>
  <c r="O721" i="3"/>
  <c r="P721" i="3"/>
  <c r="T721" i="3"/>
  <c r="U721" i="3"/>
  <c r="O722" i="3"/>
  <c r="P722" i="3"/>
  <c r="T722" i="3"/>
  <c r="U722" i="3"/>
  <c r="I726" i="3"/>
  <c r="J726" i="3"/>
  <c r="I727" i="3"/>
  <c r="J727" i="3"/>
  <c r="M728" i="3"/>
  <c r="P728" i="3" s="1"/>
  <c r="L729" i="3"/>
  <c r="M729" i="3"/>
  <c r="N729" i="3"/>
  <c r="O729" i="3"/>
  <c r="P729" i="3"/>
  <c r="Q729" i="3"/>
  <c r="R729" i="3"/>
  <c r="S729" i="3"/>
  <c r="T729" i="3"/>
  <c r="U729" i="3"/>
  <c r="L730" i="3"/>
  <c r="O730" i="3" s="1"/>
  <c r="M730" i="3"/>
  <c r="P730" i="3" s="1"/>
  <c r="N730" i="3"/>
  <c r="L731" i="3"/>
  <c r="O731" i="3" s="1"/>
  <c r="M731" i="3"/>
  <c r="P731" i="3" s="1"/>
  <c r="N731" i="3"/>
  <c r="O732" i="3"/>
  <c r="P732" i="3"/>
  <c r="T732" i="3"/>
  <c r="U732" i="3"/>
  <c r="O733" i="3"/>
  <c r="P733" i="3"/>
  <c r="Q733" i="3"/>
  <c r="Q731" i="3" s="1"/>
  <c r="R733" i="3"/>
  <c r="R731" i="3" s="1"/>
  <c r="S733" i="3"/>
  <c r="L734" i="3"/>
  <c r="O734" i="3" s="1"/>
  <c r="M734" i="3"/>
  <c r="N734" i="3"/>
  <c r="P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N760" i="3"/>
  <c r="L761" i="3"/>
  <c r="M761" i="3"/>
  <c r="M760" i="3" s="1"/>
  <c r="P760" i="3" s="1"/>
  <c r="N761" i="3"/>
  <c r="P761" i="3"/>
  <c r="Q761" i="3"/>
  <c r="R761" i="3"/>
  <c r="S761" i="3"/>
  <c r="L762" i="3"/>
  <c r="O762" i="3" s="1"/>
  <c r="M762" i="3"/>
  <c r="P762" i="3" s="1"/>
  <c r="N762" i="3"/>
  <c r="L763" i="3"/>
  <c r="M763" i="3"/>
  <c r="N763" i="3"/>
  <c r="O763" i="3"/>
  <c r="P763" i="3"/>
  <c r="O764" i="3"/>
  <c r="P764" i="3"/>
  <c r="T764" i="3"/>
  <c r="U764" i="3"/>
  <c r="O765" i="3"/>
  <c r="P765" i="3"/>
  <c r="Q765" i="3"/>
  <c r="Q763" i="3" s="1"/>
  <c r="T763" i="3" s="1"/>
  <c r="R765" i="3"/>
  <c r="R763" i="3" s="1"/>
  <c r="U763" i="3" s="1"/>
  <c r="S765" i="3"/>
  <c r="S762" i="3" s="1"/>
  <c r="S760" i="3" s="1"/>
  <c r="L766" i="3"/>
  <c r="O766" i="3" s="1"/>
  <c r="M766" i="3"/>
  <c r="N766" i="3"/>
  <c r="P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I759" i="3" s="1"/>
  <c r="K759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L19" i="2" s="1"/>
  <c r="M22" i="2"/>
  <c r="N22" i="2"/>
  <c r="N19" i="2" s="1"/>
  <c r="Q22" i="2"/>
  <c r="R22" i="2"/>
  <c r="S22" i="2"/>
  <c r="Q24" i="2"/>
  <c r="T24" i="2" s="1"/>
  <c r="L25" i="2"/>
  <c r="M25" i="2"/>
  <c r="M19" i="2" s="1"/>
  <c r="N25" i="2"/>
  <c r="Q25" i="2"/>
  <c r="T25" i="2" s="1"/>
  <c r="R25" i="2"/>
  <c r="S25" i="2"/>
  <c r="Q26" i="2"/>
  <c r="R26" i="2"/>
  <c r="U26" i="2" s="1"/>
  <c r="S26" i="2"/>
  <c r="T26" i="2"/>
  <c r="Q44" i="2"/>
  <c r="T44" i="2" s="1"/>
  <c r="L45" i="2"/>
  <c r="O45" i="2" s="1"/>
  <c r="M45" i="2"/>
  <c r="N45" i="2"/>
  <c r="Q45" i="2"/>
  <c r="R45" i="2"/>
  <c r="S45" i="2"/>
  <c r="S44" i="2" s="1"/>
  <c r="T45" i="2"/>
  <c r="Q46" i="2"/>
  <c r="T46" i="2" s="1"/>
  <c r="R46" i="2"/>
  <c r="U46" i="2" s="1"/>
  <c r="S46" i="2"/>
  <c r="Q47" i="2"/>
  <c r="T47" i="2" s="1"/>
  <c r="R47" i="2"/>
  <c r="U47" i="2" s="1"/>
  <c r="S47" i="2"/>
  <c r="O48" i="2"/>
  <c r="P48" i="2"/>
  <c r="T48" i="2"/>
  <c r="U48" i="2"/>
  <c r="L49" i="2"/>
  <c r="L47" i="2" s="1"/>
  <c r="M49" i="2"/>
  <c r="M47" i="2" s="1"/>
  <c r="N49" i="2"/>
  <c r="T49" i="2"/>
  <c r="U49" i="2"/>
  <c r="Q50" i="2"/>
  <c r="T50" i="2" s="1"/>
  <c r="R50" i="2"/>
  <c r="U50" i="2" s="1"/>
  <c r="S50" i="2"/>
  <c r="O51" i="2"/>
  <c r="P51" i="2"/>
  <c r="T51" i="2"/>
  <c r="U51" i="2"/>
  <c r="L52" i="2"/>
  <c r="M52" i="2"/>
  <c r="N52" i="2"/>
  <c r="N50" i="2" s="1"/>
  <c r="T52" i="2"/>
  <c r="U52" i="2"/>
  <c r="R59" i="2"/>
  <c r="U59" i="2" s="1"/>
  <c r="L60" i="2"/>
  <c r="M60" i="2"/>
  <c r="N60" i="2"/>
  <c r="Q60" i="2"/>
  <c r="T60" i="2" s="1"/>
  <c r="R60" i="2"/>
  <c r="U60" i="2" s="1"/>
  <c r="S60" i="2"/>
  <c r="S59" i="2" s="1"/>
  <c r="Q61" i="2"/>
  <c r="Q59" i="2" s="1"/>
  <c r="T59" i="2" s="1"/>
  <c r="R61" i="2"/>
  <c r="U61" i="2" s="1"/>
  <c r="S61" i="2"/>
  <c r="T61" i="2"/>
  <c r="Q62" i="2"/>
  <c r="T62" i="2" s="1"/>
  <c r="R62" i="2"/>
  <c r="U62" i="2" s="1"/>
  <c r="S62" i="2"/>
  <c r="O63" i="2"/>
  <c r="P63" i="2"/>
  <c r="T63" i="2"/>
  <c r="U63" i="2"/>
  <c r="L64" i="2"/>
  <c r="M64" i="2"/>
  <c r="M62" i="2" s="1"/>
  <c r="N64" i="2"/>
  <c r="N62" i="2" s="1"/>
  <c r="T64" i="2"/>
  <c r="U64" i="2"/>
  <c r="Q65" i="2"/>
  <c r="T65" i="2" s="1"/>
  <c r="R65" i="2"/>
  <c r="U65" i="2" s="1"/>
  <c r="S65" i="2"/>
  <c r="O66" i="2"/>
  <c r="P66" i="2"/>
  <c r="T66" i="2"/>
  <c r="U66" i="2"/>
  <c r="L67" i="2"/>
  <c r="M67" i="2"/>
  <c r="P67" i="2" s="1"/>
  <c r="N67" i="2"/>
  <c r="N65" i="2" s="1"/>
  <c r="T67" i="2"/>
  <c r="U67" i="2"/>
  <c r="L73" i="2"/>
  <c r="O73" i="2" s="1"/>
  <c r="M73" i="2"/>
  <c r="N73" i="2"/>
  <c r="Q73" i="2"/>
  <c r="R73" i="2"/>
  <c r="S73" i="2"/>
  <c r="T73" i="2"/>
  <c r="O76" i="2"/>
  <c r="P76" i="2"/>
  <c r="T76" i="2"/>
  <c r="U76" i="2"/>
  <c r="L77" i="2"/>
  <c r="O77" i="2" s="1"/>
  <c r="M77" i="2"/>
  <c r="M75" i="2" s="1"/>
  <c r="P75" i="2" s="1"/>
  <c r="N77" i="2"/>
  <c r="Q77" i="2"/>
  <c r="T77" i="2" s="1"/>
  <c r="R77" i="2"/>
  <c r="R74" i="2" s="1"/>
  <c r="U74" i="2" s="1"/>
  <c r="S77" i="2"/>
  <c r="S75" i="2" s="1"/>
  <c r="Q78" i="2"/>
  <c r="T78" i="2" s="1"/>
  <c r="R78" i="2"/>
  <c r="U78" i="2" s="1"/>
  <c r="S78" i="2"/>
  <c r="O79" i="2"/>
  <c r="P79" i="2"/>
  <c r="T79" i="2"/>
  <c r="U79" i="2"/>
  <c r="L80" i="2"/>
  <c r="O80" i="2" s="1"/>
  <c r="M80" i="2"/>
  <c r="N80" i="2"/>
  <c r="T80" i="2"/>
  <c r="U80" i="2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Q95" i="2"/>
  <c r="R95" i="2"/>
  <c r="S95" i="2"/>
  <c r="T95" i="2"/>
  <c r="U95" i="2"/>
  <c r="O98" i="2"/>
  <c r="P98" i="2"/>
  <c r="T98" i="2"/>
  <c r="U98" i="2"/>
  <c r="L99" i="2"/>
  <c r="O99" i="2" s="1"/>
  <c r="M99" i="2"/>
  <c r="P99" i="2" s="1"/>
  <c r="N99" i="2"/>
  <c r="N97" i="2" s="1"/>
  <c r="Q99" i="2"/>
  <c r="R99" i="2"/>
  <c r="R97" i="2" s="1"/>
  <c r="S99" i="2"/>
  <c r="S96" i="2" s="1"/>
  <c r="Q100" i="2"/>
  <c r="T100" i="2" s="1"/>
  <c r="R100" i="2"/>
  <c r="U100" i="2" s="1"/>
  <c r="S100" i="2"/>
  <c r="O101" i="2"/>
  <c r="P101" i="2"/>
  <c r="T101" i="2"/>
  <c r="U101" i="2"/>
  <c r="L102" i="2"/>
  <c r="O102" i="2" s="1"/>
  <c r="M102" i="2"/>
  <c r="M100" i="2" s="1"/>
  <c r="P100" i="2" s="1"/>
  <c r="N102" i="2"/>
  <c r="N100" i="2" s="1"/>
  <c r="T102" i="2"/>
  <c r="U102" i="2"/>
  <c r="I108" i="2"/>
  <c r="K108" i="2" s="1"/>
  <c r="I109" i="2"/>
  <c r="I113" i="2"/>
  <c r="K113" i="2" s="1"/>
  <c r="I114" i="2"/>
  <c r="K114" i="2" s="1"/>
  <c r="J116" i="2"/>
  <c r="L118" i="2"/>
  <c r="M118" i="2"/>
  <c r="N118" i="2"/>
  <c r="Q118" i="2"/>
  <c r="T118" i="2" s="1"/>
  <c r="R118" i="2"/>
  <c r="S118" i="2"/>
  <c r="O121" i="2"/>
  <c r="P121" i="2"/>
  <c r="T121" i="2"/>
  <c r="U121" i="2"/>
  <c r="L122" i="2"/>
  <c r="L120" i="2" s="1"/>
  <c r="O120" i="2" s="1"/>
  <c r="M122" i="2"/>
  <c r="N122" i="2"/>
  <c r="Q122" i="2"/>
  <c r="Q119" i="2" s="1"/>
  <c r="R122" i="2"/>
  <c r="R120" i="2" s="1"/>
  <c r="S122" i="2"/>
  <c r="S120" i="2" s="1"/>
  <c r="Q123" i="2"/>
  <c r="T123" i="2" s="1"/>
  <c r="R123" i="2"/>
  <c r="U123" i="2" s="1"/>
  <c r="S123" i="2"/>
  <c r="O124" i="2"/>
  <c r="P124" i="2"/>
  <c r="T124" i="2"/>
  <c r="U124" i="2"/>
  <c r="L125" i="2"/>
  <c r="L123" i="2" s="1"/>
  <c r="O123" i="2" s="1"/>
  <c r="M125" i="2"/>
  <c r="N125" i="2"/>
  <c r="N123" i="2" s="1"/>
  <c r="T125" i="2"/>
  <c r="U125" i="2"/>
  <c r="I127" i="2"/>
  <c r="K127" i="2" s="1"/>
  <c r="I128" i="2"/>
  <c r="K128" i="2" s="1"/>
  <c r="I129" i="2"/>
  <c r="K129" i="2" s="1"/>
  <c r="I130" i="2"/>
  <c r="K130" i="2" s="1"/>
  <c r="J136" i="2"/>
  <c r="J137" i="2"/>
  <c r="J138" i="2"/>
  <c r="L140" i="2"/>
  <c r="M140" i="2"/>
  <c r="N140" i="2"/>
  <c r="O140" i="2"/>
  <c r="P140" i="2"/>
  <c r="Q140" i="2"/>
  <c r="R140" i="2"/>
  <c r="S140" i="2"/>
  <c r="U140" i="2"/>
  <c r="O143" i="2"/>
  <c r="P143" i="2"/>
  <c r="T143" i="2"/>
  <c r="U143" i="2"/>
  <c r="L144" i="2"/>
  <c r="M144" i="2"/>
  <c r="M142" i="2" s="1"/>
  <c r="N144" i="2"/>
  <c r="Q144" i="2"/>
  <c r="R144" i="2"/>
  <c r="S144" i="2"/>
  <c r="Q145" i="2"/>
  <c r="R145" i="2"/>
  <c r="S145" i="2"/>
  <c r="T145" i="2"/>
  <c r="U145" i="2"/>
  <c r="O146" i="2"/>
  <c r="P146" i="2"/>
  <c r="T146" i="2"/>
  <c r="U146" i="2"/>
  <c r="L147" i="2"/>
  <c r="M147" i="2"/>
  <c r="P147" i="2" s="1"/>
  <c r="N147" i="2"/>
  <c r="N145" i="2" s="1"/>
  <c r="T147" i="2"/>
  <c r="U147" i="2"/>
  <c r="I150" i="2"/>
  <c r="K150" i="2" s="1"/>
  <c r="I151" i="2"/>
  <c r="K151" i="2" s="1"/>
  <c r="I152" i="2"/>
  <c r="I137" i="2" s="1"/>
  <c r="K137" i="2" s="1"/>
  <c r="I153" i="2"/>
  <c r="K153" i="2" s="1"/>
  <c r="I154" i="2"/>
  <c r="K154" i="2" s="1"/>
  <c r="J156" i="2"/>
  <c r="L158" i="2"/>
  <c r="M158" i="2"/>
  <c r="N158" i="2"/>
  <c r="Q158" i="2"/>
  <c r="T158" i="2" s="1"/>
  <c r="R158" i="2"/>
  <c r="S158" i="2"/>
  <c r="O161" i="2"/>
  <c r="P161" i="2"/>
  <c r="T161" i="2"/>
  <c r="U161" i="2"/>
  <c r="L162" i="2"/>
  <c r="L160" i="2" s="1"/>
  <c r="M162" i="2"/>
  <c r="N162" i="2"/>
  <c r="Q162" i="2"/>
  <c r="Q159" i="2" s="1"/>
  <c r="T159" i="2" s="1"/>
  <c r="R162" i="2"/>
  <c r="S162" i="2"/>
  <c r="S160" i="2" s="1"/>
  <c r="Q163" i="2"/>
  <c r="T163" i="2" s="1"/>
  <c r="R163" i="2"/>
  <c r="S163" i="2"/>
  <c r="U163" i="2"/>
  <c r="O164" i="2"/>
  <c r="P164" i="2"/>
  <c r="T164" i="2"/>
  <c r="U164" i="2"/>
  <c r="L165" i="2"/>
  <c r="M165" i="2"/>
  <c r="N165" i="2"/>
  <c r="N163" i="2" s="1"/>
  <c r="T165" i="2"/>
  <c r="U165" i="2"/>
  <c r="I167" i="2"/>
  <c r="J172" i="2"/>
  <c r="L174" i="2"/>
  <c r="M174" i="2"/>
  <c r="N174" i="2"/>
  <c r="Q174" i="2"/>
  <c r="T174" i="2" s="1"/>
  <c r="R174" i="2"/>
  <c r="S174" i="2"/>
  <c r="O177" i="2"/>
  <c r="P177" i="2"/>
  <c r="T177" i="2"/>
  <c r="U177" i="2"/>
  <c r="L178" i="2"/>
  <c r="M178" i="2"/>
  <c r="N178" i="2"/>
  <c r="N176" i="2" s="1"/>
  <c r="Q178" i="2"/>
  <c r="Q175" i="2" s="1"/>
  <c r="R178" i="2"/>
  <c r="S178" i="2"/>
  <c r="S176" i="2" s="1"/>
  <c r="Q179" i="2"/>
  <c r="T179" i="2" s="1"/>
  <c r="R179" i="2"/>
  <c r="S179" i="2"/>
  <c r="U179" i="2"/>
  <c r="O180" i="2"/>
  <c r="P180" i="2"/>
  <c r="T180" i="2"/>
  <c r="U180" i="2"/>
  <c r="L181" i="2"/>
  <c r="M181" i="2"/>
  <c r="N181" i="2"/>
  <c r="T181" i="2"/>
  <c r="U181" i="2"/>
  <c r="I183" i="2"/>
  <c r="I172" i="2" s="1"/>
  <c r="K172" i="2" s="1"/>
  <c r="K184" i="2"/>
  <c r="L187" i="2"/>
  <c r="M187" i="2"/>
  <c r="N187" i="2"/>
  <c r="P187" i="2"/>
  <c r="Q187" i="2"/>
  <c r="R187" i="2"/>
  <c r="S187" i="2"/>
  <c r="T187" i="2"/>
  <c r="O190" i="2"/>
  <c r="P190" i="2"/>
  <c r="T190" i="2"/>
  <c r="U190" i="2"/>
  <c r="L191" i="2"/>
  <c r="L189" i="2" s="1"/>
  <c r="M191" i="2"/>
  <c r="M189" i="2" s="1"/>
  <c r="N191" i="2"/>
  <c r="N189" i="2" s="1"/>
  <c r="Q191" i="2"/>
  <c r="R191" i="2"/>
  <c r="R189" i="2" s="1"/>
  <c r="S191" i="2"/>
  <c r="S188" i="2" s="1"/>
  <c r="Q192" i="2"/>
  <c r="R192" i="2"/>
  <c r="U192" i="2" s="1"/>
  <c r="S192" i="2"/>
  <c r="T192" i="2"/>
  <c r="O193" i="2"/>
  <c r="P193" i="2"/>
  <c r="T193" i="2"/>
  <c r="U193" i="2"/>
  <c r="L194" i="2"/>
  <c r="O194" i="2" s="1"/>
  <c r="M194" i="2"/>
  <c r="M192" i="2" s="1"/>
  <c r="P192" i="2" s="1"/>
  <c r="N194" i="2"/>
  <c r="T194" i="2"/>
  <c r="U194" i="2"/>
  <c r="J195" i="2"/>
  <c r="L196" i="2"/>
  <c r="O196" i="2" s="1"/>
  <c r="P196" i="2"/>
  <c r="I198" i="2"/>
  <c r="I195" i="2" s="1"/>
  <c r="K195" i="2" s="1"/>
  <c r="J199" i="2"/>
  <c r="J202" i="2"/>
  <c r="N203" i="2"/>
  <c r="P203" i="2"/>
  <c r="S203" i="2"/>
  <c r="U203" i="2"/>
  <c r="L204" i="2"/>
  <c r="L205" i="2"/>
  <c r="L206" i="2"/>
  <c r="Q206" i="2"/>
  <c r="Q203" i="2" s="1"/>
  <c r="L207" i="2"/>
  <c r="I209" i="2"/>
  <c r="I202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I219" i="2"/>
  <c r="K219" i="2" s="1"/>
  <c r="I220" i="2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3" i="2"/>
  <c r="N234" i="2"/>
  <c r="N235" i="2"/>
  <c r="N236" i="2"/>
  <c r="J238" i="2"/>
  <c r="J240" i="2"/>
  <c r="J241" i="2"/>
  <c r="J242" i="2"/>
  <c r="N243" i="2"/>
  <c r="P243" i="2"/>
  <c r="L244" i="2"/>
  <c r="L245" i="2"/>
  <c r="L246" i="2"/>
  <c r="L247" i="2"/>
  <c r="I249" i="2"/>
  <c r="I251" i="2"/>
  <c r="K251" i="2" s="1"/>
  <c r="I252" i="2"/>
  <c r="I241" i="2" s="1"/>
  <c r="J253" i="2"/>
  <c r="J231" i="2" s="1"/>
  <c r="J185" i="2" s="1"/>
  <c r="N254" i="2"/>
  <c r="P254" i="2"/>
  <c r="L255" i="2"/>
  <c r="L256" i="2"/>
  <c r="L257" i="2"/>
  <c r="L258" i="2"/>
  <c r="I260" i="2"/>
  <c r="K262" i="2"/>
  <c r="K263" i="2"/>
  <c r="J265" i="2"/>
  <c r="L267" i="2"/>
  <c r="M267" i="2"/>
  <c r="N267" i="2"/>
  <c r="Q267" i="2"/>
  <c r="R267" i="2"/>
  <c r="S267" i="2"/>
  <c r="T267" i="2"/>
  <c r="O270" i="2"/>
  <c r="P270" i="2"/>
  <c r="T270" i="2"/>
  <c r="U270" i="2"/>
  <c r="L271" i="2"/>
  <c r="M271" i="2"/>
  <c r="N271" i="2"/>
  <c r="Q271" i="2"/>
  <c r="R271" i="2"/>
  <c r="R269" i="2" s="1"/>
  <c r="S271" i="2"/>
  <c r="S268" i="2" s="1"/>
  <c r="Q272" i="2"/>
  <c r="T272" i="2" s="1"/>
  <c r="R272" i="2"/>
  <c r="U272" i="2" s="1"/>
  <c r="S272" i="2"/>
  <c r="O273" i="2"/>
  <c r="P273" i="2"/>
  <c r="T273" i="2"/>
  <c r="U273" i="2"/>
  <c r="L274" i="2"/>
  <c r="L272" i="2" s="1"/>
  <c r="O272" i="2" s="1"/>
  <c r="M274" i="2"/>
  <c r="M272" i="2" s="1"/>
  <c r="P272" i="2" s="1"/>
  <c r="N274" i="2"/>
  <c r="N272" i="2" s="1"/>
  <c r="T274" i="2"/>
  <c r="U274" i="2"/>
  <c r="I276" i="2"/>
  <c r="I265" i="2" s="1"/>
  <c r="J281" i="2"/>
  <c r="L283" i="2"/>
  <c r="M283" i="2"/>
  <c r="N283" i="2"/>
  <c r="O283" i="2"/>
  <c r="Q283" i="2"/>
  <c r="R283" i="2"/>
  <c r="R282" i="2" s="1"/>
  <c r="U282" i="2" s="1"/>
  <c r="S283" i="2"/>
  <c r="S282" i="2" s="1"/>
  <c r="U283" i="2"/>
  <c r="Q284" i="2"/>
  <c r="T284" i="2" s="1"/>
  <c r="R284" i="2"/>
  <c r="U284" i="2" s="1"/>
  <c r="S284" i="2"/>
  <c r="Q285" i="2"/>
  <c r="R285" i="2"/>
  <c r="U285" i="2" s="1"/>
  <c r="S285" i="2"/>
  <c r="T285" i="2"/>
  <c r="O286" i="2"/>
  <c r="P286" i="2"/>
  <c r="T286" i="2"/>
  <c r="U286" i="2"/>
  <c r="L287" i="2"/>
  <c r="M287" i="2"/>
  <c r="N287" i="2"/>
  <c r="T287" i="2"/>
  <c r="U287" i="2"/>
  <c r="Q288" i="2"/>
  <c r="R288" i="2"/>
  <c r="U288" i="2" s="1"/>
  <c r="S288" i="2"/>
  <c r="T288" i="2"/>
  <c r="O289" i="2"/>
  <c r="P289" i="2"/>
  <c r="T289" i="2"/>
  <c r="U289" i="2"/>
  <c r="L290" i="2"/>
  <c r="O290" i="2" s="1"/>
  <c r="M290" i="2"/>
  <c r="N290" i="2"/>
  <c r="N288" i="2" s="1"/>
  <c r="T290" i="2"/>
  <c r="U290" i="2"/>
  <c r="I292" i="2"/>
  <c r="I293" i="2"/>
  <c r="K293" i="2" s="1"/>
  <c r="J293" i="2"/>
  <c r="J280" i="2" s="1"/>
  <c r="I295" i="2"/>
  <c r="K295" i="2" s="1"/>
  <c r="I296" i="2"/>
  <c r="K296" i="2" s="1"/>
  <c r="J302" i="2"/>
  <c r="L304" i="2"/>
  <c r="M304" i="2"/>
  <c r="N304" i="2"/>
  <c r="O304" i="2"/>
  <c r="Q304" i="2"/>
  <c r="R304" i="2"/>
  <c r="U304" i="2" s="1"/>
  <c r="S304" i="2"/>
  <c r="O307" i="2"/>
  <c r="P307" i="2"/>
  <c r="T307" i="2"/>
  <c r="U307" i="2"/>
  <c r="L308" i="2"/>
  <c r="M308" i="2"/>
  <c r="M306" i="2" s="1"/>
  <c r="P306" i="2" s="1"/>
  <c r="N308" i="2"/>
  <c r="Q308" i="2"/>
  <c r="Q306" i="2" s="1"/>
  <c r="R308" i="2"/>
  <c r="S308" i="2"/>
  <c r="Q309" i="2"/>
  <c r="T309" i="2" s="1"/>
  <c r="R309" i="2"/>
  <c r="U309" i="2" s="1"/>
  <c r="S309" i="2"/>
  <c r="O310" i="2"/>
  <c r="P310" i="2"/>
  <c r="T310" i="2"/>
  <c r="U310" i="2"/>
  <c r="L311" i="2"/>
  <c r="M311" i="2"/>
  <c r="M309" i="2" s="1"/>
  <c r="P309" i="2" s="1"/>
  <c r="N311" i="2"/>
  <c r="N309" i="2" s="1"/>
  <c r="T311" i="2"/>
  <c r="U311" i="2"/>
  <c r="I314" i="2"/>
  <c r="K314" i="2" s="1"/>
  <c r="J319" i="2"/>
  <c r="L321" i="2"/>
  <c r="O321" i="2" s="1"/>
  <c r="M321" i="2"/>
  <c r="N321" i="2"/>
  <c r="Q321" i="2"/>
  <c r="T321" i="2" s="1"/>
  <c r="R321" i="2"/>
  <c r="R320" i="2" s="1"/>
  <c r="U320" i="2" s="1"/>
  <c r="S321" i="2"/>
  <c r="U321" i="2"/>
  <c r="Q322" i="2"/>
  <c r="T322" i="2" s="1"/>
  <c r="R322" i="2"/>
  <c r="S322" i="2"/>
  <c r="U322" i="2"/>
  <c r="Q323" i="2"/>
  <c r="T323" i="2" s="1"/>
  <c r="R323" i="2"/>
  <c r="U323" i="2" s="1"/>
  <c r="S323" i="2"/>
  <c r="O324" i="2"/>
  <c r="P324" i="2"/>
  <c r="T324" i="2"/>
  <c r="U324" i="2"/>
  <c r="L325" i="2"/>
  <c r="L323" i="2" s="1"/>
  <c r="M325" i="2"/>
  <c r="N325" i="2"/>
  <c r="T325" i="2"/>
  <c r="U325" i="2"/>
  <c r="Q326" i="2"/>
  <c r="T326" i="2" s="1"/>
  <c r="R326" i="2"/>
  <c r="U326" i="2" s="1"/>
  <c r="S326" i="2"/>
  <c r="O327" i="2"/>
  <c r="P327" i="2"/>
  <c r="T327" i="2"/>
  <c r="U327" i="2"/>
  <c r="L328" i="2"/>
  <c r="M328" i="2"/>
  <c r="N328" i="2"/>
  <c r="N326" i="2" s="1"/>
  <c r="T328" i="2"/>
  <c r="U328" i="2"/>
  <c r="I330" i="2"/>
  <c r="K330" i="2" s="1"/>
  <c r="L334" i="2"/>
  <c r="M334" i="2"/>
  <c r="P334" i="2" s="1"/>
  <c r="N334" i="2"/>
  <c r="O334" i="2"/>
  <c r="Q334" i="2"/>
  <c r="T334" i="2" s="1"/>
  <c r="R334" i="2"/>
  <c r="R333" i="2" s="1"/>
  <c r="U333" i="2" s="1"/>
  <c r="S334" i="2"/>
  <c r="U334" i="2"/>
  <c r="Q335" i="2"/>
  <c r="T335" i="2" s="1"/>
  <c r="R335" i="2"/>
  <c r="U335" i="2" s="1"/>
  <c r="S335" i="2"/>
  <c r="Q336" i="2"/>
  <c r="T336" i="2" s="1"/>
  <c r="R336" i="2"/>
  <c r="U336" i="2" s="1"/>
  <c r="S336" i="2"/>
  <c r="O337" i="2"/>
  <c r="P337" i="2"/>
  <c r="T337" i="2"/>
  <c r="U337" i="2"/>
  <c r="L338" i="2"/>
  <c r="M338" i="2"/>
  <c r="M336" i="2" s="1"/>
  <c r="N338" i="2"/>
  <c r="N336" i="2" s="1"/>
  <c r="T338" i="2"/>
  <c r="U338" i="2"/>
  <c r="Q339" i="2"/>
  <c r="R339" i="2"/>
  <c r="S339" i="2"/>
  <c r="T339" i="2"/>
  <c r="U339" i="2"/>
  <c r="O340" i="2"/>
  <c r="P340" i="2"/>
  <c r="T340" i="2"/>
  <c r="U340" i="2"/>
  <c r="L341" i="2"/>
  <c r="M341" i="2"/>
  <c r="N341" i="2"/>
  <c r="N339" i="2" s="1"/>
  <c r="T341" i="2"/>
  <c r="U341" i="2"/>
  <c r="I344" i="2"/>
  <c r="J344" i="2"/>
  <c r="I346" i="2"/>
  <c r="J346" i="2"/>
  <c r="J347" i="2"/>
  <c r="J348" i="2"/>
  <c r="J349" i="2"/>
  <c r="D350" i="2"/>
  <c r="J352" i="2"/>
  <c r="J353" i="2"/>
  <c r="J354" i="2"/>
  <c r="L357" i="2"/>
  <c r="M357" i="2"/>
  <c r="P357" i="2" s="1"/>
  <c r="N357" i="2"/>
  <c r="Q357" i="2"/>
  <c r="R357" i="2"/>
  <c r="S357" i="2"/>
  <c r="Q358" i="2"/>
  <c r="T358" i="2" s="1"/>
  <c r="R358" i="2"/>
  <c r="U358" i="2" s="1"/>
  <c r="S358" i="2"/>
  <c r="Q359" i="2"/>
  <c r="R359" i="2"/>
  <c r="U359" i="2" s="1"/>
  <c r="S359" i="2"/>
  <c r="T359" i="2"/>
  <c r="O360" i="2"/>
  <c r="P360" i="2"/>
  <c r="T360" i="2"/>
  <c r="U360" i="2"/>
  <c r="L361" i="2"/>
  <c r="M361" i="2"/>
  <c r="N361" i="2"/>
  <c r="N359" i="2" s="1"/>
  <c r="T361" i="2"/>
  <c r="U361" i="2"/>
  <c r="Q362" i="2"/>
  <c r="T362" i="2" s="1"/>
  <c r="R362" i="2"/>
  <c r="U362" i="2" s="1"/>
  <c r="S362" i="2"/>
  <c r="O363" i="2"/>
  <c r="P363" i="2"/>
  <c r="T363" i="2"/>
  <c r="U363" i="2"/>
  <c r="L364" i="2"/>
  <c r="O364" i="2" s="1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I365" i="2" s="1"/>
  <c r="J371" i="2"/>
  <c r="J372" i="2"/>
  <c r="K372" i="2"/>
  <c r="D373" i="2"/>
  <c r="I374" i="2"/>
  <c r="J374" i="2"/>
  <c r="K374" i="2"/>
  <c r="L376" i="2"/>
  <c r="M376" i="2"/>
  <c r="N376" i="2"/>
  <c r="Q376" i="2"/>
  <c r="R376" i="2"/>
  <c r="U376" i="2" s="1"/>
  <c r="S376" i="2"/>
  <c r="T376" i="2"/>
  <c r="L377" i="2"/>
  <c r="O377" i="2" s="1"/>
  <c r="M377" i="2"/>
  <c r="N377" i="2"/>
  <c r="P377" i="2"/>
  <c r="L378" i="2"/>
  <c r="O378" i="2" s="1"/>
  <c r="M378" i="2"/>
  <c r="P378" i="2" s="1"/>
  <c r="N378" i="2"/>
  <c r="O379" i="2"/>
  <c r="P379" i="2"/>
  <c r="T379" i="2"/>
  <c r="U379" i="2"/>
  <c r="O380" i="2"/>
  <c r="P380" i="2"/>
  <c r="Q380" i="2"/>
  <c r="Q378" i="2" s="1"/>
  <c r="T378" i="2" s="1"/>
  <c r="R380" i="2"/>
  <c r="R378" i="2" s="1"/>
  <c r="U378" i="2" s="1"/>
  <c r="S380" i="2"/>
  <c r="L381" i="2"/>
  <c r="M381" i="2"/>
  <c r="P381" i="2" s="1"/>
  <c r="N381" i="2"/>
  <c r="O381" i="2"/>
  <c r="Q381" i="2"/>
  <c r="T381" i="2" s="1"/>
  <c r="R381" i="2"/>
  <c r="S381" i="2"/>
  <c r="U381" i="2"/>
  <c r="O382" i="2"/>
  <c r="P382" i="2"/>
  <c r="T382" i="2"/>
  <c r="U382" i="2"/>
  <c r="O383" i="2"/>
  <c r="P383" i="2"/>
  <c r="T383" i="2"/>
  <c r="U383" i="2"/>
  <c r="I391" i="2"/>
  <c r="K391" i="2" s="1"/>
  <c r="J391" i="2"/>
  <c r="Q392" i="2"/>
  <c r="T392" i="2" s="1"/>
  <c r="L393" i="2"/>
  <c r="M393" i="2"/>
  <c r="N393" i="2"/>
  <c r="Q393" i="2"/>
  <c r="R393" i="2"/>
  <c r="S393" i="2"/>
  <c r="T393" i="2"/>
  <c r="L394" i="2"/>
  <c r="O394" i="2" s="1"/>
  <c r="M394" i="2"/>
  <c r="N394" i="2"/>
  <c r="P394" i="2"/>
  <c r="Q394" i="2"/>
  <c r="T394" i="2" s="1"/>
  <c r="R394" i="2"/>
  <c r="U394" i="2" s="1"/>
  <c r="S394" i="2"/>
  <c r="L395" i="2"/>
  <c r="O395" i="2" s="1"/>
  <c r="M395" i="2"/>
  <c r="P395" i="2" s="1"/>
  <c r="N395" i="2"/>
  <c r="Q395" i="2"/>
  <c r="T395" i="2" s="1"/>
  <c r="R395" i="2"/>
  <c r="U395" i="2" s="1"/>
  <c r="S395" i="2"/>
  <c r="O396" i="2"/>
  <c r="P396" i="2"/>
  <c r="T396" i="2"/>
  <c r="U396" i="2"/>
  <c r="O397" i="2"/>
  <c r="P397" i="2"/>
  <c r="T397" i="2"/>
  <c r="U397" i="2"/>
  <c r="L398" i="2"/>
  <c r="O398" i="2" s="1"/>
  <c r="M398" i="2"/>
  <c r="P398" i="2" s="1"/>
  <c r="N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N413" i="2"/>
  <c r="L414" i="2"/>
  <c r="M414" i="2"/>
  <c r="M413" i="2" s="1"/>
  <c r="P413" i="2" s="1"/>
  <c r="N414" i="2"/>
  <c r="O414" i="2"/>
  <c r="P414" i="2"/>
  <c r="Q414" i="2"/>
  <c r="R414" i="2"/>
  <c r="S414" i="2"/>
  <c r="U414" i="2"/>
  <c r="L415" i="2"/>
  <c r="O415" i="2" s="1"/>
  <c r="M415" i="2"/>
  <c r="P415" i="2" s="1"/>
  <c r="N415" i="2"/>
  <c r="L416" i="2"/>
  <c r="M416" i="2"/>
  <c r="P416" i="2" s="1"/>
  <c r="N416" i="2"/>
  <c r="O416" i="2"/>
  <c r="O417" i="2"/>
  <c r="P417" i="2"/>
  <c r="T417" i="2"/>
  <c r="U417" i="2"/>
  <c r="O418" i="2"/>
  <c r="P418" i="2"/>
  <c r="Q418" i="2"/>
  <c r="R418" i="2"/>
  <c r="S418" i="2"/>
  <c r="S416" i="2" s="1"/>
  <c r="L419" i="2"/>
  <c r="O419" i="2" s="1"/>
  <c r="M419" i="2"/>
  <c r="P419" i="2" s="1"/>
  <c r="N419" i="2"/>
  <c r="Q419" i="2"/>
  <c r="T419" i="2" s="1"/>
  <c r="R419" i="2"/>
  <c r="U419" i="2" s="1"/>
  <c r="S419" i="2"/>
  <c r="O420" i="2"/>
  <c r="P420" i="2"/>
  <c r="T420" i="2"/>
  <c r="U420" i="2"/>
  <c r="O421" i="2"/>
  <c r="P421" i="2"/>
  <c r="T421" i="2"/>
  <c r="U421" i="2"/>
  <c r="I424" i="2"/>
  <c r="K424" i="2" s="1"/>
  <c r="J424" i="2"/>
  <c r="I425" i="2"/>
  <c r="K425" i="2" s="1"/>
  <c r="J425" i="2"/>
  <c r="I432" i="2"/>
  <c r="K432" i="2" s="1"/>
  <c r="J432" i="2"/>
  <c r="I433" i="2"/>
  <c r="K433" i="2" s="1"/>
  <c r="J433" i="2"/>
  <c r="I440" i="2"/>
  <c r="I441" i="2"/>
  <c r="K441" i="2" s="1"/>
  <c r="J446" i="2"/>
  <c r="J440" i="2" s="1"/>
  <c r="J423" i="2" s="1"/>
  <c r="J412" i="2" s="1"/>
  <c r="J447" i="2"/>
  <c r="J441" i="2" s="1"/>
  <c r="I457" i="2"/>
  <c r="I456" i="2" s="1"/>
  <c r="K456" i="2" s="1"/>
  <c r="I458" i="2"/>
  <c r="K458" i="2" s="1"/>
  <c r="J459" i="2"/>
  <c r="J457" i="2" s="1"/>
  <c r="J456" i="2" s="1"/>
  <c r="J460" i="2"/>
  <c r="J458" i="2" s="1"/>
  <c r="J467" i="2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J485" i="2"/>
  <c r="K485" i="2"/>
  <c r="L494" i="2"/>
  <c r="M494" i="2"/>
  <c r="N494" i="2"/>
  <c r="O494" i="2"/>
  <c r="Q494" i="2"/>
  <c r="R494" i="2"/>
  <c r="S494" i="2"/>
  <c r="T494" i="2"/>
  <c r="U494" i="2"/>
  <c r="L495" i="2"/>
  <c r="M495" i="2"/>
  <c r="N495" i="2"/>
  <c r="P495" i="2"/>
  <c r="L496" i="2"/>
  <c r="O496" i="2" s="1"/>
  <c r="M496" i="2"/>
  <c r="P496" i="2" s="1"/>
  <c r="N496" i="2"/>
  <c r="O497" i="2"/>
  <c r="P497" i="2"/>
  <c r="T497" i="2"/>
  <c r="U497" i="2"/>
  <c r="O498" i="2"/>
  <c r="P498" i="2"/>
  <c r="Q498" i="2"/>
  <c r="R498" i="2"/>
  <c r="S498" i="2"/>
  <c r="L499" i="2"/>
  <c r="M499" i="2"/>
  <c r="N499" i="2"/>
  <c r="O499" i="2"/>
  <c r="P499" i="2"/>
  <c r="Q499" i="2"/>
  <c r="R499" i="2"/>
  <c r="S499" i="2"/>
  <c r="T499" i="2"/>
  <c r="U499" i="2"/>
  <c r="O500" i="2"/>
  <c r="P500" i="2"/>
  <c r="T500" i="2"/>
  <c r="U500" i="2"/>
  <c r="O501" i="2"/>
  <c r="P501" i="2"/>
  <c r="T501" i="2"/>
  <c r="U501" i="2"/>
  <c r="I503" i="2"/>
  <c r="I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K512" i="2" s="1"/>
  <c r="J512" i="2"/>
  <c r="L514" i="2"/>
  <c r="O514" i="2" s="1"/>
  <c r="M514" i="2"/>
  <c r="N514" i="2"/>
  <c r="Q514" i="2"/>
  <c r="R514" i="2"/>
  <c r="U514" i="2" s="1"/>
  <c r="S514" i="2"/>
  <c r="T514" i="2"/>
  <c r="Q515" i="2"/>
  <c r="R515" i="2"/>
  <c r="S515" i="2"/>
  <c r="T515" i="2"/>
  <c r="U515" i="2"/>
  <c r="Q516" i="2"/>
  <c r="T516" i="2" s="1"/>
  <c r="R516" i="2"/>
  <c r="U516" i="2" s="1"/>
  <c r="S516" i="2"/>
  <c r="O517" i="2"/>
  <c r="P517" i="2"/>
  <c r="T517" i="2"/>
  <c r="U517" i="2"/>
  <c r="L518" i="2"/>
  <c r="O518" i="2" s="1"/>
  <c r="M518" i="2"/>
  <c r="N518" i="2"/>
  <c r="N516" i="2" s="1"/>
  <c r="T518" i="2"/>
  <c r="U518" i="2"/>
  <c r="Q519" i="2"/>
  <c r="T519" i="2" s="1"/>
  <c r="R519" i="2"/>
  <c r="U519" i="2" s="1"/>
  <c r="S519" i="2"/>
  <c r="O520" i="2"/>
  <c r="P520" i="2"/>
  <c r="T520" i="2"/>
  <c r="U520" i="2"/>
  <c r="L521" i="2"/>
  <c r="O521" i="2" s="1"/>
  <c r="M521" i="2"/>
  <c r="M519" i="2" s="1"/>
  <c r="P519" i="2" s="1"/>
  <c r="N521" i="2"/>
  <c r="T521" i="2"/>
  <c r="U521" i="2"/>
  <c r="K523" i="2"/>
  <c r="K524" i="2"/>
  <c r="I533" i="2"/>
  <c r="K533" i="2" s="1"/>
  <c r="J533" i="2"/>
  <c r="R534" i="2"/>
  <c r="U534" i="2" s="1"/>
  <c r="L535" i="2"/>
  <c r="L534" i="2" s="1"/>
  <c r="O534" i="2" s="1"/>
  <c r="M535" i="2"/>
  <c r="P535" i="2" s="1"/>
  <c r="N535" i="2"/>
  <c r="Q535" i="2"/>
  <c r="Q534" i="2" s="1"/>
  <c r="T534" i="2" s="1"/>
  <c r="R535" i="2"/>
  <c r="U535" i="2" s="1"/>
  <c r="S535" i="2"/>
  <c r="S534" i="2" s="1"/>
  <c r="T535" i="2"/>
  <c r="L536" i="2"/>
  <c r="M536" i="2"/>
  <c r="N536" i="2"/>
  <c r="O536" i="2"/>
  <c r="P536" i="2"/>
  <c r="Q536" i="2"/>
  <c r="T536" i="2" s="1"/>
  <c r="R536" i="2"/>
  <c r="S536" i="2"/>
  <c r="U536" i="2"/>
  <c r="L537" i="2"/>
  <c r="O537" i="2" s="1"/>
  <c r="M537" i="2"/>
  <c r="P537" i="2" s="1"/>
  <c r="N537" i="2"/>
  <c r="Q537" i="2"/>
  <c r="T537" i="2" s="1"/>
  <c r="R537" i="2"/>
  <c r="U537" i="2" s="1"/>
  <c r="S537" i="2"/>
  <c r="O538" i="2"/>
  <c r="P538" i="2"/>
  <c r="T538" i="2"/>
  <c r="U538" i="2"/>
  <c r="O539" i="2"/>
  <c r="P539" i="2"/>
  <c r="T539" i="2"/>
  <c r="U539" i="2"/>
  <c r="L540" i="2"/>
  <c r="O540" i="2" s="1"/>
  <c r="M540" i="2"/>
  <c r="P540" i="2" s="1"/>
  <c r="N540" i="2"/>
  <c r="Q540" i="2"/>
  <c r="T540" i="2" s="1"/>
  <c r="R540" i="2"/>
  <c r="U540" i="2" s="1"/>
  <c r="S540" i="2"/>
  <c r="O541" i="2"/>
  <c r="P541" i="2"/>
  <c r="T541" i="2"/>
  <c r="U541" i="2"/>
  <c r="O542" i="2"/>
  <c r="P542" i="2"/>
  <c r="T542" i="2"/>
  <c r="U542" i="2"/>
  <c r="I554" i="2"/>
  <c r="K554" i="2" s="1"/>
  <c r="J554" i="2"/>
  <c r="L556" i="2"/>
  <c r="M556" i="2"/>
  <c r="N556" i="2"/>
  <c r="N555" i="2" s="1"/>
  <c r="P556" i="2"/>
  <c r="Q556" i="2"/>
  <c r="R556" i="2"/>
  <c r="S556" i="2"/>
  <c r="L557" i="2"/>
  <c r="O557" i="2" s="1"/>
  <c r="M557" i="2"/>
  <c r="N557" i="2"/>
  <c r="Q557" i="2"/>
  <c r="T557" i="2" s="1"/>
  <c r="R557" i="2"/>
  <c r="U557" i="2" s="1"/>
  <c r="S557" i="2"/>
  <c r="S555" i="2" s="1"/>
  <c r="L558" i="2"/>
  <c r="M558" i="2"/>
  <c r="P558" i="2" s="1"/>
  <c r="N558" i="2"/>
  <c r="O558" i="2"/>
  <c r="Q558" i="2"/>
  <c r="R558" i="2"/>
  <c r="S558" i="2"/>
  <c r="T558" i="2"/>
  <c r="U558" i="2"/>
  <c r="O559" i="2"/>
  <c r="P559" i="2"/>
  <c r="T559" i="2"/>
  <c r="U559" i="2"/>
  <c r="O560" i="2"/>
  <c r="P560" i="2"/>
  <c r="T560" i="2"/>
  <c r="U560" i="2"/>
  <c r="L561" i="2"/>
  <c r="M561" i="2"/>
  <c r="P561" i="2" s="1"/>
  <c r="N561" i="2"/>
  <c r="O561" i="2"/>
  <c r="Q561" i="2"/>
  <c r="T561" i="2" s="1"/>
  <c r="R561" i="2"/>
  <c r="U561" i="2" s="1"/>
  <c r="S561" i="2"/>
  <c r="O562" i="2"/>
  <c r="P562" i="2"/>
  <c r="T562" i="2"/>
  <c r="U562" i="2"/>
  <c r="O563" i="2"/>
  <c r="P563" i="2"/>
  <c r="T563" i="2"/>
  <c r="U563" i="2"/>
  <c r="I575" i="2"/>
  <c r="K575" i="2" s="1"/>
  <c r="J575" i="2"/>
  <c r="L577" i="2"/>
  <c r="M577" i="2"/>
  <c r="P577" i="2" s="1"/>
  <c r="N577" i="2"/>
  <c r="Q577" i="2"/>
  <c r="Q576" i="2" s="1"/>
  <c r="T576" i="2" s="1"/>
  <c r="R577" i="2"/>
  <c r="U577" i="2" s="1"/>
  <c r="S577" i="2"/>
  <c r="S576" i="2" s="1"/>
  <c r="L578" i="2"/>
  <c r="M578" i="2"/>
  <c r="N578" i="2"/>
  <c r="O578" i="2"/>
  <c r="P578" i="2"/>
  <c r="Q578" i="2"/>
  <c r="R578" i="2"/>
  <c r="S578" i="2"/>
  <c r="T578" i="2"/>
  <c r="U578" i="2"/>
  <c r="L579" i="2"/>
  <c r="O579" i="2" s="1"/>
  <c r="M579" i="2"/>
  <c r="P579" i="2" s="1"/>
  <c r="N579" i="2"/>
  <c r="Q579" i="2"/>
  <c r="T579" i="2" s="1"/>
  <c r="R579" i="2"/>
  <c r="U579" i="2" s="1"/>
  <c r="S579" i="2"/>
  <c r="O580" i="2"/>
  <c r="P580" i="2"/>
  <c r="T580" i="2"/>
  <c r="U580" i="2"/>
  <c r="O581" i="2"/>
  <c r="P581" i="2"/>
  <c r="T581" i="2"/>
  <c r="U581" i="2"/>
  <c r="L582" i="2"/>
  <c r="O582" i="2" s="1"/>
  <c r="M582" i="2"/>
  <c r="P582" i="2" s="1"/>
  <c r="N582" i="2"/>
  <c r="Q582" i="2"/>
  <c r="T582" i="2" s="1"/>
  <c r="R582" i="2"/>
  <c r="U582" i="2" s="1"/>
  <c r="S582" i="2"/>
  <c r="O583" i="2"/>
  <c r="P583" i="2"/>
  <c r="T583" i="2"/>
  <c r="U583" i="2"/>
  <c r="O584" i="2"/>
  <c r="P584" i="2"/>
  <c r="T584" i="2"/>
  <c r="U584" i="2"/>
  <c r="L600" i="2"/>
  <c r="L599" i="2" s="1"/>
  <c r="O599" i="2" s="1"/>
  <c r="M600" i="2"/>
  <c r="P600" i="2" s="1"/>
  <c r="N600" i="2"/>
  <c r="O600" i="2"/>
  <c r="Q600" i="2"/>
  <c r="T600" i="2" s="1"/>
  <c r="R600" i="2"/>
  <c r="U600" i="2" s="1"/>
  <c r="S600" i="2"/>
  <c r="S599" i="2" s="1"/>
  <c r="L601" i="2"/>
  <c r="M601" i="2"/>
  <c r="P601" i="2" s="1"/>
  <c r="N601" i="2"/>
  <c r="O601" i="2"/>
  <c r="Q601" i="2"/>
  <c r="T601" i="2" s="1"/>
  <c r="R601" i="2"/>
  <c r="U601" i="2" s="1"/>
  <c r="S601" i="2"/>
  <c r="L602" i="2"/>
  <c r="O602" i="2" s="1"/>
  <c r="M602" i="2"/>
  <c r="N602" i="2"/>
  <c r="P602" i="2"/>
  <c r="Q602" i="2"/>
  <c r="T602" i="2" s="1"/>
  <c r="R602" i="2"/>
  <c r="U602" i="2" s="1"/>
  <c r="S602" i="2"/>
  <c r="O603" i="2"/>
  <c r="P603" i="2"/>
  <c r="T603" i="2"/>
  <c r="U603" i="2"/>
  <c r="O604" i="2"/>
  <c r="P604" i="2"/>
  <c r="T604" i="2"/>
  <c r="U604" i="2"/>
  <c r="L605" i="2"/>
  <c r="O605" i="2" s="1"/>
  <c r="M605" i="2"/>
  <c r="P605" i="2" s="1"/>
  <c r="N605" i="2"/>
  <c r="Q605" i="2"/>
  <c r="T605" i="2" s="1"/>
  <c r="R605" i="2"/>
  <c r="U605" i="2" s="1"/>
  <c r="S605" i="2"/>
  <c r="O606" i="2"/>
  <c r="P606" i="2"/>
  <c r="T606" i="2"/>
  <c r="U606" i="2"/>
  <c r="O607" i="2"/>
  <c r="P607" i="2"/>
  <c r="T607" i="2"/>
  <c r="U607" i="2"/>
  <c r="M616" i="2"/>
  <c r="P616" i="2" s="1"/>
  <c r="L617" i="2"/>
  <c r="M617" i="2"/>
  <c r="N617" i="2"/>
  <c r="P617" i="2"/>
  <c r="Q617" i="2"/>
  <c r="R617" i="2"/>
  <c r="S617" i="2"/>
  <c r="L618" i="2"/>
  <c r="O618" i="2" s="1"/>
  <c r="M618" i="2"/>
  <c r="P618" i="2" s="1"/>
  <c r="N618" i="2"/>
  <c r="N616" i="2" s="1"/>
  <c r="L619" i="2"/>
  <c r="M619" i="2"/>
  <c r="P619" i="2" s="1"/>
  <c r="N619" i="2"/>
  <c r="O619" i="2"/>
  <c r="O620" i="2"/>
  <c r="P620" i="2"/>
  <c r="T620" i="2"/>
  <c r="U620" i="2"/>
  <c r="O621" i="2"/>
  <c r="P621" i="2"/>
  <c r="Q621" i="2"/>
  <c r="Q618" i="2" s="1"/>
  <c r="R621" i="2"/>
  <c r="R619" i="2" s="1"/>
  <c r="S621" i="2"/>
  <c r="S619" i="2" s="1"/>
  <c r="L622" i="2"/>
  <c r="O622" i="2" s="1"/>
  <c r="M622" i="2"/>
  <c r="P622" i="2" s="1"/>
  <c r="N622" i="2"/>
  <c r="Q622" i="2"/>
  <c r="T622" i="2" s="1"/>
  <c r="R622" i="2"/>
  <c r="U622" i="2" s="1"/>
  <c r="S622" i="2"/>
  <c r="O623" i="2"/>
  <c r="P623" i="2"/>
  <c r="T623" i="2"/>
  <c r="U623" i="2"/>
  <c r="O624" i="2"/>
  <c r="P624" i="2"/>
  <c r="T624" i="2"/>
  <c r="U624" i="2"/>
  <c r="I626" i="2"/>
  <c r="K632" i="2" s="1"/>
  <c r="I627" i="2"/>
  <c r="K627" i="2" s="1"/>
  <c r="I628" i="2"/>
  <c r="K628" i="2" s="1"/>
  <c r="J632" i="2"/>
  <c r="J626" i="2" s="1"/>
  <c r="J615" i="2" s="1"/>
  <c r="I635" i="2"/>
  <c r="K635" i="2" s="1"/>
  <c r="J636" i="2"/>
  <c r="J635" i="2" s="1"/>
  <c r="L643" i="2"/>
  <c r="O643" i="2" s="1"/>
  <c r="M643" i="2"/>
  <c r="P643" i="2" s="1"/>
  <c r="N643" i="2"/>
  <c r="Q643" i="2"/>
  <c r="R643" i="2"/>
  <c r="S643" i="2"/>
  <c r="T643" i="2"/>
  <c r="L644" i="2"/>
  <c r="O644" i="2" s="1"/>
  <c r="M644" i="2"/>
  <c r="N644" i="2"/>
  <c r="P644" i="2"/>
  <c r="L645" i="2"/>
  <c r="M645" i="2"/>
  <c r="P645" i="2" s="1"/>
  <c r="N645" i="2"/>
  <c r="O645" i="2"/>
  <c r="O646" i="2"/>
  <c r="P646" i="2"/>
  <c r="T646" i="2"/>
  <c r="U646" i="2"/>
  <c r="O647" i="2"/>
  <c r="P647" i="2"/>
  <c r="Q647" i="2"/>
  <c r="R647" i="2"/>
  <c r="S647" i="2"/>
  <c r="S645" i="2" s="1"/>
  <c r="L648" i="2"/>
  <c r="O648" i="2" s="1"/>
  <c r="M648" i="2"/>
  <c r="N648" i="2"/>
  <c r="P648" i="2"/>
  <c r="Q648" i="2"/>
  <c r="T648" i="2" s="1"/>
  <c r="R648" i="2"/>
  <c r="U648" i="2" s="1"/>
  <c r="S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J679" i="2"/>
  <c r="J680" i="2"/>
  <c r="I681" i="2"/>
  <c r="J681" i="2"/>
  <c r="I682" i="2"/>
  <c r="J682" i="2"/>
  <c r="L691" i="2"/>
  <c r="O691" i="2" s="1"/>
  <c r="M691" i="2"/>
  <c r="N691" i="2"/>
  <c r="N690" i="2" s="1"/>
  <c r="Q691" i="2"/>
  <c r="R691" i="2"/>
  <c r="S691" i="2"/>
  <c r="U691" i="2"/>
  <c r="L692" i="2"/>
  <c r="M692" i="2"/>
  <c r="P692" i="2" s="1"/>
  <c r="N692" i="2"/>
  <c r="L693" i="2"/>
  <c r="O693" i="2" s="1"/>
  <c r="M693" i="2"/>
  <c r="N693" i="2"/>
  <c r="P693" i="2"/>
  <c r="O694" i="2"/>
  <c r="P694" i="2"/>
  <c r="T694" i="2"/>
  <c r="U694" i="2"/>
  <c r="O695" i="2"/>
  <c r="P695" i="2"/>
  <c r="Q695" i="2"/>
  <c r="Q693" i="2" s="1"/>
  <c r="R695" i="2"/>
  <c r="S695" i="2"/>
  <c r="S692" i="2" s="1"/>
  <c r="L696" i="2"/>
  <c r="M696" i="2"/>
  <c r="P696" i="2" s="1"/>
  <c r="N696" i="2"/>
  <c r="O696" i="2"/>
  <c r="Q696" i="2"/>
  <c r="T696" i="2" s="1"/>
  <c r="R696" i="2"/>
  <c r="S696" i="2"/>
  <c r="U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J707" i="2"/>
  <c r="J689" i="2" s="1"/>
  <c r="J708" i="2"/>
  <c r="K708" i="2"/>
  <c r="I709" i="2"/>
  <c r="J709" i="2"/>
  <c r="J710" i="2"/>
  <c r="K710" i="2"/>
  <c r="J712" i="2"/>
  <c r="K712" i="2"/>
  <c r="M714" i="2"/>
  <c r="P714" i="2" s="1"/>
  <c r="L715" i="2"/>
  <c r="M715" i="2"/>
  <c r="P715" i="2" s="1"/>
  <c r="N715" i="2"/>
  <c r="O715" i="2"/>
  <c r="Q715" i="2"/>
  <c r="T715" i="2" s="1"/>
  <c r="R715" i="2"/>
  <c r="S715" i="2"/>
  <c r="S714" i="2" s="1"/>
  <c r="U715" i="2"/>
  <c r="L716" i="2"/>
  <c r="O716" i="2" s="1"/>
  <c r="M716" i="2"/>
  <c r="N716" i="2"/>
  <c r="N714" i="2" s="1"/>
  <c r="P716" i="2"/>
  <c r="Q716" i="2"/>
  <c r="T716" i="2" s="1"/>
  <c r="R716" i="2"/>
  <c r="S716" i="2"/>
  <c r="L717" i="2"/>
  <c r="O717" i="2" s="1"/>
  <c r="M717" i="2"/>
  <c r="N717" i="2"/>
  <c r="P717" i="2"/>
  <c r="Q717" i="2"/>
  <c r="T717" i="2" s="1"/>
  <c r="R717" i="2"/>
  <c r="U717" i="2" s="1"/>
  <c r="S717" i="2"/>
  <c r="O718" i="2"/>
  <c r="P718" i="2"/>
  <c r="T718" i="2"/>
  <c r="U718" i="2"/>
  <c r="O719" i="2"/>
  <c r="P719" i="2"/>
  <c r="T719" i="2"/>
  <c r="U719" i="2"/>
  <c r="L720" i="2"/>
  <c r="O720" i="2" s="1"/>
  <c r="M720" i="2"/>
  <c r="P720" i="2" s="1"/>
  <c r="N720" i="2"/>
  <c r="Q720" i="2"/>
  <c r="T720" i="2" s="1"/>
  <c r="R720" i="2"/>
  <c r="U720" i="2" s="1"/>
  <c r="S720" i="2"/>
  <c r="O721" i="2"/>
  <c r="P721" i="2"/>
  <c r="T721" i="2"/>
  <c r="U721" i="2"/>
  <c r="O722" i="2"/>
  <c r="P722" i="2"/>
  <c r="T722" i="2"/>
  <c r="U722" i="2"/>
  <c r="I726" i="2"/>
  <c r="J726" i="2"/>
  <c r="I727" i="2"/>
  <c r="K727" i="2" s="1"/>
  <c r="J727" i="2"/>
  <c r="L729" i="2"/>
  <c r="L728" i="2" s="1"/>
  <c r="O728" i="2" s="1"/>
  <c r="M729" i="2"/>
  <c r="P729" i="2" s="1"/>
  <c r="N729" i="2"/>
  <c r="O729" i="2"/>
  <c r="Q729" i="2"/>
  <c r="R729" i="2"/>
  <c r="U729" i="2" s="1"/>
  <c r="S729" i="2"/>
  <c r="T729" i="2"/>
  <c r="L730" i="2"/>
  <c r="O730" i="2" s="1"/>
  <c r="M730" i="2"/>
  <c r="N730" i="2"/>
  <c r="N728" i="2" s="1"/>
  <c r="P730" i="2"/>
  <c r="L731" i="2"/>
  <c r="O731" i="2" s="1"/>
  <c r="M731" i="2"/>
  <c r="N731" i="2"/>
  <c r="P731" i="2"/>
  <c r="O732" i="2"/>
  <c r="P732" i="2"/>
  <c r="T732" i="2"/>
  <c r="U732" i="2"/>
  <c r="O733" i="2"/>
  <c r="P733" i="2"/>
  <c r="Q733" i="2"/>
  <c r="R733" i="2"/>
  <c r="R730" i="2" s="1"/>
  <c r="S733" i="2"/>
  <c r="L734" i="2"/>
  <c r="M734" i="2"/>
  <c r="P734" i="2" s="1"/>
  <c r="N734" i="2"/>
  <c r="O734" i="2"/>
  <c r="Q734" i="2"/>
  <c r="R734" i="2"/>
  <c r="U734" i="2" s="1"/>
  <c r="S734" i="2"/>
  <c r="T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1" i="2"/>
  <c r="M761" i="2"/>
  <c r="N761" i="2"/>
  <c r="N760" i="2" s="1"/>
  <c r="O761" i="2"/>
  <c r="P761" i="2"/>
  <c r="Q761" i="2"/>
  <c r="R761" i="2"/>
  <c r="S761" i="2"/>
  <c r="T761" i="2"/>
  <c r="U761" i="2"/>
  <c r="L762" i="2"/>
  <c r="O762" i="2" s="1"/>
  <c r="M762" i="2"/>
  <c r="P762" i="2" s="1"/>
  <c r="N762" i="2"/>
  <c r="L763" i="2"/>
  <c r="O763" i="2" s="1"/>
  <c r="M763" i="2"/>
  <c r="P763" i="2" s="1"/>
  <c r="N763" i="2"/>
  <c r="O764" i="2"/>
  <c r="P764" i="2"/>
  <c r="T764" i="2"/>
  <c r="U764" i="2"/>
  <c r="O765" i="2"/>
  <c r="P765" i="2"/>
  <c r="Q765" i="2"/>
  <c r="Q763" i="2" s="1"/>
  <c r="R765" i="2"/>
  <c r="R762" i="2" s="1"/>
  <c r="S765" i="2"/>
  <c r="S762" i="2" s="1"/>
  <c r="S760" i="2" s="1"/>
  <c r="L766" i="2"/>
  <c r="O766" i="2" s="1"/>
  <c r="M766" i="2"/>
  <c r="P766" i="2" s="1"/>
  <c r="N766" i="2"/>
  <c r="Q766" i="2"/>
  <c r="T766" i="2" s="1"/>
  <c r="R766" i="2"/>
  <c r="U766" i="2" s="1"/>
  <c r="S766" i="2"/>
  <c r="O767" i="2"/>
  <c r="P767" i="2"/>
  <c r="T767" i="2"/>
  <c r="U767" i="2"/>
  <c r="O768" i="2"/>
  <c r="P768" i="2"/>
  <c r="T768" i="2"/>
  <c r="U768" i="2"/>
  <c r="I770" i="2"/>
  <c r="K770" i="2" s="1"/>
  <c r="I772" i="2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J772" i="1"/>
  <c r="J758" i="1" s="1"/>
  <c r="I772" i="1"/>
  <c r="J770" i="1"/>
  <c r="I770" i="1"/>
  <c r="K770" i="1" s="1"/>
  <c r="S768" i="1"/>
  <c r="R768" i="1"/>
  <c r="Q768" i="1"/>
  <c r="T768" i="1" s="1"/>
  <c r="N768" i="1"/>
  <c r="M768" i="1"/>
  <c r="P768" i="1" s="1"/>
  <c r="L768" i="1"/>
  <c r="O768" i="1" s="1"/>
  <c r="S767" i="1"/>
  <c r="R767" i="1"/>
  <c r="U767" i="1" s="1"/>
  <c r="Q767" i="1"/>
  <c r="N767" i="1"/>
  <c r="M767" i="1"/>
  <c r="L767" i="1"/>
  <c r="S765" i="1"/>
  <c r="R765" i="1"/>
  <c r="Q765" i="1"/>
  <c r="N765" i="1"/>
  <c r="N762" i="1" s="1"/>
  <c r="M765" i="1"/>
  <c r="L765" i="1"/>
  <c r="S764" i="1"/>
  <c r="S763" i="1" s="1"/>
  <c r="R764" i="1"/>
  <c r="U764" i="1" s="1"/>
  <c r="Q764" i="1"/>
  <c r="N764" i="1"/>
  <c r="M764" i="1"/>
  <c r="M761" i="1" s="1"/>
  <c r="P761" i="1" s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Q736" i="1"/>
  <c r="N736" i="1"/>
  <c r="M736" i="1"/>
  <c r="P736" i="1" s="1"/>
  <c r="L736" i="1"/>
  <c r="S735" i="1"/>
  <c r="R735" i="1"/>
  <c r="U735" i="1" s="1"/>
  <c r="Q735" i="1"/>
  <c r="T735" i="1" s="1"/>
  <c r="N735" i="1"/>
  <c r="N734" i="1" s="1"/>
  <c r="M735" i="1"/>
  <c r="P735" i="1" s="1"/>
  <c r="L735" i="1"/>
  <c r="O735" i="1" s="1"/>
  <c r="S733" i="1"/>
  <c r="S730" i="1" s="1"/>
  <c r="R733" i="1"/>
  <c r="Q733" i="1"/>
  <c r="N733" i="1"/>
  <c r="N730" i="1" s="1"/>
  <c r="M733" i="1"/>
  <c r="P733" i="1" s="1"/>
  <c r="L733" i="1"/>
  <c r="O733" i="1" s="1"/>
  <c r="S732" i="1"/>
  <c r="R732" i="1"/>
  <c r="U732" i="1" s="1"/>
  <c r="Q732" i="1"/>
  <c r="T732" i="1" s="1"/>
  <c r="N732" i="1"/>
  <c r="N731" i="1" s="1"/>
  <c r="M732" i="1"/>
  <c r="L732" i="1"/>
  <c r="I727" i="1"/>
  <c r="I726" i="1"/>
  <c r="S722" i="1"/>
  <c r="R722" i="1"/>
  <c r="U722" i="1" s="1"/>
  <c r="Q722" i="1"/>
  <c r="N722" i="1"/>
  <c r="M722" i="1"/>
  <c r="L722" i="1"/>
  <c r="S721" i="1"/>
  <c r="R721" i="1"/>
  <c r="U721" i="1" s="1"/>
  <c r="Q721" i="1"/>
  <c r="N721" i="1"/>
  <c r="M721" i="1"/>
  <c r="P721" i="1" s="1"/>
  <c r="L721" i="1"/>
  <c r="O721" i="1" s="1"/>
  <c r="S719" i="1"/>
  <c r="R719" i="1"/>
  <c r="U719" i="1" s="1"/>
  <c r="Q719" i="1"/>
  <c r="N719" i="1"/>
  <c r="M719" i="1"/>
  <c r="P719" i="1" s="1"/>
  <c r="L719" i="1"/>
  <c r="O719" i="1" s="1"/>
  <c r="S718" i="1"/>
  <c r="S715" i="1" s="1"/>
  <c r="R718" i="1"/>
  <c r="U718" i="1" s="1"/>
  <c r="Q718" i="1"/>
  <c r="T718" i="1" s="1"/>
  <c r="N718" i="1"/>
  <c r="M718" i="1"/>
  <c r="L718" i="1"/>
  <c r="K712" i="1"/>
  <c r="J712" i="1"/>
  <c r="K710" i="1"/>
  <c r="J710" i="1"/>
  <c r="J709" i="1"/>
  <c r="I709" i="1"/>
  <c r="K708" i="1"/>
  <c r="J708" i="1"/>
  <c r="J707" i="1"/>
  <c r="J689" i="1" s="1"/>
  <c r="I707" i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T698" i="1" s="1"/>
  <c r="N698" i="1"/>
  <c r="M698" i="1"/>
  <c r="L698" i="1"/>
  <c r="O698" i="1" s="1"/>
  <c r="S697" i="1"/>
  <c r="R697" i="1"/>
  <c r="U697" i="1" s="1"/>
  <c r="Q697" i="1"/>
  <c r="N697" i="1"/>
  <c r="M697" i="1"/>
  <c r="L697" i="1"/>
  <c r="S695" i="1"/>
  <c r="R695" i="1"/>
  <c r="Q695" i="1"/>
  <c r="N695" i="1"/>
  <c r="M695" i="1"/>
  <c r="P695" i="1" s="1"/>
  <c r="L695" i="1"/>
  <c r="S694" i="1"/>
  <c r="R694" i="1"/>
  <c r="U694" i="1" s="1"/>
  <c r="Q694" i="1"/>
  <c r="N694" i="1"/>
  <c r="M694" i="1"/>
  <c r="P694" i="1" s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Q650" i="1"/>
  <c r="T650" i="1" s="1"/>
  <c r="N650" i="1"/>
  <c r="M650" i="1"/>
  <c r="L650" i="1"/>
  <c r="S649" i="1"/>
  <c r="R649" i="1"/>
  <c r="U649" i="1" s="1"/>
  <c r="Q649" i="1"/>
  <c r="T649" i="1" s="1"/>
  <c r="N649" i="1"/>
  <c r="M649" i="1"/>
  <c r="L649" i="1"/>
  <c r="O649" i="1" s="1"/>
  <c r="S647" i="1"/>
  <c r="R647" i="1"/>
  <c r="Q647" i="1"/>
  <c r="N647" i="1"/>
  <c r="M647" i="1"/>
  <c r="P647" i="1" s="1"/>
  <c r="L647" i="1"/>
  <c r="O647" i="1" s="1"/>
  <c r="S646" i="1"/>
  <c r="R646" i="1"/>
  <c r="U646" i="1" s="1"/>
  <c r="Q646" i="1"/>
  <c r="N646" i="1"/>
  <c r="M646" i="1"/>
  <c r="L646" i="1"/>
  <c r="O646" i="1" s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R624" i="1"/>
  <c r="Q624" i="1"/>
  <c r="N624" i="1"/>
  <c r="M624" i="1"/>
  <c r="P624" i="1" s="1"/>
  <c r="L624" i="1"/>
  <c r="S623" i="1"/>
  <c r="R623" i="1"/>
  <c r="U623" i="1" s="1"/>
  <c r="Q623" i="1"/>
  <c r="T623" i="1" s="1"/>
  <c r="N623" i="1"/>
  <c r="M623" i="1"/>
  <c r="M622" i="1" s="1"/>
  <c r="P622" i="1" s="1"/>
  <c r="L623" i="1"/>
  <c r="O623" i="1" s="1"/>
  <c r="S621" i="1"/>
  <c r="R621" i="1"/>
  <c r="Q621" i="1"/>
  <c r="N621" i="1"/>
  <c r="M621" i="1"/>
  <c r="L621" i="1"/>
  <c r="O621" i="1" s="1"/>
  <c r="S620" i="1"/>
  <c r="R620" i="1"/>
  <c r="Q620" i="1"/>
  <c r="N620" i="1"/>
  <c r="M620" i="1"/>
  <c r="L620" i="1"/>
  <c r="S607" i="1"/>
  <c r="R607" i="1"/>
  <c r="U607" i="1" s="1"/>
  <c r="Q607" i="1"/>
  <c r="T607" i="1" s="1"/>
  <c r="N607" i="1"/>
  <c r="M607" i="1"/>
  <c r="P607" i="1" s="1"/>
  <c r="L607" i="1"/>
  <c r="S606" i="1"/>
  <c r="R606" i="1"/>
  <c r="U606" i="1" s="1"/>
  <c r="Q606" i="1"/>
  <c r="T606" i="1" s="1"/>
  <c r="N606" i="1"/>
  <c r="M606" i="1"/>
  <c r="L606" i="1"/>
  <c r="O606" i="1" s="1"/>
  <c r="S604" i="1"/>
  <c r="S601" i="1" s="1"/>
  <c r="R604" i="1"/>
  <c r="U604" i="1" s="1"/>
  <c r="Q604" i="1"/>
  <c r="T604" i="1" s="1"/>
  <c r="N604" i="1"/>
  <c r="M604" i="1"/>
  <c r="L604" i="1"/>
  <c r="S603" i="1"/>
  <c r="R603" i="1"/>
  <c r="U603" i="1" s="1"/>
  <c r="Q603" i="1"/>
  <c r="T603" i="1" s="1"/>
  <c r="N603" i="1"/>
  <c r="N602" i="1" s="1"/>
  <c r="M603" i="1"/>
  <c r="L603" i="1"/>
  <c r="O603" i="1" s="1"/>
  <c r="S584" i="1"/>
  <c r="R584" i="1"/>
  <c r="Q584" i="1"/>
  <c r="N584" i="1"/>
  <c r="M584" i="1"/>
  <c r="P584" i="1" s="1"/>
  <c r="L584" i="1"/>
  <c r="S583" i="1"/>
  <c r="R583" i="1"/>
  <c r="U583" i="1" s="1"/>
  <c r="Q583" i="1"/>
  <c r="T583" i="1" s="1"/>
  <c r="N583" i="1"/>
  <c r="M583" i="1"/>
  <c r="L583" i="1"/>
  <c r="O583" i="1" s="1"/>
  <c r="S581" i="1"/>
  <c r="R581" i="1"/>
  <c r="U581" i="1" s="1"/>
  <c r="Q581" i="1"/>
  <c r="T581" i="1" s="1"/>
  <c r="N581" i="1"/>
  <c r="N578" i="1" s="1"/>
  <c r="M581" i="1"/>
  <c r="L581" i="1"/>
  <c r="O581" i="1" s="1"/>
  <c r="S580" i="1"/>
  <c r="R580" i="1"/>
  <c r="Q580" i="1"/>
  <c r="N580" i="1"/>
  <c r="M580" i="1"/>
  <c r="P580" i="1" s="1"/>
  <c r="L580" i="1"/>
  <c r="J575" i="1"/>
  <c r="I575" i="1"/>
  <c r="K575" i="1" s="1"/>
  <c r="S563" i="1"/>
  <c r="R563" i="1"/>
  <c r="Q563" i="1"/>
  <c r="N563" i="1"/>
  <c r="M563" i="1"/>
  <c r="P563" i="1" s="1"/>
  <c r="L563" i="1"/>
  <c r="O563" i="1" s="1"/>
  <c r="S562" i="1"/>
  <c r="R562" i="1"/>
  <c r="U562" i="1" s="1"/>
  <c r="Q562" i="1"/>
  <c r="T562" i="1" s="1"/>
  <c r="N562" i="1"/>
  <c r="M562" i="1"/>
  <c r="L562" i="1"/>
  <c r="S560" i="1"/>
  <c r="S557" i="1" s="1"/>
  <c r="R560" i="1"/>
  <c r="U560" i="1" s="1"/>
  <c r="Q560" i="1"/>
  <c r="T560" i="1" s="1"/>
  <c r="N560" i="1"/>
  <c r="M560" i="1"/>
  <c r="L560" i="1"/>
  <c r="O560" i="1" s="1"/>
  <c r="S559" i="1"/>
  <c r="S556" i="1" s="1"/>
  <c r="R559" i="1"/>
  <c r="Q559" i="1"/>
  <c r="N559" i="1"/>
  <c r="M559" i="1"/>
  <c r="L559" i="1"/>
  <c r="J554" i="1"/>
  <c r="I554" i="1"/>
  <c r="K554" i="1" s="1"/>
  <c r="S542" i="1"/>
  <c r="R542" i="1"/>
  <c r="U542" i="1" s="1"/>
  <c r="Q542" i="1"/>
  <c r="T542" i="1" s="1"/>
  <c r="N542" i="1"/>
  <c r="M542" i="1"/>
  <c r="L542" i="1"/>
  <c r="O542" i="1" s="1"/>
  <c r="S541" i="1"/>
  <c r="R541" i="1"/>
  <c r="Q541" i="1"/>
  <c r="N541" i="1"/>
  <c r="M541" i="1"/>
  <c r="P541" i="1" s="1"/>
  <c r="L541" i="1"/>
  <c r="S539" i="1"/>
  <c r="R539" i="1"/>
  <c r="Q539" i="1"/>
  <c r="T539" i="1" s="1"/>
  <c r="N539" i="1"/>
  <c r="M539" i="1"/>
  <c r="L539" i="1"/>
  <c r="O539" i="1" s="1"/>
  <c r="S538" i="1"/>
  <c r="R538" i="1"/>
  <c r="Q538" i="1"/>
  <c r="N538" i="1"/>
  <c r="N535" i="1" s="1"/>
  <c r="M538" i="1"/>
  <c r="P538" i="1" s="1"/>
  <c r="L538" i="1"/>
  <c r="J533" i="1"/>
  <c r="I533" i="1"/>
  <c r="K533" i="1" s="1"/>
  <c r="K524" i="1"/>
  <c r="K523" i="1"/>
  <c r="S521" i="1"/>
  <c r="R521" i="1"/>
  <c r="Q521" i="1"/>
  <c r="N521" i="1"/>
  <c r="M521" i="1"/>
  <c r="L521" i="1"/>
  <c r="O521" i="1" s="1"/>
  <c r="S520" i="1"/>
  <c r="R520" i="1"/>
  <c r="U520" i="1" s="1"/>
  <c r="Q520" i="1"/>
  <c r="N520" i="1"/>
  <c r="M520" i="1"/>
  <c r="P520" i="1" s="1"/>
  <c r="L520" i="1"/>
  <c r="O520" i="1" s="1"/>
  <c r="S518" i="1"/>
  <c r="R518" i="1"/>
  <c r="U518" i="1" s="1"/>
  <c r="Q518" i="1"/>
  <c r="T518" i="1" s="1"/>
  <c r="N518" i="1"/>
  <c r="M518" i="1"/>
  <c r="L518" i="1"/>
  <c r="S517" i="1"/>
  <c r="R517" i="1"/>
  <c r="U517" i="1" s="1"/>
  <c r="Q517" i="1"/>
  <c r="N517" i="1"/>
  <c r="M517" i="1"/>
  <c r="L517" i="1"/>
  <c r="O517" i="1" s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S501" i="1"/>
  <c r="R501" i="1"/>
  <c r="Q501" i="1"/>
  <c r="T501" i="1" s="1"/>
  <c r="N501" i="1"/>
  <c r="M501" i="1"/>
  <c r="P501" i="1" s="1"/>
  <c r="L501" i="1"/>
  <c r="O501" i="1" s="1"/>
  <c r="S500" i="1"/>
  <c r="R500" i="1"/>
  <c r="U500" i="1" s="1"/>
  <c r="Q500" i="1"/>
  <c r="T500" i="1" s="1"/>
  <c r="N500" i="1"/>
  <c r="N499" i="1" s="1"/>
  <c r="M500" i="1"/>
  <c r="P500" i="1" s="1"/>
  <c r="L500" i="1"/>
  <c r="O500" i="1" s="1"/>
  <c r="S498" i="1"/>
  <c r="S495" i="1" s="1"/>
  <c r="R498" i="1"/>
  <c r="Q498" i="1"/>
  <c r="Q495" i="1" s="1"/>
  <c r="N498" i="1"/>
  <c r="N495" i="1" s="1"/>
  <c r="M498" i="1"/>
  <c r="L498" i="1"/>
  <c r="S497" i="1"/>
  <c r="S494" i="1" s="1"/>
  <c r="R497" i="1"/>
  <c r="Q497" i="1"/>
  <c r="N497" i="1"/>
  <c r="M497" i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I484" i="1" s="1"/>
  <c r="K484" i="1" s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K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K441" i="1" s="1"/>
  <c r="I440" i="1"/>
  <c r="J439" i="1"/>
  <c r="J438" i="1"/>
  <c r="J437" i="1"/>
  <c r="J436" i="1"/>
  <c r="J435" i="1"/>
  <c r="J434" i="1"/>
  <c r="I433" i="1"/>
  <c r="K433" i="1" s="1"/>
  <c r="I432" i="1"/>
  <c r="K432" i="1" s="1"/>
  <c r="J431" i="1"/>
  <c r="J430" i="1"/>
  <c r="J429" i="1"/>
  <c r="J428" i="1"/>
  <c r="J427" i="1"/>
  <c r="J426" i="1"/>
  <c r="I425" i="1"/>
  <c r="K425" i="1" s="1"/>
  <c r="I424" i="1"/>
  <c r="K424" i="1" s="1"/>
  <c r="S421" i="1"/>
  <c r="R421" i="1"/>
  <c r="U421" i="1" s="1"/>
  <c r="Q421" i="1"/>
  <c r="T421" i="1" s="1"/>
  <c r="N421" i="1"/>
  <c r="M421" i="1"/>
  <c r="P421" i="1" s="1"/>
  <c r="L421" i="1"/>
  <c r="O421" i="1" s="1"/>
  <c r="S420" i="1"/>
  <c r="R420" i="1"/>
  <c r="Q420" i="1"/>
  <c r="N420" i="1"/>
  <c r="M420" i="1"/>
  <c r="P420" i="1" s="1"/>
  <c r="L420" i="1"/>
  <c r="S418" i="1"/>
  <c r="R418" i="1"/>
  <c r="Q418" i="1"/>
  <c r="N418" i="1"/>
  <c r="M418" i="1"/>
  <c r="L418" i="1"/>
  <c r="O418" i="1" s="1"/>
  <c r="S417" i="1"/>
  <c r="S414" i="1" s="1"/>
  <c r="R417" i="1"/>
  <c r="R414" i="1" s="1"/>
  <c r="Q417" i="1"/>
  <c r="N417" i="1"/>
  <c r="M417" i="1"/>
  <c r="P417" i="1" s="1"/>
  <c r="L417" i="1"/>
  <c r="S400" i="1"/>
  <c r="R400" i="1"/>
  <c r="U400" i="1" s="1"/>
  <c r="Q400" i="1"/>
  <c r="N400" i="1"/>
  <c r="M400" i="1"/>
  <c r="L400" i="1"/>
  <c r="O400" i="1" s="1"/>
  <c r="S399" i="1"/>
  <c r="S398" i="1" s="1"/>
  <c r="R399" i="1"/>
  <c r="U399" i="1" s="1"/>
  <c r="Q399" i="1"/>
  <c r="T399" i="1" s="1"/>
  <c r="N399" i="1"/>
  <c r="M399" i="1"/>
  <c r="P399" i="1" s="1"/>
  <c r="L399" i="1"/>
  <c r="O399" i="1" s="1"/>
  <c r="S397" i="1"/>
  <c r="S394" i="1" s="1"/>
  <c r="R397" i="1"/>
  <c r="Q397" i="1"/>
  <c r="T397" i="1" s="1"/>
  <c r="N397" i="1"/>
  <c r="N394" i="1" s="1"/>
  <c r="M397" i="1"/>
  <c r="P397" i="1" s="1"/>
  <c r="L397" i="1"/>
  <c r="O397" i="1" s="1"/>
  <c r="S396" i="1"/>
  <c r="R396" i="1"/>
  <c r="Q396" i="1"/>
  <c r="T396" i="1" s="1"/>
  <c r="N396" i="1"/>
  <c r="M396" i="1"/>
  <c r="M393" i="1" s="1"/>
  <c r="L396" i="1"/>
  <c r="L393" i="1" s="1"/>
  <c r="K391" i="1"/>
  <c r="J391" i="1"/>
  <c r="I391" i="1"/>
  <c r="J388" i="1"/>
  <c r="I388" i="1"/>
  <c r="K388" i="1" s="1"/>
  <c r="J387" i="1"/>
  <c r="I387" i="1"/>
  <c r="K387" i="1" s="1"/>
  <c r="J386" i="1"/>
  <c r="I386" i="1"/>
  <c r="J385" i="1"/>
  <c r="I385" i="1"/>
  <c r="I374" i="1" s="1"/>
  <c r="S383" i="1"/>
  <c r="R383" i="1"/>
  <c r="Q383" i="1"/>
  <c r="N383" i="1"/>
  <c r="M383" i="1"/>
  <c r="P383" i="1" s="1"/>
  <c r="L383" i="1"/>
  <c r="S382" i="1"/>
  <c r="R382" i="1"/>
  <c r="U382" i="1" s="1"/>
  <c r="Q382" i="1"/>
  <c r="T382" i="1" s="1"/>
  <c r="N382" i="1"/>
  <c r="M382" i="1"/>
  <c r="L382" i="1"/>
  <c r="O382" i="1" s="1"/>
  <c r="S380" i="1"/>
  <c r="S377" i="1" s="1"/>
  <c r="R380" i="1"/>
  <c r="Q380" i="1"/>
  <c r="Q377" i="1" s="1"/>
  <c r="N380" i="1"/>
  <c r="M380" i="1"/>
  <c r="P380" i="1" s="1"/>
  <c r="L380" i="1"/>
  <c r="S379" i="1"/>
  <c r="S376" i="1" s="1"/>
  <c r="R379" i="1"/>
  <c r="Q379" i="1"/>
  <c r="T379" i="1" s="1"/>
  <c r="N379" i="1"/>
  <c r="M379" i="1"/>
  <c r="L379" i="1"/>
  <c r="O379" i="1" s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S364" i="1"/>
  <c r="R364" i="1"/>
  <c r="U364" i="1" s="1"/>
  <c r="Q364" i="1"/>
  <c r="N364" i="1"/>
  <c r="M364" i="1"/>
  <c r="L364" i="1"/>
  <c r="O364" i="1" s="1"/>
  <c r="S363" i="1"/>
  <c r="R363" i="1"/>
  <c r="U363" i="1" s="1"/>
  <c r="Q363" i="1"/>
  <c r="T363" i="1" s="1"/>
  <c r="N363" i="1"/>
  <c r="M363" i="1"/>
  <c r="L363" i="1"/>
  <c r="S361" i="1"/>
  <c r="R361" i="1"/>
  <c r="Q361" i="1"/>
  <c r="N361" i="1"/>
  <c r="M361" i="1"/>
  <c r="L361" i="1"/>
  <c r="S360" i="1"/>
  <c r="R360" i="1"/>
  <c r="U360" i="1" s="1"/>
  <c r="Q360" i="1"/>
  <c r="N360" i="1"/>
  <c r="M360" i="1"/>
  <c r="L360" i="1"/>
  <c r="O360" i="1" s="1"/>
  <c r="J354" i="1"/>
  <c r="J353" i="1"/>
  <c r="J352" i="1"/>
  <c r="D350" i="1"/>
  <c r="J349" i="1"/>
  <c r="J348" i="1"/>
  <c r="J347" i="1"/>
  <c r="J346" i="1"/>
  <c r="I346" i="1"/>
  <c r="J344" i="1"/>
  <c r="I344" i="1"/>
  <c r="I332" i="1" s="1"/>
  <c r="S341" i="1"/>
  <c r="R341" i="1"/>
  <c r="Q341" i="1"/>
  <c r="T341" i="1" s="1"/>
  <c r="N341" i="1"/>
  <c r="M341" i="1"/>
  <c r="L341" i="1"/>
  <c r="S340" i="1"/>
  <c r="R340" i="1"/>
  <c r="Q340" i="1"/>
  <c r="N340" i="1"/>
  <c r="M340" i="1"/>
  <c r="P340" i="1" s="1"/>
  <c r="L340" i="1"/>
  <c r="O340" i="1" s="1"/>
  <c r="S338" i="1"/>
  <c r="S335" i="1" s="1"/>
  <c r="R338" i="1"/>
  <c r="Q338" i="1"/>
  <c r="N338" i="1"/>
  <c r="N335" i="1" s="1"/>
  <c r="M338" i="1"/>
  <c r="L338" i="1"/>
  <c r="S337" i="1"/>
  <c r="S334" i="1" s="1"/>
  <c r="R337" i="1"/>
  <c r="U337" i="1" s="1"/>
  <c r="Q337" i="1"/>
  <c r="N337" i="1"/>
  <c r="M337" i="1"/>
  <c r="M334" i="1" s="1"/>
  <c r="P334" i="1" s="1"/>
  <c r="L337" i="1"/>
  <c r="O337" i="1" s="1"/>
  <c r="J330" i="1"/>
  <c r="J319" i="1" s="1"/>
  <c r="I330" i="1"/>
  <c r="I319" i="1" s="1"/>
  <c r="S328" i="1"/>
  <c r="R328" i="1"/>
  <c r="Q328" i="1"/>
  <c r="T328" i="1" s="1"/>
  <c r="N328" i="1"/>
  <c r="M328" i="1"/>
  <c r="L328" i="1"/>
  <c r="S327" i="1"/>
  <c r="R327" i="1"/>
  <c r="U327" i="1" s="1"/>
  <c r="Q327" i="1"/>
  <c r="N327" i="1"/>
  <c r="N326" i="1" s="1"/>
  <c r="M327" i="1"/>
  <c r="P327" i="1" s="1"/>
  <c r="L327" i="1"/>
  <c r="S325" i="1"/>
  <c r="S322" i="1" s="1"/>
  <c r="R325" i="1"/>
  <c r="Q325" i="1"/>
  <c r="N325" i="1"/>
  <c r="N322" i="1" s="1"/>
  <c r="M325" i="1"/>
  <c r="L325" i="1"/>
  <c r="S324" i="1"/>
  <c r="S321" i="1" s="1"/>
  <c r="R324" i="1"/>
  <c r="U324" i="1" s="1"/>
  <c r="Q324" i="1"/>
  <c r="N324" i="1"/>
  <c r="M324" i="1"/>
  <c r="P324" i="1" s="1"/>
  <c r="L324" i="1"/>
  <c r="O324" i="1" s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J313" i="1"/>
  <c r="S311" i="1"/>
  <c r="R311" i="1"/>
  <c r="U311" i="1" s="1"/>
  <c r="Q311" i="1"/>
  <c r="T311" i="1" s="1"/>
  <c r="N311" i="1"/>
  <c r="M311" i="1"/>
  <c r="L311" i="1"/>
  <c r="O311" i="1" s="1"/>
  <c r="S310" i="1"/>
  <c r="R310" i="1"/>
  <c r="U310" i="1" s="1"/>
  <c r="Q310" i="1"/>
  <c r="N310" i="1"/>
  <c r="M310" i="1"/>
  <c r="P310" i="1" s="1"/>
  <c r="L310" i="1"/>
  <c r="S308" i="1"/>
  <c r="S305" i="1" s="1"/>
  <c r="R308" i="1"/>
  <c r="Q308" i="1"/>
  <c r="N308" i="1"/>
  <c r="M308" i="1"/>
  <c r="L308" i="1"/>
  <c r="L305" i="1" s="1"/>
  <c r="S307" i="1"/>
  <c r="S306" i="1" s="1"/>
  <c r="R307" i="1"/>
  <c r="Q307" i="1"/>
  <c r="T307" i="1" s="1"/>
  <c r="N307" i="1"/>
  <c r="M307" i="1"/>
  <c r="P307" i="1" s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S290" i="1"/>
  <c r="R290" i="1"/>
  <c r="U290" i="1" s="1"/>
  <c r="Q290" i="1"/>
  <c r="T290" i="1" s="1"/>
  <c r="N290" i="1"/>
  <c r="M290" i="1"/>
  <c r="P290" i="1" s="1"/>
  <c r="L290" i="1"/>
  <c r="S289" i="1"/>
  <c r="R289" i="1"/>
  <c r="U289" i="1" s="1"/>
  <c r="Q289" i="1"/>
  <c r="T289" i="1" s="1"/>
  <c r="N289" i="1"/>
  <c r="M289" i="1"/>
  <c r="L289" i="1"/>
  <c r="O289" i="1" s="1"/>
  <c r="S287" i="1"/>
  <c r="R287" i="1"/>
  <c r="U287" i="1" s="1"/>
  <c r="Q287" i="1"/>
  <c r="N287" i="1"/>
  <c r="M287" i="1"/>
  <c r="L287" i="1"/>
  <c r="S286" i="1"/>
  <c r="R286" i="1"/>
  <c r="U286" i="1" s="1"/>
  <c r="Q286" i="1"/>
  <c r="N286" i="1"/>
  <c r="M286" i="1"/>
  <c r="L286" i="1"/>
  <c r="J276" i="1"/>
  <c r="I276" i="1"/>
  <c r="S274" i="1"/>
  <c r="R274" i="1"/>
  <c r="Q274" i="1"/>
  <c r="N274" i="1"/>
  <c r="M274" i="1"/>
  <c r="L274" i="1"/>
  <c r="O274" i="1" s="1"/>
  <c r="S273" i="1"/>
  <c r="R273" i="1"/>
  <c r="Q273" i="1"/>
  <c r="T273" i="1" s="1"/>
  <c r="N273" i="1"/>
  <c r="N272" i="1" s="1"/>
  <c r="M273" i="1"/>
  <c r="P273" i="1" s="1"/>
  <c r="L273" i="1"/>
  <c r="S271" i="1"/>
  <c r="R271" i="1"/>
  <c r="Q271" i="1"/>
  <c r="N271" i="1"/>
  <c r="N268" i="1" s="1"/>
  <c r="M271" i="1"/>
  <c r="L271" i="1"/>
  <c r="O271" i="1" s="1"/>
  <c r="S270" i="1"/>
  <c r="S269" i="1" s="1"/>
  <c r="R270" i="1"/>
  <c r="Q270" i="1"/>
  <c r="T270" i="1" s="1"/>
  <c r="N270" i="1"/>
  <c r="M270" i="1"/>
  <c r="L270" i="1"/>
  <c r="J265" i="1"/>
  <c r="I265" i="1"/>
  <c r="K241" i="1"/>
  <c r="J241" i="1"/>
  <c r="K240" i="1"/>
  <c r="J240" i="1"/>
  <c r="J238" i="1"/>
  <c r="I238" i="1"/>
  <c r="N236" i="1"/>
  <c r="L236" i="1"/>
  <c r="S235" i="1"/>
  <c r="S232" i="1" s="1"/>
  <c r="Q235" i="1"/>
  <c r="Q232" i="1" s="1"/>
  <c r="T232" i="1" s="1"/>
  <c r="N235" i="1"/>
  <c r="L235" i="1"/>
  <c r="N234" i="1"/>
  <c r="L234" i="1"/>
  <c r="N233" i="1"/>
  <c r="L233" i="1"/>
  <c r="U232" i="1"/>
  <c r="J231" i="1"/>
  <c r="I231" i="1"/>
  <c r="K231" i="1" s="1"/>
  <c r="J230" i="1"/>
  <c r="J185" i="1" s="1"/>
  <c r="I230" i="1"/>
  <c r="K230" i="1" s="1"/>
  <c r="J229" i="1"/>
  <c r="J221" i="1" s="1"/>
  <c r="I229" i="1"/>
  <c r="I221" i="1" s="1"/>
  <c r="J228" i="1"/>
  <c r="I228" i="1"/>
  <c r="N224" i="1"/>
  <c r="L224" i="1"/>
  <c r="N223" i="1"/>
  <c r="L223" i="1"/>
  <c r="J220" i="1"/>
  <c r="J213" i="1" s="1"/>
  <c r="I220" i="1"/>
  <c r="J219" i="1"/>
  <c r="I219" i="1"/>
  <c r="S217" i="1"/>
  <c r="S214" i="1" s="1"/>
  <c r="Q217" i="1"/>
  <c r="Q214" i="1" s="1"/>
  <c r="N217" i="1"/>
  <c r="L217" i="1"/>
  <c r="N216" i="1"/>
  <c r="L216" i="1"/>
  <c r="N215" i="1"/>
  <c r="L215" i="1"/>
  <c r="U214" i="1"/>
  <c r="K212" i="1"/>
  <c r="J212" i="1"/>
  <c r="K211" i="1"/>
  <c r="J211" i="1"/>
  <c r="J209" i="1"/>
  <c r="J202" i="1" s="1"/>
  <c r="I209" i="1"/>
  <c r="N207" i="1"/>
  <c r="L207" i="1"/>
  <c r="S206" i="1"/>
  <c r="S203" i="1" s="1"/>
  <c r="Q206" i="1"/>
  <c r="Q203" i="1" s="1"/>
  <c r="N206" i="1"/>
  <c r="L206" i="1"/>
  <c r="N204" i="1"/>
  <c r="L204" i="1"/>
  <c r="U203" i="1"/>
  <c r="J201" i="1"/>
  <c r="J200" i="1"/>
  <c r="J198" i="1"/>
  <c r="J195" i="1" s="1"/>
  <c r="I198" i="1"/>
  <c r="N196" i="1"/>
  <c r="L196" i="1"/>
  <c r="S194" i="1"/>
  <c r="R194" i="1"/>
  <c r="U194" i="1" s="1"/>
  <c r="Q194" i="1"/>
  <c r="T194" i="1" s="1"/>
  <c r="N194" i="1"/>
  <c r="M194" i="1"/>
  <c r="P194" i="1" s="1"/>
  <c r="L194" i="1"/>
  <c r="O194" i="1" s="1"/>
  <c r="S193" i="1"/>
  <c r="R193" i="1"/>
  <c r="U193" i="1" s="1"/>
  <c r="Q193" i="1"/>
  <c r="N193" i="1"/>
  <c r="M193" i="1"/>
  <c r="P193" i="1" s="1"/>
  <c r="L193" i="1"/>
  <c r="O193" i="1" s="1"/>
  <c r="S191" i="1"/>
  <c r="R191" i="1"/>
  <c r="Q191" i="1"/>
  <c r="N191" i="1"/>
  <c r="M191" i="1"/>
  <c r="L191" i="1"/>
  <c r="S190" i="1"/>
  <c r="R190" i="1"/>
  <c r="U190" i="1" s="1"/>
  <c r="Q190" i="1"/>
  <c r="T190" i="1" s="1"/>
  <c r="N190" i="1"/>
  <c r="M190" i="1"/>
  <c r="P190" i="1" s="1"/>
  <c r="L190" i="1"/>
  <c r="K184" i="1"/>
  <c r="J183" i="1"/>
  <c r="J172" i="1" s="1"/>
  <c r="I183" i="1"/>
  <c r="I172" i="1" s="1"/>
  <c r="S181" i="1"/>
  <c r="R181" i="1"/>
  <c r="Q181" i="1"/>
  <c r="T181" i="1" s="1"/>
  <c r="N181" i="1"/>
  <c r="M181" i="1"/>
  <c r="P181" i="1" s="1"/>
  <c r="L181" i="1"/>
  <c r="O181" i="1" s="1"/>
  <c r="S180" i="1"/>
  <c r="R180" i="1"/>
  <c r="U180" i="1" s="1"/>
  <c r="Q180" i="1"/>
  <c r="T180" i="1" s="1"/>
  <c r="N180" i="1"/>
  <c r="M180" i="1"/>
  <c r="P180" i="1" s="1"/>
  <c r="L180" i="1"/>
  <c r="O180" i="1" s="1"/>
  <c r="S178" i="1"/>
  <c r="R178" i="1"/>
  <c r="U178" i="1" s="1"/>
  <c r="Q178" i="1"/>
  <c r="N178" i="1"/>
  <c r="M178" i="1"/>
  <c r="L178" i="1"/>
  <c r="S177" i="1"/>
  <c r="R177" i="1"/>
  <c r="U177" i="1" s="1"/>
  <c r="Q177" i="1"/>
  <c r="T177" i="1" s="1"/>
  <c r="N177" i="1"/>
  <c r="M177" i="1"/>
  <c r="L177" i="1"/>
  <c r="L174" i="1" s="1"/>
  <c r="O174" i="1" s="1"/>
  <c r="J167" i="1"/>
  <c r="I167" i="1"/>
  <c r="S165" i="1"/>
  <c r="R165" i="1"/>
  <c r="Q165" i="1"/>
  <c r="N165" i="1"/>
  <c r="M165" i="1"/>
  <c r="P165" i="1" s="1"/>
  <c r="L165" i="1"/>
  <c r="O165" i="1" s="1"/>
  <c r="S164" i="1"/>
  <c r="R164" i="1"/>
  <c r="U164" i="1" s="1"/>
  <c r="Q164" i="1"/>
  <c r="T164" i="1" s="1"/>
  <c r="N164" i="1"/>
  <c r="M164" i="1"/>
  <c r="L164" i="1"/>
  <c r="O164" i="1" s="1"/>
  <c r="S162" i="1"/>
  <c r="R162" i="1"/>
  <c r="U162" i="1" s="1"/>
  <c r="Q162" i="1"/>
  <c r="T162" i="1" s="1"/>
  <c r="N162" i="1"/>
  <c r="N159" i="1" s="1"/>
  <c r="M162" i="1"/>
  <c r="L162" i="1"/>
  <c r="S161" i="1"/>
  <c r="R161" i="1"/>
  <c r="Q161" i="1"/>
  <c r="T161" i="1" s="1"/>
  <c r="N161" i="1"/>
  <c r="M161" i="1"/>
  <c r="L161" i="1"/>
  <c r="O161" i="1" s="1"/>
  <c r="J156" i="1"/>
  <c r="J154" i="1"/>
  <c r="J136" i="1" s="1"/>
  <c r="I154" i="1"/>
  <c r="J153" i="1"/>
  <c r="J138" i="1" s="1"/>
  <c r="I153" i="1"/>
  <c r="I138" i="1" s="1"/>
  <c r="J152" i="1"/>
  <c r="J137" i="1" s="1"/>
  <c r="I152" i="1"/>
  <c r="I137" i="1" s="1"/>
  <c r="J151" i="1"/>
  <c r="I151" i="1"/>
  <c r="J150" i="1"/>
  <c r="I150" i="1"/>
  <c r="J149" i="1"/>
  <c r="S147" i="1"/>
  <c r="R147" i="1"/>
  <c r="U147" i="1" s="1"/>
  <c r="Q147" i="1"/>
  <c r="N147" i="1"/>
  <c r="M147" i="1"/>
  <c r="P147" i="1" s="1"/>
  <c r="L147" i="1"/>
  <c r="O147" i="1" s="1"/>
  <c r="S146" i="1"/>
  <c r="R146" i="1"/>
  <c r="Q146" i="1"/>
  <c r="T146" i="1" s="1"/>
  <c r="N146" i="1"/>
  <c r="M146" i="1"/>
  <c r="P146" i="1" s="1"/>
  <c r="L146" i="1"/>
  <c r="O146" i="1" s="1"/>
  <c r="S144" i="1"/>
  <c r="R144" i="1"/>
  <c r="U144" i="1" s="1"/>
  <c r="Q144" i="1"/>
  <c r="T144" i="1" s="1"/>
  <c r="N144" i="1"/>
  <c r="N141" i="1" s="1"/>
  <c r="M144" i="1"/>
  <c r="M141" i="1" s="1"/>
  <c r="L144" i="1"/>
  <c r="S143" i="1"/>
  <c r="R143" i="1"/>
  <c r="U143" i="1" s="1"/>
  <c r="Q143" i="1"/>
  <c r="N143" i="1"/>
  <c r="N140" i="1" s="1"/>
  <c r="M143" i="1"/>
  <c r="L143" i="1"/>
  <c r="J130" i="1"/>
  <c r="I130" i="1"/>
  <c r="K130" i="1" s="1"/>
  <c r="J129" i="1"/>
  <c r="I129" i="1"/>
  <c r="J128" i="1"/>
  <c r="I128" i="1"/>
  <c r="K128" i="1" s="1"/>
  <c r="J127" i="1"/>
  <c r="J116" i="1" s="1"/>
  <c r="I127" i="1"/>
  <c r="S125" i="1"/>
  <c r="R125" i="1"/>
  <c r="Q125" i="1"/>
  <c r="T125" i="1" s="1"/>
  <c r="N125" i="1"/>
  <c r="M125" i="1"/>
  <c r="P125" i="1" s="1"/>
  <c r="L125" i="1"/>
  <c r="O125" i="1" s="1"/>
  <c r="S124" i="1"/>
  <c r="R124" i="1"/>
  <c r="Q124" i="1"/>
  <c r="N124" i="1"/>
  <c r="M124" i="1"/>
  <c r="P124" i="1" s="1"/>
  <c r="L124" i="1"/>
  <c r="S122" i="1"/>
  <c r="S119" i="1" s="1"/>
  <c r="R122" i="1"/>
  <c r="Q122" i="1"/>
  <c r="N122" i="1"/>
  <c r="M122" i="1"/>
  <c r="L122" i="1"/>
  <c r="O122" i="1" s="1"/>
  <c r="S121" i="1"/>
  <c r="S120" i="1" s="1"/>
  <c r="R121" i="1"/>
  <c r="Q121" i="1"/>
  <c r="Q118" i="1" s="1"/>
  <c r="N121" i="1"/>
  <c r="M121" i="1"/>
  <c r="P121" i="1" s="1"/>
  <c r="L121" i="1"/>
  <c r="L118" i="1" s="1"/>
  <c r="J114" i="1"/>
  <c r="I114" i="1"/>
  <c r="J113" i="1"/>
  <c r="I113" i="1"/>
  <c r="J109" i="1"/>
  <c r="J93" i="1" s="1"/>
  <c r="I109" i="1"/>
  <c r="J108" i="1"/>
  <c r="J92" i="1" s="1"/>
  <c r="I108" i="1"/>
  <c r="I92" i="1" s="1"/>
  <c r="S102" i="1"/>
  <c r="R102" i="1"/>
  <c r="U102" i="1" s="1"/>
  <c r="Q102" i="1"/>
  <c r="T102" i="1" s="1"/>
  <c r="N102" i="1"/>
  <c r="M102" i="1"/>
  <c r="P102" i="1" s="1"/>
  <c r="L102" i="1"/>
  <c r="O102" i="1" s="1"/>
  <c r="S101" i="1"/>
  <c r="R101" i="1"/>
  <c r="Q101" i="1"/>
  <c r="T101" i="1" s="1"/>
  <c r="N101" i="1"/>
  <c r="M101" i="1"/>
  <c r="P101" i="1" s="1"/>
  <c r="L101" i="1"/>
  <c r="O101" i="1" s="1"/>
  <c r="S99" i="1"/>
  <c r="R99" i="1"/>
  <c r="Q99" i="1"/>
  <c r="N99" i="1"/>
  <c r="N96" i="1" s="1"/>
  <c r="M99" i="1"/>
  <c r="L99" i="1"/>
  <c r="S98" i="1"/>
  <c r="R98" i="1"/>
  <c r="U98" i="1" s="1"/>
  <c r="Q98" i="1"/>
  <c r="T98" i="1" s="1"/>
  <c r="N98" i="1"/>
  <c r="N97" i="1" s="1"/>
  <c r="M98" i="1"/>
  <c r="P98" i="1" s="1"/>
  <c r="L98" i="1"/>
  <c r="O98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U80" i="1" s="1"/>
  <c r="Q80" i="1"/>
  <c r="T80" i="1" s="1"/>
  <c r="N80" i="1"/>
  <c r="M80" i="1"/>
  <c r="P80" i="1" s="1"/>
  <c r="L80" i="1"/>
  <c r="O80" i="1" s="1"/>
  <c r="S79" i="1"/>
  <c r="R79" i="1"/>
  <c r="Q79" i="1"/>
  <c r="T79" i="1" s="1"/>
  <c r="N79" i="1"/>
  <c r="M79" i="1"/>
  <c r="P79" i="1" s="1"/>
  <c r="L79" i="1"/>
  <c r="S77" i="1"/>
  <c r="R77" i="1"/>
  <c r="Q77" i="1"/>
  <c r="N77" i="1"/>
  <c r="M77" i="1"/>
  <c r="L77" i="1"/>
  <c r="S76" i="1"/>
  <c r="R76" i="1"/>
  <c r="Q76" i="1"/>
  <c r="T76" i="1" s="1"/>
  <c r="N76" i="1"/>
  <c r="M76" i="1"/>
  <c r="P76" i="1" s="1"/>
  <c r="L76" i="1"/>
  <c r="S67" i="1"/>
  <c r="R67" i="1"/>
  <c r="Q67" i="1"/>
  <c r="T67" i="1" s="1"/>
  <c r="N67" i="1"/>
  <c r="M67" i="1"/>
  <c r="P67" i="1" s="1"/>
  <c r="L67" i="1"/>
  <c r="O67" i="1" s="1"/>
  <c r="S66" i="1"/>
  <c r="R66" i="1"/>
  <c r="Q66" i="1"/>
  <c r="T66" i="1" s="1"/>
  <c r="N66" i="1"/>
  <c r="M66" i="1"/>
  <c r="P66" i="1" s="1"/>
  <c r="L66" i="1"/>
  <c r="O66" i="1" s="1"/>
  <c r="S64" i="1"/>
  <c r="R64" i="1"/>
  <c r="U64" i="1" s="1"/>
  <c r="Q64" i="1"/>
  <c r="T64" i="1" s="1"/>
  <c r="N64" i="1"/>
  <c r="N61" i="1" s="1"/>
  <c r="M64" i="1"/>
  <c r="L64" i="1"/>
  <c r="S63" i="1"/>
  <c r="S60" i="1" s="1"/>
  <c r="R63" i="1"/>
  <c r="R62" i="1" s="1"/>
  <c r="U62" i="1" s="1"/>
  <c r="Q63" i="1"/>
  <c r="T63" i="1" s="1"/>
  <c r="N63" i="1"/>
  <c r="N60" i="1" s="1"/>
  <c r="M63" i="1"/>
  <c r="P63" i="1" s="1"/>
  <c r="L63" i="1"/>
  <c r="O63" i="1" s="1"/>
  <c r="S52" i="1"/>
  <c r="R52" i="1"/>
  <c r="R50" i="1" s="1"/>
  <c r="U50" i="1" s="1"/>
  <c r="Q52" i="1"/>
  <c r="Q50" i="1" s="1"/>
  <c r="T50" i="1" s="1"/>
  <c r="N52" i="1"/>
  <c r="N50" i="1" s="1"/>
  <c r="M52" i="1"/>
  <c r="P52" i="1" s="1"/>
  <c r="L52" i="1"/>
  <c r="L50" i="1" s="1"/>
  <c r="O50" i="1" s="1"/>
  <c r="U51" i="1"/>
  <c r="T51" i="1"/>
  <c r="P51" i="1"/>
  <c r="O51" i="1"/>
  <c r="S49" i="1"/>
  <c r="S47" i="1" s="1"/>
  <c r="R49" i="1"/>
  <c r="R47" i="1" s="1"/>
  <c r="U47" i="1" s="1"/>
  <c r="Q49" i="1"/>
  <c r="Q47" i="1" s="1"/>
  <c r="T47" i="1" s="1"/>
  <c r="N49" i="1"/>
  <c r="N47" i="1" s="1"/>
  <c r="M49" i="1"/>
  <c r="L49" i="1"/>
  <c r="L47" i="1" s="1"/>
  <c r="U48" i="1"/>
  <c r="T48" i="1"/>
  <c r="P48" i="1"/>
  <c r="O48" i="1"/>
  <c r="U45" i="1"/>
  <c r="S45" i="1"/>
  <c r="R45" i="1"/>
  <c r="Q45" i="1"/>
  <c r="T45" i="1" s="1"/>
  <c r="P45" i="1"/>
  <c r="O45" i="1"/>
  <c r="N45" i="1"/>
  <c r="M45" i="1"/>
  <c r="L45" i="1"/>
  <c r="L187" i="1" l="1"/>
  <c r="O187" i="1" s="1"/>
  <c r="L142" i="1"/>
  <c r="N285" i="1"/>
  <c r="N174" i="1"/>
  <c r="S75" i="1"/>
  <c r="R74" i="1"/>
  <c r="R322" i="1"/>
  <c r="L535" i="1"/>
  <c r="S600" i="1"/>
  <c r="S577" i="1"/>
  <c r="R100" i="1"/>
  <c r="U100" i="1" s="1"/>
  <c r="N123" i="1"/>
  <c r="Q284" i="1"/>
  <c r="T284" i="1" s="1"/>
  <c r="N175" i="21"/>
  <c r="N173" i="21" s="1"/>
  <c r="K709" i="16"/>
  <c r="K673" i="16"/>
  <c r="K167" i="19"/>
  <c r="R304" i="1"/>
  <c r="U304" i="1" s="1"/>
  <c r="I374" i="19"/>
  <c r="O178" i="21"/>
  <c r="R762" i="22"/>
  <c r="R760" i="22" s="1"/>
  <c r="K167" i="21"/>
  <c r="N358" i="1"/>
  <c r="N362" i="1"/>
  <c r="K346" i="22"/>
  <c r="N188" i="22"/>
  <c r="N186" i="22" s="1"/>
  <c r="K780" i="22"/>
  <c r="I456" i="22"/>
  <c r="K456" i="22" s="1"/>
  <c r="Q119" i="22"/>
  <c r="T119" i="22" s="1"/>
  <c r="O189" i="22"/>
  <c r="T122" i="22"/>
  <c r="N160" i="1"/>
  <c r="K781" i="21"/>
  <c r="L236" i="21"/>
  <c r="P176" i="21"/>
  <c r="P308" i="21"/>
  <c r="K784" i="22"/>
  <c r="K781" i="22"/>
  <c r="O191" i="22"/>
  <c r="O147" i="22"/>
  <c r="R618" i="22"/>
  <c r="U618" i="22" s="1"/>
  <c r="P102" i="22"/>
  <c r="U418" i="22"/>
  <c r="Q416" i="21"/>
  <c r="T416" i="21" s="1"/>
  <c r="K782" i="22"/>
  <c r="U765" i="22"/>
  <c r="J701" i="22"/>
  <c r="K440" i="22"/>
  <c r="N358" i="22"/>
  <c r="N356" i="22" s="1"/>
  <c r="P290" i="22"/>
  <c r="P165" i="22"/>
  <c r="M123" i="22"/>
  <c r="P123" i="22" s="1"/>
  <c r="K109" i="22"/>
  <c r="O49" i="22"/>
  <c r="R120" i="22"/>
  <c r="U120" i="22" s="1"/>
  <c r="Q75" i="22"/>
  <c r="T75" i="22" s="1"/>
  <c r="K778" i="22"/>
  <c r="S762" i="22"/>
  <c r="S760" i="22" s="1"/>
  <c r="S377" i="22"/>
  <c r="S375" i="22" s="1"/>
  <c r="K183" i="22"/>
  <c r="R94" i="22"/>
  <c r="U94" i="22" s="1"/>
  <c r="I92" i="19"/>
  <c r="K92" i="19" s="1"/>
  <c r="L50" i="21"/>
  <c r="O50" i="21" s="1"/>
  <c r="K678" i="22"/>
  <c r="K653" i="22"/>
  <c r="K229" i="22"/>
  <c r="K785" i="19"/>
  <c r="K681" i="20"/>
  <c r="K369" i="21"/>
  <c r="P274" i="21"/>
  <c r="Q763" i="22"/>
  <c r="T763" i="22" s="1"/>
  <c r="U621" i="22"/>
  <c r="S305" i="22"/>
  <c r="S303" i="22" s="1"/>
  <c r="L236" i="22"/>
  <c r="I92" i="22"/>
  <c r="K92" i="22" s="1"/>
  <c r="T418" i="21"/>
  <c r="L46" i="21"/>
  <c r="L44" i="21" s="1"/>
  <c r="T765" i="22"/>
  <c r="J702" i="22"/>
  <c r="K676" i="22"/>
  <c r="S616" i="22"/>
  <c r="L235" i="22"/>
  <c r="P191" i="22"/>
  <c r="K152" i="22"/>
  <c r="S97" i="22"/>
  <c r="O80" i="22"/>
  <c r="L47" i="22"/>
  <c r="O47" i="22" s="1"/>
  <c r="T621" i="21"/>
  <c r="U695" i="22"/>
  <c r="P521" i="22"/>
  <c r="R416" i="22"/>
  <c r="U416" i="22" s="1"/>
  <c r="K371" i="22"/>
  <c r="P325" i="22"/>
  <c r="P147" i="22"/>
  <c r="S139" i="22"/>
  <c r="T99" i="22"/>
  <c r="Q96" i="22"/>
  <c r="T96" i="22" s="1"/>
  <c r="P49" i="22"/>
  <c r="R65" i="1"/>
  <c r="U65" i="1" s="1"/>
  <c r="R75" i="21"/>
  <c r="U75" i="21" s="1"/>
  <c r="K783" i="22"/>
  <c r="K661" i="22"/>
  <c r="K385" i="22"/>
  <c r="M362" i="22"/>
  <c r="P362" i="22" s="1"/>
  <c r="J343" i="22"/>
  <c r="O325" i="22"/>
  <c r="S160" i="22"/>
  <c r="S94" i="22"/>
  <c r="S176" i="17"/>
  <c r="K784" i="18"/>
  <c r="K778" i="18"/>
  <c r="T77" i="21"/>
  <c r="R692" i="22"/>
  <c r="U692" i="22" s="1"/>
  <c r="K503" i="22"/>
  <c r="S493" i="20"/>
  <c r="K457" i="20"/>
  <c r="K785" i="21"/>
  <c r="O194" i="21"/>
  <c r="U162" i="21"/>
  <c r="L159" i="21"/>
  <c r="L157" i="21" s="1"/>
  <c r="K779" i="22"/>
  <c r="R730" i="22"/>
  <c r="U730" i="22" s="1"/>
  <c r="N714" i="22"/>
  <c r="U321" i="22"/>
  <c r="M309" i="22"/>
  <c r="P309" i="22" s="1"/>
  <c r="P311" i="22"/>
  <c r="K292" i="22"/>
  <c r="I281" i="22"/>
  <c r="K281" i="22" s="1"/>
  <c r="M179" i="22"/>
  <c r="P179" i="22" s="1"/>
  <c r="P181" i="22"/>
  <c r="O165" i="22"/>
  <c r="L163" i="22"/>
  <c r="O163" i="22" s="1"/>
  <c r="Q160" i="22"/>
  <c r="T160" i="22" s="1"/>
  <c r="Q159" i="22"/>
  <c r="T159" i="22" s="1"/>
  <c r="K774" i="22"/>
  <c r="M690" i="22"/>
  <c r="P690" i="22" s="1"/>
  <c r="P691" i="22"/>
  <c r="U647" i="22"/>
  <c r="R645" i="22"/>
  <c r="U645" i="22" s="1"/>
  <c r="N335" i="22"/>
  <c r="N333" i="22" s="1"/>
  <c r="N336" i="22"/>
  <c r="P336" i="22" s="1"/>
  <c r="S333" i="22"/>
  <c r="N305" i="22"/>
  <c r="N303" i="22" s="1"/>
  <c r="N306" i="22"/>
  <c r="P267" i="22"/>
  <c r="Q141" i="22"/>
  <c r="Q142" i="22"/>
  <c r="T142" i="22" s="1"/>
  <c r="M96" i="22"/>
  <c r="P99" i="22"/>
  <c r="T25" i="22"/>
  <c r="Q24" i="22"/>
  <c r="T24" i="22" s="1"/>
  <c r="Q731" i="22"/>
  <c r="T731" i="22" s="1"/>
  <c r="Q730" i="22"/>
  <c r="T730" i="22" s="1"/>
  <c r="I615" i="22"/>
  <c r="K615" i="22" s="1"/>
  <c r="K629" i="22"/>
  <c r="K626" i="22"/>
  <c r="K630" i="22"/>
  <c r="P376" i="22"/>
  <c r="M375" i="22"/>
  <c r="P375" i="22" s="1"/>
  <c r="P338" i="22"/>
  <c r="R333" i="22"/>
  <c r="U333" i="22" s="1"/>
  <c r="O283" i="22"/>
  <c r="S268" i="22"/>
  <c r="S266" i="22" s="1"/>
  <c r="S269" i="22"/>
  <c r="T269" i="22" s="1"/>
  <c r="U271" i="22"/>
  <c r="M159" i="22"/>
  <c r="P159" i="22" s="1"/>
  <c r="P162" i="22"/>
  <c r="M97" i="22"/>
  <c r="P97" i="22" s="1"/>
  <c r="O67" i="22"/>
  <c r="L65" i="22"/>
  <c r="O65" i="22" s="1"/>
  <c r="K682" i="21"/>
  <c r="K371" i="21"/>
  <c r="P336" i="21"/>
  <c r="K785" i="22"/>
  <c r="K758" i="22"/>
  <c r="I689" i="22"/>
  <c r="K689" i="22" s="1"/>
  <c r="Q495" i="22"/>
  <c r="T495" i="22" s="1"/>
  <c r="Q496" i="22"/>
  <c r="T496" i="22" s="1"/>
  <c r="I319" i="22"/>
  <c r="K319" i="22" s="1"/>
  <c r="K330" i="22"/>
  <c r="L192" i="22"/>
  <c r="O192" i="22" s="1"/>
  <c r="M160" i="22"/>
  <c r="P160" i="22" s="1"/>
  <c r="M141" i="22"/>
  <c r="P141" i="22" s="1"/>
  <c r="M142" i="22"/>
  <c r="P142" i="22" s="1"/>
  <c r="P144" i="22"/>
  <c r="I83" i="22"/>
  <c r="K83" i="22" s="1"/>
  <c r="K85" i="22"/>
  <c r="K276" i="20"/>
  <c r="K108" i="20"/>
  <c r="K783" i="21"/>
  <c r="J675" i="21"/>
  <c r="K675" i="21" s="1"/>
  <c r="K678" i="21"/>
  <c r="S375" i="21"/>
  <c r="P325" i="21"/>
  <c r="M309" i="21"/>
  <c r="P309" i="21" s="1"/>
  <c r="M305" i="21"/>
  <c r="M303" i="21" s="1"/>
  <c r="P271" i="21"/>
  <c r="L760" i="22"/>
  <c r="O760" i="22" s="1"/>
  <c r="U733" i="22"/>
  <c r="N728" i="22"/>
  <c r="M642" i="22"/>
  <c r="P642" i="22" s="1"/>
  <c r="P643" i="22"/>
  <c r="M555" i="22"/>
  <c r="P555" i="22" s="1"/>
  <c r="L519" i="22"/>
  <c r="O519" i="22" s="1"/>
  <c r="I265" i="22"/>
  <c r="K265" i="22" s="1"/>
  <c r="K276" i="22"/>
  <c r="I202" i="22"/>
  <c r="K202" i="22" s="1"/>
  <c r="K209" i="22"/>
  <c r="S175" i="22"/>
  <c r="S173" i="22" s="1"/>
  <c r="S176" i="22"/>
  <c r="T144" i="22"/>
  <c r="T95" i="22"/>
  <c r="R74" i="22"/>
  <c r="R75" i="22"/>
  <c r="U75" i="22" s="1"/>
  <c r="R59" i="22"/>
  <c r="U59" i="22" s="1"/>
  <c r="O191" i="18"/>
  <c r="T308" i="20"/>
  <c r="Q142" i="20"/>
  <c r="T142" i="20" s="1"/>
  <c r="S413" i="21"/>
  <c r="P341" i="21"/>
  <c r="L339" i="21"/>
  <c r="O339" i="21" s="1"/>
  <c r="L203" i="21"/>
  <c r="O203" i="21" s="1"/>
  <c r="P77" i="21"/>
  <c r="U763" i="22"/>
  <c r="Q760" i="22"/>
  <c r="T733" i="22"/>
  <c r="Q619" i="22"/>
  <c r="Q618" i="22"/>
  <c r="T618" i="22" s="1"/>
  <c r="T600" i="22"/>
  <c r="Q599" i="22"/>
  <c r="T599" i="22" s="1"/>
  <c r="T556" i="22"/>
  <c r="T494" i="22"/>
  <c r="O494" i="22"/>
  <c r="L493" i="22"/>
  <c r="O493" i="22" s="1"/>
  <c r="N284" i="22"/>
  <c r="N282" i="22" s="1"/>
  <c r="N285" i="22"/>
  <c r="N268" i="22"/>
  <c r="N266" i="22" s="1"/>
  <c r="N269" i="22"/>
  <c r="P269" i="22" s="1"/>
  <c r="R188" i="22"/>
  <c r="U188" i="22" s="1"/>
  <c r="U191" i="22"/>
  <c r="S119" i="22"/>
  <c r="S117" i="22" s="1"/>
  <c r="S120" i="22"/>
  <c r="L119" i="22"/>
  <c r="O119" i="22" s="1"/>
  <c r="L120" i="22"/>
  <c r="O120" i="22" s="1"/>
  <c r="O102" i="22"/>
  <c r="L100" i="22"/>
  <c r="O100" i="22" s="1"/>
  <c r="S731" i="22"/>
  <c r="L690" i="22"/>
  <c r="O690" i="22" s="1"/>
  <c r="T645" i="22"/>
  <c r="L642" i="22"/>
  <c r="O642" i="22" s="1"/>
  <c r="S619" i="22"/>
  <c r="U619" i="22" s="1"/>
  <c r="N616" i="22"/>
  <c r="S599" i="22"/>
  <c r="P556" i="22"/>
  <c r="N359" i="22"/>
  <c r="O290" i="22"/>
  <c r="L214" i="22"/>
  <c r="O214" i="22" s="1"/>
  <c r="Q189" i="22"/>
  <c r="T189" i="22" s="1"/>
  <c r="M175" i="22"/>
  <c r="M173" i="22" s="1"/>
  <c r="K153" i="22"/>
  <c r="S142" i="22"/>
  <c r="N141" i="22"/>
  <c r="N139" i="22" s="1"/>
  <c r="K127" i="22"/>
  <c r="L123" i="22"/>
  <c r="O123" i="22" s="1"/>
  <c r="Q72" i="22"/>
  <c r="T72" i="22" s="1"/>
  <c r="I701" i="22"/>
  <c r="K701" i="22" s="1"/>
  <c r="S692" i="22"/>
  <c r="S690" i="22" s="1"/>
  <c r="J675" i="22"/>
  <c r="K675" i="22" s="1"/>
  <c r="S644" i="22"/>
  <c r="U644" i="22" s="1"/>
  <c r="R642" i="22"/>
  <c r="P618" i="22"/>
  <c r="S416" i="22"/>
  <c r="Q415" i="22"/>
  <c r="T415" i="22" s="1"/>
  <c r="S320" i="22"/>
  <c r="L309" i="22"/>
  <c r="O309" i="22" s="1"/>
  <c r="I302" i="22"/>
  <c r="K302" i="22" s="1"/>
  <c r="Q282" i="22"/>
  <c r="T282" i="22" s="1"/>
  <c r="T271" i="22"/>
  <c r="L222" i="22"/>
  <c r="O222" i="22" s="1"/>
  <c r="P194" i="22"/>
  <c r="N192" i="22"/>
  <c r="L179" i="22"/>
  <c r="O179" i="22" s="1"/>
  <c r="R176" i="22"/>
  <c r="U176" i="22" s="1"/>
  <c r="M119" i="22"/>
  <c r="O77" i="22"/>
  <c r="O64" i="22"/>
  <c r="S59" i="22"/>
  <c r="Q19" i="22"/>
  <c r="T19" i="22" s="1"/>
  <c r="Q714" i="22"/>
  <c r="T714" i="22" s="1"/>
  <c r="N493" i="22"/>
  <c r="T418" i="22"/>
  <c r="L362" i="22"/>
  <c r="O362" i="22" s="1"/>
  <c r="Q333" i="22"/>
  <c r="T333" i="22" s="1"/>
  <c r="L284" i="22"/>
  <c r="O284" i="22" s="1"/>
  <c r="M272" i="22"/>
  <c r="P272" i="22" s="1"/>
  <c r="M268" i="22"/>
  <c r="M266" i="22" s="1"/>
  <c r="R268" i="22"/>
  <c r="S188" i="22"/>
  <c r="S186" i="22" s="1"/>
  <c r="L159" i="22"/>
  <c r="O159" i="22" s="1"/>
  <c r="R160" i="22"/>
  <c r="U160" i="22" s="1"/>
  <c r="M120" i="22"/>
  <c r="P120" i="22" s="1"/>
  <c r="L96" i="22"/>
  <c r="L94" i="22" s="1"/>
  <c r="O94" i="22" s="1"/>
  <c r="R97" i="22"/>
  <c r="U97" i="22" s="1"/>
  <c r="T77" i="22"/>
  <c r="T73" i="22"/>
  <c r="Q44" i="22"/>
  <c r="T44" i="22" s="1"/>
  <c r="S24" i="22"/>
  <c r="M19" i="22"/>
  <c r="P729" i="22"/>
  <c r="J674" i="22"/>
  <c r="K674" i="22" s="1"/>
  <c r="S413" i="22"/>
  <c r="O338" i="22"/>
  <c r="Q320" i="22"/>
  <c r="T320" i="22" s="1"/>
  <c r="P287" i="22"/>
  <c r="Q268" i="22"/>
  <c r="Q266" i="22" s="1"/>
  <c r="N232" i="22"/>
  <c r="M188" i="22"/>
  <c r="N96" i="22"/>
  <c r="N94" i="22" s="1"/>
  <c r="L74" i="22"/>
  <c r="O74" i="22" s="1"/>
  <c r="S72" i="22"/>
  <c r="L19" i="22"/>
  <c r="M534" i="22"/>
  <c r="P534" i="22" s="1"/>
  <c r="P535" i="22"/>
  <c r="K504" i="22"/>
  <c r="J503" i="22"/>
  <c r="J492" i="22" s="1"/>
  <c r="R356" i="22"/>
  <c r="U356" i="22" s="1"/>
  <c r="U357" i="22"/>
  <c r="P269" i="20"/>
  <c r="U733" i="21"/>
  <c r="L188" i="21"/>
  <c r="L186" i="21" s="1"/>
  <c r="R94" i="21"/>
  <c r="U94" i="21" s="1"/>
  <c r="R392" i="22"/>
  <c r="U392" i="22" s="1"/>
  <c r="U393" i="22"/>
  <c r="U376" i="22"/>
  <c r="U284" i="22"/>
  <c r="R282" i="22"/>
  <c r="U282" i="22" s="1"/>
  <c r="K785" i="20"/>
  <c r="K779" i="20"/>
  <c r="K653" i="20"/>
  <c r="T731" i="21"/>
  <c r="S730" i="21"/>
  <c r="S728" i="21" s="1"/>
  <c r="P359" i="21"/>
  <c r="L254" i="21"/>
  <c r="O254" i="21" s="1"/>
  <c r="I136" i="21"/>
  <c r="K136" i="21" s="1"/>
  <c r="I83" i="21"/>
  <c r="K83" i="21" s="1"/>
  <c r="P75" i="21"/>
  <c r="M760" i="22"/>
  <c r="P760" i="22" s="1"/>
  <c r="L728" i="22"/>
  <c r="O728" i="22" s="1"/>
  <c r="R714" i="22"/>
  <c r="U714" i="22" s="1"/>
  <c r="L714" i="22"/>
  <c r="O714" i="22" s="1"/>
  <c r="L576" i="22"/>
  <c r="O576" i="22" s="1"/>
  <c r="O577" i="22"/>
  <c r="O557" i="22"/>
  <c r="L555" i="22"/>
  <c r="O555" i="22" s="1"/>
  <c r="S496" i="22"/>
  <c r="S495" i="22"/>
  <c r="S493" i="22" s="1"/>
  <c r="O415" i="22"/>
  <c r="L413" i="22"/>
  <c r="O413" i="22" s="1"/>
  <c r="R378" i="22"/>
  <c r="U378" i="22" s="1"/>
  <c r="R377" i="22"/>
  <c r="U377" i="22" s="1"/>
  <c r="U380" i="22"/>
  <c r="N326" i="22"/>
  <c r="N26" i="22"/>
  <c r="N24" i="22" s="1"/>
  <c r="N176" i="22"/>
  <c r="P176" i="22" s="1"/>
  <c r="N175" i="22"/>
  <c r="P178" i="22"/>
  <c r="N576" i="22"/>
  <c r="R513" i="22"/>
  <c r="U513" i="22" s="1"/>
  <c r="U514" i="22"/>
  <c r="O158" i="22"/>
  <c r="K780" i="21"/>
  <c r="M576" i="22"/>
  <c r="P576" i="22" s="1"/>
  <c r="P577" i="22"/>
  <c r="Q513" i="22"/>
  <c r="T513" i="22" s="1"/>
  <c r="T514" i="22"/>
  <c r="K676" i="19"/>
  <c r="P341" i="19"/>
  <c r="J675" i="20"/>
  <c r="K675" i="20" s="1"/>
  <c r="K673" i="20"/>
  <c r="K784" i="21"/>
  <c r="K779" i="21"/>
  <c r="R731" i="21"/>
  <c r="U731" i="21" s="1"/>
  <c r="R730" i="21"/>
  <c r="R728" i="21" s="1"/>
  <c r="K676" i="21"/>
  <c r="R618" i="21"/>
  <c r="U618" i="21" s="1"/>
  <c r="I365" i="21"/>
  <c r="K365" i="21" s="1"/>
  <c r="N141" i="21"/>
  <c r="N139" i="21" s="1"/>
  <c r="O125" i="21"/>
  <c r="L119" i="21"/>
  <c r="O119" i="21" s="1"/>
  <c r="P80" i="21"/>
  <c r="K772" i="22"/>
  <c r="T761" i="22"/>
  <c r="T695" i="22"/>
  <c r="Q692" i="22"/>
  <c r="T692" i="22" s="1"/>
  <c r="U691" i="22"/>
  <c r="O691" i="22"/>
  <c r="T647" i="22"/>
  <c r="Q644" i="22"/>
  <c r="U643" i="22"/>
  <c r="O643" i="22"/>
  <c r="K632" i="22"/>
  <c r="T621" i="22"/>
  <c r="N599" i="22"/>
  <c r="U557" i="22"/>
  <c r="R555" i="22"/>
  <c r="U555" i="22" s="1"/>
  <c r="R534" i="22"/>
  <c r="U534" i="22" s="1"/>
  <c r="U535" i="22"/>
  <c r="N515" i="22"/>
  <c r="N513" i="22" s="1"/>
  <c r="R495" i="22"/>
  <c r="U498" i="22"/>
  <c r="U415" i="22"/>
  <c r="R413" i="22"/>
  <c r="U413" i="22" s="1"/>
  <c r="Q377" i="22"/>
  <c r="T377" i="22" s="1"/>
  <c r="T380" i="22"/>
  <c r="P361" i="22"/>
  <c r="M359" i="22"/>
  <c r="M358" i="22"/>
  <c r="M306" i="22"/>
  <c r="P306" i="22" s="1"/>
  <c r="M305" i="22"/>
  <c r="P305" i="22" s="1"/>
  <c r="P308" i="22"/>
  <c r="I213" i="22"/>
  <c r="K213" i="22" s="1"/>
  <c r="K220" i="22"/>
  <c r="P140" i="22"/>
  <c r="S175" i="21"/>
  <c r="S173" i="21" s="1"/>
  <c r="K679" i="20"/>
  <c r="K703" i="21"/>
  <c r="L534" i="22"/>
  <c r="O534" i="22" s="1"/>
  <c r="O535" i="22"/>
  <c r="I332" i="22"/>
  <c r="K344" i="22"/>
  <c r="T621" i="19"/>
  <c r="R173" i="20"/>
  <c r="U173" i="20" s="1"/>
  <c r="O67" i="20"/>
  <c r="S762" i="21"/>
  <c r="S760" i="21" s="1"/>
  <c r="S645" i="21"/>
  <c r="Q618" i="21"/>
  <c r="Q616" i="21" s="1"/>
  <c r="I374" i="21"/>
  <c r="U99" i="21"/>
  <c r="M96" i="21"/>
  <c r="P96" i="21" s="1"/>
  <c r="S97" i="21"/>
  <c r="P49" i="21"/>
  <c r="K703" i="22"/>
  <c r="T691" i="22"/>
  <c r="T643" i="22"/>
  <c r="L616" i="22"/>
  <c r="O616" i="22" s="1"/>
  <c r="M599" i="22"/>
  <c r="P599" i="22" s="1"/>
  <c r="P600" i="22"/>
  <c r="R576" i="22"/>
  <c r="U576" i="22" s="1"/>
  <c r="U577" i="22"/>
  <c r="P518" i="22"/>
  <c r="M516" i="22"/>
  <c r="P516" i="22" s="1"/>
  <c r="M515" i="22"/>
  <c r="P515" i="22" s="1"/>
  <c r="M493" i="22"/>
  <c r="P493" i="22" s="1"/>
  <c r="P494" i="22"/>
  <c r="M392" i="22"/>
  <c r="P392" i="22" s="1"/>
  <c r="P393" i="22"/>
  <c r="L359" i="22"/>
  <c r="L358" i="22"/>
  <c r="O361" i="22"/>
  <c r="J351" i="22"/>
  <c r="O308" i="22"/>
  <c r="L305" i="22"/>
  <c r="L272" i="22"/>
  <c r="O272" i="22" s="1"/>
  <c r="O274" i="22"/>
  <c r="R142" i="22"/>
  <c r="U142" i="22" s="1"/>
  <c r="R23" i="22"/>
  <c r="R21" i="22" s="1"/>
  <c r="U144" i="22"/>
  <c r="R141" i="22"/>
  <c r="U141" i="22" s="1"/>
  <c r="O140" i="22"/>
  <c r="P19" i="22"/>
  <c r="I412" i="22"/>
  <c r="K412" i="22" s="1"/>
  <c r="K423" i="22"/>
  <c r="P341" i="22"/>
  <c r="M339" i="22"/>
  <c r="P339" i="22" s="1"/>
  <c r="M62" i="22"/>
  <c r="P62" i="22" s="1"/>
  <c r="P64" i="22"/>
  <c r="M61" i="22"/>
  <c r="M59" i="22" s="1"/>
  <c r="R599" i="22"/>
  <c r="U599" i="22" s="1"/>
  <c r="U600" i="22"/>
  <c r="T357" i="22"/>
  <c r="Q356" i="22"/>
  <c r="T356" i="22" s="1"/>
  <c r="L339" i="22"/>
  <c r="O339" i="22" s="1"/>
  <c r="O341" i="22"/>
  <c r="L203" i="22"/>
  <c r="O203" i="22" s="1"/>
  <c r="J701" i="18"/>
  <c r="U178" i="18"/>
  <c r="P49" i="18"/>
  <c r="K705" i="19"/>
  <c r="Q306" i="20"/>
  <c r="T306" i="20" s="1"/>
  <c r="P49" i="20"/>
  <c r="P521" i="21"/>
  <c r="L519" i="21"/>
  <c r="O519" i="21" s="1"/>
  <c r="S416" i="21"/>
  <c r="M179" i="21"/>
  <c r="P179" i="21" s="1"/>
  <c r="P160" i="21"/>
  <c r="O102" i="21"/>
  <c r="L96" i="21"/>
  <c r="O96" i="21" s="1"/>
  <c r="Q97" i="21"/>
  <c r="T97" i="21" s="1"/>
  <c r="K631" i="22"/>
  <c r="L599" i="22"/>
  <c r="O599" i="22" s="1"/>
  <c r="O600" i="22"/>
  <c r="N534" i="22"/>
  <c r="S513" i="22"/>
  <c r="O514" i="22"/>
  <c r="L392" i="22"/>
  <c r="O392" i="22" s="1"/>
  <c r="O393" i="22"/>
  <c r="M335" i="22"/>
  <c r="S282" i="22"/>
  <c r="O19" i="22"/>
  <c r="L515" i="22"/>
  <c r="O515" i="22" s="1"/>
  <c r="L335" i="22"/>
  <c r="R305" i="22"/>
  <c r="L234" i="22"/>
  <c r="J231" i="22"/>
  <c r="J185" i="22" s="1"/>
  <c r="U158" i="22"/>
  <c r="R157" i="22"/>
  <c r="U157" i="22" s="1"/>
  <c r="O118" i="22"/>
  <c r="M65" i="22"/>
  <c r="P65" i="22" s="1"/>
  <c r="P67" i="22"/>
  <c r="M26" i="22"/>
  <c r="P26" i="22" s="1"/>
  <c r="M50" i="22"/>
  <c r="P50" i="22" s="1"/>
  <c r="P52" i="22"/>
  <c r="P25" i="22"/>
  <c r="O328" i="22"/>
  <c r="L326" i="22"/>
  <c r="O326" i="22" s="1"/>
  <c r="T308" i="22"/>
  <c r="Q306" i="22"/>
  <c r="T306" i="22" s="1"/>
  <c r="Q305" i="22"/>
  <c r="T305" i="22" s="1"/>
  <c r="R306" i="22"/>
  <c r="U306" i="22" s="1"/>
  <c r="L254" i="22"/>
  <c r="O254" i="22" s="1"/>
  <c r="L233" i="22"/>
  <c r="U118" i="22"/>
  <c r="R117" i="22"/>
  <c r="U117" i="22" s="1"/>
  <c r="Q59" i="22"/>
  <c r="T59" i="22" s="1"/>
  <c r="L26" i="22"/>
  <c r="O26" i="22" s="1"/>
  <c r="U22" i="22"/>
  <c r="L516" i="22"/>
  <c r="O516" i="22" s="1"/>
  <c r="M326" i="22"/>
  <c r="P326" i="22" s="1"/>
  <c r="M322" i="22"/>
  <c r="P322" i="22" s="1"/>
  <c r="L285" i="22"/>
  <c r="O285" i="22" s="1"/>
  <c r="M284" i="22"/>
  <c r="P284" i="22" s="1"/>
  <c r="L268" i="22"/>
  <c r="O268" i="22" s="1"/>
  <c r="O187" i="22"/>
  <c r="N160" i="22"/>
  <c r="N159" i="22"/>
  <c r="N157" i="22" s="1"/>
  <c r="K84" i="22"/>
  <c r="I82" i="22"/>
  <c r="M75" i="22"/>
  <c r="P75" i="22" s="1"/>
  <c r="M74" i="22"/>
  <c r="P74" i="22" s="1"/>
  <c r="P77" i="22"/>
  <c r="S19" i="22"/>
  <c r="T498" i="22"/>
  <c r="N375" i="22"/>
  <c r="S356" i="22"/>
  <c r="O357" i="22"/>
  <c r="J332" i="22"/>
  <c r="L322" i="22"/>
  <c r="O322" i="22" s="1"/>
  <c r="T322" i="22"/>
  <c r="N322" i="22"/>
  <c r="N320" i="22" s="1"/>
  <c r="I280" i="22"/>
  <c r="K280" i="22" s="1"/>
  <c r="O271" i="22"/>
  <c r="I253" i="22"/>
  <c r="K253" i="22" s="1"/>
  <c r="K260" i="22"/>
  <c r="I242" i="22"/>
  <c r="K249" i="22"/>
  <c r="I238" i="22"/>
  <c r="K238" i="22" s="1"/>
  <c r="L142" i="22"/>
  <c r="O142" i="22" s="1"/>
  <c r="L23" i="22"/>
  <c r="L141" i="22"/>
  <c r="O141" i="22" s="1"/>
  <c r="O144" i="22"/>
  <c r="S75" i="22"/>
  <c r="S23" i="22"/>
  <c r="S20" i="22" s="1"/>
  <c r="O62" i="22"/>
  <c r="R19" i="22"/>
  <c r="P271" i="22"/>
  <c r="L243" i="22"/>
  <c r="K198" i="22"/>
  <c r="T191" i="22"/>
  <c r="T178" i="22"/>
  <c r="Q175" i="22"/>
  <c r="T175" i="22" s="1"/>
  <c r="K154" i="22"/>
  <c r="I136" i="22"/>
  <c r="K136" i="22" s="1"/>
  <c r="U140" i="22"/>
  <c r="N119" i="22"/>
  <c r="N117" i="22" s="1"/>
  <c r="P80" i="22"/>
  <c r="L61" i="22"/>
  <c r="P60" i="22"/>
  <c r="L50" i="22"/>
  <c r="O50" i="22" s="1"/>
  <c r="M47" i="22"/>
  <c r="P47" i="22" s="1"/>
  <c r="M23" i="22"/>
  <c r="M21" i="22" s="1"/>
  <c r="O25" i="22"/>
  <c r="M189" i="22"/>
  <c r="P189" i="22" s="1"/>
  <c r="L175" i="22"/>
  <c r="K169" i="22"/>
  <c r="I156" i="22"/>
  <c r="K156" i="22" s="1"/>
  <c r="L46" i="22"/>
  <c r="M46" i="22"/>
  <c r="M44" i="22" s="1"/>
  <c r="P45" i="22"/>
  <c r="R24" i="22"/>
  <c r="U24" i="22" s="1"/>
  <c r="U25" i="22"/>
  <c r="L188" i="22"/>
  <c r="Q186" i="22"/>
  <c r="T186" i="22" s="1"/>
  <c r="R173" i="22"/>
  <c r="U173" i="22" s="1"/>
  <c r="P73" i="22"/>
  <c r="N23" i="22"/>
  <c r="P22" i="22"/>
  <c r="S44" i="22"/>
  <c r="O22" i="22"/>
  <c r="U178" i="22"/>
  <c r="O178" i="22"/>
  <c r="U162" i="22"/>
  <c r="O162" i="22"/>
  <c r="U122" i="22"/>
  <c r="O122" i="22"/>
  <c r="U99" i="22"/>
  <c r="O99" i="22"/>
  <c r="N74" i="22"/>
  <c r="N72" i="22" s="1"/>
  <c r="N61" i="22"/>
  <c r="N59" i="22" s="1"/>
  <c r="N46" i="22"/>
  <c r="N44" i="22" s="1"/>
  <c r="Q23" i="22"/>
  <c r="L97" i="17"/>
  <c r="O97" i="17" s="1"/>
  <c r="K780" i="20"/>
  <c r="Q763" i="20"/>
  <c r="T763" i="20" s="1"/>
  <c r="I701" i="20"/>
  <c r="K701" i="20" s="1"/>
  <c r="J332" i="20"/>
  <c r="K332" i="20" s="1"/>
  <c r="O274" i="20"/>
  <c r="U271" i="20"/>
  <c r="I238" i="20"/>
  <c r="K238" i="20" s="1"/>
  <c r="K782" i="21"/>
  <c r="N714" i="21"/>
  <c r="K707" i="21"/>
  <c r="R644" i="21"/>
  <c r="U644" i="21" s="1"/>
  <c r="R645" i="21"/>
  <c r="U621" i="21"/>
  <c r="M516" i="21"/>
  <c r="P516" i="21" s="1"/>
  <c r="Q320" i="21"/>
  <c r="T320" i="21" s="1"/>
  <c r="R305" i="21"/>
  <c r="U305" i="21" s="1"/>
  <c r="N269" i="21"/>
  <c r="P269" i="21" s="1"/>
  <c r="L214" i="21"/>
  <c r="O214" i="21" s="1"/>
  <c r="T191" i="21"/>
  <c r="O165" i="21"/>
  <c r="U122" i="21"/>
  <c r="P122" i="21"/>
  <c r="M119" i="21"/>
  <c r="P119" i="21" s="1"/>
  <c r="U95" i="21"/>
  <c r="R72" i="21"/>
  <c r="T25" i="21"/>
  <c r="Q24" i="21"/>
  <c r="T24" i="21" s="1"/>
  <c r="M714" i="21"/>
  <c r="P714" i="21" s="1"/>
  <c r="I701" i="21"/>
  <c r="T577" i="21"/>
  <c r="Q576" i="21"/>
  <c r="T576" i="21" s="1"/>
  <c r="S268" i="21"/>
  <c r="S266" i="21" s="1"/>
  <c r="S269" i="21"/>
  <c r="K260" i="21"/>
  <c r="N232" i="21"/>
  <c r="R59" i="21"/>
  <c r="U59" i="21" s="1"/>
  <c r="L326" i="19"/>
  <c r="O326" i="19" s="1"/>
  <c r="K127" i="19"/>
  <c r="K689" i="21"/>
  <c r="K661" i="21"/>
  <c r="K629" i="21"/>
  <c r="K630" i="21"/>
  <c r="S495" i="21"/>
  <c r="S493" i="21" s="1"/>
  <c r="S496" i="21"/>
  <c r="P414" i="21"/>
  <c r="M413" i="21"/>
  <c r="P413" i="21" s="1"/>
  <c r="P285" i="21"/>
  <c r="R188" i="21"/>
  <c r="U188" i="21" s="1"/>
  <c r="R189" i="21"/>
  <c r="P165" i="21"/>
  <c r="M163" i="21"/>
  <c r="P163" i="21" s="1"/>
  <c r="L214" i="20"/>
  <c r="O214" i="20" s="1"/>
  <c r="I83" i="20"/>
  <c r="K83" i="20" s="1"/>
  <c r="L760" i="21"/>
  <c r="O760" i="21" s="1"/>
  <c r="R377" i="21"/>
  <c r="U377" i="21" s="1"/>
  <c r="P287" i="21"/>
  <c r="T271" i="21"/>
  <c r="L222" i="21"/>
  <c r="O222" i="21" s="1"/>
  <c r="I156" i="21"/>
  <c r="K156" i="21" s="1"/>
  <c r="I168" i="21"/>
  <c r="K168" i="21" s="1"/>
  <c r="M62" i="21"/>
  <c r="P62" i="21" s="1"/>
  <c r="P64" i="21"/>
  <c r="L515" i="20"/>
  <c r="L513" i="20" s="1"/>
  <c r="O513" i="20" s="1"/>
  <c r="K778" i="21"/>
  <c r="U647" i="21"/>
  <c r="S555" i="21"/>
  <c r="L555" i="21"/>
  <c r="O555" i="21" s="1"/>
  <c r="L413" i="21"/>
  <c r="O413" i="21" s="1"/>
  <c r="Q377" i="21"/>
  <c r="T377" i="21" s="1"/>
  <c r="T376" i="21"/>
  <c r="M375" i="21"/>
  <c r="P375" i="21" s="1"/>
  <c r="P376" i="21"/>
  <c r="N305" i="21"/>
  <c r="N303" i="21" s="1"/>
  <c r="N306" i="21"/>
  <c r="I302" i="21"/>
  <c r="K302" i="21" s="1"/>
  <c r="I281" i="21"/>
  <c r="K281" i="21" s="1"/>
  <c r="K292" i="21"/>
  <c r="L272" i="21"/>
  <c r="O272" i="21" s="1"/>
  <c r="O274" i="21"/>
  <c r="I238" i="21"/>
  <c r="K238" i="21" s="1"/>
  <c r="N142" i="21"/>
  <c r="O67" i="21"/>
  <c r="L61" i="21"/>
  <c r="L59" i="21" s="1"/>
  <c r="L62" i="21"/>
  <c r="O62" i="21" s="1"/>
  <c r="L47" i="21"/>
  <c r="O47" i="21" s="1"/>
  <c r="S24" i="21"/>
  <c r="U22" i="21"/>
  <c r="J701" i="20"/>
  <c r="R416" i="20"/>
  <c r="U416" i="20" s="1"/>
  <c r="L690" i="21"/>
  <c r="O690" i="21" s="1"/>
  <c r="N690" i="21"/>
  <c r="S642" i="21"/>
  <c r="L642" i="21"/>
  <c r="O642" i="21" s="1"/>
  <c r="S619" i="21"/>
  <c r="U619" i="21" s="1"/>
  <c r="N616" i="21"/>
  <c r="I615" i="21"/>
  <c r="K615" i="21" s="1"/>
  <c r="S599" i="21"/>
  <c r="J374" i="21"/>
  <c r="R333" i="21"/>
  <c r="U333" i="21" s="1"/>
  <c r="Q333" i="21"/>
  <c r="T333" i="21" s="1"/>
  <c r="L323" i="21"/>
  <c r="O323" i="21" s="1"/>
  <c r="L288" i="21"/>
  <c r="O288" i="21" s="1"/>
  <c r="N268" i="21"/>
  <c r="N266" i="21" s="1"/>
  <c r="Q189" i="21"/>
  <c r="O162" i="21"/>
  <c r="O147" i="21"/>
  <c r="L142" i="21"/>
  <c r="O142" i="21" s="1"/>
  <c r="O144" i="21"/>
  <c r="R141" i="21"/>
  <c r="U141" i="21" s="1"/>
  <c r="M97" i="21"/>
  <c r="P97" i="21" s="1"/>
  <c r="O73" i="21"/>
  <c r="T60" i="21"/>
  <c r="R44" i="21"/>
  <c r="U44" i="21" s="1"/>
  <c r="K759" i="21"/>
  <c r="S616" i="21"/>
  <c r="R555" i="21"/>
  <c r="U555" i="21" s="1"/>
  <c r="N534" i="21"/>
  <c r="S513" i="21"/>
  <c r="J503" i="21"/>
  <c r="J492" i="21" s="1"/>
  <c r="N392" i="21"/>
  <c r="K388" i="21"/>
  <c r="S303" i="21"/>
  <c r="O308" i="21"/>
  <c r="S282" i="21"/>
  <c r="M268" i="21"/>
  <c r="M266" i="21" s="1"/>
  <c r="L235" i="21"/>
  <c r="N179" i="21"/>
  <c r="S139" i="21"/>
  <c r="I82" i="21"/>
  <c r="I70" i="21" s="1"/>
  <c r="K70" i="21" s="1"/>
  <c r="Q72" i="21"/>
  <c r="P47" i="21"/>
  <c r="S44" i="21"/>
  <c r="Q44" i="21"/>
  <c r="T44" i="21" s="1"/>
  <c r="U26" i="21"/>
  <c r="N19" i="21"/>
  <c r="J702" i="21"/>
  <c r="J701" i="21"/>
  <c r="J674" i="21"/>
  <c r="K674" i="21" s="1"/>
  <c r="M555" i="21"/>
  <c r="P555" i="21" s="1"/>
  <c r="M534" i="21"/>
  <c r="P534" i="21" s="1"/>
  <c r="K368" i="21"/>
  <c r="K346" i="21"/>
  <c r="M326" i="21"/>
  <c r="P326" i="21" s="1"/>
  <c r="M322" i="21"/>
  <c r="P322" i="21" s="1"/>
  <c r="U271" i="21"/>
  <c r="L233" i="21"/>
  <c r="L74" i="21"/>
  <c r="L72" i="21" s="1"/>
  <c r="L75" i="21"/>
  <c r="O75" i="21" s="1"/>
  <c r="L19" i="21"/>
  <c r="T763" i="21"/>
  <c r="Q642" i="21"/>
  <c r="T644" i="21"/>
  <c r="U692" i="21"/>
  <c r="R690" i="21"/>
  <c r="U690" i="21" s="1"/>
  <c r="R599" i="21"/>
  <c r="U599" i="21" s="1"/>
  <c r="U600" i="21"/>
  <c r="O518" i="21"/>
  <c r="L516" i="21"/>
  <c r="O516" i="21" s="1"/>
  <c r="Q495" i="21"/>
  <c r="T495" i="21" s="1"/>
  <c r="T498" i="21"/>
  <c r="N519" i="1"/>
  <c r="N493" i="21"/>
  <c r="K440" i="21"/>
  <c r="I423" i="21"/>
  <c r="M362" i="21"/>
  <c r="P362" i="21" s="1"/>
  <c r="T308" i="21"/>
  <c r="Q306" i="21"/>
  <c r="M288" i="21"/>
  <c r="P288" i="21" s="1"/>
  <c r="P290" i="21"/>
  <c r="M323" i="19"/>
  <c r="P323" i="19" s="1"/>
  <c r="S176" i="19"/>
  <c r="S377" i="20"/>
  <c r="S375" i="20" s="1"/>
  <c r="K346" i="20"/>
  <c r="L326" i="20"/>
  <c r="O326" i="20" s="1"/>
  <c r="O287" i="20"/>
  <c r="L254" i="20"/>
  <c r="O254" i="20" s="1"/>
  <c r="N188" i="20"/>
  <c r="N186" i="20" s="1"/>
  <c r="L74" i="20"/>
  <c r="O74" i="20" s="1"/>
  <c r="Q762" i="21"/>
  <c r="N760" i="21"/>
  <c r="L728" i="21"/>
  <c r="O728" i="21" s="1"/>
  <c r="S714" i="21"/>
  <c r="K673" i="21"/>
  <c r="T647" i="21"/>
  <c r="K632" i="21"/>
  <c r="Q599" i="21"/>
  <c r="T599" i="21" s="1"/>
  <c r="M576" i="21"/>
  <c r="P576" i="21" s="1"/>
  <c r="R513" i="21"/>
  <c r="U513" i="21" s="1"/>
  <c r="M493" i="21"/>
  <c r="P493" i="21" s="1"/>
  <c r="P494" i="21"/>
  <c r="L358" i="21"/>
  <c r="N358" i="21"/>
  <c r="N356" i="21" s="1"/>
  <c r="P357" i="21"/>
  <c r="Q305" i="21"/>
  <c r="T305" i="21" s="1"/>
  <c r="O191" i="21"/>
  <c r="N189" i="21"/>
  <c r="O189" i="21" s="1"/>
  <c r="N188" i="21"/>
  <c r="N186" i="21" s="1"/>
  <c r="K183" i="21"/>
  <c r="I172" i="21"/>
  <c r="K172" i="21" s="1"/>
  <c r="T122" i="21"/>
  <c r="Q119" i="21"/>
  <c r="Q120" i="21"/>
  <c r="T120" i="21" s="1"/>
  <c r="R534" i="21"/>
  <c r="U534" i="21" s="1"/>
  <c r="U535" i="21"/>
  <c r="O359" i="21"/>
  <c r="L234" i="21"/>
  <c r="L243" i="21"/>
  <c r="R760" i="21"/>
  <c r="R320" i="21"/>
  <c r="U320" i="21" s="1"/>
  <c r="L179" i="21"/>
  <c r="O179" i="21" s="1"/>
  <c r="O181" i="21"/>
  <c r="Q160" i="21"/>
  <c r="T160" i="21" s="1"/>
  <c r="T162" i="21"/>
  <c r="S693" i="19"/>
  <c r="U693" i="19" s="1"/>
  <c r="N188" i="19"/>
  <c r="N186" i="19" s="1"/>
  <c r="L179" i="19"/>
  <c r="O179" i="19" s="1"/>
  <c r="Q75" i="19"/>
  <c r="T75" i="19" s="1"/>
  <c r="S763" i="20"/>
  <c r="Q642" i="20"/>
  <c r="I319" i="20"/>
  <c r="K319" i="20" s="1"/>
  <c r="O308" i="20"/>
  <c r="K153" i="20"/>
  <c r="K774" i="21"/>
  <c r="U765" i="21"/>
  <c r="P762" i="21"/>
  <c r="P729" i="21"/>
  <c r="U716" i="21"/>
  <c r="U695" i="21"/>
  <c r="S693" i="21"/>
  <c r="T693" i="21" s="1"/>
  <c r="O692" i="21"/>
  <c r="Q645" i="21"/>
  <c r="M642" i="21"/>
  <c r="P642" i="21" s="1"/>
  <c r="S576" i="21"/>
  <c r="L576" i="21"/>
  <c r="O576" i="21" s="1"/>
  <c r="O577" i="21"/>
  <c r="P556" i="21"/>
  <c r="Q513" i="21"/>
  <c r="T513" i="21" s="1"/>
  <c r="T514" i="21"/>
  <c r="Q496" i="21"/>
  <c r="T496" i="21" s="1"/>
  <c r="L493" i="21"/>
  <c r="O493" i="21" s="1"/>
  <c r="O494" i="21"/>
  <c r="R415" i="21"/>
  <c r="U418" i="21"/>
  <c r="M392" i="21"/>
  <c r="P392" i="21" s="1"/>
  <c r="U380" i="21"/>
  <c r="S378" i="21"/>
  <c r="T378" i="21" s="1"/>
  <c r="J351" i="21"/>
  <c r="K330" i="21"/>
  <c r="O328" i="21"/>
  <c r="L326" i="21"/>
  <c r="O326" i="21" s="1"/>
  <c r="L322" i="21"/>
  <c r="O322" i="21" s="1"/>
  <c r="N322" i="21"/>
  <c r="N320" i="21" s="1"/>
  <c r="Q282" i="21"/>
  <c r="T282" i="21" s="1"/>
  <c r="T283" i="21"/>
  <c r="R268" i="21"/>
  <c r="T144" i="21"/>
  <c r="Q142" i="21"/>
  <c r="T142" i="21" s="1"/>
  <c r="Q141" i="21"/>
  <c r="Q392" i="21"/>
  <c r="T392" i="21" s="1"/>
  <c r="T393" i="21"/>
  <c r="J332" i="21"/>
  <c r="K332" i="21" s="1"/>
  <c r="J343" i="21"/>
  <c r="O287" i="21"/>
  <c r="L284" i="21"/>
  <c r="L285" i="21"/>
  <c r="O285" i="21" s="1"/>
  <c r="K346" i="19"/>
  <c r="Q692" i="21"/>
  <c r="Q534" i="21"/>
  <c r="T534" i="21" s="1"/>
  <c r="T535" i="21"/>
  <c r="O364" i="21"/>
  <c r="L362" i="21"/>
  <c r="O362" i="21" s="1"/>
  <c r="M358" i="21"/>
  <c r="K198" i="21"/>
  <c r="I195" i="21"/>
  <c r="K195" i="21" s="1"/>
  <c r="Q186" i="21"/>
  <c r="T186" i="21" s="1"/>
  <c r="T188" i="21"/>
  <c r="Q159" i="21"/>
  <c r="T159" i="21" s="1"/>
  <c r="J701" i="19"/>
  <c r="J374" i="19"/>
  <c r="T77" i="19"/>
  <c r="K676" i="20"/>
  <c r="K503" i="20"/>
  <c r="R413" i="20"/>
  <c r="U413" i="20" s="1"/>
  <c r="M358" i="20"/>
  <c r="O271" i="20"/>
  <c r="T765" i="21"/>
  <c r="R763" i="21"/>
  <c r="U763" i="21" s="1"/>
  <c r="Q730" i="21"/>
  <c r="T733" i="21"/>
  <c r="L714" i="21"/>
  <c r="O714" i="21" s="1"/>
  <c r="T695" i="21"/>
  <c r="R693" i="21"/>
  <c r="K631" i="21"/>
  <c r="K626" i="21"/>
  <c r="P617" i="21"/>
  <c r="R576" i="21"/>
  <c r="U576" i="21" s="1"/>
  <c r="U577" i="21"/>
  <c r="Q555" i="21"/>
  <c r="T555" i="21" s="1"/>
  <c r="N515" i="21"/>
  <c r="N513" i="21" s="1"/>
  <c r="M515" i="21"/>
  <c r="K506" i="21"/>
  <c r="K503" i="21"/>
  <c r="S392" i="21"/>
  <c r="L392" i="21"/>
  <c r="O392" i="21" s="1"/>
  <c r="O393" i="21"/>
  <c r="T380" i="21"/>
  <c r="P361" i="21"/>
  <c r="R356" i="21"/>
  <c r="U356" i="21" s="1"/>
  <c r="M335" i="21"/>
  <c r="M333" i="21" s="1"/>
  <c r="P338" i="21"/>
  <c r="P334" i="21"/>
  <c r="O311" i="21"/>
  <c r="L309" i="21"/>
  <c r="O309" i="21" s="1"/>
  <c r="N284" i="21"/>
  <c r="N282" i="21" s="1"/>
  <c r="I280" i="21"/>
  <c r="K280" i="21" s="1"/>
  <c r="L268" i="21"/>
  <c r="L269" i="21"/>
  <c r="O269" i="21" s="1"/>
  <c r="O271" i="21"/>
  <c r="R269" i="21"/>
  <c r="Q268" i="21"/>
  <c r="T158" i="21"/>
  <c r="I231" i="21"/>
  <c r="K231" i="21" s="1"/>
  <c r="I701" i="19"/>
  <c r="K784" i="20"/>
  <c r="K778" i="20"/>
  <c r="K772" i="20"/>
  <c r="K703" i="20"/>
  <c r="L358" i="20"/>
  <c r="L356" i="20" s="1"/>
  <c r="M272" i="20"/>
  <c r="P272" i="20" s="1"/>
  <c r="S173" i="20"/>
  <c r="P77" i="20"/>
  <c r="K772" i="21"/>
  <c r="P715" i="21"/>
  <c r="L599" i="21"/>
  <c r="O599" i="21" s="1"/>
  <c r="O600" i="21"/>
  <c r="S534" i="21"/>
  <c r="L534" i="21"/>
  <c r="O534" i="21" s="1"/>
  <c r="O535" i="21"/>
  <c r="L515" i="21"/>
  <c r="O515" i="21" s="1"/>
  <c r="R496" i="21"/>
  <c r="U496" i="21" s="1"/>
  <c r="R495" i="21"/>
  <c r="U495" i="21" s="1"/>
  <c r="U498" i="21"/>
  <c r="U494" i="21"/>
  <c r="K457" i="21"/>
  <c r="Q413" i="21"/>
  <c r="T413" i="21" s="1"/>
  <c r="R392" i="21"/>
  <c r="U392" i="21" s="1"/>
  <c r="U393" i="21"/>
  <c r="K386" i="21"/>
  <c r="L375" i="21"/>
  <c r="O375" i="21" s="1"/>
  <c r="O361" i="21"/>
  <c r="K344" i="21"/>
  <c r="L335" i="21"/>
  <c r="O338" i="21"/>
  <c r="L336" i="21"/>
  <c r="O336" i="21" s="1"/>
  <c r="S333" i="21"/>
  <c r="M284" i="21"/>
  <c r="Q269" i="21"/>
  <c r="P52" i="21"/>
  <c r="M26" i="21"/>
  <c r="P26" i="21" s="1"/>
  <c r="M50" i="21"/>
  <c r="P50" i="21" s="1"/>
  <c r="M306" i="21"/>
  <c r="K220" i="21"/>
  <c r="K209" i="21"/>
  <c r="I202" i="21"/>
  <c r="K202" i="21" s="1"/>
  <c r="P194" i="21"/>
  <c r="M192" i="21"/>
  <c r="P192" i="21" s="1"/>
  <c r="M188" i="21"/>
  <c r="P191" i="21"/>
  <c r="M189" i="21"/>
  <c r="T178" i="21"/>
  <c r="Q175" i="21"/>
  <c r="I93" i="21"/>
  <c r="K93" i="21" s="1"/>
  <c r="K109" i="21"/>
  <c r="P102" i="21"/>
  <c r="M100" i="21"/>
  <c r="P100" i="21" s="1"/>
  <c r="S19" i="21"/>
  <c r="L306" i="21"/>
  <c r="L305" i="21"/>
  <c r="I137" i="21"/>
  <c r="K137" i="21" s="1"/>
  <c r="K152" i="21"/>
  <c r="U19" i="21"/>
  <c r="N335" i="21"/>
  <c r="N333" i="21" s="1"/>
  <c r="U308" i="21"/>
  <c r="S306" i="21"/>
  <c r="U306" i="21" s="1"/>
  <c r="R282" i="21"/>
  <c r="U282" i="21" s="1"/>
  <c r="U191" i="21"/>
  <c r="S189" i="21"/>
  <c r="O174" i="21"/>
  <c r="R157" i="21"/>
  <c r="U157" i="21" s="1"/>
  <c r="U158" i="21"/>
  <c r="P147" i="21"/>
  <c r="M145" i="21"/>
  <c r="P145" i="21" s="1"/>
  <c r="K276" i="21"/>
  <c r="U187" i="21"/>
  <c r="N159" i="21"/>
  <c r="M120" i="21"/>
  <c r="P120" i="21" s="1"/>
  <c r="K108" i="21"/>
  <c r="I92" i="21"/>
  <c r="K92" i="21" s="1"/>
  <c r="P67" i="21"/>
  <c r="M65" i="21"/>
  <c r="P65" i="21" s="1"/>
  <c r="K249" i="21"/>
  <c r="P178" i="21"/>
  <c r="P162" i="21"/>
  <c r="M159" i="21"/>
  <c r="U144" i="21"/>
  <c r="M142" i="21"/>
  <c r="P142" i="21" s="1"/>
  <c r="M141" i="21"/>
  <c r="I138" i="21"/>
  <c r="K138" i="21" s="1"/>
  <c r="M123" i="21"/>
  <c r="P123" i="21" s="1"/>
  <c r="Q23" i="21"/>
  <c r="T99" i="21"/>
  <c r="L26" i="21"/>
  <c r="K229" i="21"/>
  <c r="L175" i="21"/>
  <c r="L176" i="21"/>
  <c r="O176" i="21" s="1"/>
  <c r="S160" i="21"/>
  <c r="L141" i="21"/>
  <c r="S119" i="21"/>
  <c r="S117" i="21" s="1"/>
  <c r="R117" i="21"/>
  <c r="T96" i="21"/>
  <c r="Q94" i="21"/>
  <c r="T94" i="21" s="1"/>
  <c r="P22" i="21"/>
  <c r="M19" i="21"/>
  <c r="R175" i="21"/>
  <c r="U175" i="21" s="1"/>
  <c r="R176" i="21"/>
  <c r="U176" i="21" s="1"/>
  <c r="M175" i="21"/>
  <c r="S142" i="21"/>
  <c r="I116" i="21"/>
  <c r="K116" i="21" s="1"/>
  <c r="N26" i="21"/>
  <c r="N24" i="21" s="1"/>
  <c r="P25" i="21"/>
  <c r="O19" i="21"/>
  <c r="R160" i="21"/>
  <c r="U160" i="21" s="1"/>
  <c r="L160" i="21"/>
  <c r="O160" i="21" s="1"/>
  <c r="R120" i="21"/>
  <c r="U120" i="21" s="1"/>
  <c r="L120" i="21"/>
  <c r="O120" i="21" s="1"/>
  <c r="P99" i="21"/>
  <c r="R97" i="21"/>
  <c r="U97" i="21" s="1"/>
  <c r="L97" i="21"/>
  <c r="O97" i="21" s="1"/>
  <c r="O80" i="21"/>
  <c r="U77" i="21"/>
  <c r="O77" i="21"/>
  <c r="Q75" i="21"/>
  <c r="T75" i="21" s="1"/>
  <c r="O64" i="21"/>
  <c r="N50" i="21"/>
  <c r="O49" i="21"/>
  <c r="N23" i="21"/>
  <c r="N74" i="21"/>
  <c r="N61" i="21"/>
  <c r="N46" i="21"/>
  <c r="N44" i="21" s="1"/>
  <c r="S23" i="21"/>
  <c r="S20" i="21" s="1"/>
  <c r="M23" i="21"/>
  <c r="M21" i="21" s="1"/>
  <c r="Q19" i="21"/>
  <c r="N119" i="21"/>
  <c r="N117" i="21" s="1"/>
  <c r="N96" i="21"/>
  <c r="N94" i="21" s="1"/>
  <c r="S74" i="21"/>
  <c r="S72" i="21" s="1"/>
  <c r="M74" i="21"/>
  <c r="M61" i="21"/>
  <c r="M46" i="21"/>
  <c r="R23" i="21"/>
  <c r="L23" i="21"/>
  <c r="L519" i="18"/>
  <c r="O519" i="18" s="1"/>
  <c r="P364" i="18"/>
  <c r="K781" i="19"/>
  <c r="R731" i="19"/>
  <c r="U731" i="19" s="1"/>
  <c r="M285" i="19"/>
  <c r="P285" i="19" s="1"/>
  <c r="L175" i="19"/>
  <c r="L173" i="19" s="1"/>
  <c r="J702" i="20"/>
  <c r="L222" i="20"/>
  <c r="O222" i="20" s="1"/>
  <c r="Q189" i="20"/>
  <c r="T189" i="20" s="1"/>
  <c r="T191" i="20"/>
  <c r="M141" i="20"/>
  <c r="P141" i="20" s="1"/>
  <c r="P144" i="20"/>
  <c r="M142" i="20"/>
  <c r="P142" i="20" s="1"/>
  <c r="S142" i="20"/>
  <c r="P102" i="20"/>
  <c r="M100" i="20"/>
  <c r="P100" i="20" s="1"/>
  <c r="R19" i="20"/>
  <c r="U22" i="20"/>
  <c r="P80" i="18"/>
  <c r="J675" i="19"/>
  <c r="K675" i="19" s="1"/>
  <c r="K276" i="19"/>
  <c r="U733" i="20"/>
  <c r="R730" i="20"/>
  <c r="U730" i="20" s="1"/>
  <c r="R731" i="20"/>
  <c r="U731" i="20" s="1"/>
  <c r="L642" i="20"/>
  <c r="O642" i="20" s="1"/>
  <c r="O644" i="20"/>
  <c r="U535" i="20"/>
  <c r="R534" i="20"/>
  <c r="U534" i="20" s="1"/>
  <c r="T418" i="20"/>
  <c r="Q416" i="20"/>
  <c r="T416" i="20" s="1"/>
  <c r="R644" i="19"/>
  <c r="R642" i="19" s="1"/>
  <c r="U642" i="19" s="1"/>
  <c r="N100" i="19"/>
  <c r="N96" i="19"/>
  <c r="N94" i="19" s="1"/>
  <c r="T617" i="20"/>
  <c r="R555" i="20"/>
  <c r="U555" i="20" s="1"/>
  <c r="R378" i="20"/>
  <c r="U378" i="20" s="1"/>
  <c r="U380" i="20"/>
  <c r="R377" i="20"/>
  <c r="U377" i="20" s="1"/>
  <c r="L339" i="20"/>
  <c r="O339" i="20" s="1"/>
  <c r="O341" i="20"/>
  <c r="N284" i="20"/>
  <c r="N282" i="20" s="1"/>
  <c r="N285" i="20"/>
  <c r="Q644" i="19"/>
  <c r="Q642" i="19" s="1"/>
  <c r="T642" i="19" s="1"/>
  <c r="P359" i="19"/>
  <c r="P338" i="19"/>
  <c r="U178" i="19"/>
  <c r="N305" i="20"/>
  <c r="N303" i="20" s="1"/>
  <c r="N306" i="20"/>
  <c r="O174" i="20"/>
  <c r="L96" i="20"/>
  <c r="O96" i="20" s="1"/>
  <c r="O99" i="20"/>
  <c r="L50" i="20"/>
  <c r="O50" i="20" s="1"/>
  <c r="O52" i="20"/>
  <c r="K779" i="19"/>
  <c r="Q618" i="19"/>
  <c r="Q616" i="19" s="1"/>
  <c r="T418" i="19"/>
  <c r="K386" i="19"/>
  <c r="K369" i="19"/>
  <c r="K314" i="19"/>
  <c r="R356" i="20"/>
  <c r="U356" i="20" s="1"/>
  <c r="U357" i="20"/>
  <c r="S96" i="20"/>
  <c r="S94" i="20" s="1"/>
  <c r="S97" i="20"/>
  <c r="M78" i="20"/>
  <c r="P78" i="20" s="1"/>
  <c r="P80" i="20"/>
  <c r="R59" i="20"/>
  <c r="U59" i="20" s="1"/>
  <c r="M690" i="20"/>
  <c r="P690" i="20" s="1"/>
  <c r="U645" i="20"/>
  <c r="N515" i="20"/>
  <c r="N513" i="20" s="1"/>
  <c r="N516" i="20"/>
  <c r="N322" i="20"/>
  <c r="N320" i="20" s="1"/>
  <c r="P62" i="20"/>
  <c r="M46" i="19"/>
  <c r="M44" i="19" s="1"/>
  <c r="K781" i="20"/>
  <c r="T765" i="20"/>
  <c r="K678" i="20"/>
  <c r="Q618" i="20"/>
  <c r="Q616" i="20" s="1"/>
  <c r="N616" i="20"/>
  <c r="M515" i="20"/>
  <c r="P515" i="20" s="1"/>
  <c r="S496" i="20"/>
  <c r="J458" i="20"/>
  <c r="I374" i="20"/>
  <c r="K374" i="20" s="1"/>
  <c r="J351" i="20"/>
  <c r="P341" i="20"/>
  <c r="M322" i="20"/>
  <c r="M320" i="20" s="1"/>
  <c r="P320" i="20" s="1"/>
  <c r="L323" i="20"/>
  <c r="O323" i="20" s="1"/>
  <c r="R282" i="20"/>
  <c r="U282" i="20" s="1"/>
  <c r="T271" i="20"/>
  <c r="P271" i="20"/>
  <c r="S269" i="20"/>
  <c r="U269" i="20" s="1"/>
  <c r="L235" i="20"/>
  <c r="U191" i="20"/>
  <c r="M175" i="20"/>
  <c r="M173" i="20" s="1"/>
  <c r="S176" i="20"/>
  <c r="M119" i="20"/>
  <c r="S120" i="20"/>
  <c r="L61" i="20"/>
  <c r="L59" i="20" s="1"/>
  <c r="R44" i="20"/>
  <c r="U44" i="20" s="1"/>
  <c r="O22" i="20"/>
  <c r="R714" i="20"/>
  <c r="U714" i="20" s="1"/>
  <c r="R692" i="20"/>
  <c r="R690" i="20" s="1"/>
  <c r="U690" i="20" s="1"/>
  <c r="Q645" i="20"/>
  <c r="T645" i="20" s="1"/>
  <c r="R619" i="20"/>
  <c r="M616" i="20"/>
  <c r="P616" i="20" s="1"/>
  <c r="R599" i="20"/>
  <c r="U599" i="20" s="1"/>
  <c r="R576" i="20"/>
  <c r="U576" i="20" s="1"/>
  <c r="N555" i="20"/>
  <c r="N534" i="20"/>
  <c r="L534" i="20"/>
  <c r="O534" i="20" s="1"/>
  <c r="M493" i="20"/>
  <c r="P493" i="20" s="1"/>
  <c r="R392" i="20"/>
  <c r="U392" i="20" s="1"/>
  <c r="Q377" i="20"/>
  <c r="T377" i="20" s="1"/>
  <c r="M362" i="20"/>
  <c r="P362" i="20" s="1"/>
  <c r="S320" i="20"/>
  <c r="L236" i="20"/>
  <c r="L234" i="20"/>
  <c r="K209" i="20"/>
  <c r="L203" i="20"/>
  <c r="O203" i="20" s="1"/>
  <c r="M179" i="20"/>
  <c r="P179" i="20" s="1"/>
  <c r="L175" i="20"/>
  <c r="L173" i="20" s="1"/>
  <c r="M176" i="20"/>
  <c r="P176" i="20" s="1"/>
  <c r="M163" i="20"/>
  <c r="P163" i="20" s="1"/>
  <c r="M123" i="20"/>
  <c r="P123" i="20" s="1"/>
  <c r="L119" i="20"/>
  <c r="O119" i="20" s="1"/>
  <c r="M120" i="20"/>
  <c r="P120" i="20" s="1"/>
  <c r="R94" i="20"/>
  <c r="U94" i="20" s="1"/>
  <c r="R72" i="20"/>
  <c r="U72" i="20" s="1"/>
  <c r="Q44" i="20"/>
  <c r="T44" i="20" s="1"/>
  <c r="R24" i="20"/>
  <c r="U24" i="20" s="1"/>
  <c r="Q24" i="20"/>
  <c r="T24" i="20" s="1"/>
  <c r="N19" i="20"/>
  <c r="M119" i="19"/>
  <c r="P119" i="19" s="1"/>
  <c r="K783" i="20"/>
  <c r="M728" i="20"/>
  <c r="P728" i="20" s="1"/>
  <c r="Q714" i="20"/>
  <c r="T714" i="20" s="1"/>
  <c r="Q693" i="20"/>
  <c r="T693" i="20" s="1"/>
  <c r="O618" i="20"/>
  <c r="P557" i="20"/>
  <c r="T556" i="20"/>
  <c r="M534" i="20"/>
  <c r="P534" i="20" s="1"/>
  <c r="P521" i="20"/>
  <c r="P514" i="20"/>
  <c r="Q513" i="20"/>
  <c r="T513" i="20" s="1"/>
  <c r="M413" i="20"/>
  <c r="P413" i="20" s="1"/>
  <c r="Q413" i="20"/>
  <c r="T413" i="20" s="1"/>
  <c r="T380" i="20"/>
  <c r="M359" i="20"/>
  <c r="P359" i="20" s="1"/>
  <c r="J343" i="20"/>
  <c r="P328" i="20"/>
  <c r="R320" i="20"/>
  <c r="U320" i="20" s="1"/>
  <c r="P311" i="20"/>
  <c r="P308" i="20"/>
  <c r="P287" i="20"/>
  <c r="T283" i="20"/>
  <c r="L243" i="20"/>
  <c r="O243" i="20" s="1"/>
  <c r="K195" i="20"/>
  <c r="M159" i="20"/>
  <c r="P159" i="20" s="1"/>
  <c r="S160" i="20"/>
  <c r="P147" i="20"/>
  <c r="O144" i="20"/>
  <c r="O102" i="20"/>
  <c r="I82" i="20"/>
  <c r="L78" i="20"/>
  <c r="O78" i="20" s="1"/>
  <c r="T60" i="20"/>
  <c r="L46" i="20"/>
  <c r="L44" i="20" s="1"/>
  <c r="K782" i="20"/>
  <c r="L760" i="20"/>
  <c r="O760" i="20" s="1"/>
  <c r="N728" i="20"/>
  <c r="P715" i="20"/>
  <c r="L714" i="20"/>
  <c r="O714" i="20" s="1"/>
  <c r="K632" i="20"/>
  <c r="N599" i="20"/>
  <c r="L599" i="20"/>
  <c r="O599" i="20" s="1"/>
  <c r="L576" i="20"/>
  <c r="O576" i="20" s="1"/>
  <c r="O521" i="20"/>
  <c r="N392" i="20"/>
  <c r="P336" i="20"/>
  <c r="O311" i="20"/>
  <c r="U308" i="20"/>
  <c r="S282" i="20"/>
  <c r="U174" i="20"/>
  <c r="L159" i="20"/>
  <c r="O159" i="20" s="1"/>
  <c r="M160" i="20"/>
  <c r="P160" i="20" s="1"/>
  <c r="P158" i="20"/>
  <c r="O147" i="20"/>
  <c r="U144" i="20"/>
  <c r="S139" i="20"/>
  <c r="U119" i="20"/>
  <c r="U99" i="20"/>
  <c r="M96" i="20"/>
  <c r="P96" i="20" s="1"/>
  <c r="T77" i="20"/>
  <c r="R75" i="20"/>
  <c r="U75" i="20" s="1"/>
  <c r="P64" i="20"/>
  <c r="L62" i="20"/>
  <c r="O62" i="20" s="1"/>
  <c r="S59" i="20"/>
  <c r="Q760" i="20"/>
  <c r="T760" i="20" s="1"/>
  <c r="T762" i="20"/>
  <c r="S599" i="20"/>
  <c r="Q534" i="20"/>
  <c r="T534" i="20" s="1"/>
  <c r="T535" i="20"/>
  <c r="O338" i="18"/>
  <c r="S269" i="18"/>
  <c r="L235" i="18"/>
  <c r="S763" i="19"/>
  <c r="K388" i="19"/>
  <c r="K344" i="19"/>
  <c r="O341" i="19"/>
  <c r="L335" i="19"/>
  <c r="L333" i="19" s="1"/>
  <c r="M305" i="19"/>
  <c r="P305" i="19" s="1"/>
  <c r="Q306" i="19"/>
  <c r="T306" i="19" s="1"/>
  <c r="Q269" i="19"/>
  <c r="T269" i="19" s="1"/>
  <c r="T178" i="19"/>
  <c r="Q176" i="19"/>
  <c r="T176" i="19" s="1"/>
  <c r="S160" i="19"/>
  <c r="Q142" i="19"/>
  <c r="T142" i="19" s="1"/>
  <c r="M120" i="19"/>
  <c r="P120" i="19" s="1"/>
  <c r="P99" i="19"/>
  <c r="N760" i="20"/>
  <c r="M760" i="20"/>
  <c r="P760" i="20" s="1"/>
  <c r="P730" i="20"/>
  <c r="S714" i="20"/>
  <c r="U695" i="20"/>
  <c r="P643" i="20"/>
  <c r="J503" i="20"/>
  <c r="J492" i="20" s="1"/>
  <c r="S416" i="20"/>
  <c r="S415" i="20"/>
  <c r="S413" i="20" s="1"/>
  <c r="M392" i="20"/>
  <c r="P392" i="20" s="1"/>
  <c r="L235" i="17"/>
  <c r="U695" i="19"/>
  <c r="S619" i="19"/>
  <c r="T619" i="19" s="1"/>
  <c r="S618" i="19"/>
  <c r="S616" i="19" s="1"/>
  <c r="S495" i="19"/>
  <c r="S493" i="19" s="1"/>
  <c r="I492" i="19"/>
  <c r="K492" i="19" s="1"/>
  <c r="N305" i="19"/>
  <c r="N303" i="19" s="1"/>
  <c r="K220" i="19"/>
  <c r="M188" i="19"/>
  <c r="M186" i="19" s="1"/>
  <c r="O165" i="19"/>
  <c r="M163" i="19"/>
  <c r="P163" i="19" s="1"/>
  <c r="P125" i="19"/>
  <c r="O99" i="19"/>
  <c r="S94" i="19"/>
  <c r="R763" i="20"/>
  <c r="U763" i="20" s="1"/>
  <c r="R762" i="20"/>
  <c r="U762" i="20" s="1"/>
  <c r="Q731" i="20"/>
  <c r="T731" i="20" s="1"/>
  <c r="Q730" i="20"/>
  <c r="T730" i="20" s="1"/>
  <c r="T733" i="20"/>
  <c r="O692" i="20"/>
  <c r="Q599" i="20"/>
  <c r="T599" i="20" s="1"/>
  <c r="T600" i="20"/>
  <c r="Q576" i="20"/>
  <c r="T576" i="20" s="1"/>
  <c r="T577" i="20"/>
  <c r="O518" i="20"/>
  <c r="L516" i="20"/>
  <c r="O516" i="20" s="1"/>
  <c r="U515" i="20"/>
  <c r="R513" i="20"/>
  <c r="U513" i="20" s="1"/>
  <c r="Q496" i="20"/>
  <c r="T496" i="20" s="1"/>
  <c r="Q495" i="20"/>
  <c r="T495" i="20" s="1"/>
  <c r="T498" i="20"/>
  <c r="L493" i="20"/>
  <c r="O493" i="20" s="1"/>
  <c r="O494" i="20"/>
  <c r="T376" i="20"/>
  <c r="T305" i="20"/>
  <c r="Q303" i="20"/>
  <c r="T303" i="20" s="1"/>
  <c r="S576" i="20"/>
  <c r="J702" i="19"/>
  <c r="R619" i="19"/>
  <c r="I168" i="19"/>
  <c r="K168" i="19" s="1"/>
  <c r="M100" i="19"/>
  <c r="P100" i="19" s="1"/>
  <c r="R75" i="19"/>
  <c r="U75" i="19" s="1"/>
  <c r="Q690" i="20"/>
  <c r="T690" i="20" s="1"/>
  <c r="R644" i="20"/>
  <c r="K440" i="20"/>
  <c r="I423" i="20"/>
  <c r="S392" i="20"/>
  <c r="M375" i="20"/>
  <c r="P375" i="20" s="1"/>
  <c r="P377" i="20"/>
  <c r="K703" i="19"/>
  <c r="U647" i="19"/>
  <c r="S645" i="19"/>
  <c r="T645" i="19" s="1"/>
  <c r="L236" i="19"/>
  <c r="P122" i="19"/>
  <c r="I689" i="20"/>
  <c r="K689" i="20" s="1"/>
  <c r="K707" i="20"/>
  <c r="P691" i="20"/>
  <c r="J674" i="20"/>
  <c r="K674" i="20" s="1"/>
  <c r="U647" i="20"/>
  <c r="S619" i="20"/>
  <c r="T621" i="20"/>
  <c r="S618" i="20"/>
  <c r="S534" i="20"/>
  <c r="U494" i="20"/>
  <c r="K784" i="17"/>
  <c r="K783" i="19"/>
  <c r="K778" i="19"/>
  <c r="T647" i="19"/>
  <c r="K152" i="19"/>
  <c r="K774" i="20"/>
  <c r="S730" i="20"/>
  <c r="S728" i="20" s="1"/>
  <c r="L728" i="20"/>
  <c r="O728" i="20" s="1"/>
  <c r="M599" i="20"/>
  <c r="P599" i="20" s="1"/>
  <c r="M576" i="20"/>
  <c r="P576" i="20" s="1"/>
  <c r="Q392" i="20"/>
  <c r="T392" i="20" s="1"/>
  <c r="T393" i="20"/>
  <c r="K630" i="20"/>
  <c r="K626" i="20"/>
  <c r="M516" i="20"/>
  <c r="P516" i="20" s="1"/>
  <c r="L392" i="20"/>
  <c r="O392" i="20" s="1"/>
  <c r="P304" i="20"/>
  <c r="S24" i="20"/>
  <c r="S19" i="20"/>
  <c r="S692" i="20"/>
  <c r="S690" i="20" s="1"/>
  <c r="S644" i="20"/>
  <c r="T644" i="20" s="1"/>
  <c r="K629" i="20"/>
  <c r="P518" i="20"/>
  <c r="U498" i="20"/>
  <c r="R495" i="20"/>
  <c r="U495" i="20" s="1"/>
  <c r="L233" i="20"/>
  <c r="Q94" i="20"/>
  <c r="T94" i="20" s="1"/>
  <c r="I615" i="20"/>
  <c r="K615" i="20" s="1"/>
  <c r="N335" i="20"/>
  <c r="N333" i="20" s="1"/>
  <c r="P325" i="20"/>
  <c r="M323" i="20"/>
  <c r="P323" i="20" s="1"/>
  <c r="N268" i="20"/>
  <c r="N266" i="20" s="1"/>
  <c r="O267" i="20"/>
  <c r="L192" i="20"/>
  <c r="O192" i="20" s="1"/>
  <c r="O194" i="20"/>
  <c r="T162" i="20"/>
  <c r="Q160" i="20"/>
  <c r="T160" i="20" s="1"/>
  <c r="Q159" i="20"/>
  <c r="T159" i="20" s="1"/>
  <c r="T695" i="20"/>
  <c r="T647" i="20"/>
  <c r="U621" i="20"/>
  <c r="P617" i="20"/>
  <c r="T494" i="20"/>
  <c r="U418" i="20"/>
  <c r="K371" i="20"/>
  <c r="I365" i="20"/>
  <c r="K365" i="20" s="1"/>
  <c r="P338" i="20"/>
  <c r="O334" i="20"/>
  <c r="O290" i="20"/>
  <c r="L288" i="20"/>
  <c r="O288" i="20" s="1"/>
  <c r="T122" i="20"/>
  <c r="Q120" i="20"/>
  <c r="Q119" i="20"/>
  <c r="T119" i="20" s="1"/>
  <c r="P52" i="20"/>
  <c r="M26" i="20"/>
  <c r="P26" i="20" s="1"/>
  <c r="M50" i="20"/>
  <c r="P50" i="20" s="1"/>
  <c r="T358" i="20"/>
  <c r="Q356" i="20"/>
  <c r="T356" i="20" s="1"/>
  <c r="O338" i="20"/>
  <c r="R333" i="20"/>
  <c r="U333" i="20" s="1"/>
  <c r="U334" i="20"/>
  <c r="Q320" i="20"/>
  <c r="T320" i="20" s="1"/>
  <c r="T321" i="20"/>
  <c r="P283" i="20"/>
  <c r="U267" i="20"/>
  <c r="U19" i="20"/>
  <c r="P361" i="20"/>
  <c r="L359" i="20"/>
  <c r="O359" i="20" s="1"/>
  <c r="K344" i="20"/>
  <c r="M335" i="20"/>
  <c r="N323" i="20"/>
  <c r="L322" i="20"/>
  <c r="K314" i="20"/>
  <c r="K293" i="20"/>
  <c r="M288" i="20"/>
  <c r="P288" i="20" s="1"/>
  <c r="M268" i="20"/>
  <c r="K249" i="20"/>
  <c r="I242" i="20"/>
  <c r="O187" i="20"/>
  <c r="Q173" i="20"/>
  <c r="T173" i="20" s="1"/>
  <c r="P140" i="20"/>
  <c r="R117" i="20"/>
  <c r="U117" i="20" s="1"/>
  <c r="L26" i="20"/>
  <c r="O361" i="20"/>
  <c r="L335" i="20"/>
  <c r="S305" i="20"/>
  <c r="S303" i="20" s="1"/>
  <c r="M305" i="20"/>
  <c r="P305" i="20" s="1"/>
  <c r="M284" i="20"/>
  <c r="P284" i="20" s="1"/>
  <c r="I281" i="20"/>
  <c r="K281" i="20" s="1"/>
  <c r="R268" i="20"/>
  <c r="U268" i="20" s="1"/>
  <c r="L268" i="20"/>
  <c r="O268" i="20" s="1"/>
  <c r="K229" i="20"/>
  <c r="P194" i="20"/>
  <c r="O191" i="20"/>
  <c r="P191" i="20"/>
  <c r="N189" i="20"/>
  <c r="P189" i="20" s="1"/>
  <c r="K154" i="20"/>
  <c r="I136" i="20"/>
  <c r="K136" i="20" s="1"/>
  <c r="Q72" i="20"/>
  <c r="T72" i="20" s="1"/>
  <c r="P67" i="20"/>
  <c r="M65" i="20"/>
  <c r="P65" i="20" s="1"/>
  <c r="O47" i="20"/>
  <c r="N358" i="20"/>
  <c r="N356" i="20" s="1"/>
  <c r="R305" i="20"/>
  <c r="L305" i="20"/>
  <c r="L284" i="20"/>
  <c r="Q268" i="20"/>
  <c r="U187" i="20"/>
  <c r="K169" i="20"/>
  <c r="I156" i="20"/>
  <c r="K156" i="20" s="1"/>
  <c r="Q139" i="20"/>
  <c r="T139" i="20" s="1"/>
  <c r="T99" i="20"/>
  <c r="Q97" i="20"/>
  <c r="T97" i="20" s="1"/>
  <c r="L362" i="20"/>
  <c r="O362" i="20" s="1"/>
  <c r="L336" i="20"/>
  <c r="O336" i="20" s="1"/>
  <c r="T334" i="20"/>
  <c r="K260" i="20"/>
  <c r="K220" i="20"/>
  <c r="K198" i="20"/>
  <c r="L188" i="20"/>
  <c r="R157" i="20"/>
  <c r="U157" i="20" s="1"/>
  <c r="P47" i="20"/>
  <c r="P22" i="20"/>
  <c r="M19" i="20"/>
  <c r="T178" i="20"/>
  <c r="Q176" i="20"/>
  <c r="T176" i="20" s="1"/>
  <c r="N26" i="20"/>
  <c r="N24" i="20" s="1"/>
  <c r="P25" i="20"/>
  <c r="O19" i="20"/>
  <c r="S188" i="20"/>
  <c r="S186" i="20" s="1"/>
  <c r="M188" i="20"/>
  <c r="L179" i="20"/>
  <c r="O179" i="20" s="1"/>
  <c r="P178" i="20"/>
  <c r="R176" i="20"/>
  <c r="U176" i="20" s="1"/>
  <c r="L176" i="20"/>
  <c r="O176" i="20" s="1"/>
  <c r="T174" i="20"/>
  <c r="L163" i="20"/>
  <c r="O163" i="20" s="1"/>
  <c r="R160" i="20"/>
  <c r="U160" i="20" s="1"/>
  <c r="L160" i="20"/>
  <c r="O160" i="20" s="1"/>
  <c r="T144" i="20"/>
  <c r="N141" i="20"/>
  <c r="N139" i="20" s="1"/>
  <c r="L123" i="20"/>
  <c r="O123" i="20" s="1"/>
  <c r="P122" i="20"/>
  <c r="R120" i="20"/>
  <c r="L120" i="20"/>
  <c r="O120" i="20" s="1"/>
  <c r="T118" i="20"/>
  <c r="K109" i="20"/>
  <c r="P99" i="20"/>
  <c r="R97" i="20"/>
  <c r="U97" i="20" s="1"/>
  <c r="L97" i="20"/>
  <c r="O97" i="20" s="1"/>
  <c r="T95" i="20"/>
  <c r="U77" i="20"/>
  <c r="O77" i="20"/>
  <c r="Q75" i="20"/>
  <c r="T75" i="20" s="1"/>
  <c r="O64" i="20"/>
  <c r="N50" i="20"/>
  <c r="O49" i="20"/>
  <c r="N23" i="20"/>
  <c r="R188" i="20"/>
  <c r="U188" i="20" s="1"/>
  <c r="P187" i="20"/>
  <c r="U178" i="20"/>
  <c r="O178" i="20"/>
  <c r="U162" i="20"/>
  <c r="U122" i="20"/>
  <c r="O122" i="20"/>
  <c r="K84" i="20"/>
  <c r="N74" i="20"/>
  <c r="N72" i="20" s="1"/>
  <c r="N61" i="20"/>
  <c r="N46" i="20"/>
  <c r="N44" i="20" s="1"/>
  <c r="S23" i="20"/>
  <c r="S20" i="20" s="1"/>
  <c r="M23" i="20"/>
  <c r="Q19" i="20"/>
  <c r="Q188" i="20"/>
  <c r="T188" i="20" s="1"/>
  <c r="K183" i="20"/>
  <c r="N175" i="20"/>
  <c r="N159" i="20"/>
  <c r="N157" i="20" s="1"/>
  <c r="K152" i="20"/>
  <c r="R141" i="20"/>
  <c r="L141" i="20"/>
  <c r="K127" i="20"/>
  <c r="N119" i="20"/>
  <c r="N117" i="20" s="1"/>
  <c r="N96" i="20"/>
  <c r="N94" i="20" s="1"/>
  <c r="S74" i="20"/>
  <c r="S72" i="20" s="1"/>
  <c r="M74" i="20"/>
  <c r="P74" i="20" s="1"/>
  <c r="M61" i="20"/>
  <c r="M59" i="20" s="1"/>
  <c r="M46" i="20"/>
  <c r="M44" i="20" s="1"/>
  <c r="R23" i="20"/>
  <c r="L23" i="20"/>
  <c r="Q23" i="20"/>
  <c r="S644" i="18"/>
  <c r="S642" i="18" s="1"/>
  <c r="Q731" i="19"/>
  <c r="T731" i="19" s="1"/>
  <c r="R692" i="19"/>
  <c r="R690" i="19" s="1"/>
  <c r="U690" i="19" s="1"/>
  <c r="S576" i="19"/>
  <c r="K371" i="19"/>
  <c r="I365" i="19"/>
  <c r="K365" i="19" s="1"/>
  <c r="N269" i="19"/>
  <c r="N268" i="19"/>
  <c r="N266" i="19" s="1"/>
  <c r="N163" i="19"/>
  <c r="N159" i="19"/>
  <c r="N157" i="19" s="1"/>
  <c r="L145" i="19"/>
  <c r="O145" i="19" s="1"/>
  <c r="O147" i="19"/>
  <c r="L141" i="19"/>
  <c r="L139" i="19" s="1"/>
  <c r="L123" i="19"/>
  <c r="O123" i="19" s="1"/>
  <c r="O125" i="19"/>
  <c r="T118" i="19"/>
  <c r="K705" i="18"/>
  <c r="K385" i="18"/>
  <c r="P274" i="18"/>
  <c r="S175" i="18"/>
  <c r="S173" i="18" s="1"/>
  <c r="S176" i="18"/>
  <c r="K782" i="19"/>
  <c r="Q693" i="19"/>
  <c r="Q692" i="19"/>
  <c r="T692" i="19" s="1"/>
  <c r="T695" i="19"/>
  <c r="L599" i="19"/>
  <c r="O599" i="19" s="1"/>
  <c r="R534" i="19"/>
  <c r="U534" i="19" s="1"/>
  <c r="N515" i="19"/>
  <c r="N513" i="19" s="1"/>
  <c r="L375" i="19"/>
  <c r="O375" i="19" s="1"/>
  <c r="O361" i="19"/>
  <c r="M288" i="19"/>
  <c r="P288" i="19" s="1"/>
  <c r="P290" i="19"/>
  <c r="M269" i="19"/>
  <c r="P271" i="19"/>
  <c r="O49" i="19"/>
  <c r="K781" i="17"/>
  <c r="K778" i="17"/>
  <c r="K782" i="18"/>
  <c r="U191" i="18"/>
  <c r="Q160" i="18"/>
  <c r="T160" i="18" s="1"/>
  <c r="S142" i="18"/>
  <c r="P692" i="19"/>
  <c r="M690" i="19"/>
  <c r="P690" i="19" s="1"/>
  <c r="L288" i="19"/>
  <c r="O288" i="19" s="1"/>
  <c r="O290" i="19"/>
  <c r="T271" i="19"/>
  <c r="K153" i="19"/>
  <c r="P95" i="19"/>
  <c r="K109" i="17"/>
  <c r="J702" i="18"/>
  <c r="J675" i="18"/>
  <c r="P521" i="18"/>
  <c r="K198" i="18"/>
  <c r="K772" i="19"/>
  <c r="Q763" i="19"/>
  <c r="T765" i="19"/>
  <c r="Q762" i="19"/>
  <c r="T762" i="19" s="1"/>
  <c r="R714" i="19"/>
  <c r="U714" i="19" s="1"/>
  <c r="Q555" i="19"/>
  <c r="T555" i="19" s="1"/>
  <c r="K504" i="19"/>
  <c r="J503" i="19"/>
  <c r="J492" i="19" s="1"/>
  <c r="O325" i="19"/>
  <c r="L322" i="19"/>
  <c r="O322" i="19" s="1"/>
  <c r="O321" i="19"/>
  <c r="R142" i="19"/>
  <c r="U142" i="19" s="1"/>
  <c r="U144" i="19"/>
  <c r="M78" i="19"/>
  <c r="P78" i="19" s="1"/>
  <c r="P80" i="19"/>
  <c r="M62" i="19"/>
  <c r="P64" i="19"/>
  <c r="M272" i="19"/>
  <c r="P272" i="19" s="1"/>
  <c r="P274" i="19"/>
  <c r="Q173" i="19"/>
  <c r="T173" i="19" s="1"/>
  <c r="M159" i="19"/>
  <c r="M157" i="19" s="1"/>
  <c r="P162" i="19"/>
  <c r="Q139" i="19"/>
  <c r="T139" i="19" s="1"/>
  <c r="T140" i="19"/>
  <c r="T122" i="19"/>
  <c r="Q119" i="19"/>
  <c r="Q117" i="19" s="1"/>
  <c r="O64" i="19"/>
  <c r="L62" i="19"/>
  <c r="T26" i="19"/>
  <c r="Q24" i="19"/>
  <c r="T24" i="19" s="1"/>
  <c r="K153" i="15"/>
  <c r="T380" i="18"/>
  <c r="K346" i="18"/>
  <c r="R159" i="18"/>
  <c r="U159" i="18" s="1"/>
  <c r="U162" i="18"/>
  <c r="K780" i="19"/>
  <c r="R763" i="19"/>
  <c r="M760" i="19"/>
  <c r="P760" i="19" s="1"/>
  <c r="L728" i="19"/>
  <c r="O728" i="19" s="1"/>
  <c r="O716" i="19"/>
  <c r="K709" i="19"/>
  <c r="U621" i="19"/>
  <c r="P518" i="19"/>
  <c r="M515" i="19"/>
  <c r="P515" i="19" s="1"/>
  <c r="S415" i="19"/>
  <c r="S413" i="19" s="1"/>
  <c r="S416" i="19"/>
  <c r="T380" i="19"/>
  <c r="K229" i="19"/>
  <c r="M160" i="19"/>
  <c r="P160" i="19" s="1"/>
  <c r="M145" i="19"/>
  <c r="P145" i="19" s="1"/>
  <c r="P147" i="19"/>
  <c r="M75" i="19"/>
  <c r="P75" i="19" s="1"/>
  <c r="P77" i="19"/>
  <c r="Q59" i="19"/>
  <c r="T59" i="19" s="1"/>
  <c r="T60" i="19"/>
  <c r="N714" i="19"/>
  <c r="K678" i="19"/>
  <c r="M599" i="19"/>
  <c r="P599" i="19" s="1"/>
  <c r="L413" i="19"/>
  <c r="O413" i="19" s="1"/>
  <c r="R377" i="19"/>
  <c r="U377" i="19" s="1"/>
  <c r="M362" i="19"/>
  <c r="P362" i="19" s="1"/>
  <c r="M358" i="19"/>
  <c r="M356" i="19" s="1"/>
  <c r="K265" i="19"/>
  <c r="L243" i="19"/>
  <c r="O243" i="19" s="1"/>
  <c r="L74" i="19"/>
  <c r="O74" i="19" s="1"/>
  <c r="R72" i="19"/>
  <c r="U72" i="19" s="1"/>
  <c r="R44" i="19"/>
  <c r="U44" i="19" s="1"/>
  <c r="Q415" i="19"/>
  <c r="T415" i="19" s="1"/>
  <c r="N413" i="19"/>
  <c r="M392" i="19"/>
  <c r="P392" i="19" s="1"/>
  <c r="Q377" i="19"/>
  <c r="T377" i="19" s="1"/>
  <c r="N375" i="19"/>
  <c r="K293" i="19"/>
  <c r="U284" i="19"/>
  <c r="L269" i="19"/>
  <c r="O269" i="19" s="1"/>
  <c r="L235" i="19"/>
  <c r="K198" i="19"/>
  <c r="O144" i="19"/>
  <c r="N119" i="19"/>
  <c r="N117" i="19" s="1"/>
  <c r="U99" i="19"/>
  <c r="R96" i="19"/>
  <c r="Q72" i="19"/>
  <c r="T72" i="19" s="1"/>
  <c r="L46" i="19"/>
  <c r="L44" i="19" s="1"/>
  <c r="Q44" i="19"/>
  <c r="T44" i="19" s="1"/>
  <c r="S19" i="19"/>
  <c r="K784" i="19"/>
  <c r="M728" i="19"/>
  <c r="P728" i="19" s="1"/>
  <c r="S599" i="19"/>
  <c r="R599" i="19"/>
  <c r="U599" i="19" s="1"/>
  <c r="M576" i="19"/>
  <c r="P576" i="19" s="1"/>
  <c r="L493" i="19"/>
  <c r="O493" i="19" s="1"/>
  <c r="J457" i="19"/>
  <c r="J456" i="19" s="1"/>
  <c r="R378" i="19"/>
  <c r="U378" i="19" s="1"/>
  <c r="N322" i="19"/>
  <c r="N320" i="19" s="1"/>
  <c r="L305" i="19"/>
  <c r="O305" i="19" s="1"/>
  <c r="L234" i="19"/>
  <c r="L222" i="19"/>
  <c r="O222" i="19" s="1"/>
  <c r="L203" i="19"/>
  <c r="O203" i="19" s="1"/>
  <c r="K195" i="19"/>
  <c r="N192" i="19"/>
  <c r="M96" i="19"/>
  <c r="P96" i="19" s="1"/>
  <c r="S97" i="19"/>
  <c r="L78" i="19"/>
  <c r="O78" i="19" s="1"/>
  <c r="S59" i="19"/>
  <c r="J674" i="19"/>
  <c r="K674" i="19" s="1"/>
  <c r="O535" i="19"/>
  <c r="M493" i="19"/>
  <c r="P493" i="19" s="1"/>
  <c r="J458" i="19"/>
  <c r="P361" i="19"/>
  <c r="J351" i="19"/>
  <c r="N335" i="19"/>
  <c r="N333" i="19" s="1"/>
  <c r="N336" i="19"/>
  <c r="K302" i="19"/>
  <c r="U271" i="19"/>
  <c r="L233" i="19"/>
  <c r="T191" i="19"/>
  <c r="P181" i="19"/>
  <c r="R175" i="19"/>
  <c r="U175" i="19" s="1"/>
  <c r="I169" i="19"/>
  <c r="K169" i="19" s="1"/>
  <c r="T144" i="19"/>
  <c r="K116" i="19"/>
  <c r="S120" i="19"/>
  <c r="T120" i="19" s="1"/>
  <c r="S117" i="19"/>
  <c r="U77" i="19"/>
  <c r="O77" i="19"/>
  <c r="L75" i="19"/>
  <c r="O75" i="19" s="1"/>
  <c r="R59" i="19"/>
  <c r="U59" i="19" s="1"/>
  <c r="P49" i="19"/>
  <c r="O47" i="19"/>
  <c r="T495" i="19"/>
  <c r="Q493" i="19"/>
  <c r="T493" i="19" s="1"/>
  <c r="R728" i="19"/>
  <c r="R760" i="19"/>
  <c r="U760" i="19" s="1"/>
  <c r="U762" i="19"/>
  <c r="Q728" i="19"/>
  <c r="K689" i="19"/>
  <c r="L519" i="19"/>
  <c r="O519" i="19" s="1"/>
  <c r="L392" i="19"/>
  <c r="O392" i="19" s="1"/>
  <c r="O393" i="19"/>
  <c r="N175" i="19"/>
  <c r="N173" i="19" s="1"/>
  <c r="N176" i="19"/>
  <c r="P176" i="19" s="1"/>
  <c r="P178" i="19"/>
  <c r="O338" i="19"/>
  <c r="L336" i="19"/>
  <c r="K260" i="19"/>
  <c r="I238" i="19"/>
  <c r="K238" i="19" s="1"/>
  <c r="I253" i="19"/>
  <c r="K253" i="19" s="1"/>
  <c r="O162" i="19"/>
  <c r="L159" i="19"/>
  <c r="L157" i="19" s="1"/>
  <c r="L160" i="19"/>
  <c r="O160" i="19" s="1"/>
  <c r="U119" i="19"/>
  <c r="O102" i="19"/>
  <c r="L96" i="19"/>
  <c r="K778" i="15"/>
  <c r="Q645" i="18"/>
  <c r="T645" i="18" s="1"/>
  <c r="Q415" i="18"/>
  <c r="Q413" i="18" s="1"/>
  <c r="T413" i="18" s="1"/>
  <c r="O176" i="18"/>
  <c r="L690" i="19"/>
  <c r="O690" i="19" s="1"/>
  <c r="L642" i="19"/>
  <c r="O642" i="19" s="1"/>
  <c r="M616" i="19"/>
  <c r="P616" i="19" s="1"/>
  <c r="M555" i="19"/>
  <c r="P555" i="19" s="1"/>
  <c r="P521" i="19"/>
  <c r="I423" i="19"/>
  <c r="M413" i="19"/>
  <c r="P413" i="19" s="1"/>
  <c r="Q392" i="19"/>
  <c r="T392" i="19" s="1"/>
  <c r="T393" i="19"/>
  <c r="O359" i="19"/>
  <c r="J332" i="19"/>
  <c r="K332" i="19" s="1"/>
  <c r="J343" i="19"/>
  <c r="Q320" i="19"/>
  <c r="T320" i="19" s="1"/>
  <c r="P311" i="19"/>
  <c r="M309" i="19"/>
  <c r="P309" i="19" s="1"/>
  <c r="N285" i="19"/>
  <c r="N284" i="19"/>
  <c r="N282" i="19" s="1"/>
  <c r="K242" i="19"/>
  <c r="T203" i="19"/>
  <c r="R159" i="19"/>
  <c r="U159" i="19" s="1"/>
  <c r="U162" i="19"/>
  <c r="R23" i="19"/>
  <c r="R21" i="19" s="1"/>
  <c r="R160" i="19"/>
  <c r="U160" i="19" s="1"/>
  <c r="S392" i="19"/>
  <c r="K632" i="19"/>
  <c r="U763" i="17"/>
  <c r="K632" i="17"/>
  <c r="O125" i="17"/>
  <c r="S762" i="18"/>
  <c r="S760" i="18" s="1"/>
  <c r="S692" i="18"/>
  <c r="S690" i="18" s="1"/>
  <c r="R644" i="18"/>
  <c r="U644" i="18" s="1"/>
  <c r="R416" i="18"/>
  <c r="U416" i="18" s="1"/>
  <c r="K368" i="18"/>
  <c r="N335" i="18"/>
  <c r="N333" i="18" s="1"/>
  <c r="O325" i="18"/>
  <c r="P290" i="18"/>
  <c r="O194" i="18"/>
  <c r="T191" i="18"/>
  <c r="P191" i="18"/>
  <c r="O165" i="18"/>
  <c r="I83" i="18"/>
  <c r="I71" i="18" s="1"/>
  <c r="K71" i="18" s="1"/>
  <c r="S730" i="19"/>
  <c r="T730" i="19" s="1"/>
  <c r="K631" i="19"/>
  <c r="T617" i="19"/>
  <c r="R616" i="19"/>
  <c r="L616" i="19"/>
  <c r="O616" i="19" s="1"/>
  <c r="T556" i="19"/>
  <c r="R555" i="19"/>
  <c r="U555" i="19" s="1"/>
  <c r="L555" i="19"/>
  <c r="O555" i="19" s="1"/>
  <c r="O518" i="19"/>
  <c r="T515" i="19"/>
  <c r="P514" i="19"/>
  <c r="T498" i="19"/>
  <c r="Q496" i="19"/>
  <c r="T496" i="19" s="1"/>
  <c r="O494" i="19"/>
  <c r="O364" i="19"/>
  <c r="L362" i="19"/>
  <c r="O362" i="19" s="1"/>
  <c r="R333" i="19"/>
  <c r="U333" i="19" s="1"/>
  <c r="O311" i="19"/>
  <c r="L309" i="19"/>
  <c r="O309" i="19" s="1"/>
  <c r="P308" i="19"/>
  <c r="M306" i="19"/>
  <c r="P306" i="19" s="1"/>
  <c r="O304" i="19"/>
  <c r="M284" i="19"/>
  <c r="P284" i="19" s="1"/>
  <c r="O191" i="19"/>
  <c r="L189" i="19"/>
  <c r="O189" i="19" s="1"/>
  <c r="L188" i="19"/>
  <c r="P140" i="19"/>
  <c r="U308" i="19"/>
  <c r="R306" i="19"/>
  <c r="U306" i="19" s="1"/>
  <c r="P267" i="19"/>
  <c r="M61" i="19"/>
  <c r="M59" i="19" s="1"/>
  <c r="P67" i="19"/>
  <c r="M65" i="19"/>
  <c r="P65" i="19" s="1"/>
  <c r="L222" i="18"/>
  <c r="O222" i="18" s="1"/>
  <c r="M336" i="19"/>
  <c r="T283" i="19"/>
  <c r="Q282" i="19"/>
  <c r="T282" i="19" s="1"/>
  <c r="I83" i="19"/>
  <c r="K87" i="19"/>
  <c r="K780" i="16"/>
  <c r="K632" i="16"/>
  <c r="K631" i="17"/>
  <c r="I280" i="17"/>
  <c r="K280" i="17" s="1"/>
  <c r="P162" i="17"/>
  <c r="Q141" i="17"/>
  <c r="T141" i="17" s="1"/>
  <c r="R762" i="18"/>
  <c r="U762" i="18" s="1"/>
  <c r="T418" i="18"/>
  <c r="Q377" i="18"/>
  <c r="T377" i="18" s="1"/>
  <c r="O290" i="18"/>
  <c r="L234" i="18"/>
  <c r="K213" i="18"/>
  <c r="O102" i="18"/>
  <c r="M100" i="18"/>
  <c r="P100" i="18" s="1"/>
  <c r="O67" i="18"/>
  <c r="I759" i="19"/>
  <c r="K759" i="19" s="1"/>
  <c r="U733" i="19"/>
  <c r="P729" i="19"/>
  <c r="P715" i="19"/>
  <c r="K707" i="19"/>
  <c r="K630" i="19"/>
  <c r="K626" i="19"/>
  <c r="P600" i="19"/>
  <c r="P577" i="19"/>
  <c r="P535" i="19"/>
  <c r="L515" i="19"/>
  <c r="O515" i="19" s="1"/>
  <c r="O514" i="19"/>
  <c r="N493" i="19"/>
  <c r="L358" i="19"/>
  <c r="N358" i="19"/>
  <c r="P357" i="19"/>
  <c r="Q333" i="19"/>
  <c r="T333" i="19" s="1"/>
  <c r="T334" i="19"/>
  <c r="M322" i="19"/>
  <c r="L323" i="19"/>
  <c r="O323" i="19" s="1"/>
  <c r="R320" i="19"/>
  <c r="U320" i="19" s="1"/>
  <c r="T308" i="19"/>
  <c r="O308" i="19"/>
  <c r="L306" i="19"/>
  <c r="O306" i="19" s="1"/>
  <c r="S305" i="19"/>
  <c r="S303" i="19" s="1"/>
  <c r="U304" i="19"/>
  <c r="L284" i="19"/>
  <c r="O287" i="19"/>
  <c r="Q266" i="19"/>
  <c r="S189" i="19"/>
  <c r="T189" i="19" s="1"/>
  <c r="S188" i="19"/>
  <c r="S186" i="19" s="1"/>
  <c r="T187" i="19"/>
  <c r="R24" i="19"/>
  <c r="U24" i="19" s="1"/>
  <c r="U25" i="19"/>
  <c r="R19" i="19"/>
  <c r="I615" i="19"/>
  <c r="K615" i="19" s="1"/>
  <c r="S142" i="19"/>
  <c r="S141" i="19"/>
  <c r="S139" i="19" s="1"/>
  <c r="K783" i="18"/>
  <c r="R392" i="19"/>
  <c r="U392" i="19" s="1"/>
  <c r="U393" i="19"/>
  <c r="K368" i="19"/>
  <c r="R117" i="19"/>
  <c r="K726" i="14"/>
  <c r="O64" i="15"/>
  <c r="O80" i="16"/>
  <c r="T162" i="17"/>
  <c r="U498" i="18"/>
  <c r="K276" i="18"/>
  <c r="K220" i="18"/>
  <c r="K152" i="18"/>
  <c r="U99" i="18"/>
  <c r="S97" i="18"/>
  <c r="P77" i="18"/>
  <c r="U765" i="19"/>
  <c r="T733" i="19"/>
  <c r="U514" i="19"/>
  <c r="R496" i="19"/>
  <c r="U496" i="19" s="1"/>
  <c r="R495" i="19"/>
  <c r="U495" i="19" s="1"/>
  <c r="U498" i="19"/>
  <c r="U494" i="19"/>
  <c r="K457" i="19"/>
  <c r="R415" i="19"/>
  <c r="U418" i="19"/>
  <c r="S378" i="19"/>
  <c r="T378" i="19" s="1"/>
  <c r="M335" i="19"/>
  <c r="K330" i="19"/>
  <c r="P328" i="19"/>
  <c r="M326" i="19"/>
  <c r="P326" i="19" s="1"/>
  <c r="R305" i="19"/>
  <c r="R303" i="19" s="1"/>
  <c r="Q303" i="19"/>
  <c r="T304" i="19"/>
  <c r="L272" i="19"/>
  <c r="O272" i="19" s="1"/>
  <c r="U191" i="19"/>
  <c r="R189" i="19"/>
  <c r="R188" i="19"/>
  <c r="R186" i="19" s="1"/>
  <c r="O178" i="19"/>
  <c r="L100" i="19"/>
  <c r="O100" i="19" s="1"/>
  <c r="P45" i="19"/>
  <c r="K292" i="19"/>
  <c r="R266" i="19"/>
  <c r="L254" i="19"/>
  <c r="O254" i="19" s="1"/>
  <c r="Q159" i="19"/>
  <c r="T162" i="19"/>
  <c r="Q160" i="19"/>
  <c r="T160" i="19" s="1"/>
  <c r="O158" i="19"/>
  <c r="K154" i="19"/>
  <c r="I82" i="19"/>
  <c r="K84" i="19"/>
  <c r="K209" i="19"/>
  <c r="I202" i="19"/>
  <c r="K202" i="19" s="1"/>
  <c r="P194" i="19"/>
  <c r="M192" i="19"/>
  <c r="P192" i="19" s="1"/>
  <c r="O187" i="19"/>
  <c r="S157" i="19"/>
  <c r="N141" i="19"/>
  <c r="N139" i="19" s="1"/>
  <c r="N142" i="19"/>
  <c r="P142" i="19" s="1"/>
  <c r="Q96" i="19"/>
  <c r="T99" i="19"/>
  <c r="Q97" i="19"/>
  <c r="T97" i="19" s="1"/>
  <c r="P19" i="19"/>
  <c r="L268" i="19"/>
  <c r="O268" i="19" s="1"/>
  <c r="R269" i="19"/>
  <c r="U269" i="19" s="1"/>
  <c r="L214" i="19"/>
  <c r="O214" i="19" s="1"/>
  <c r="O194" i="19"/>
  <c r="L192" i="19"/>
  <c r="O192" i="19" s="1"/>
  <c r="P191" i="19"/>
  <c r="M189" i="19"/>
  <c r="P189" i="19" s="1"/>
  <c r="U187" i="19"/>
  <c r="U158" i="19"/>
  <c r="R139" i="19"/>
  <c r="U139" i="19" s="1"/>
  <c r="U141" i="19"/>
  <c r="K138" i="19"/>
  <c r="P118" i="19"/>
  <c r="O19" i="19"/>
  <c r="L120" i="19"/>
  <c r="O120" i="19" s="1"/>
  <c r="N74" i="19"/>
  <c r="N72" i="19" s="1"/>
  <c r="N62" i="19"/>
  <c r="N61" i="19"/>
  <c r="N59" i="19" s="1"/>
  <c r="S44" i="19"/>
  <c r="N23" i="19"/>
  <c r="S268" i="19"/>
  <c r="U268" i="19" s="1"/>
  <c r="M268" i="19"/>
  <c r="K249" i="19"/>
  <c r="Q188" i="19"/>
  <c r="K183" i="19"/>
  <c r="M175" i="19"/>
  <c r="R120" i="19"/>
  <c r="K109" i="19"/>
  <c r="S75" i="19"/>
  <c r="S23" i="19"/>
  <c r="S20" i="19" s="1"/>
  <c r="S18" i="19" s="1"/>
  <c r="M74" i="19"/>
  <c r="P74" i="19" s="1"/>
  <c r="P73" i="19"/>
  <c r="L65" i="19"/>
  <c r="O65" i="19" s="1"/>
  <c r="N26" i="19"/>
  <c r="N24" i="19" s="1"/>
  <c r="L23" i="19"/>
  <c r="L21" i="19" s="1"/>
  <c r="L119" i="19"/>
  <c r="O119" i="19" s="1"/>
  <c r="L61" i="19"/>
  <c r="M26" i="19"/>
  <c r="P26" i="19" s="1"/>
  <c r="M50" i="19"/>
  <c r="P50" i="19" s="1"/>
  <c r="L26" i="19"/>
  <c r="O26" i="19" s="1"/>
  <c r="O22" i="19"/>
  <c r="P144" i="19"/>
  <c r="M141" i="19"/>
  <c r="U122" i="19"/>
  <c r="U118" i="19"/>
  <c r="S74" i="19"/>
  <c r="S72" i="19" s="1"/>
  <c r="P60" i="19"/>
  <c r="L50" i="19"/>
  <c r="O50" i="19" s="1"/>
  <c r="M47" i="19"/>
  <c r="P47" i="19" s="1"/>
  <c r="M23" i="19"/>
  <c r="O25" i="19"/>
  <c r="U22" i="19"/>
  <c r="N46" i="19"/>
  <c r="Q19" i="19"/>
  <c r="Q23" i="19"/>
  <c r="M690" i="18"/>
  <c r="P690" i="18" s="1"/>
  <c r="P691" i="18"/>
  <c r="Q618" i="18"/>
  <c r="Q616" i="18" s="1"/>
  <c r="Q619" i="18"/>
  <c r="M616" i="18"/>
  <c r="P616" i="18" s="1"/>
  <c r="L599" i="18"/>
  <c r="O599" i="18" s="1"/>
  <c r="N555" i="18"/>
  <c r="O518" i="18"/>
  <c r="L516" i="18"/>
  <c r="O516" i="18" s="1"/>
  <c r="K457" i="18"/>
  <c r="I456" i="18"/>
  <c r="K456" i="18" s="1"/>
  <c r="I365" i="18"/>
  <c r="K365" i="18" s="1"/>
  <c r="K371" i="18"/>
  <c r="R306" i="18"/>
  <c r="U306" i="18" s="1"/>
  <c r="R305" i="18"/>
  <c r="R303" i="18" s="1"/>
  <c r="U303" i="18" s="1"/>
  <c r="U308" i="18"/>
  <c r="M268" i="18"/>
  <c r="M266" i="18" s="1"/>
  <c r="M269" i="18"/>
  <c r="I156" i="18"/>
  <c r="K156" i="18" s="1"/>
  <c r="O73" i="18"/>
  <c r="Q59" i="18"/>
  <c r="T59" i="18" s="1"/>
  <c r="T60" i="18"/>
  <c r="L309" i="1"/>
  <c r="O309" i="1" s="1"/>
  <c r="R19" i="18"/>
  <c r="U19" i="18" s="1"/>
  <c r="U22" i="18"/>
  <c r="K782" i="16"/>
  <c r="M74" i="17"/>
  <c r="M72" i="17" s="1"/>
  <c r="R730" i="18"/>
  <c r="R728" i="18" s="1"/>
  <c r="K726" i="18"/>
  <c r="K689" i="18"/>
  <c r="L690" i="18"/>
  <c r="O690" i="18" s="1"/>
  <c r="O617" i="18"/>
  <c r="L616" i="18"/>
  <c r="O616" i="18" s="1"/>
  <c r="S599" i="18"/>
  <c r="M555" i="18"/>
  <c r="P555" i="18" s="1"/>
  <c r="P556" i="18"/>
  <c r="Q513" i="18"/>
  <c r="T513" i="18" s="1"/>
  <c r="T514" i="18"/>
  <c r="J351" i="18"/>
  <c r="K260" i="18"/>
  <c r="I253" i="18"/>
  <c r="K253" i="18" s="1"/>
  <c r="K386" i="15"/>
  <c r="K209" i="15"/>
  <c r="K783" i="17"/>
  <c r="K780" i="17"/>
  <c r="K673" i="17"/>
  <c r="K276" i="17"/>
  <c r="I213" i="17"/>
  <c r="K213" i="17" s="1"/>
  <c r="O165" i="17"/>
  <c r="K785" i="18"/>
  <c r="K779" i="18"/>
  <c r="U765" i="18"/>
  <c r="Q762" i="18"/>
  <c r="T762" i="18" s="1"/>
  <c r="L760" i="18"/>
  <c r="O760" i="18" s="1"/>
  <c r="Q730" i="18"/>
  <c r="Q728" i="18" s="1"/>
  <c r="O729" i="18"/>
  <c r="L728" i="18"/>
  <c r="O728" i="18" s="1"/>
  <c r="R714" i="18"/>
  <c r="U714" i="18" s="1"/>
  <c r="K709" i="18"/>
  <c r="U647" i="18"/>
  <c r="R599" i="18"/>
  <c r="U599" i="18" s="1"/>
  <c r="S415" i="18"/>
  <c r="S413" i="18" s="1"/>
  <c r="S416" i="18"/>
  <c r="N323" i="18"/>
  <c r="O323" i="18" s="1"/>
  <c r="P325" i="18"/>
  <c r="K229" i="18"/>
  <c r="I221" i="18"/>
  <c r="K221" i="18" s="1"/>
  <c r="N188" i="18"/>
  <c r="N186" i="18" s="1"/>
  <c r="N189" i="18"/>
  <c r="L123" i="18"/>
  <c r="O123" i="18" s="1"/>
  <c r="O125" i="18"/>
  <c r="R74" i="18"/>
  <c r="R72" i="18" s="1"/>
  <c r="R75" i="18"/>
  <c r="U75" i="18" s="1"/>
  <c r="M62" i="18"/>
  <c r="P62" i="18" s="1"/>
  <c r="P64" i="18"/>
  <c r="T191" i="15"/>
  <c r="T733" i="17"/>
  <c r="J332" i="17"/>
  <c r="M268" i="17"/>
  <c r="M266" i="17" s="1"/>
  <c r="T765" i="18"/>
  <c r="N760" i="18"/>
  <c r="Q714" i="18"/>
  <c r="T714" i="18" s="1"/>
  <c r="T715" i="18"/>
  <c r="L714" i="18"/>
  <c r="O714" i="18" s="1"/>
  <c r="I492" i="18"/>
  <c r="J503" i="18"/>
  <c r="J492" i="18" s="1"/>
  <c r="N493" i="18"/>
  <c r="M413" i="18"/>
  <c r="P413" i="18" s="1"/>
  <c r="P414" i="18"/>
  <c r="T358" i="18"/>
  <c r="Q356" i="18"/>
  <c r="T356" i="18" s="1"/>
  <c r="O334" i="18"/>
  <c r="T283" i="18"/>
  <c r="Q282" i="18"/>
  <c r="T282" i="18" s="1"/>
  <c r="L119" i="18"/>
  <c r="O119" i="18" s="1"/>
  <c r="O122" i="18"/>
  <c r="Q74" i="18"/>
  <c r="Q72" i="18" s="1"/>
  <c r="T77" i="18"/>
  <c r="Q730" i="15"/>
  <c r="Q728" i="15" s="1"/>
  <c r="R496" i="16"/>
  <c r="U496" i="16" s="1"/>
  <c r="K785" i="17"/>
  <c r="K782" i="17"/>
  <c r="K779" i="17"/>
  <c r="K774" i="17"/>
  <c r="K629" i="17"/>
  <c r="S303" i="17"/>
  <c r="M272" i="17"/>
  <c r="P272" i="17" s="1"/>
  <c r="I195" i="17"/>
  <c r="K195" i="17" s="1"/>
  <c r="T178" i="17"/>
  <c r="S173" i="17"/>
  <c r="K781" i="18"/>
  <c r="P761" i="18"/>
  <c r="R693" i="18"/>
  <c r="U693" i="18" s="1"/>
  <c r="U695" i="18"/>
  <c r="R692" i="18"/>
  <c r="S619" i="18"/>
  <c r="S618" i="18"/>
  <c r="S616" i="18" s="1"/>
  <c r="S333" i="18"/>
  <c r="I319" i="18"/>
  <c r="K319" i="18" s="1"/>
  <c r="K330" i="18"/>
  <c r="R282" i="18"/>
  <c r="U282" i="18" s="1"/>
  <c r="U284" i="18"/>
  <c r="I241" i="18"/>
  <c r="K241" i="18" s="1"/>
  <c r="K252" i="18"/>
  <c r="L159" i="18"/>
  <c r="O159" i="18" s="1"/>
  <c r="O162" i="18"/>
  <c r="M160" i="18"/>
  <c r="P160" i="18" s="1"/>
  <c r="S119" i="18"/>
  <c r="S117" i="18" s="1"/>
  <c r="T122" i="18"/>
  <c r="M96" i="18"/>
  <c r="M94" i="18" s="1"/>
  <c r="P94" i="18" s="1"/>
  <c r="M97" i="18"/>
  <c r="P97" i="18" s="1"/>
  <c r="L50" i="18"/>
  <c r="O50" i="18" s="1"/>
  <c r="O52" i="18"/>
  <c r="S762" i="17"/>
  <c r="T762" i="17" s="1"/>
  <c r="T268" i="17"/>
  <c r="T191" i="17"/>
  <c r="U119" i="17"/>
  <c r="O47" i="17"/>
  <c r="K780" i="18"/>
  <c r="T731" i="18"/>
  <c r="M728" i="18"/>
  <c r="P728" i="18" s="1"/>
  <c r="M714" i="18"/>
  <c r="P714" i="18" s="1"/>
  <c r="P716" i="18"/>
  <c r="T693" i="18"/>
  <c r="R618" i="18"/>
  <c r="R616" i="18" s="1"/>
  <c r="R619" i="18"/>
  <c r="N616" i="18"/>
  <c r="P535" i="18"/>
  <c r="M534" i="18"/>
  <c r="P534" i="18" s="1"/>
  <c r="S377" i="18"/>
  <c r="S375" i="18" s="1"/>
  <c r="S378" i="18"/>
  <c r="R333" i="18"/>
  <c r="U333" i="18" s="1"/>
  <c r="U334" i="18"/>
  <c r="I202" i="18"/>
  <c r="K202" i="18" s="1"/>
  <c r="S160" i="18"/>
  <c r="S159" i="18"/>
  <c r="S157" i="18" s="1"/>
  <c r="I136" i="18"/>
  <c r="K136" i="18" s="1"/>
  <c r="R119" i="18"/>
  <c r="R117" i="18" s="1"/>
  <c r="U122" i="18"/>
  <c r="R59" i="18"/>
  <c r="U59" i="18" s="1"/>
  <c r="S534" i="18"/>
  <c r="M493" i="18"/>
  <c r="P493" i="18" s="1"/>
  <c r="J458" i="18"/>
  <c r="K440" i="18"/>
  <c r="O341" i="18"/>
  <c r="S320" i="18"/>
  <c r="N305" i="18"/>
  <c r="N303" i="18" s="1"/>
  <c r="I281" i="18"/>
  <c r="K281" i="18" s="1"/>
  <c r="L268" i="18"/>
  <c r="O268" i="18" s="1"/>
  <c r="Q189" i="18"/>
  <c r="T189" i="18" s="1"/>
  <c r="K183" i="18"/>
  <c r="N141" i="18"/>
  <c r="N139" i="18" s="1"/>
  <c r="L96" i="18"/>
  <c r="O96" i="18" s="1"/>
  <c r="L61" i="18"/>
  <c r="L59" i="18" s="1"/>
  <c r="R44" i="18"/>
  <c r="U44" i="18" s="1"/>
  <c r="I701" i="18"/>
  <c r="L576" i="18"/>
  <c r="O576" i="18" s="1"/>
  <c r="R534" i="18"/>
  <c r="U534" i="18" s="1"/>
  <c r="P518" i="18"/>
  <c r="N515" i="18"/>
  <c r="N513" i="18" s="1"/>
  <c r="L392" i="18"/>
  <c r="O392" i="18" s="1"/>
  <c r="S356" i="18"/>
  <c r="L335" i="18"/>
  <c r="L333" i="18" s="1"/>
  <c r="L322" i="18"/>
  <c r="L320" i="18" s="1"/>
  <c r="M309" i="18"/>
  <c r="P309" i="18" s="1"/>
  <c r="M305" i="18"/>
  <c r="P305" i="18" s="1"/>
  <c r="L236" i="18"/>
  <c r="J231" i="18"/>
  <c r="J185" i="18" s="1"/>
  <c r="K172" i="18"/>
  <c r="R175" i="18"/>
  <c r="U175" i="18" s="1"/>
  <c r="N159" i="18"/>
  <c r="N157" i="18" s="1"/>
  <c r="I138" i="18"/>
  <c r="K138" i="18" s="1"/>
  <c r="I82" i="18"/>
  <c r="K82" i="18" s="1"/>
  <c r="S44" i="18"/>
  <c r="Q44" i="18"/>
  <c r="T44" i="18" s="1"/>
  <c r="U26" i="18"/>
  <c r="Q24" i="18"/>
  <c r="T24" i="18" s="1"/>
  <c r="N19" i="18"/>
  <c r="N714" i="18"/>
  <c r="J674" i="18"/>
  <c r="M642" i="18"/>
  <c r="P642" i="18" s="1"/>
  <c r="N599" i="18"/>
  <c r="R576" i="18"/>
  <c r="U576" i="18" s="1"/>
  <c r="R496" i="18"/>
  <c r="L493" i="18"/>
  <c r="O493" i="18" s="1"/>
  <c r="N358" i="18"/>
  <c r="N356" i="18" s="1"/>
  <c r="N359" i="18"/>
  <c r="O359" i="18" s="1"/>
  <c r="J332" i="18"/>
  <c r="K332" i="18" s="1"/>
  <c r="N306" i="18"/>
  <c r="N284" i="18"/>
  <c r="N282" i="18" s="1"/>
  <c r="N285" i="18"/>
  <c r="S282" i="18"/>
  <c r="U268" i="18"/>
  <c r="L254" i="18"/>
  <c r="R188" i="18"/>
  <c r="R186" i="18" s="1"/>
  <c r="M145" i="18"/>
  <c r="P145" i="18" s="1"/>
  <c r="N142" i="18"/>
  <c r="L46" i="18"/>
  <c r="L44" i="18" s="1"/>
  <c r="N728" i="18"/>
  <c r="L642" i="18"/>
  <c r="O642" i="18" s="1"/>
  <c r="Q496" i="18"/>
  <c r="U418" i="18"/>
  <c r="R392" i="18"/>
  <c r="U392" i="18" s="1"/>
  <c r="M392" i="18"/>
  <c r="P392" i="18" s="1"/>
  <c r="L375" i="18"/>
  <c r="O375" i="18" s="1"/>
  <c r="K369" i="18"/>
  <c r="P338" i="18"/>
  <c r="M284" i="18"/>
  <c r="P284" i="18" s="1"/>
  <c r="L203" i="18"/>
  <c r="O203" i="18" s="1"/>
  <c r="P194" i="18"/>
  <c r="L74" i="18"/>
  <c r="L72" i="18" s="1"/>
  <c r="L75" i="18"/>
  <c r="O75" i="18" s="1"/>
  <c r="L62" i="18"/>
  <c r="O62" i="18" s="1"/>
  <c r="L19" i="18"/>
  <c r="M513" i="18"/>
  <c r="P513" i="18" s="1"/>
  <c r="P515" i="18"/>
  <c r="T644" i="18"/>
  <c r="Q642" i="18"/>
  <c r="T642" i="18" s="1"/>
  <c r="U731" i="18"/>
  <c r="O122" i="16"/>
  <c r="R97" i="16"/>
  <c r="P47" i="16"/>
  <c r="U765" i="17"/>
  <c r="Q730" i="17"/>
  <c r="T730" i="17" s="1"/>
  <c r="R416" i="17"/>
  <c r="U416" i="17" s="1"/>
  <c r="P336" i="17"/>
  <c r="L323" i="17"/>
  <c r="O323" i="17" s="1"/>
  <c r="O287" i="17"/>
  <c r="T119" i="17"/>
  <c r="S94" i="17"/>
  <c r="U94" i="17" s="1"/>
  <c r="P80" i="17"/>
  <c r="O77" i="17"/>
  <c r="O64" i="17"/>
  <c r="K772" i="18"/>
  <c r="T761" i="18"/>
  <c r="T695" i="18"/>
  <c r="Q692" i="18"/>
  <c r="U691" i="18"/>
  <c r="O691" i="18"/>
  <c r="T647" i="18"/>
  <c r="U643" i="18"/>
  <c r="O643" i="18"/>
  <c r="K632" i="18"/>
  <c r="U621" i="18"/>
  <c r="P617" i="18"/>
  <c r="U577" i="18"/>
  <c r="R555" i="18"/>
  <c r="U555" i="18" s="1"/>
  <c r="L555" i="18"/>
  <c r="O555" i="18" s="1"/>
  <c r="S496" i="18"/>
  <c r="S495" i="18"/>
  <c r="U495" i="18" s="1"/>
  <c r="Q392" i="18"/>
  <c r="T392" i="18" s="1"/>
  <c r="O364" i="18"/>
  <c r="O361" i="18"/>
  <c r="R356" i="18"/>
  <c r="U356" i="18" s="1"/>
  <c r="Q269" i="18"/>
  <c r="T271" i="18"/>
  <c r="K220" i="15"/>
  <c r="J701" i="16"/>
  <c r="S731" i="17"/>
  <c r="T731" i="17" s="1"/>
  <c r="K630" i="17"/>
  <c r="P518" i="17"/>
  <c r="K369" i="17"/>
  <c r="J351" i="17"/>
  <c r="P271" i="17"/>
  <c r="O122" i="17"/>
  <c r="P99" i="17"/>
  <c r="O80" i="17"/>
  <c r="K703" i="18"/>
  <c r="T621" i="18"/>
  <c r="O600" i="18"/>
  <c r="Q599" i="18"/>
  <c r="T599" i="18" s="1"/>
  <c r="M576" i="18"/>
  <c r="P576" i="18" s="1"/>
  <c r="Q555" i="18"/>
  <c r="T555" i="18" s="1"/>
  <c r="Q534" i="18"/>
  <c r="T534" i="18" s="1"/>
  <c r="M519" i="18"/>
  <c r="P519" i="18" s="1"/>
  <c r="R513" i="18"/>
  <c r="U513" i="18" s="1"/>
  <c r="R413" i="18"/>
  <c r="U413" i="18" s="1"/>
  <c r="L413" i="18"/>
  <c r="O413" i="18" s="1"/>
  <c r="O393" i="18"/>
  <c r="J343" i="18"/>
  <c r="L285" i="18"/>
  <c r="O285" i="18" s="1"/>
  <c r="L284" i="18"/>
  <c r="O287" i="18"/>
  <c r="I615" i="18"/>
  <c r="K615" i="18" s="1"/>
  <c r="R378" i="18"/>
  <c r="U378" i="18" s="1"/>
  <c r="R377" i="18"/>
  <c r="U377" i="18" s="1"/>
  <c r="U380" i="18"/>
  <c r="U733" i="17"/>
  <c r="S619" i="17"/>
  <c r="U619" i="17" s="1"/>
  <c r="O274" i="17"/>
  <c r="U162" i="17"/>
  <c r="O102" i="17"/>
  <c r="S730" i="18"/>
  <c r="S728" i="18" s="1"/>
  <c r="K631" i="18"/>
  <c r="T617" i="18"/>
  <c r="O535" i="18"/>
  <c r="R493" i="18"/>
  <c r="I412" i="18"/>
  <c r="K412" i="18" s="1"/>
  <c r="K423" i="18"/>
  <c r="O376" i="18"/>
  <c r="P361" i="18"/>
  <c r="M359" i="18"/>
  <c r="M358" i="18"/>
  <c r="M326" i="18"/>
  <c r="P326" i="18" s="1"/>
  <c r="P328" i="18"/>
  <c r="M322" i="18"/>
  <c r="I137" i="16"/>
  <c r="K137" i="16" s="1"/>
  <c r="U77" i="16"/>
  <c r="R762" i="17"/>
  <c r="O359" i="17"/>
  <c r="L234" i="17"/>
  <c r="M160" i="17"/>
  <c r="U99" i="17"/>
  <c r="I759" i="18"/>
  <c r="K759" i="18" s="1"/>
  <c r="U733" i="18"/>
  <c r="K707" i="18"/>
  <c r="K630" i="18"/>
  <c r="K626" i="18"/>
  <c r="U600" i="18"/>
  <c r="P494" i="18"/>
  <c r="Q493" i="18"/>
  <c r="U393" i="18"/>
  <c r="L358" i="18"/>
  <c r="K293" i="18"/>
  <c r="I280" i="18"/>
  <c r="K280" i="18" s="1"/>
  <c r="P122" i="18"/>
  <c r="M120" i="18"/>
  <c r="P120" i="18" s="1"/>
  <c r="M119" i="18"/>
  <c r="P119" i="18" s="1"/>
  <c r="P144" i="15"/>
  <c r="K707" i="16"/>
  <c r="J702" i="16"/>
  <c r="J701" i="17"/>
  <c r="L515" i="17"/>
  <c r="L513" i="17" s="1"/>
  <c r="O513" i="17" s="1"/>
  <c r="P306" i="17"/>
  <c r="L268" i="17"/>
  <c r="O268" i="17" s="1"/>
  <c r="Q189" i="17"/>
  <c r="T189" i="17" s="1"/>
  <c r="P176" i="17"/>
  <c r="M141" i="17"/>
  <c r="M142" i="17"/>
  <c r="P142" i="17" s="1"/>
  <c r="T733" i="18"/>
  <c r="M599" i="18"/>
  <c r="P599" i="18" s="1"/>
  <c r="Q576" i="18"/>
  <c r="T576" i="18" s="1"/>
  <c r="T322" i="18"/>
  <c r="Q320" i="18"/>
  <c r="T320" i="18" s="1"/>
  <c r="L306" i="18"/>
  <c r="O306" i="18" s="1"/>
  <c r="L305" i="18"/>
  <c r="O308" i="18"/>
  <c r="P283" i="18"/>
  <c r="Q266" i="18"/>
  <c r="T266" i="18" s="1"/>
  <c r="T268" i="18"/>
  <c r="R142" i="18"/>
  <c r="U142" i="18" s="1"/>
  <c r="U144" i="18"/>
  <c r="R141" i="18"/>
  <c r="L515" i="18"/>
  <c r="O515" i="18" s="1"/>
  <c r="M339" i="18"/>
  <c r="P339" i="18" s="1"/>
  <c r="N336" i="18"/>
  <c r="P336" i="18" s="1"/>
  <c r="S303" i="18"/>
  <c r="N269" i="18"/>
  <c r="P271" i="18"/>
  <c r="N268" i="18"/>
  <c r="N266" i="18" s="1"/>
  <c r="N233" i="18"/>
  <c r="N254" i="18"/>
  <c r="L214" i="18"/>
  <c r="O214" i="18" s="1"/>
  <c r="N175" i="18"/>
  <c r="N173" i="18" s="1"/>
  <c r="S24" i="18"/>
  <c r="S19" i="18"/>
  <c r="K344" i="18"/>
  <c r="M335" i="18"/>
  <c r="L326" i="18"/>
  <c r="O326" i="18" s="1"/>
  <c r="O311" i="18"/>
  <c r="T308" i="18"/>
  <c r="Q305" i="18"/>
  <c r="T203" i="18"/>
  <c r="O147" i="18"/>
  <c r="L336" i="18"/>
  <c r="L243" i="18"/>
  <c r="L233" i="18"/>
  <c r="P181" i="18"/>
  <c r="M179" i="18"/>
  <c r="P179" i="18" s="1"/>
  <c r="M175" i="18"/>
  <c r="Q117" i="18"/>
  <c r="T498" i="18"/>
  <c r="P304" i="18"/>
  <c r="K265" i="18"/>
  <c r="I240" i="18"/>
  <c r="K240" i="18" s="1"/>
  <c r="K251" i="18"/>
  <c r="U189" i="18"/>
  <c r="L189" i="18"/>
  <c r="L188" i="18"/>
  <c r="P176" i="18"/>
  <c r="O158" i="18"/>
  <c r="P52" i="18"/>
  <c r="M26" i="18"/>
  <c r="P26" i="18" s="1"/>
  <c r="M50" i="18"/>
  <c r="P50" i="18" s="1"/>
  <c r="I302" i="18"/>
  <c r="K302" i="18" s="1"/>
  <c r="K314" i="18"/>
  <c r="R266" i="18"/>
  <c r="U266" i="18" s="1"/>
  <c r="K242" i="18"/>
  <c r="Q186" i="18"/>
  <c r="Q173" i="18"/>
  <c r="T173" i="18" s="1"/>
  <c r="S306" i="18"/>
  <c r="M306" i="18"/>
  <c r="P306" i="18" s="1"/>
  <c r="M285" i="18"/>
  <c r="P285" i="18" s="1"/>
  <c r="L272" i="18"/>
  <c r="O272" i="18" s="1"/>
  <c r="R269" i="18"/>
  <c r="L269" i="18"/>
  <c r="O269" i="18" s="1"/>
  <c r="I238" i="18"/>
  <c r="K238" i="18" s="1"/>
  <c r="Q176" i="18"/>
  <c r="T176" i="18" s="1"/>
  <c r="Q159" i="18"/>
  <c r="Q142" i="18"/>
  <c r="T142" i="18" s="1"/>
  <c r="S120" i="18"/>
  <c r="U118" i="18"/>
  <c r="I93" i="18"/>
  <c r="K93" i="18" s="1"/>
  <c r="K109" i="18"/>
  <c r="Q97" i="18"/>
  <c r="T97" i="18" s="1"/>
  <c r="R94" i="18"/>
  <c r="U94" i="18" s="1"/>
  <c r="P75" i="18"/>
  <c r="N322" i="18"/>
  <c r="N320" i="18" s="1"/>
  <c r="P308" i="18"/>
  <c r="P287" i="18"/>
  <c r="U271" i="18"/>
  <c r="O271" i="18"/>
  <c r="M188" i="18"/>
  <c r="S188" i="18"/>
  <c r="S186" i="18" s="1"/>
  <c r="O178" i="18"/>
  <c r="L175" i="18"/>
  <c r="M163" i="18"/>
  <c r="P163" i="18" s="1"/>
  <c r="O144" i="18"/>
  <c r="Q141" i="18"/>
  <c r="Q120" i="18"/>
  <c r="K108" i="18"/>
  <c r="I92" i="18"/>
  <c r="K92" i="18" s="1"/>
  <c r="P67" i="18"/>
  <c r="M65" i="18"/>
  <c r="P65" i="18" s="1"/>
  <c r="O47" i="18"/>
  <c r="L26" i="18"/>
  <c r="K249" i="18"/>
  <c r="M189" i="18"/>
  <c r="O181" i="18"/>
  <c r="T178" i="18"/>
  <c r="P178" i="18"/>
  <c r="M159" i="18"/>
  <c r="M142" i="18"/>
  <c r="P142" i="18" s="1"/>
  <c r="M141" i="18"/>
  <c r="K127" i="18"/>
  <c r="M123" i="18"/>
  <c r="P123" i="18" s="1"/>
  <c r="Q96" i="18"/>
  <c r="P47" i="18"/>
  <c r="P22" i="18"/>
  <c r="M19" i="18"/>
  <c r="L141" i="18"/>
  <c r="N119" i="18"/>
  <c r="N117" i="18" s="1"/>
  <c r="N26" i="18"/>
  <c r="N24" i="18" s="1"/>
  <c r="P25" i="18"/>
  <c r="O19" i="18"/>
  <c r="R160" i="18"/>
  <c r="U160" i="18" s="1"/>
  <c r="L160" i="18"/>
  <c r="O160" i="18" s="1"/>
  <c r="R120" i="18"/>
  <c r="L120" i="18"/>
  <c r="O120" i="18" s="1"/>
  <c r="P99" i="18"/>
  <c r="R97" i="18"/>
  <c r="U97" i="18" s="1"/>
  <c r="L97" i="18"/>
  <c r="O97" i="18" s="1"/>
  <c r="O80" i="18"/>
  <c r="U77" i="18"/>
  <c r="O77" i="18"/>
  <c r="Q75" i="18"/>
  <c r="T75" i="18" s="1"/>
  <c r="O64" i="18"/>
  <c r="N50" i="18"/>
  <c r="O49" i="18"/>
  <c r="N23" i="18"/>
  <c r="N74" i="18"/>
  <c r="N61" i="18"/>
  <c r="N46" i="18"/>
  <c r="S23" i="18"/>
  <c r="S20" i="18" s="1"/>
  <c r="M23" i="18"/>
  <c r="M21" i="18" s="1"/>
  <c r="Q19" i="18"/>
  <c r="N96" i="18"/>
  <c r="N94" i="18" s="1"/>
  <c r="S74" i="18"/>
  <c r="S72" i="18" s="1"/>
  <c r="M74" i="18"/>
  <c r="M61" i="18"/>
  <c r="M46" i="18"/>
  <c r="R23" i="18"/>
  <c r="L23" i="18"/>
  <c r="Q23" i="18"/>
  <c r="R644" i="17"/>
  <c r="R642" i="17" s="1"/>
  <c r="R645" i="17"/>
  <c r="U645" i="17" s="1"/>
  <c r="K457" i="17"/>
  <c r="I456" i="17"/>
  <c r="K456" i="17" s="1"/>
  <c r="N141" i="17"/>
  <c r="N139" i="17" s="1"/>
  <c r="N142" i="17"/>
  <c r="K661" i="12"/>
  <c r="P274" i="15"/>
  <c r="K783" i="16"/>
  <c r="T178" i="16"/>
  <c r="I168" i="16"/>
  <c r="K168" i="16" s="1"/>
  <c r="P761" i="17"/>
  <c r="N728" i="17"/>
  <c r="R496" i="17"/>
  <c r="U496" i="17" s="1"/>
  <c r="U498" i="17"/>
  <c r="Q377" i="17"/>
  <c r="Q375" i="17" s="1"/>
  <c r="Q378" i="17"/>
  <c r="L305" i="17"/>
  <c r="L303" i="17" s="1"/>
  <c r="L306" i="17"/>
  <c r="O306" i="17" s="1"/>
  <c r="O308" i="17"/>
  <c r="L203" i="17"/>
  <c r="O203" i="17" s="1"/>
  <c r="T306" i="15"/>
  <c r="L62" i="15"/>
  <c r="O62" i="15" s="1"/>
  <c r="O49" i="15"/>
  <c r="O191" i="16"/>
  <c r="K167" i="16"/>
  <c r="U122" i="16"/>
  <c r="M714" i="17"/>
  <c r="P714" i="17" s="1"/>
  <c r="P715" i="17"/>
  <c r="L642" i="17"/>
  <c r="O642" i="17" s="1"/>
  <c r="T357" i="17"/>
  <c r="Q356" i="17"/>
  <c r="T356" i="17" s="1"/>
  <c r="N96" i="17"/>
  <c r="N94" i="17" s="1"/>
  <c r="N97" i="17"/>
  <c r="T25" i="17"/>
  <c r="Q24" i="17"/>
  <c r="T24" i="17" s="1"/>
  <c r="J675" i="15"/>
  <c r="M145" i="15"/>
  <c r="P145" i="15" s="1"/>
  <c r="I423" i="16"/>
  <c r="K423" i="16" s="1"/>
  <c r="O328" i="16"/>
  <c r="M288" i="16"/>
  <c r="P288" i="16" s="1"/>
  <c r="Q513" i="17"/>
  <c r="T513" i="17" s="1"/>
  <c r="T515" i="17"/>
  <c r="N323" i="17"/>
  <c r="N322" i="17"/>
  <c r="N320" i="17" s="1"/>
  <c r="R305" i="17"/>
  <c r="U305" i="17" s="1"/>
  <c r="U308" i="17"/>
  <c r="L179" i="17"/>
  <c r="O179" i="17" s="1"/>
  <c r="O181" i="17"/>
  <c r="M100" i="17"/>
  <c r="P100" i="17" s="1"/>
  <c r="P102" i="17"/>
  <c r="Q74" i="17"/>
  <c r="Q72" i="17" s="1"/>
  <c r="T77" i="17"/>
  <c r="M305" i="15"/>
  <c r="M303" i="15" s="1"/>
  <c r="M268" i="15"/>
  <c r="M266" i="15" s="1"/>
  <c r="R495" i="16"/>
  <c r="U495" i="16" s="1"/>
  <c r="M358" i="16"/>
  <c r="Q306" i="16"/>
  <c r="T306" i="16" s="1"/>
  <c r="K293" i="16"/>
  <c r="R268" i="16"/>
  <c r="R266" i="16" s="1"/>
  <c r="O144" i="16"/>
  <c r="M392" i="17"/>
  <c r="P392" i="17" s="1"/>
  <c r="P394" i="17"/>
  <c r="M284" i="17"/>
  <c r="P284" i="17" s="1"/>
  <c r="M285" i="17"/>
  <c r="P285" i="17" s="1"/>
  <c r="P287" i="17"/>
  <c r="L236" i="17"/>
  <c r="K108" i="17"/>
  <c r="I92" i="17"/>
  <c r="K92" i="17" s="1"/>
  <c r="K784" i="16"/>
  <c r="Q763" i="16"/>
  <c r="T763" i="16" s="1"/>
  <c r="L309" i="16"/>
  <c r="O309" i="16" s="1"/>
  <c r="R72" i="16"/>
  <c r="U72" i="16" s="1"/>
  <c r="Q763" i="17"/>
  <c r="T763" i="17" s="1"/>
  <c r="R692" i="17"/>
  <c r="R690" i="17" s="1"/>
  <c r="R693" i="17"/>
  <c r="U693" i="17" s="1"/>
  <c r="P600" i="17"/>
  <c r="M599" i="17"/>
  <c r="P599" i="17" s="1"/>
  <c r="L576" i="17"/>
  <c r="O576" i="17" s="1"/>
  <c r="O578" i="17"/>
  <c r="P361" i="17"/>
  <c r="M359" i="17"/>
  <c r="P359" i="17" s="1"/>
  <c r="Q75" i="17"/>
  <c r="P729" i="17"/>
  <c r="R714" i="17"/>
  <c r="U714" i="17" s="1"/>
  <c r="L714" i="17"/>
  <c r="O714" i="17" s="1"/>
  <c r="T693" i="17"/>
  <c r="L690" i="17"/>
  <c r="O690" i="17" s="1"/>
  <c r="J674" i="17"/>
  <c r="K674" i="17" s="1"/>
  <c r="T645" i="17"/>
  <c r="O601" i="17"/>
  <c r="U577" i="17"/>
  <c r="Q555" i="17"/>
  <c r="T555" i="17" s="1"/>
  <c r="P536" i="17"/>
  <c r="R493" i="17"/>
  <c r="U493" i="17" s="1"/>
  <c r="L375" i="17"/>
  <c r="O375" i="17" s="1"/>
  <c r="K365" i="17"/>
  <c r="P311" i="17"/>
  <c r="T308" i="17"/>
  <c r="U271" i="17"/>
  <c r="O271" i="17"/>
  <c r="M269" i="17"/>
  <c r="P269" i="17" s="1"/>
  <c r="M188" i="17"/>
  <c r="M186" i="17" s="1"/>
  <c r="S188" i="17"/>
  <c r="S186" i="17" s="1"/>
  <c r="I172" i="17"/>
  <c r="K172" i="17" s="1"/>
  <c r="M145" i="17"/>
  <c r="P145" i="17" s="1"/>
  <c r="R120" i="17"/>
  <c r="M96" i="17"/>
  <c r="P96" i="17" s="1"/>
  <c r="S97" i="17"/>
  <c r="P77" i="17"/>
  <c r="S59" i="17"/>
  <c r="P49" i="17"/>
  <c r="O729" i="17"/>
  <c r="K676" i="17"/>
  <c r="S644" i="17"/>
  <c r="S642" i="17" s="1"/>
  <c r="N555" i="17"/>
  <c r="O536" i="17"/>
  <c r="S513" i="17"/>
  <c r="S496" i="17"/>
  <c r="N493" i="17"/>
  <c r="T393" i="17"/>
  <c r="K368" i="17"/>
  <c r="P364" i="17"/>
  <c r="L326" i="17"/>
  <c r="O326" i="17" s="1"/>
  <c r="L322" i="17"/>
  <c r="O322" i="17" s="1"/>
  <c r="Q320" i="17"/>
  <c r="T320" i="17" s="1"/>
  <c r="O311" i="17"/>
  <c r="P308" i="17"/>
  <c r="K292" i="17"/>
  <c r="T271" i="17"/>
  <c r="L269" i="17"/>
  <c r="O269" i="17" s="1"/>
  <c r="L233" i="17"/>
  <c r="K221" i="17"/>
  <c r="P181" i="17"/>
  <c r="U144" i="17"/>
  <c r="K127" i="17"/>
  <c r="T122" i="17"/>
  <c r="L119" i="17"/>
  <c r="O119" i="17" s="1"/>
  <c r="Q120" i="17"/>
  <c r="U96" i="17"/>
  <c r="L96" i="17"/>
  <c r="R97" i="17"/>
  <c r="U77" i="17"/>
  <c r="M75" i="17"/>
  <c r="P75" i="17" s="1"/>
  <c r="O49" i="17"/>
  <c r="N19" i="17"/>
  <c r="J702" i="17"/>
  <c r="S692" i="17"/>
  <c r="S690" i="17" s="1"/>
  <c r="N358" i="17"/>
  <c r="N356" i="17" s="1"/>
  <c r="S333" i="17"/>
  <c r="S269" i="17"/>
  <c r="L254" i="17"/>
  <c r="O254" i="17" s="1"/>
  <c r="Q175" i="17"/>
  <c r="T175" i="17" s="1"/>
  <c r="Q157" i="17"/>
  <c r="T157" i="17" s="1"/>
  <c r="P47" i="17"/>
  <c r="R44" i="17"/>
  <c r="U44" i="17" s="1"/>
  <c r="R730" i="17"/>
  <c r="U730" i="17" s="1"/>
  <c r="K682" i="17"/>
  <c r="K661" i="17"/>
  <c r="N642" i="17"/>
  <c r="N616" i="17"/>
  <c r="N515" i="17"/>
  <c r="N513" i="17" s="1"/>
  <c r="K503" i="17"/>
  <c r="N305" i="17"/>
  <c r="N303" i="17" s="1"/>
  <c r="U268" i="17"/>
  <c r="R269" i="17"/>
  <c r="N232" i="17"/>
  <c r="L222" i="17"/>
  <c r="O222" i="17" s="1"/>
  <c r="L214" i="17"/>
  <c r="O214" i="17" s="1"/>
  <c r="O178" i="17"/>
  <c r="I136" i="17"/>
  <c r="K136" i="17" s="1"/>
  <c r="I83" i="17"/>
  <c r="K83" i="17" s="1"/>
  <c r="S75" i="17"/>
  <c r="L19" i="17"/>
  <c r="K726" i="17"/>
  <c r="N690" i="17"/>
  <c r="S493" i="17"/>
  <c r="R333" i="17"/>
  <c r="U333" i="17" s="1"/>
  <c r="M305" i="17"/>
  <c r="M303" i="17" s="1"/>
  <c r="S306" i="17"/>
  <c r="U306" i="17" s="1"/>
  <c r="Q269" i="17"/>
  <c r="R141" i="17"/>
  <c r="U141" i="17" s="1"/>
  <c r="U74" i="17"/>
  <c r="L74" i="17"/>
  <c r="L72" i="17" s="1"/>
  <c r="R75" i="17"/>
  <c r="L46" i="17"/>
  <c r="K705" i="13"/>
  <c r="U695" i="16"/>
  <c r="L362" i="16"/>
  <c r="O362" i="16" s="1"/>
  <c r="T144" i="16"/>
  <c r="Q714" i="17"/>
  <c r="T714" i="17" s="1"/>
  <c r="J689" i="17"/>
  <c r="K689" i="17" s="1"/>
  <c r="K707" i="17"/>
  <c r="U515" i="17"/>
  <c r="R513" i="17"/>
  <c r="U513" i="17" s="1"/>
  <c r="T380" i="17"/>
  <c r="S378" i="17"/>
  <c r="T378" i="17" s="1"/>
  <c r="S377" i="17"/>
  <c r="O290" i="17"/>
  <c r="L288" i="17"/>
  <c r="O288" i="17" s="1"/>
  <c r="N78" i="17"/>
  <c r="N26" i="17"/>
  <c r="N24" i="17" s="1"/>
  <c r="N74" i="17"/>
  <c r="N72" i="17" s="1"/>
  <c r="S140" i="1"/>
  <c r="K368" i="14"/>
  <c r="O364" i="14"/>
  <c r="J702" i="15"/>
  <c r="J374" i="15"/>
  <c r="T765" i="16"/>
  <c r="Q159" i="16"/>
  <c r="T159" i="16" s="1"/>
  <c r="T162" i="16"/>
  <c r="L760" i="17"/>
  <c r="O760" i="17" s="1"/>
  <c r="M642" i="17"/>
  <c r="P642" i="17" s="1"/>
  <c r="Q618" i="17"/>
  <c r="T618" i="17" s="1"/>
  <c r="Q619" i="17"/>
  <c r="T621" i="17"/>
  <c r="L336" i="16"/>
  <c r="O336" i="16" s="1"/>
  <c r="O338" i="16"/>
  <c r="T643" i="17"/>
  <c r="K630" i="13"/>
  <c r="O125" i="14"/>
  <c r="K784" i="15"/>
  <c r="Q496" i="16"/>
  <c r="T496" i="16" s="1"/>
  <c r="T498" i="16"/>
  <c r="L176" i="16"/>
  <c r="O178" i="16"/>
  <c r="M123" i="16"/>
  <c r="P123" i="16" s="1"/>
  <c r="P125" i="16"/>
  <c r="T691" i="17"/>
  <c r="Q496" i="17"/>
  <c r="T496" i="17" s="1"/>
  <c r="Q495" i="17"/>
  <c r="T498" i="17"/>
  <c r="L335" i="17"/>
  <c r="O338" i="17"/>
  <c r="L336" i="17"/>
  <c r="O336" i="17" s="1"/>
  <c r="P328" i="16"/>
  <c r="M326" i="16"/>
  <c r="P326" i="16" s="1"/>
  <c r="S189" i="14"/>
  <c r="R762" i="16"/>
  <c r="U762" i="16" s="1"/>
  <c r="K705" i="16"/>
  <c r="J374" i="16"/>
  <c r="P308" i="16"/>
  <c r="L284" i="16"/>
  <c r="O284" i="16" s="1"/>
  <c r="M97" i="16"/>
  <c r="P97" i="16" s="1"/>
  <c r="P99" i="16"/>
  <c r="Q760" i="17"/>
  <c r="I701" i="17"/>
  <c r="N413" i="17"/>
  <c r="N268" i="15"/>
  <c r="N266" i="15" s="1"/>
  <c r="P178" i="15"/>
  <c r="K781" i="16"/>
  <c r="K778" i="16"/>
  <c r="R730" i="16"/>
  <c r="U730" i="16" s="1"/>
  <c r="S728" i="16"/>
  <c r="U619" i="16"/>
  <c r="N322" i="16"/>
  <c r="N320" i="16" s="1"/>
  <c r="L214" i="16"/>
  <c r="O214" i="16" s="1"/>
  <c r="U191" i="16"/>
  <c r="M690" i="17"/>
  <c r="P690" i="17" s="1"/>
  <c r="K678" i="17"/>
  <c r="J675" i="17"/>
  <c r="K675" i="17" s="1"/>
  <c r="K626" i="17"/>
  <c r="J615" i="17"/>
  <c r="K368" i="16"/>
  <c r="J351" i="16"/>
  <c r="L96" i="16"/>
  <c r="L94" i="16" s="1"/>
  <c r="O94" i="16" s="1"/>
  <c r="P77" i="16"/>
  <c r="O47" i="16"/>
  <c r="T765" i="17"/>
  <c r="U761" i="17"/>
  <c r="O761" i="17"/>
  <c r="T729" i="17"/>
  <c r="T715" i="17"/>
  <c r="U695" i="17"/>
  <c r="P691" i="17"/>
  <c r="U647" i="17"/>
  <c r="P643" i="17"/>
  <c r="M616" i="17"/>
  <c r="P616" i="17" s="1"/>
  <c r="P617" i="17"/>
  <c r="M555" i="17"/>
  <c r="P555" i="17" s="1"/>
  <c r="L555" i="17"/>
  <c r="O555" i="17" s="1"/>
  <c r="O521" i="17"/>
  <c r="O518" i="17"/>
  <c r="J503" i="17"/>
  <c r="J492" i="17" s="1"/>
  <c r="M61" i="17"/>
  <c r="M59" i="17" s="1"/>
  <c r="N358" i="16"/>
  <c r="N356" i="16" s="1"/>
  <c r="U306" i="16"/>
  <c r="U271" i="16"/>
  <c r="L233" i="16"/>
  <c r="L222" i="16"/>
  <c r="O222" i="16" s="1"/>
  <c r="O77" i="16"/>
  <c r="P64" i="16"/>
  <c r="K772" i="17"/>
  <c r="T761" i="17"/>
  <c r="T695" i="17"/>
  <c r="Q692" i="17"/>
  <c r="U691" i="17"/>
  <c r="O691" i="17"/>
  <c r="T647" i="17"/>
  <c r="Q644" i="17"/>
  <c r="U643" i="17"/>
  <c r="O643" i="17"/>
  <c r="U621" i="17"/>
  <c r="R618" i="17"/>
  <c r="U618" i="17" s="1"/>
  <c r="T617" i="17"/>
  <c r="L616" i="17"/>
  <c r="O616" i="17" s="1"/>
  <c r="Q599" i="17"/>
  <c r="T599" i="17" s="1"/>
  <c r="P578" i="17"/>
  <c r="T577" i="17"/>
  <c r="T556" i="17"/>
  <c r="Q534" i="17"/>
  <c r="T534" i="17" s="1"/>
  <c r="L516" i="17"/>
  <c r="O516" i="17" s="1"/>
  <c r="U494" i="17"/>
  <c r="O494" i="17"/>
  <c r="Q416" i="17"/>
  <c r="T416" i="17" s="1"/>
  <c r="Q415" i="17"/>
  <c r="T415" i="17" s="1"/>
  <c r="T418" i="17"/>
  <c r="L413" i="17"/>
  <c r="O413" i="17" s="1"/>
  <c r="O414" i="17"/>
  <c r="O357" i="17"/>
  <c r="K346" i="17"/>
  <c r="T305" i="17"/>
  <c r="Q303" i="17"/>
  <c r="K703" i="17"/>
  <c r="S616" i="17"/>
  <c r="S555" i="17"/>
  <c r="P521" i="17"/>
  <c r="M519" i="17"/>
  <c r="P519" i="17" s="1"/>
  <c r="K242" i="17"/>
  <c r="R186" i="17"/>
  <c r="U187" i="17"/>
  <c r="S159" i="17"/>
  <c r="S157" i="17" s="1"/>
  <c r="S160" i="17"/>
  <c r="P67" i="17"/>
  <c r="M65" i="17"/>
  <c r="P65" i="17" s="1"/>
  <c r="K108" i="16"/>
  <c r="R75" i="16"/>
  <c r="U75" i="16" s="1"/>
  <c r="O49" i="16"/>
  <c r="K615" i="17"/>
  <c r="R555" i="17"/>
  <c r="U555" i="17" s="1"/>
  <c r="R413" i="17"/>
  <c r="U413" i="17" s="1"/>
  <c r="U414" i="17"/>
  <c r="U376" i="17"/>
  <c r="R356" i="17"/>
  <c r="U356" i="17" s="1"/>
  <c r="U357" i="17"/>
  <c r="P334" i="17"/>
  <c r="M323" i="17"/>
  <c r="P323" i="17" s="1"/>
  <c r="P325" i="17"/>
  <c r="M322" i="17"/>
  <c r="P322" i="17" s="1"/>
  <c r="K260" i="17"/>
  <c r="I238" i="17"/>
  <c r="K238" i="17" s="1"/>
  <c r="I253" i="17"/>
  <c r="K253" i="17" s="1"/>
  <c r="T203" i="17"/>
  <c r="P52" i="17"/>
  <c r="M26" i="17"/>
  <c r="P26" i="17" s="1"/>
  <c r="M50" i="17"/>
  <c r="P50" i="17" s="1"/>
  <c r="R24" i="17"/>
  <c r="U24" i="17" s="1"/>
  <c r="U25" i="17"/>
  <c r="R19" i="17"/>
  <c r="O19" i="17"/>
  <c r="O64" i="16"/>
  <c r="U393" i="17"/>
  <c r="R392" i="17"/>
  <c r="U392" i="17" s="1"/>
  <c r="N272" i="17"/>
  <c r="N268" i="17"/>
  <c r="N266" i="17" s="1"/>
  <c r="O191" i="17"/>
  <c r="L189" i="17"/>
  <c r="O189" i="17" s="1"/>
  <c r="L188" i="17"/>
  <c r="I423" i="17"/>
  <c r="S415" i="17"/>
  <c r="S413" i="17" s="1"/>
  <c r="R377" i="17"/>
  <c r="U380" i="17"/>
  <c r="O341" i="17"/>
  <c r="U335" i="17"/>
  <c r="P321" i="17"/>
  <c r="Q306" i="17"/>
  <c r="L284" i="17"/>
  <c r="P267" i="17"/>
  <c r="L243" i="17"/>
  <c r="Q186" i="17"/>
  <c r="T187" i="17"/>
  <c r="U174" i="17"/>
  <c r="K167" i="17"/>
  <c r="I168" i="17"/>
  <c r="K168" i="17" s="1"/>
  <c r="I169" i="17"/>
  <c r="K169" i="17" s="1"/>
  <c r="K153" i="17"/>
  <c r="I138" i="17"/>
  <c r="K138" i="17" s="1"/>
  <c r="O67" i="17"/>
  <c r="L65" i="17"/>
  <c r="O65" i="17" s="1"/>
  <c r="O52" i="17"/>
  <c r="L26" i="17"/>
  <c r="O26" i="17" s="1"/>
  <c r="L50" i="17"/>
  <c r="O50" i="17" s="1"/>
  <c r="P556" i="17"/>
  <c r="U418" i="17"/>
  <c r="K371" i="17"/>
  <c r="O364" i="17"/>
  <c r="O361" i="17"/>
  <c r="M358" i="17"/>
  <c r="P357" i="17"/>
  <c r="P338" i="17"/>
  <c r="T335" i="17"/>
  <c r="N335" i="17"/>
  <c r="N333" i="17" s="1"/>
  <c r="P328" i="17"/>
  <c r="O321" i="17"/>
  <c r="U191" i="17"/>
  <c r="R189" i="17"/>
  <c r="U189" i="17" s="1"/>
  <c r="N188" i="17"/>
  <c r="N186" i="17" s="1"/>
  <c r="P144" i="17"/>
  <c r="M23" i="17"/>
  <c r="M21" i="17" s="1"/>
  <c r="T118" i="17"/>
  <c r="Q117" i="17"/>
  <c r="O75" i="17"/>
  <c r="U60" i="17"/>
  <c r="R59" i="17"/>
  <c r="U59" i="17" s="1"/>
  <c r="U22" i="17"/>
  <c r="M515" i="17"/>
  <c r="P515" i="17" s="1"/>
  <c r="M413" i="17"/>
  <c r="P413" i="17" s="1"/>
  <c r="N392" i="17"/>
  <c r="K385" i="17"/>
  <c r="N375" i="17"/>
  <c r="L358" i="17"/>
  <c r="L356" i="17" s="1"/>
  <c r="I332" i="17"/>
  <c r="K344" i="17"/>
  <c r="S320" i="17"/>
  <c r="I319" i="17"/>
  <c r="K319" i="17" s="1"/>
  <c r="S266" i="17"/>
  <c r="T266" i="17" s="1"/>
  <c r="R266" i="17"/>
  <c r="P178" i="17"/>
  <c r="M175" i="17"/>
  <c r="N160" i="17"/>
  <c r="O162" i="17"/>
  <c r="N159" i="17"/>
  <c r="N157" i="17" s="1"/>
  <c r="L145" i="17"/>
  <c r="O145" i="17" s="1"/>
  <c r="O147" i="17"/>
  <c r="L142" i="17"/>
  <c r="O142" i="17" s="1"/>
  <c r="O144" i="17"/>
  <c r="T140" i="17"/>
  <c r="M123" i="17"/>
  <c r="P123" i="17" s="1"/>
  <c r="S19" i="17"/>
  <c r="T414" i="17"/>
  <c r="J343" i="17"/>
  <c r="R320" i="17"/>
  <c r="U320" i="17" s="1"/>
  <c r="U321" i="17"/>
  <c r="K209" i="17"/>
  <c r="I202" i="17"/>
  <c r="K202" i="17" s="1"/>
  <c r="P194" i="17"/>
  <c r="M192" i="17"/>
  <c r="P192" i="17" s="1"/>
  <c r="M159" i="17"/>
  <c r="S141" i="17"/>
  <c r="S139" i="17" s="1"/>
  <c r="S142" i="17"/>
  <c r="M119" i="17"/>
  <c r="P119" i="17" s="1"/>
  <c r="P118" i="17"/>
  <c r="P73" i="17"/>
  <c r="R378" i="17"/>
  <c r="M339" i="17"/>
  <c r="P339" i="17" s="1"/>
  <c r="M335" i="17"/>
  <c r="P290" i="17"/>
  <c r="M288" i="17"/>
  <c r="P288" i="17" s="1"/>
  <c r="N284" i="17"/>
  <c r="N282" i="17" s="1"/>
  <c r="Q282" i="17"/>
  <c r="T282" i="17" s="1"/>
  <c r="O194" i="17"/>
  <c r="L192" i="17"/>
  <c r="O192" i="17" s="1"/>
  <c r="P191" i="17"/>
  <c r="M189" i="17"/>
  <c r="P189" i="17" s="1"/>
  <c r="O187" i="17"/>
  <c r="N175" i="17"/>
  <c r="N173" i="17" s="1"/>
  <c r="P158" i="17"/>
  <c r="I156" i="17"/>
  <c r="K156" i="17" s="1"/>
  <c r="L141" i="17"/>
  <c r="O141" i="17" s="1"/>
  <c r="N119" i="17"/>
  <c r="N117" i="17" s="1"/>
  <c r="T99" i="17"/>
  <c r="Q96" i="17"/>
  <c r="Q97" i="17"/>
  <c r="N62" i="17"/>
  <c r="P62" i="17" s="1"/>
  <c r="N23" i="17"/>
  <c r="N21" i="17" s="1"/>
  <c r="P64" i="17"/>
  <c r="N61" i="17"/>
  <c r="N59" i="17" s="1"/>
  <c r="M46" i="17"/>
  <c r="M44" i="17" s="1"/>
  <c r="P19" i="17"/>
  <c r="K314" i="17"/>
  <c r="K249" i="17"/>
  <c r="L176" i="17"/>
  <c r="O176" i="17" s="1"/>
  <c r="L175" i="17"/>
  <c r="Q160" i="17"/>
  <c r="T160" i="17" s="1"/>
  <c r="K152" i="17"/>
  <c r="U122" i="17"/>
  <c r="O118" i="17"/>
  <c r="I82" i="17"/>
  <c r="S72" i="17"/>
  <c r="R72" i="17"/>
  <c r="L61" i="17"/>
  <c r="P60" i="17"/>
  <c r="K229" i="17"/>
  <c r="R176" i="17"/>
  <c r="U176" i="17" s="1"/>
  <c r="R175" i="17"/>
  <c r="U175" i="17" s="1"/>
  <c r="Q142" i="17"/>
  <c r="T142" i="17" s="1"/>
  <c r="P122" i="17"/>
  <c r="M120" i="17"/>
  <c r="P120" i="17" s="1"/>
  <c r="S117" i="17"/>
  <c r="P25" i="17"/>
  <c r="P22" i="17"/>
  <c r="M163" i="17"/>
  <c r="P163" i="17" s="1"/>
  <c r="S120" i="17"/>
  <c r="S23" i="17"/>
  <c r="S20" i="17" s="1"/>
  <c r="R117" i="17"/>
  <c r="U118" i="17"/>
  <c r="P45" i="17"/>
  <c r="O25" i="17"/>
  <c r="O22" i="17"/>
  <c r="N46" i="17"/>
  <c r="N44" i="17" s="1"/>
  <c r="Q19" i="17"/>
  <c r="R159" i="17"/>
  <c r="U159" i="17" s="1"/>
  <c r="L159" i="17"/>
  <c r="R23" i="17"/>
  <c r="L23" i="17"/>
  <c r="L21" i="17" s="1"/>
  <c r="Q23" i="17"/>
  <c r="S493" i="16"/>
  <c r="N648" i="1"/>
  <c r="N358" i="15"/>
  <c r="N356" i="15" s="1"/>
  <c r="J626" i="16"/>
  <c r="J615" i="16" s="1"/>
  <c r="S513" i="16"/>
  <c r="S269" i="16"/>
  <c r="T269" i="16" s="1"/>
  <c r="L142" i="16"/>
  <c r="O142" i="16" s="1"/>
  <c r="Q72" i="16"/>
  <c r="T72" i="16" s="1"/>
  <c r="K682" i="13"/>
  <c r="K440" i="14"/>
  <c r="K152" i="14"/>
  <c r="K785" i="15"/>
  <c r="K368" i="15"/>
  <c r="S176" i="15"/>
  <c r="L47" i="15"/>
  <c r="K785" i="16"/>
  <c r="L760" i="16"/>
  <c r="O760" i="16" s="1"/>
  <c r="S731" i="16"/>
  <c r="T731" i="16" s="1"/>
  <c r="Q730" i="16"/>
  <c r="T730" i="16" s="1"/>
  <c r="K727" i="16"/>
  <c r="N714" i="16"/>
  <c r="R693" i="16"/>
  <c r="U693" i="16" s="1"/>
  <c r="S692" i="16"/>
  <c r="S690" i="16" s="1"/>
  <c r="I689" i="16"/>
  <c r="K689" i="16" s="1"/>
  <c r="R645" i="16"/>
  <c r="U645" i="16" s="1"/>
  <c r="S644" i="16"/>
  <c r="S642" i="16" s="1"/>
  <c r="K626" i="16"/>
  <c r="M616" i="16"/>
  <c r="P616" i="16" s="1"/>
  <c r="L515" i="16"/>
  <c r="O515" i="16" s="1"/>
  <c r="R513" i="16"/>
  <c r="U513" i="16" s="1"/>
  <c r="K346" i="16"/>
  <c r="R333" i="16"/>
  <c r="U333" i="16" s="1"/>
  <c r="U308" i="16"/>
  <c r="O308" i="16"/>
  <c r="S305" i="16"/>
  <c r="K229" i="16"/>
  <c r="L192" i="16"/>
  <c r="O192" i="16" s="1"/>
  <c r="N188" i="16"/>
  <c r="N186" i="16" s="1"/>
  <c r="S188" i="16"/>
  <c r="U188" i="16" s="1"/>
  <c r="Q176" i="16"/>
  <c r="T176" i="16" s="1"/>
  <c r="P165" i="16"/>
  <c r="N159" i="16"/>
  <c r="N157" i="16" s="1"/>
  <c r="K154" i="16"/>
  <c r="S141" i="16"/>
  <c r="S139" i="16" s="1"/>
  <c r="P122" i="16"/>
  <c r="I82" i="16"/>
  <c r="I70" i="16" s="1"/>
  <c r="K70" i="16" s="1"/>
  <c r="P80" i="16"/>
  <c r="R44" i="16"/>
  <c r="U44" i="16" s="1"/>
  <c r="Q19" i="16"/>
  <c r="S272" i="1"/>
  <c r="K779" i="15"/>
  <c r="K503" i="15"/>
  <c r="L234" i="15"/>
  <c r="K198" i="15"/>
  <c r="S94" i="15"/>
  <c r="U733" i="16"/>
  <c r="J674" i="16"/>
  <c r="U647" i="16"/>
  <c r="K629" i="16"/>
  <c r="S618" i="16"/>
  <c r="S616" i="16" s="1"/>
  <c r="S555" i="16"/>
  <c r="Q555" i="16"/>
  <c r="T555" i="16" s="1"/>
  <c r="J503" i="16"/>
  <c r="J492" i="16" s="1"/>
  <c r="S496" i="16"/>
  <c r="S333" i="16"/>
  <c r="T308" i="16"/>
  <c r="R305" i="16"/>
  <c r="R303" i="16" s="1"/>
  <c r="Q303" i="16"/>
  <c r="N284" i="16"/>
  <c r="N282" i="16" s="1"/>
  <c r="N285" i="16"/>
  <c r="S268" i="16"/>
  <c r="S266" i="16" s="1"/>
  <c r="K209" i="16"/>
  <c r="L203" i="16"/>
  <c r="O203" i="16" s="1"/>
  <c r="S189" i="16"/>
  <c r="L97" i="16"/>
  <c r="O97" i="16" s="1"/>
  <c r="L62" i="16"/>
  <c r="O62" i="16" s="1"/>
  <c r="Q44" i="16"/>
  <c r="T44" i="16" s="1"/>
  <c r="N19" i="16"/>
  <c r="S645" i="14"/>
  <c r="P64" i="15"/>
  <c r="K779" i="16"/>
  <c r="P761" i="16"/>
  <c r="T733" i="16"/>
  <c r="R618" i="16"/>
  <c r="R616" i="16" s="1"/>
  <c r="S599" i="16"/>
  <c r="P518" i="16"/>
  <c r="O514" i="16"/>
  <c r="N359" i="16"/>
  <c r="J332" i="16"/>
  <c r="K332" i="16" s="1"/>
  <c r="N305" i="16"/>
  <c r="N303" i="16" s="1"/>
  <c r="T284" i="16"/>
  <c r="O271" i="16"/>
  <c r="L188" i="16"/>
  <c r="R189" i="16"/>
  <c r="T175" i="16"/>
  <c r="O125" i="16"/>
  <c r="T122" i="16"/>
  <c r="I83" i="16"/>
  <c r="K83" i="16" s="1"/>
  <c r="K784" i="14"/>
  <c r="R645" i="14"/>
  <c r="J351" i="14"/>
  <c r="O287" i="14"/>
  <c r="S415" i="15"/>
  <c r="S413" i="15" s="1"/>
  <c r="S269" i="15"/>
  <c r="L236" i="15"/>
  <c r="S173" i="15"/>
  <c r="K774" i="16"/>
  <c r="M576" i="16"/>
  <c r="P576" i="16" s="1"/>
  <c r="O518" i="16"/>
  <c r="L516" i="16"/>
  <c r="O516" i="16" s="1"/>
  <c r="Q495" i="16"/>
  <c r="T495" i="16" s="1"/>
  <c r="S415" i="16"/>
  <c r="S413" i="16" s="1"/>
  <c r="P393" i="16"/>
  <c r="N323" i="16"/>
  <c r="M305" i="16"/>
  <c r="P305" i="16" s="1"/>
  <c r="M272" i="16"/>
  <c r="P272" i="16" s="1"/>
  <c r="M268" i="16"/>
  <c r="M266" i="16" s="1"/>
  <c r="N189" i="16"/>
  <c r="P189" i="16" s="1"/>
  <c r="P181" i="16"/>
  <c r="R175" i="16"/>
  <c r="U175" i="16" s="1"/>
  <c r="P162" i="16"/>
  <c r="N141" i="16"/>
  <c r="N139" i="16" s="1"/>
  <c r="K127" i="16"/>
  <c r="Q120" i="16"/>
  <c r="T120" i="16" s="1"/>
  <c r="K109" i="16"/>
  <c r="P102" i="16"/>
  <c r="L74" i="16"/>
  <c r="Q75" i="16"/>
  <c r="T75" i="16" s="1"/>
  <c r="L19" i="16"/>
  <c r="R416" i="15"/>
  <c r="U416" i="15" s="1"/>
  <c r="R415" i="15"/>
  <c r="U415" i="15" s="1"/>
  <c r="R378" i="15"/>
  <c r="U378" i="15" s="1"/>
  <c r="S157" i="15"/>
  <c r="S97" i="15"/>
  <c r="U765" i="16"/>
  <c r="S763" i="16"/>
  <c r="J675" i="16"/>
  <c r="N616" i="16"/>
  <c r="P617" i="16"/>
  <c r="I615" i="16"/>
  <c r="K615" i="16" s="1"/>
  <c r="P535" i="16"/>
  <c r="P364" i="16"/>
  <c r="S356" i="16"/>
  <c r="J343" i="16"/>
  <c r="P338" i="16"/>
  <c r="N335" i="16"/>
  <c r="N333" i="16" s="1"/>
  <c r="P311" i="16"/>
  <c r="L305" i="16"/>
  <c r="L303" i="16" s="1"/>
  <c r="O303" i="16" s="1"/>
  <c r="I302" i="16"/>
  <c r="K302" i="16" s="1"/>
  <c r="L288" i="16"/>
  <c r="O288" i="16" s="1"/>
  <c r="I281" i="16"/>
  <c r="K281" i="16" s="1"/>
  <c r="L268" i="16"/>
  <c r="O268" i="16" s="1"/>
  <c r="P191" i="16"/>
  <c r="L189" i="16"/>
  <c r="O189" i="16" s="1"/>
  <c r="U178" i="16"/>
  <c r="Q160" i="16"/>
  <c r="T160" i="16" s="1"/>
  <c r="K93" i="16"/>
  <c r="L100" i="16"/>
  <c r="O100" i="16" s="1"/>
  <c r="M96" i="16"/>
  <c r="S97" i="16"/>
  <c r="P49" i="16"/>
  <c r="R188" i="15"/>
  <c r="R186" i="15" s="1"/>
  <c r="R189" i="15"/>
  <c r="R576" i="16"/>
  <c r="U576" i="16" s="1"/>
  <c r="U414" i="16"/>
  <c r="M362" i="15"/>
  <c r="P362" i="15" s="1"/>
  <c r="P364" i="15"/>
  <c r="K346" i="15"/>
  <c r="M192" i="15"/>
  <c r="P192" i="15" s="1"/>
  <c r="P194" i="15"/>
  <c r="R142" i="15"/>
  <c r="U142" i="15" s="1"/>
  <c r="U144" i="15"/>
  <c r="P102" i="15"/>
  <c r="M100" i="15"/>
  <c r="P100" i="15" s="1"/>
  <c r="L78" i="15"/>
  <c r="O78" i="15" s="1"/>
  <c r="O80" i="15"/>
  <c r="M75" i="15"/>
  <c r="P75" i="15" s="1"/>
  <c r="P77" i="15"/>
  <c r="U692" i="16"/>
  <c r="T691" i="16"/>
  <c r="M642" i="16"/>
  <c r="P642" i="16" s="1"/>
  <c r="Q618" i="16"/>
  <c r="T621" i="16"/>
  <c r="Q619" i="16"/>
  <c r="T619" i="16" s="1"/>
  <c r="T578" i="16"/>
  <c r="Q576" i="16"/>
  <c r="T576" i="16" s="1"/>
  <c r="O536" i="16"/>
  <c r="L534" i="16"/>
  <c r="O534" i="16" s="1"/>
  <c r="T414" i="16"/>
  <c r="O341" i="16"/>
  <c r="L339" i="16"/>
  <c r="O339" i="16" s="1"/>
  <c r="L335" i="16"/>
  <c r="L333" i="16" s="1"/>
  <c r="M285" i="16"/>
  <c r="P285" i="16" s="1"/>
  <c r="M284" i="16"/>
  <c r="P284" i="16" s="1"/>
  <c r="P287" i="16"/>
  <c r="N335" i="15"/>
  <c r="N333" i="15" s="1"/>
  <c r="N336" i="15"/>
  <c r="P336" i="15" s="1"/>
  <c r="L142" i="15"/>
  <c r="O142" i="15" s="1"/>
  <c r="O144" i="15"/>
  <c r="M78" i="15"/>
  <c r="P78" i="15" s="1"/>
  <c r="P80" i="15"/>
  <c r="P600" i="16"/>
  <c r="M599" i="16"/>
  <c r="P599" i="16" s="1"/>
  <c r="U378" i="12"/>
  <c r="K780" i="14"/>
  <c r="K631" i="14"/>
  <c r="I412" i="14"/>
  <c r="K412" i="14" s="1"/>
  <c r="K423" i="14"/>
  <c r="Q693" i="15"/>
  <c r="T693" i="15" s="1"/>
  <c r="R645" i="15"/>
  <c r="U645" i="15" s="1"/>
  <c r="U647" i="15"/>
  <c r="N284" i="15"/>
  <c r="N282" i="15" s="1"/>
  <c r="I238" i="15"/>
  <c r="K238" i="15" s="1"/>
  <c r="L192" i="15"/>
  <c r="O192" i="15" s="1"/>
  <c r="O194" i="15"/>
  <c r="P181" i="15"/>
  <c r="M179" i="15"/>
  <c r="P179" i="15" s="1"/>
  <c r="Q141" i="15"/>
  <c r="T141" i="15" s="1"/>
  <c r="T144" i="15"/>
  <c r="I93" i="15"/>
  <c r="K93" i="15" s="1"/>
  <c r="K109" i="15"/>
  <c r="O102" i="15"/>
  <c r="L100" i="15"/>
  <c r="O100" i="15" s="1"/>
  <c r="L75" i="15"/>
  <c r="O75" i="15" s="1"/>
  <c r="N46" i="15"/>
  <c r="N44" i="15" s="1"/>
  <c r="Q693" i="16"/>
  <c r="T693" i="16" s="1"/>
  <c r="Q692" i="16"/>
  <c r="T695" i="16"/>
  <c r="L642" i="16"/>
  <c r="O642" i="16" s="1"/>
  <c r="O643" i="16"/>
  <c r="R534" i="16"/>
  <c r="U534" i="16" s="1"/>
  <c r="O287" i="16"/>
  <c r="L285" i="16"/>
  <c r="O285" i="16" s="1"/>
  <c r="N120" i="16"/>
  <c r="N119" i="16"/>
  <c r="N117" i="16" s="1"/>
  <c r="P60" i="16"/>
  <c r="R693" i="15"/>
  <c r="U693" i="15" s="1"/>
  <c r="U695" i="15"/>
  <c r="P283" i="16"/>
  <c r="P160" i="11"/>
  <c r="M288" i="15"/>
  <c r="P288" i="15" s="1"/>
  <c r="P290" i="15"/>
  <c r="M284" i="15"/>
  <c r="P284" i="15" s="1"/>
  <c r="O181" i="15"/>
  <c r="L179" i="15"/>
  <c r="O179" i="15" s="1"/>
  <c r="R159" i="15"/>
  <c r="R160" i="15"/>
  <c r="U160" i="15" s="1"/>
  <c r="L145" i="15"/>
  <c r="O145" i="15" s="1"/>
  <c r="O147" i="15"/>
  <c r="Q760" i="16"/>
  <c r="T760" i="16" s="1"/>
  <c r="T761" i="16"/>
  <c r="Q714" i="16"/>
  <c r="T714" i="16" s="1"/>
  <c r="R642" i="16"/>
  <c r="U643" i="16"/>
  <c r="R555" i="16"/>
  <c r="U555" i="16" s="1"/>
  <c r="U556" i="16"/>
  <c r="N375" i="16"/>
  <c r="M322" i="16"/>
  <c r="P325" i="16"/>
  <c r="M323" i="16"/>
  <c r="P323" i="16" s="1"/>
  <c r="L160" i="16"/>
  <c r="O162" i="16"/>
  <c r="L159" i="16"/>
  <c r="M142" i="16"/>
  <c r="P142" i="16" s="1"/>
  <c r="M141" i="16"/>
  <c r="P144" i="16"/>
  <c r="Q377" i="16"/>
  <c r="T380" i="16"/>
  <c r="Q378" i="16"/>
  <c r="T378" i="16" s="1"/>
  <c r="P341" i="16"/>
  <c r="M339" i="16"/>
  <c r="P339" i="16" s="1"/>
  <c r="M335" i="16"/>
  <c r="L519" i="14"/>
  <c r="O519" i="14" s="1"/>
  <c r="I374" i="14"/>
  <c r="K374" i="14" s="1"/>
  <c r="K385" i="14"/>
  <c r="M322" i="14"/>
  <c r="P322" i="14" s="1"/>
  <c r="P325" i="15"/>
  <c r="L188" i="15"/>
  <c r="L186" i="15" s="1"/>
  <c r="R74" i="15"/>
  <c r="R72" i="15" s="1"/>
  <c r="U72" i="15" s="1"/>
  <c r="U77" i="15"/>
  <c r="L728" i="16"/>
  <c r="O728" i="16" s="1"/>
  <c r="I701" i="16"/>
  <c r="K703" i="16"/>
  <c r="M690" i="16"/>
  <c r="P690" i="16" s="1"/>
  <c r="T643" i="16"/>
  <c r="U617" i="16"/>
  <c r="M375" i="16"/>
  <c r="P375" i="16" s="1"/>
  <c r="P376" i="16"/>
  <c r="O325" i="16"/>
  <c r="L322" i="16"/>
  <c r="L323" i="16"/>
  <c r="O323" i="16" s="1"/>
  <c r="U322" i="16"/>
  <c r="R320" i="16"/>
  <c r="U320" i="16" s="1"/>
  <c r="L235" i="16"/>
  <c r="L254" i="16"/>
  <c r="O254" i="16" s="1"/>
  <c r="K172" i="16"/>
  <c r="K632" i="14"/>
  <c r="R730" i="15"/>
  <c r="R728" i="15" s="1"/>
  <c r="R731" i="15"/>
  <c r="R690" i="16"/>
  <c r="U691" i="16"/>
  <c r="P521" i="16"/>
  <c r="M519" i="16"/>
  <c r="P519" i="16" s="1"/>
  <c r="O361" i="16"/>
  <c r="L359" i="16"/>
  <c r="R75" i="1"/>
  <c r="O80" i="12"/>
  <c r="J674" i="13"/>
  <c r="K674" i="13" s="1"/>
  <c r="K778" i="14"/>
  <c r="K676" i="14"/>
  <c r="K781" i="15"/>
  <c r="K774" i="15"/>
  <c r="S730" i="15"/>
  <c r="S728" i="15" s="1"/>
  <c r="S731" i="15"/>
  <c r="R495" i="15"/>
  <c r="U495" i="15" s="1"/>
  <c r="K369" i="15"/>
  <c r="O165" i="15"/>
  <c r="L163" i="15"/>
  <c r="O163" i="15" s="1"/>
  <c r="P125" i="15"/>
  <c r="M123" i="15"/>
  <c r="P123" i="15" s="1"/>
  <c r="R714" i="16"/>
  <c r="U714" i="16" s="1"/>
  <c r="L690" i="16"/>
  <c r="O690" i="16" s="1"/>
  <c r="O691" i="16"/>
  <c r="K652" i="16"/>
  <c r="Q645" i="16"/>
  <c r="T645" i="16" s="1"/>
  <c r="Q644" i="16"/>
  <c r="T647" i="16"/>
  <c r="T394" i="16"/>
  <c r="Q392" i="16"/>
  <c r="T392" i="16" s="1"/>
  <c r="R378" i="16"/>
  <c r="U378" i="16" s="1"/>
  <c r="R377" i="16"/>
  <c r="U377" i="16" s="1"/>
  <c r="U380" i="16"/>
  <c r="J365" i="16"/>
  <c r="K365" i="16" s="1"/>
  <c r="K371" i="16"/>
  <c r="P361" i="16"/>
  <c r="M359" i="16"/>
  <c r="L358" i="16"/>
  <c r="T334" i="16"/>
  <c r="Q333" i="16"/>
  <c r="T333" i="16" s="1"/>
  <c r="I195" i="16"/>
  <c r="K195" i="16" s="1"/>
  <c r="K220" i="14"/>
  <c r="K183" i="14"/>
  <c r="L284" i="15"/>
  <c r="O284" i="15" s="1"/>
  <c r="K252" i="15"/>
  <c r="L222" i="15"/>
  <c r="O222" i="15" s="1"/>
  <c r="P165" i="15"/>
  <c r="M159" i="15"/>
  <c r="S160" i="15"/>
  <c r="K772" i="16"/>
  <c r="K631" i="16"/>
  <c r="U621" i="16"/>
  <c r="T536" i="16"/>
  <c r="Q534" i="16"/>
  <c r="T534" i="16" s="1"/>
  <c r="O521" i="16"/>
  <c r="L519" i="16"/>
  <c r="O519" i="16" s="1"/>
  <c r="M515" i="16"/>
  <c r="P515" i="16" s="1"/>
  <c r="P514" i="16"/>
  <c r="L375" i="16"/>
  <c r="O375" i="16" s="1"/>
  <c r="O376" i="16"/>
  <c r="R356" i="16"/>
  <c r="U356" i="16" s="1"/>
  <c r="P336" i="16"/>
  <c r="T191" i="16"/>
  <c r="Q188" i="16"/>
  <c r="Q189" i="16"/>
  <c r="O147" i="16"/>
  <c r="L145" i="16"/>
  <c r="O145" i="16" s="1"/>
  <c r="L141" i="16"/>
  <c r="S19" i="16"/>
  <c r="J701" i="15"/>
  <c r="M175" i="15"/>
  <c r="M173" i="15" s="1"/>
  <c r="L159" i="15"/>
  <c r="O159" i="15" s="1"/>
  <c r="M96" i="15"/>
  <c r="M555" i="16"/>
  <c r="P555" i="16" s="1"/>
  <c r="P556" i="16"/>
  <c r="M413" i="16"/>
  <c r="P413" i="16" s="1"/>
  <c r="K386" i="16"/>
  <c r="I374" i="16"/>
  <c r="Q356" i="16"/>
  <c r="T356" i="16" s="1"/>
  <c r="T357" i="16"/>
  <c r="K330" i="16"/>
  <c r="I319" i="16"/>
  <c r="K319" i="16" s="1"/>
  <c r="R282" i="16"/>
  <c r="U282" i="16" s="1"/>
  <c r="U284" i="16"/>
  <c r="N268" i="16"/>
  <c r="N266" i="16" s="1"/>
  <c r="N269" i="16"/>
  <c r="I238" i="16"/>
  <c r="K238" i="16" s="1"/>
  <c r="I242" i="16"/>
  <c r="U96" i="16"/>
  <c r="R94" i="16"/>
  <c r="U94" i="16" s="1"/>
  <c r="U22" i="16"/>
  <c r="R19" i="16"/>
  <c r="K709" i="15"/>
  <c r="S644" i="15"/>
  <c r="S642" i="15" s="1"/>
  <c r="L616" i="16"/>
  <c r="O616" i="16" s="1"/>
  <c r="O617" i="16"/>
  <c r="L555" i="16"/>
  <c r="O555" i="16" s="1"/>
  <c r="O556" i="16"/>
  <c r="O495" i="16"/>
  <c r="L493" i="16"/>
  <c r="O493" i="16" s="1"/>
  <c r="Q416" i="16"/>
  <c r="T416" i="16" s="1"/>
  <c r="Q415" i="16"/>
  <c r="T415" i="16" s="1"/>
  <c r="T418" i="16"/>
  <c r="L413" i="16"/>
  <c r="O413" i="16" s="1"/>
  <c r="O414" i="16"/>
  <c r="U376" i="16"/>
  <c r="K369" i="16"/>
  <c r="M188" i="16"/>
  <c r="P194" i="16"/>
  <c r="M192" i="16"/>
  <c r="P192" i="16" s="1"/>
  <c r="N515" i="16"/>
  <c r="N513" i="16" s="1"/>
  <c r="T494" i="16"/>
  <c r="I456" i="16"/>
  <c r="K456" i="16" s="1"/>
  <c r="U418" i="16"/>
  <c r="R415" i="16"/>
  <c r="U415" i="16" s="1"/>
  <c r="P414" i="16"/>
  <c r="S377" i="16"/>
  <c r="S375" i="16" s="1"/>
  <c r="U357" i="16"/>
  <c r="O357" i="16"/>
  <c r="S282" i="16"/>
  <c r="O274" i="16"/>
  <c r="T271" i="16"/>
  <c r="P271" i="16"/>
  <c r="Q268" i="16"/>
  <c r="I265" i="16"/>
  <c r="K265" i="16" s="1"/>
  <c r="L236" i="16"/>
  <c r="P174" i="16"/>
  <c r="R160" i="16"/>
  <c r="U160" i="16" s="1"/>
  <c r="U162" i="16"/>
  <c r="U158" i="16"/>
  <c r="T99" i="16"/>
  <c r="Q97" i="16"/>
  <c r="Q96" i="16"/>
  <c r="T96" i="16" s="1"/>
  <c r="R24" i="16"/>
  <c r="U24" i="16" s="1"/>
  <c r="U25" i="16"/>
  <c r="T19" i="16"/>
  <c r="K503" i="16"/>
  <c r="K344" i="16"/>
  <c r="U334" i="16"/>
  <c r="M269" i="16"/>
  <c r="P178" i="16"/>
  <c r="N176" i="16"/>
  <c r="P176" i="16" s="1"/>
  <c r="N175" i="16"/>
  <c r="N173" i="16" s="1"/>
  <c r="O174" i="16"/>
  <c r="R159" i="16"/>
  <c r="U159" i="16" s="1"/>
  <c r="I138" i="16"/>
  <c r="K138" i="16" s="1"/>
  <c r="K116" i="16"/>
  <c r="Q320" i="16"/>
  <c r="T320" i="16" s="1"/>
  <c r="L234" i="16"/>
  <c r="K183" i="16"/>
  <c r="L163" i="16"/>
  <c r="O163" i="16" s="1"/>
  <c r="O165" i="16"/>
  <c r="P118" i="16"/>
  <c r="I253" i="16"/>
  <c r="K253" i="16" s="1"/>
  <c r="K260" i="16"/>
  <c r="K230" i="16"/>
  <c r="I213" i="16"/>
  <c r="K213" i="16" s="1"/>
  <c r="K220" i="16"/>
  <c r="L179" i="16"/>
  <c r="O179" i="16" s="1"/>
  <c r="L175" i="16"/>
  <c r="O181" i="16"/>
  <c r="U174" i="16"/>
  <c r="M145" i="16"/>
  <c r="P145" i="16" s="1"/>
  <c r="P147" i="16"/>
  <c r="O118" i="16"/>
  <c r="O19" i="16"/>
  <c r="P19" i="16"/>
  <c r="L243" i="16"/>
  <c r="N160" i="16"/>
  <c r="P160" i="16" s="1"/>
  <c r="R141" i="16"/>
  <c r="U120" i="16"/>
  <c r="Q117" i="16"/>
  <c r="K92" i="16"/>
  <c r="P67" i="16"/>
  <c r="M65" i="16"/>
  <c r="P65" i="16" s="1"/>
  <c r="P62" i="16"/>
  <c r="P45" i="16"/>
  <c r="N26" i="16"/>
  <c r="N24" i="16" s="1"/>
  <c r="P25" i="16"/>
  <c r="R142" i="16"/>
  <c r="U142" i="16" s="1"/>
  <c r="U118" i="16"/>
  <c r="P73" i="16"/>
  <c r="O67" i="16"/>
  <c r="L65" i="16"/>
  <c r="O65" i="16" s="1"/>
  <c r="L61" i="16"/>
  <c r="P52" i="16"/>
  <c r="M26" i="16"/>
  <c r="P26" i="16" s="1"/>
  <c r="M50" i="16"/>
  <c r="P50" i="16" s="1"/>
  <c r="O25" i="16"/>
  <c r="N23" i="16"/>
  <c r="P22" i="16"/>
  <c r="O158" i="16"/>
  <c r="O52" i="16"/>
  <c r="L26" i="16"/>
  <c r="O26" i="16" s="1"/>
  <c r="L50" i="16"/>
  <c r="O50" i="16" s="1"/>
  <c r="L46" i="16"/>
  <c r="O22" i="16"/>
  <c r="S175" i="16"/>
  <c r="S173" i="16" s="1"/>
  <c r="M175" i="16"/>
  <c r="S159" i="16"/>
  <c r="S157" i="16" s="1"/>
  <c r="M159" i="16"/>
  <c r="I156" i="16"/>
  <c r="K156" i="16" s="1"/>
  <c r="Q141" i="16"/>
  <c r="T141" i="16" s="1"/>
  <c r="S119" i="16"/>
  <c r="S117" i="16" s="1"/>
  <c r="M119" i="16"/>
  <c r="P119" i="16" s="1"/>
  <c r="U99" i="16"/>
  <c r="O99" i="16"/>
  <c r="K84" i="16"/>
  <c r="T77" i="16"/>
  <c r="N74" i="16"/>
  <c r="N72" i="16" s="1"/>
  <c r="N61" i="16"/>
  <c r="N59" i="16" s="1"/>
  <c r="N46" i="16"/>
  <c r="N44" i="16" s="1"/>
  <c r="S23" i="16"/>
  <c r="S20" i="16" s="1"/>
  <c r="M23" i="16"/>
  <c r="R119" i="16"/>
  <c r="L119" i="16"/>
  <c r="O119" i="16" s="1"/>
  <c r="N96" i="16"/>
  <c r="N94" i="16" s="1"/>
  <c r="S74" i="16"/>
  <c r="S72" i="16" s="1"/>
  <c r="M74" i="16"/>
  <c r="P74" i="16" s="1"/>
  <c r="M61" i="16"/>
  <c r="M46" i="16"/>
  <c r="R23" i="16"/>
  <c r="R21" i="16" s="1"/>
  <c r="L23" i="16"/>
  <c r="L21" i="16" s="1"/>
  <c r="Q23" i="16"/>
  <c r="L339" i="15"/>
  <c r="O339" i="15" s="1"/>
  <c r="L335" i="15"/>
  <c r="O341" i="15"/>
  <c r="I265" i="14"/>
  <c r="K265" i="14" s="1"/>
  <c r="K276" i="14"/>
  <c r="M47" i="14"/>
  <c r="P47" i="14" s="1"/>
  <c r="P49" i="14"/>
  <c r="U376" i="15"/>
  <c r="R375" i="15"/>
  <c r="U375" i="15" s="1"/>
  <c r="Q644" i="15"/>
  <c r="T644" i="15" s="1"/>
  <c r="Q645" i="15"/>
  <c r="T645" i="15" s="1"/>
  <c r="U577" i="15"/>
  <c r="R576" i="15"/>
  <c r="U576" i="15" s="1"/>
  <c r="M516" i="15"/>
  <c r="P516" i="15" s="1"/>
  <c r="P518" i="15"/>
  <c r="Q24" i="15"/>
  <c r="T24" i="15" s="1"/>
  <c r="T25" i="15"/>
  <c r="O80" i="14"/>
  <c r="L78" i="14"/>
  <c r="O78" i="14" s="1"/>
  <c r="S762" i="15"/>
  <c r="S760" i="15" s="1"/>
  <c r="S763" i="15"/>
  <c r="T763" i="15" s="1"/>
  <c r="L599" i="15"/>
  <c r="O599" i="15" s="1"/>
  <c r="O601" i="15"/>
  <c r="P535" i="15"/>
  <c r="M534" i="15"/>
  <c r="P534" i="15" s="1"/>
  <c r="Q496" i="15"/>
  <c r="T496" i="15" s="1"/>
  <c r="T498" i="15"/>
  <c r="Q495" i="15"/>
  <c r="T495" i="15" s="1"/>
  <c r="N359" i="15"/>
  <c r="O359" i="15" s="1"/>
  <c r="O361" i="15"/>
  <c r="K249" i="15"/>
  <c r="I242" i="15"/>
  <c r="K242" i="15" s="1"/>
  <c r="N232" i="15"/>
  <c r="S377" i="14"/>
  <c r="S375" i="14" s="1"/>
  <c r="S378" i="14"/>
  <c r="I302" i="14"/>
  <c r="K302" i="14" s="1"/>
  <c r="K314" i="14"/>
  <c r="U514" i="15"/>
  <c r="R513" i="15"/>
  <c r="U513" i="15" s="1"/>
  <c r="L214" i="15"/>
  <c r="O214" i="15" s="1"/>
  <c r="Q74" i="15"/>
  <c r="T74" i="15" s="1"/>
  <c r="Q75" i="15"/>
  <c r="T75" i="15" s="1"/>
  <c r="K759" i="15"/>
  <c r="P361" i="15"/>
  <c r="N141" i="15"/>
  <c r="N139" i="15" s="1"/>
  <c r="K781" i="14"/>
  <c r="K709" i="14"/>
  <c r="R377" i="14"/>
  <c r="U377" i="14" s="1"/>
  <c r="K780" i="15"/>
  <c r="K758" i="15"/>
  <c r="R762" i="15"/>
  <c r="R760" i="15" s="1"/>
  <c r="T733" i="15"/>
  <c r="J674" i="15"/>
  <c r="R644" i="15"/>
  <c r="U644" i="15" s="1"/>
  <c r="O577" i="15"/>
  <c r="M576" i="15"/>
  <c r="P576" i="15" s="1"/>
  <c r="U498" i="15"/>
  <c r="S496" i="15"/>
  <c r="I456" i="15"/>
  <c r="K456" i="15" s="1"/>
  <c r="M335" i="15"/>
  <c r="O325" i="15"/>
  <c r="O290" i="15"/>
  <c r="L235" i="15"/>
  <c r="K221" i="15"/>
  <c r="L203" i="15"/>
  <c r="O203" i="15" s="1"/>
  <c r="L189" i="15"/>
  <c r="R44" i="15"/>
  <c r="U44" i="15" s="1"/>
  <c r="Q19" i="15"/>
  <c r="T19" i="15" s="1"/>
  <c r="K346" i="14"/>
  <c r="I83" i="15"/>
  <c r="I71" i="15" s="1"/>
  <c r="K71" i="15" s="1"/>
  <c r="I238" i="14"/>
  <c r="K238" i="14" s="1"/>
  <c r="P99" i="14"/>
  <c r="Q762" i="15"/>
  <c r="Q760" i="15" s="1"/>
  <c r="M728" i="15"/>
  <c r="P728" i="15" s="1"/>
  <c r="N576" i="15"/>
  <c r="Q534" i="15"/>
  <c r="T534" i="15" s="1"/>
  <c r="N413" i="15"/>
  <c r="S375" i="15"/>
  <c r="J351" i="15"/>
  <c r="I281" i="15"/>
  <c r="K281" i="15" s="1"/>
  <c r="N269" i="15"/>
  <c r="U191" i="15"/>
  <c r="L175" i="15"/>
  <c r="L173" i="15" s="1"/>
  <c r="R176" i="15"/>
  <c r="U176" i="15" s="1"/>
  <c r="M160" i="15"/>
  <c r="P160" i="15" s="1"/>
  <c r="M141" i="15"/>
  <c r="P141" i="15" s="1"/>
  <c r="S142" i="15"/>
  <c r="L123" i="15"/>
  <c r="O123" i="15" s="1"/>
  <c r="M119" i="15"/>
  <c r="P119" i="15" s="1"/>
  <c r="S120" i="15"/>
  <c r="L96" i="15"/>
  <c r="O96" i="15" s="1"/>
  <c r="R97" i="15"/>
  <c r="U97" i="15" s="1"/>
  <c r="I92" i="15"/>
  <c r="K92" i="15" s="1"/>
  <c r="N74" i="15"/>
  <c r="N72" i="15" s="1"/>
  <c r="N61" i="15"/>
  <c r="N59" i="15" s="1"/>
  <c r="N19" i="15"/>
  <c r="J231" i="15"/>
  <c r="J185" i="15" s="1"/>
  <c r="K661" i="13"/>
  <c r="K630" i="14"/>
  <c r="Q619" i="14"/>
  <c r="Q496" i="14"/>
  <c r="T496" i="14" s="1"/>
  <c r="P287" i="14"/>
  <c r="U765" i="15"/>
  <c r="O535" i="15"/>
  <c r="O518" i="15"/>
  <c r="I423" i="15"/>
  <c r="K423" i="15" s="1"/>
  <c r="M339" i="15"/>
  <c r="P339" i="15" s="1"/>
  <c r="L326" i="15"/>
  <c r="O326" i="15" s="1"/>
  <c r="M322" i="15"/>
  <c r="T308" i="15"/>
  <c r="K276" i="15"/>
  <c r="S266" i="15"/>
  <c r="M269" i="15"/>
  <c r="L243" i="15"/>
  <c r="O243" i="15" s="1"/>
  <c r="M176" i="15"/>
  <c r="P176" i="15" s="1"/>
  <c r="L160" i="15"/>
  <c r="O160" i="15" s="1"/>
  <c r="Q142" i="15"/>
  <c r="T142" i="15" s="1"/>
  <c r="L119" i="15"/>
  <c r="O119" i="15" s="1"/>
  <c r="R120" i="15"/>
  <c r="M97" i="15"/>
  <c r="P97" i="15" s="1"/>
  <c r="R75" i="15"/>
  <c r="U75" i="15" s="1"/>
  <c r="P62" i="15"/>
  <c r="S24" i="15"/>
  <c r="M19" i="15"/>
  <c r="K782" i="13"/>
  <c r="K727" i="15"/>
  <c r="U765" i="14"/>
  <c r="K629" i="14"/>
  <c r="U380" i="14"/>
  <c r="P328" i="14"/>
  <c r="L233" i="14"/>
  <c r="T765" i="15"/>
  <c r="O729" i="15"/>
  <c r="P715" i="15"/>
  <c r="S692" i="15"/>
  <c r="T692" i="15" s="1"/>
  <c r="M690" i="15"/>
  <c r="P690" i="15" s="1"/>
  <c r="R619" i="15"/>
  <c r="U619" i="15" s="1"/>
  <c r="S618" i="15"/>
  <c r="S616" i="15" s="1"/>
  <c r="Q599" i="15"/>
  <c r="T599" i="15" s="1"/>
  <c r="N515" i="15"/>
  <c r="N513" i="15" s="1"/>
  <c r="S513" i="15"/>
  <c r="L322" i="15"/>
  <c r="N305" i="15"/>
  <c r="N285" i="15"/>
  <c r="L176" i="15"/>
  <c r="O176" i="15" s="1"/>
  <c r="P162" i="15"/>
  <c r="K116" i="15"/>
  <c r="M120" i="15"/>
  <c r="P120" i="15" s="1"/>
  <c r="L97" i="15"/>
  <c r="O97" i="15" s="1"/>
  <c r="L74" i="15"/>
  <c r="P49" i="15"/>
  <c r="N47" i="15"/>
  <c r="T22" i="15"/>
  <c r="O692" i="15"/>
  <c r="L690" i="15"/>
  <c r="O690" i="15" s="1"/>
  <c r="K251" i="15"/>
  <c r="I240" i="15"/>
  <c r="K240" i="15" s="1"/>
  <c r="K782" i="14"/>
  <c r="L322" i="14"/>
  <c r="O322" i="14" s="1"/>
  <c r="M188" i="14"/>
  <c r="M186" i="14" s="1"/>
  <c r="K726" i="15"/>
  <c r="K707" i="15"/>
  <c r="O644" i="15"/>
  <c r="L642" i="15"/>
  <c r="O642" i="15" s="1"/>
  <c r="M642" i="15"/>
  <c r="P642" i="15" s="1"/>
  <c r="R616" i="15"/>
  <c r="U617" i="15"/>
  <c r="T414" i="15"/>
  <c r="O274" i="15"/>
  <c r="L272" i="15"/>
  <c r="O272" i="15" s="1"/>
  <c r="L268" i="15"/>
  <c r="O268" i="15" s="1"/>
  <c r="U271" i="15"/>
  <c r="R269" i="15"/>
  <c r="R268" i="15"/>
  <c r="U268" i="15" s="1"/>
  <c r="L233" i="15"/>
  <c r="L515" i="15"/>
  <c r="U619" i="13"/>
  <c r="I758" i="14"/>
  <c r="K758" i="14" s="1"/>
  <c r="K705" i="14"/>
  <c r="S495" i="14"/>
  <c r="S493" i="14" s="1"/>
  <c r="T380" i="14"/>
  <c r="Q378" i="14"/>
  <c r="T378" i="14" s="1"/>
  <c r="L339" i="14"/>
  <c r="O339" i="14" s="1"/>
  <c r="P311" i="14"/>
  <c r="I138" i="14"/>
  <c r="K138" i="14" s="1"/>
  <c r="K127" i="14"/>
  <c r="O62" i="14"/>
  <c r="L760" i="15"/>
  <c r="O760" i="15" s="1"/>
  <c r="P730" i="15"/>
  <c r="I689" i="15"/>
  <c r="K689" i="15" s="1"/>
  <c r="T617" i="15"/>
  <c r="Q576" i="15"/>
  <c r="T576" i="15" s="1"/>
  <c r="L555" i="15"/>
  <c r="O555" i="15" s="1"/>
  <c r="O556" i="15"/>
  <c r="Q392" i="15"/>
  <c r="T392" i="15" s="1"/>
  <c r="T393" i="15"/>
  <c r="P308" i="15"/>
  <c r="M306" i="15"/>
  <c r="P306" i="15" s="1"/>
  <c r="I332" i="15"/>
  <c r="K344" i="15"/>
  <c r="R303" i="15"/>
  <c r="J702" i="12"/>
  <c r="T619" i="13"/>
  <c r="O144" i="13"/>
  <c r="M119" i="13"/>
  <c r="M117" i="13" s="1"/>
  <c r="P117" i="13" s="1"/>
  <c r="Q119" i="13"/>
  <c r="Q117" i="13" s="1"/>
  <c r="R269" i="14"/>
  <c r="O122" i="14"/>
  <c r="P77" i="14"/>
  <c r="R72" i="14"/>
  <c r="U72" i="14" s="1"/>
  <c r="R690" i="15"/>
  <c r="N616" i="15"/>
  <c r="R555" i="15"/>
  <c r="U555" i="15" s="1"/>
  <c r="U556" i="15"/>
  <c r="Q416" i="15"/>
  <c r="T416" i="15" s="1"/>
  <c r="Q415" i="15"/>
  <c r="T415" i="15" s="1"/>
  <c r="T418" i="15"/>
  <c r="P415" i="15"/>
  <c r="M413" i="15"/>
  <c r="P413" i="15" s="1"/>
  <c r="K388" i="15"/>
  <c r="I374" i="15"/>
  <c r="O376" i="15"/>
  <c r="L375" i="15"/>
  <c r="O375" i="15" s="1"/>
  <c r="P311" i="15"/>
  <c r="M309" i="15"/>
  <c r="P309" i="15" s="1"/>
  <c r="O308" i="15"/>
  <c r="L306" i="15"/>
  <c r="O306" i="15" s="1"/>
  <c r="L305" i="15"/>
  <c r="O19" i="15"/>
  <c r="S622" i="1"/>
  <c r="P557" i="15"/>
  <c r="M555" i="15"/>
  <c r="P555" i="15" s="1"/>
  <c r="K505" i="15"/>
  <c r="J503" i="15"/>
  <c r="J492" i="15" s="1"/>
  <c r="U414" i="15"/>
  <c r="O357" i="15"/>
  <c r="R97" i="13"/>
  <c r="U97" i="13" s="1"/>
  <c r="J702" i="14"/>
  <c r="S693" i="14"/>
  <c r="K615" i="14"/>
  <c r="K344" i="14"/>
  <c r="L272" i="14"/>
  <c r="O272" i="14" s="1"/>
  <c r="P80" i="14"/>
  <c r="Q690" i="15"/>
  <c r="T691" i="15"/>
  <c r="T643" i="15"/>
  <c r="K626" i="15"/>
  <c r="K630" i="15"/>
  <c r="K631" i="15"/>
  <c r="K632" i="15"/>
  <c r="Q619" i="15"/>
  <c r="T619" i="15" s="1"/>
  <c r="Q618" i="15"/>
  <c r="T621" i="15"/>
  <c r="P618" i="15"/>
  <c r="M616" i="15"/>
  <c r="P616" i="15" s="1"/>
  <c r="I615" i="15"/>
  <c r="K615" i="15" s="1"/>
  <c r="Q555" i="15"/>
  <c r="T555" i="15" s="1"/>
  <c r="T556" i="15"/>
  <c r="P514" i="15"/>
  <c r="Q378" i="15"/>
  <c r="Q377" i="15"/>
  <c r="T377" i="15" s="1"/>
  <c r="T380" i="15"/>
  <c r="O521" i="15"/>
  <c r="L519" i="15"/>
  <c r="O519" i="15" s="1"/>
  <c r="K709" i="12"/>
  <c r="K673" i="12"/>
  <c r="L236" i="12"/>
  <c r="U144" i="13"/>
  <c r="R141" i="13"/>
  <c r="U141" i="13" s="1"/>
  <c r="P102" i="13"/>
  <c r="R763" i="14"/>
  <c r="U763" i="14" s="1"/>
  <c r="L515" i="14"/>
  <c r="O515" i="14" s="1"/>
  <c r="K369" i="14"/>
  <c r="J343" i="14"/>
  <c r="N322" i="14"/>
  <c r="N320" i="14" s="1"/>
  <c r="P308" i="14"/>
  <c r="L222" i="14"/>
  <c r="O222" i="14" s="1"/>
  <c r="T191" i="14"/>
  <c r="U178" i="14"/>
  <c r="P162" i="14"/>
  <c r="Q157" i="14"/>
  <c r="T157" i="14" s="1"/>
  <c r="U122" i="14"/>
  <c r="R97" i="14"/>
  <c r="I82" i="14"/>
  <c r="K82" i="14" s="1"/>
  <c r="U77" i="14"/>
  <c r="O64" i="14"/>
  <c r="U761" i="15"/>
  <c r="O761" i="15"/>
  <c r="Q714" i="15"/>
  <c r="T714" i="15" s="1"/>
  <c r="I701" i="15"/>
  <c r="K705" i="15"/>
  <c r="K629" i="15"/>
  <c r="L616" i="15"/>
  <c r="O616" i="15" s="1"/>
  <c r="O617" i="15"/>
  <c r="P521" i="15"/>
  <c r="M519" i="15"/>
  <c r="P519" i="15" s="1"/>
  <c r="L493" i="15"/>
  <c r="O493" i="15" s="1"/>
  <c r="L413" i="15"/>
  <c r="O413" i="15" s="1"/>
  <c r="O414" i="15"/>
  <c r="J332" i="15"/>
  <c r="J343" i="15"/>
  <c r="T304" i="15"/>
  <c r="K772" i="15"/>
  <c r="T695" i="15"/>
  <c r="T647" i="15"/>
  <c r="U621" i="15"/>
  <c r="S378" i="15"/>
  <c r="O364" i="15"/>
  <c r="L362" i="15"/>
  <c r="O362" i="15" s="1"/>
  <c r="R356" i="15"/>
  <c r="U356" i="15" s="1"/>
  <c r="U357" i="15"/>
  <c r="P328" i="15"/>
  <c r="M326" i="15"/>
  <c r="P326" i="15" s="1"/>
  <c r="O311" i="15"/>
  <c r="L309" i="15"/>
  <c r="O309" i="15" s="1"/>
  <c r="P287" i="15"/>
  <c r="M285" i="15"/>
  <c r="P285" i="15" s="1"/>
  <c r="T271" i="15"/>
  <c r="Q269" i="15"/>
  <c r="Q268" i="15"/>
  <c r="T203" i="15"/>
  <c r="R24" i="15"/>
  <c r="U24" i="15" s="1"/>
  <c r="U25" i="15"/>
  <c r="P19" i="15"/>
  <c r="K703" i="15"/>
  <c r="M515" i="15"/>
  <c r="P515" i="15" s="1"/>
  <c r="I365" i="15"/>
  <c r="K365" i="15" s="1"/>
  <c r="K371" i="15"/>
  <c r="K330" i="15"/>
  <c r="U308" i="15"/>
  <c r="R306" i="15"/>
  <c r="U306" i="15" s="1"/>
  <c r="O287" i="15"/>
  <c r="L285" i="15"/>
  <c r="O285" i="15" s="1"/>
  <c r="S282" i="15"/>
  <c r="N23" i="15"/>
  <c r="O338" i="15"/>
  <c r="L336" i="15"/>
  <c r="R333" i="15"/>
  <c r="U333" i="15" s="1"/>
  <c r="U284" i="15"/>
  <c r="R282" i="15"/>
  <c r="U282" i="15" s="1"/>
  <c r="M189" i="15"/>
  <c r="M188" i="15"/>
  <c r="P191" i="15"/>
  <c r="U175" i="15"/>
  <c r="R173" i="15"/>
  <c r="U173" i="15" s="1"/>
  <c r="P64" i="14"/>
  <c r="U733" i="15"/>
  <c r="S392" i="15"/>
  <c r="M392" i="15"/>
  <c r="P392" i="15" s="1"/>
  <c r="N375" i="15"/>
  <c r="P357" i="15"/>
  <c r="T335" i="15"/>
  <c r="Q333" i="15"/>
  <c r="T333" i="15" s="1"/>
  <c r="Q320" i="15"/>
  <c r="T320" i="15" s="1"/>
  <c r="S305" i="15"/>
  <c r="U305" i="15" s="1"/>
  <c r="I302" i="15"/>
  <c r="K302" i="15" s="1"/>
  <c r="K293" i="15"/>
  <c r="I280" i="15"/>
  <c r="K280" i="15" s="1"/>
  <c r="Q282" i="15"/>
  <c r="T282" i="15" s="1"/>
  <c r="T283" i="15"/>
  <c r="O271" i="15"/>
  <c r="L269" i="15"/>
  <c r="O269" i="15" s="1"/>
  <c r="L254" i="15"/>
  <c r="O254" i="15" s="1"/>
  <c r="Q157" i="15"/>
  <c r="T157" i="15" s="1"/>
  <c r="U96" i="15"/>
  <c r="R94" i="15"/>
  <c r="U94" i="15" s="1"/>
  <c r="S19" i="15"/>
  <c r="K202" i="15"/>
  <c r="S189" i="15"/>
  <c r="S188" i="15"/>
  <c r="S186" i="15" s="1"/>
  <c r="U187" i="15"/>
  <c r="T178" i="15"/>
  <c r="Q176" i="15"/>
  <c r="T176" i="15" s="1"/>
  <c r="K169" i="15"/>
  <c r="I156" i="15"/>
  <c r="K156" i="15" s="1"/>
  <c r="P140" i="15"/>
  <c r="T99" i="15"/>
  <c r="Q97" i="15"/>
  <c r="T97" i="15" s="1"/>
  <c r="P67" i="15"/>
  <c r="M65" i="15"/>
  <c r="P65" i="15" s="1"/>
  <c r="P60" i="15"/>
  <c r="U22" i="15"/>
  <c r="R19" i="15"/>
  <c r="M358" i="15"/>
  <c r="P338" i="15"/>
  <c r="Q305" i="15"/>
  <c r="P271" i="15"/>
  <c r="K260" i="15"/>
  <c r="I253" i="15"/>
  <c r="K253" i="15" s="1"/>
  <c r="K229" i="15"/>
  <c r="Q175" i="15"/>
  <c r="T175" i="15" s="1"/>
  <c r="O140" i="15"/>
  <c r="U119" i="15"/>
  <c r="Q96" i="15"/>
  <c r="T96" i="15" s="1"/>
  <c r="I82" i="15"/>
  <c r="P73" i="15"/>
  <c r="O67" i="15"/>
  <c r="L65" i="15"/>
  <c r="O65" i="15" s="1"/>
  <c r="L61" i="15"/>
  <c r="L358" i="15"/>
  <c r="N322" i="15"/>
  <c r="N320" i="15" s="1"/>
  <c r="Q189" i="15"/>
  <c r="Q188" i="15"/>
  <c r="N188" i="15"/>
  <c r="N186" i="15" s="1"/>
  <c r="S139" i="15"/>
  <c r="T122" i="15"/>
  <c r="Q120" i="15"/>
  <c r="P52" i="15"/>
  <c r="M26" i="15"/>
  <c r="P26" i="15" s="1"/>
  <c r="M50" i="15"/>
  <c r="P50" i="15" s="1"/>
  <c r="P45" i="15"/>
  <c r="N26" i="15"/>
  <c r="N24" i="15" s="1"/>
  <c r="P25" i="15"/>
  <c r="U140" i="15"/>
  <c r="Q119" i="15"/>
  <c r="T119" i="15" s="1"/>
  <c r="O52" i="15"/>
  <c r="L26" i="15"/>
  <c r="O26" i="15" s="1"/>
  <c r="L50" i="15"/>
  <c r="O50" i="15" s="1"/>
  <c r="L46" i="15"/>
  <c r="O25" i="15"/>
  <c r="P22" i="15"/>
  <c r="U380" i="15"/>
  <c r="O191" i="15"/>
  <c r="N189" i="15"/>
  <c r="T187" i="15"/>
  <c r="O187" i="15"/>
  <c r="T162" i="15"/>
  <c r="Q160" i="15"/>
  <c r="T160" i="15" s="1"/>
  <c r="K154" i="15"/>
  <c r="I136" i="15"/>
  <c r="K136" i="15" s="1"/>
  <c r="R117" i="15"/>
  <c r="U117" i="15" s="1"/>
  <c r="O22" i="15"/>
  <c r="U178" i="15"/>
  <c r="O178" i="15"/>
  <c r="U162" i="15"/>
  <c r="O162" i="15"/>
  <c r="U122" i="15"/>
  <c r="O122" i="15"/>
  <c r="U99" i="15"/>
  <c r="O99" i="15"/>
  <c r="K84" i="15"/>
  <c r="T77" i="15"/>
  <c r="S23" i="15"/>
  <c r="S20" i="15" s="1"/>
  <c r="M23" i="15"/>
  <c r="M21" i="15" s="1"/>
  <c r="K183" i="15"/>
  <c r="N175" i="15"/>
  <c r="N159" i="15"/>
  <c r="N157" i="15" s="1"/>
  <c r="K152" i="15"/>
  <c r="R141" i="15"/>
  <c r="U141" i="15" s="1"/>
  <c r="L141" i="15"/>
  <c r="O141" i="15" s="1"/>
  <c r="K127" i="15"/>
  <c r="N119" i="15"/>
  <c r="N117" i="15" s="1"/>
  <c r="N96" i="15"/>
  <c r="N94" i="15" s="1"/>
  <c r="S74" i="15"/>
  <c r="S72" i="15" s="1"/>
  <c r="M74" i="15"/>
  <c r="P74" i="15" s="1"/>
  <c r="M61" i="15"/>
  <c r="M46" i="15"/>
  <c r="M44" i="15" s="1"/>
  <c r="R23" i="15"/>
  <c r="R21" i="15" s="1"/>
  <c r="L23" i="15"/>
  <c r="L21" i="15" s="1"/>
  <c r="Q23" i="15"/>
  <c r="Q44" i="14"/>
  <c r="T44" i="14" s="1"/>
  <c r="T46" i="14"/>
  <c r="U619" i="12"/>
  <c r="K784" i="13"/>
  <c r="K781" i="13"/>
  <c r="K778" i="13"/>
  <c r="P325" i="13"/>
  <c r="M323" i="13"/>
  <c r="P323" i="13" s="1"/>
  <c r="S730" i="14"/>
  <c r="S728" i="14" s="1"/>
  <c r="S731" i="14"/>
  <c r="S690" i="14"/>
  <c r="S642" i="14"/>
  <c r="N599" i="14"/>
  <c r="R306" i="14"/>
  <c r="U306" i="14" s="1"/>
  <c r="U308" i="14"/>
  <c r="Q175" i="14"/>
  <c r="T175" i="14" s="1"/>
  <c r="T178" i="14"/>
  <c r="Q176" i="14"/>
  <c r="T176" i="14" s="1"/>
  <c r="N555" i="14"/>
  <c r="T693" i="12"/>
  <c r="I240" i="13"/>
  <c r="K240" i="13" s="1"/>
  <c r="K251" i="13"/>
  <c r="R731" i="14"/>
  <c r="R730" i="14"/>
  <c r="U733" i="14"/>
  <c r="Q616" i="14"/>
  <c r="T617" i="14"/>
  <c r="S513" i="14"/>
  <c r="M339" i="14"/>
  <c r="P339" i="14" s="1"/>
  <c r="P341" i="14"/>
  <c r="Q305" i="14"/>
  <c r="T308" i="14"/>
  <c r="L268" i="14"/>
  <c r="O268" i="14" s="1"/>
  <c r="O271" i="14"/>
  <c r="L269" i="14"/>
  <c r="O269" i="14" s="1"/>
  <c r="L214" i="14"/>
  <c r="O214" i="14" s="1"/>
  <c r="R160" i="14"/>
  <c r="U160" i="14" s="1"/>
  <c r="U162" i="14"/>
  <c r="T118" i="14"/>
  <c r="S96" i="14"/>
  <c r="S94" i="14" s="1"/>
  <c r="S97" i="14"/>
  <c r="L96" i="14"/>
  <c r="O96" i="14" s="1"/>
  <c r="L97" i="14"/>
  <c r="O97" i="14" s="1"/>
  <c r="K89" i="14"/>
  <c r="I83" i="14"/>
  <c r="K83" i="14" s="1"/>
  <c r="O49" i="14"/>
  <c r="L47" i="14"/>
  <c r="O47" i="14" s="1"/>
  <c r="T25" i="14"/>
  <c r="Q24" i="14"/>
  <c r="T24" i="14" s="1"/>
  <c r="L306" i="14"/>
  <c r="O306" i="14" s="1"/>
  <c r="O308" i="14"/>
  <c r="K127" i="12"/>
  <c r="L359" i="13"/>
  <c r="O359" i="13" s="1"/>
  <c r="O361" i="13"/>
  <c r="L78" i="13"/>
  <c r="O78" i="13" s="1"/>
  <c r="O80" i="13"/>
  <c r="K774" i="14"/>
  <c r="K678" i="14"/>
  <c r="U514" i="14"/>
  <c r="R513" i="14"/>
  <c r="U513" i="14" s="1"/>
  <c r="R496" i="14"/>
  <c r="U496" i="14" s="1"/>
  <c r="U498" i="14"/>
  <c r="S415" i="14"/>
  <c r="S413" i="14" s="1"/>
  <c r="S416" i="14"/>
  <c r="J332" i="14"/>
  <c r="K332" i="14" s="1"/>
  <c r="Q119" i="14"/>
  <c r="Q117" i="14" s="1"/>
  <c r="Q120" i="14"/>
  <c r="T120" i="14" s="1"/>
  <c r="T122" i="14"/>
  <c r="R94" i="14"/>
  <c r="N766" i="1"/>
  <c r="R74" i="13"/>
  <c r="R72" i="13" s="1"/>
  <c r="R75" i="13"/>
  <c r="U75" i="13" s="1"/>
  <c r="L160" i="14"/>
  <c r="O162" i="14"/>
  <c r="M561" i="1"/>
  <c r="P561" i="1" s="1"/>
  <c r="U162" i="12"/>
  <c r="K707" i="14"/>
  <c r="I689" i="14"/>
  <c r="K689" i="14" s="1"/>
  <c r="M534" i="14"/>
  <c r="P534" i="14" s="1"/>
  <c r="P535" i="14"/>
  <c r="K249" i="14"/>
  <c r="I242" i="14"/>
  <c r="L163" i="14"/>
  <c r="O163" i="14" s="1"/>
  <c r="O165" i="14"/>
  <c r="M100" i="14"/>
  <c r="P100" i="14" s="1"/>
  <c r="P102" i="14"/>
  <c r="M381" i="1"/>
  <c r="P381" i="1" s="1"/>
  <c r="M515" i="14"/>
  <c r="P515" i="14" s="1"/>
  <c r="M516" i="14"/>
  <c r="P516" i="14" s="1"/>
  <c r="P518" i="14"/>
  <c r="U122" i="12"/>
  <c r="Q692" i="13"/>
  <c r="Q690" i="13" s="1"/>
  <c r="T695" i="13"/>
  <c r="M272" i="13"/>
  <c r="P272" i="13" s="1"/>
  <c r="P274" i="13"/>
  <c r="Q268" i="13"/>
  <c r="Q266" i="13" s="1"/>
  <c r="Q269" i="13"/>
  <c r="T269" i="13" s="1"/>
  <c r="I156" i="13"/>
  <c r="K156" i="13" s="1"/>
  <c r="I169" i="13"/>
  <c r="K169" i="13" s="1"/>
  <c r="K783" i="14"/>
  <c r="K626" i="14"/>
  <c r="Q555" i="14"/>
  <c r="T555" i="14" s="1"/>
  <c r="T556" i="14"/>
  <c r="M392" i="14"/>
  <c r="P392" i="14" s="1"/>
  <c r="Q356" i="14"/>
  <c r="T356" i="14" s="1"/>
  <c r="T357" i="14"/>
  <c r="Q282" i="14"/>
  <c r="T282" i="14" s="1"/>
  <c r="T283" i="14"/>
  <c r="N188" i="14"/>
  <c r="N186" i="14" s="1"/>
  <c r="N189" i="14"/>
  <c r="I169" i="14"/>
  <c r="K169" i="14" s="1"/>
  <c r="I168" i="14"/>
  <c r="K168" i="14" s="1"/>
  <c r="K108" i="14"/>
  <c r="O102" i="14"/>
  <c r="L100" i="14"/>
  <c r="O100" i="14" s="1"/>
  <c r="K679" i="13"/>
  <c r="L236" i="13"/>
  <c r="R186" i="13"/>
  <c r="S175" i="13"/>
  <c r="S173" i="13" s="1"/>
  <c r="T99" i="13"/>
  <c r="O77" i="13"/>
  <c r="Q72" i="13"/>
  <c r="K785" i="14"/>
  <c r="Q763" i="14"/>
  <c r="T763" i="14" s="1"/>
  <c r="S762" i="14"/>
  <c r="S760" i="14" s="1"/>
  <c r="R693" i="14"/>
  <c r="L413" i="14"/>
  <c r="O413" i="14" s="1"/>
  <c r="M358" i="14"/>
  <c r="M356" i="14" s="1"/>
  <c r="S333" i="14"/>
  <c r="O328" i="14"/>
  <c r="I319" i="14"/>
  <c r="K319" i="14" s="1"/>
  <c r="O311" i="14"/>
  <c r="N284" i="14"/>
  <c r="N282" i="14" s="1"/>
  <c r="L236" i="14"/>
  <c r="Q19" i="14"/>
  <c r="T19" i="14" s="1"/>
  <c r="L269" i="13"/>
  <c r="O269" i="13" s="1"/>
  <c r="J701" i="14"/>
  <c r="J674" i="14"/>
  <c r="K674" i="14" s="1"/>
  <c r="U644" i="14"/>
  <c r="P361" i="14"/>
  <c r="K293" i="14"/>
  <c r="L234" i="14"/>
  <c r="T203" i="14"/>
  <c r="M192" i="14"/>
  <c r="P192" i="14" s="1"/>
  <c r="N141" i="14"/>
  <c r="N139" i="14" s="1"/>
  <c r="R75" i="14"/>
  <c r="U75" i="14" s="1"/>
  <c r="P62" i="14"/>
  <c r="S44" i="14"/>
  <c r="R44" i="14"/>
  <c r="U44" i="14" s="1"/>
  <c r="N19" i="14"/>
  <c r="K678" i="13"/>
  <c r="N61" i="13"/>
  <c r="N59" i="13" s="1"/>
  <c r="Q731" i="14"/>
  <c r="U692" i="14"/>
  <c r="L616" i="14"/>
  <c r="O616" i="14" s="1"/>
  <c r="L576" i="14"/>
  <c r="O576" i="14" s="1"/>
  <c r="S555" i="14"/>
  <c r="M493" i="14"/>
  <c r="P493" i="14" s="1"/>
  <c r="Q416" i="14"/>
  <c r="T416" i="14" s="1"/>
  <c r="M288" i="14"/>
  <c r="P288" i="14" s="1"/>
  <c r="M284" i="14"/>
  <c r="P284" i="14" s="1"/>
  <c r="S282" i="14"/>
  <c r="L243" i="14"/>
  <c r="O243" i="14" s="1"/>
  <c r="S186" i="14"/>
  <c r="M189" i="14"/>
  <c r="N142" i="14"/>
  <c r="K109" i="14"/>
  <c r="L74" i="14"/>
  <c r="Q75" i="14"/>
  <c r="T75" i="14" s="1"/>
  <c r="S24" i="14"/>
  <c r="K681" i="13"/>
  <c r="K673" i="13"/>
  <c r="K344" i="13"/>
  <c r="N322" i="13"/>
  <c r="N320" i="13" s="1"/>
  <c r="M305" i="13"/>
  <c r="M303" i="13" s="1"/>
  <c r="K779" i="14"/>
  <c r="T733" i="14"/>
  <c r="L728" i="14"/>
  <c r="O728" i="14" s="1"/>
  <c r="S619" i="14"/>
  <c r="S616" i="14"/>
  <c r="N413" i="14"/>
  <c r="P376" i="14"/>
  <c r="L335" i="14"/>
  <c r="L333" i="14" s="1"/>
  <c r="N323" i="14"/>
  <c r="M305" i="14"/>
  <c r="P305" i="14" s="1"/>
  <c r="S306" i="14"/>
  <c r="S303" i="14"/>
  <c r="T162" i="14"/>
  <c r="Q160" i="14"/>
  <c r="T160" i="14" s="1"/>
  <c r="T144" i="14"/>
  <c r="I136" i="14"/>
  <c r="K136" i="14" s="1"/>
  <c r="K116" i="14"/>
  <c r="K93" i="14"/>
  <c r="M96" i="14"/>
  <c r="M94" i="14" s="1"/>
  <c r="P94" i="14" s="1"/>
  <c r="L75" i="14"/>
  <c r="O75" i="14" s="1"/>
  <c r="R24" i="14"/>
  <c r="U24" i="14" s="1"/>
  <c r="T22" i="14"/>
  <c r="K778" i="12"/>
  <c r="T619" i="12"/>
  <c r="L322" i="12"/>
  <c r="O322" i="12" s="1"/>
  <c r="P178" i="12"/>
  <c r="R75" i="12"/>
  <c r="U75" i="12" s="1"/>
  <c r="K653" i="13"/>
  <c r="K346" i="13"/>
  <c r="O341" i="13"/>
  <c r="L309" i="13"/>
  <c r="O309" i="13" s="1"/>
  <c r="L305" i="13"/>
  <c r="L303" i="13" s="1"/>
  <c r="Q305" i="13"/>
  <c r="T305" i="13" s="1"/>
  <c r="K293" i="13"/>
  <c r="U271" i="13"/>
  <c r="K252" i="13"/>
  <c r="L235" i="13"/>
  <c r="L222" i="13"/>
  <c r="O222" i="13" s="1"/>
  <c r="K198" i="13"/>
  <c r="I195" i="13"/>
  <c r="K195" i="13" s="1"/>
  <c r="R176" i="13"/>
  <c r="U176" i="13" s="1"/>
  <c r="O47" i="13"/>
  <c r="U762" i="14"/>
  <c r="R760" i="14"/>
  <c r="U760" i="14" s="1"/>
  <c r="Q760" i="14"/>
  <c r="T760" i="14" s="1"/>
  <c r="T761" i="14"/>
  <c r="R714" i="14"/>
  <c r="U714" i="14" s="1"/>
  <c r="L714" i="14"/>
  <c r="O714" i="14" s="1"/>
  <c r="I701" i="14"/>
  <c r="K703" i="14"/>
  <c r="J675" i="14"/>
  <c r="K675" i="14" s="1"/>
  <c r="K654" i="14"/>
  <c r="L642" i="14"/>
  <c r="O642" i="14" s="1"/>
  <c r="O643" i="14"/>
  <c r="T618" i="14"/>
  <c r="M616" i="14"/>
  <c r="P616" i="14" s="1"/>
  <c r="P617" i="14"/>
  <c r="I492" i="14"/>
  <c r="K492" i="14" s="1"/>
  <c r="R392" i="14"/>
  <c r="U392" i="14" s="1"/>
  <c r="L392" i="14"/>
  <c r="O392" i="14" s="1"/>
  <c r="K709" i="11"/>
  <c r="L326" i="12"/>
  <c r="O326" i="12" s="1"/>
  <c r="O64" i="12"/>
  <c r="J351" i="13"/>
  <c r="T188" i="13"/>
  <c r="O49" i="13"/>
  <c r="Q728" i="14"/>
  <c r="R690" i="14"/>
  <c r="U691" i="14"/>
  <c r="R416" i="14"/>
  <c r="U416" i="14" s="1"/>
  <c r="R415" i="14"/>
  <c r="U415" i="14" s="1"/>
  <c r="U418" i="14"/>
  <c r="R266" i="14"/>
  <c r="U267" i="14"/>
  <c r="L690" i="14"/>
  <c r="O690" i="14" s="1"/>
  <c r="O691" i="14"/>
  <c r="K783" i="12"/>
  <c r="K780" i="12"/>
  <c r="O521" i="13"/>
  <c r="L254" i="13"/>
  <c r="O254" i="13" s="1"/>
  <c r="K153" i="13"/>
  <c r="N97" i="13"/>
  <c r="N96" i="13"/>
  <c r="N94" i="13" s="1"/>
  <c r="O64" i="13"/>
  <c r="L62" i="13"/>
  <c r="R642" i="14"/>
  <c r="U643" i="14"/>
  <c r="M555" i="14"/>
  <c r="P555" i="14" s="1"/>
  <c r="P556" i="14"/>
  <c r="R534" i="14"/>
  <c r="U534" i="14" s="1"/>
  <c r="L534" i="14"/>
  <c r="O534" i="14" s="1"/>
  <c r="K457" i="14"/>
  <c r="I456" i="14"/>
  <c r="K456" i="14" s="1"/>
  <c r="M413" i="14"/>
  <c r="P413" i="14" s="1"/>
  <c r="P414" i="14"/>
  <c r="O338" i="14"/>
  <c r="N336" i="14"/>
  <c r="O336" i="14" s="1"/>
  <c r="N335" i="14"/>
  <c r="N333" i="14" s="1"/>
  <c r="U304" i="14"/>
  <c r="M145" i="13"/>
  <c r="P145" i="13" s="1"/>
  <c r="P147" i="13"/>
  <c r="R619" i="14"/>
  <c r="R618" i="14"/>
  <c r="U618" i="14" s="1"/>
  <c r="U621" i="14"/>
  <c r="K346" i="12"/>
  <c r="R72" i="12"/>
  <c r="U72" i="12" s="1"/>
  <c r="L62" i="12"/>
  <c r="O62" i="12" s="1"/>
  <c r="P269" i="13"/>
  <c r="M163" i="13"/>
  <c r="P163" i="13" s="1"/>
  <c r="P165" i="13"/>
  <c r="M141" i="13"/>
  <c r="P141" i="13" s="1"/>
  <c r="O762" i="14"/>
  <c r="L760" i="14"/>
  <c r="O760" i="14" s="1"/>
  <c r="M760" i="14"/>
  <c r="P760" i="14" s="1"/>
  <c r="Q693" i="14"/>
  <c r="Q692" i="14"/>
  <c r="T692" i="14" s="1"/>
  <c r="T695" i="14"/>
  <c r="N690" i="14"/>
  <c r="R576" i="14"/>
  <c r="U576" i="14" s="1"/>
  <c r="O377" i="14"/>
  <c r="L375" i="14"/>
  <c r="O375" i="14" s="1"/>
  <c r="M306" i="13"/>
  <c r="P306" i="13" s="1"/>
  <c r="P283" i="14"/>
  <c r="U693" i="12"/>
  <c r="N322" i="12"/>
  <c r="N320" i="12" s="1"/>
  <c r="L288" i="12"/>
  <c r="O288" i="12" s="1"/>
  <c r="O518" i="13"/>
  <c r="R415" i="13"/>
  <c r="U415" i="13" s="1"/>
  <c r="L203" i="13"/>
  <c r="O203" i="13" s="1"/>
  <c r="T191" i="13"/>
  <c r="Q645" i="14"/>
  <c r="Q644" i="14"/>
  <c r="T644" i="14" s="1"/>
  <c r="T647" i="14"/>
  <c r="N642" i="14"/>
  <c r="R599" i="14"/>
  <c r="U599" i="14" s="1"/>
  <c r="L599" i="14"/>
  <c r="O599" i="14" s="1"/>
  <c r="Q513" i="14"/>
  <c r="T513" i="14" s="1"/>
  <c r="J503" i="14"/>
  <c r="J492" i="14" s="1"/>
  <c r="Q493" i="14"/>
  <c r="T493" i="14" s="1"/>
  <c r="T494" i="14"/>
  <c r="Q413" i="14"/>
  <c r="T413" i="14" s="1"/>
  <c r="K365" i="14"/>
  <c r="O361" i="14"/>
  <c r="L358" i="14"/>
  <c r="L359" i="14"/>
  <c r="P338" i="14"/>
  <c r="M336" i="14"/>
  <c r="Q320" i="14"/>
  <c r="T320" i="14" s="1"/>
  <c r="T321" i="14"/>
  <c r="O283" i="14"/>
  <c r="P274" i="14"/>
  <c r="M272" i="14"/>
  <c r="P272" i="14" s="1"/>
  <c r="T267" i="14"/>
  <c r="L254" i="14"/>
  <c r="O254" i="14" s="1"/>
  <c r="O191" i="14"/>
  <c r="L189" i="14"/>
  <c r="T99" i="14"/>
  <c r="Q97" i="14"/>
  <c r="Q96" i="14"/>
  <c r="P25" i="14"/>
  <c r="Q75" i="13"/>
  <c r="T75" i="13" s="1"/>
  <c r="P47" i="13"/>
  <c r="T765" i="14"/>
  <c r="U695" i="14"/>
  <c r="U647" i="14"/>
  <c r="O518" i="14"/>
  <c r="K504" i="14"/>
  <c r="T498" i="14"/>
  <c r="K371" i="14"/>
  <c r="P364" i="14"/>
  <c r="R356" i="14"/>
  <c r="U356" i="14" s="1"/>
  <c r="M335" i="14"/>
  <c r="O334" i="14"/>
  <c r="O290" i="14"/>
  <c r="L288" i="14"/>
  <c r="O288" i="14" s="1"/>
  <c r="T271" i="14"/>
  <c r="P271" i="14"/>
  <c r="M269" i="14"/>
  <c r="P269" i="14" s="1"/>
  <c r="L235" i="14"/>
  <c r="O194" i="14"/>
  <c r="L192" i="14"/>
  <c r="O192" i="14" s="1"/>
  <c r="Q714" i="14"/>
  <c r="T714" i="14" s="1"/>
  <c r="M690" i="14"/>
  <c r="P690" i="14" s="1"/>
  <c r="M642" i="14"/>
  <c r="P642" i="14" s="1"/>
  <c r="Q599" i="14"/>
  <c r="T599" i="14" s="1"/>
  <c r="Q576" i="14"/>
  <c r="T576" i="14" s="1"/>
  <c r="Q534" i="14"/>
  <c r="T534" i="14" s="1"/>
  <c r="M519" i="14"/>
  <c r="P519" i="14" s="1"/>
  <c r="N515" i="14"/>
  <c r="N513" i="14" s="1"/>
  <c r="R493" i="14"/>
  <c r="U493" i="14" s="1"/>
  <c r="L493" i="14"/>
  <c r="O493" i="14" s="1"/>
  <c r="Q392" i="14"/>
  <c r="T392" i="14" s="1"/>
  <c r="Q375" i="14"/>
  <c r="T375" i="14" s="1"/>
  <c r="N305" i="14"/>
  <c r="N303" i="14" s="1"/>
  <c r="P304" i="14"/>
  <c r="R282" i="14"/>
  <c r="U282" i="14" s="1"/>
  <c r="U283" i="14"/>
  <c r="U271" i="14"/>
  <c r="S269" i="14"/>
  <c r="N268" i="14"/>
  <c r="N266" i="14" s="1"/>
  <c r="L203" i="14"/>
  <c r="O203" i="14" s="1"/>
  <c r="U191" i="14"/>
  <c r="R189" i="14"/>
  <c r="N176" i="14"/>
  <c r="O176" i="14" s="1"/>
  <c r="O178" i="14"/>
  <c r="O118" i="14"/>
  <c r="P67" i="14"/>
  <c r="M65" i="14"/>
  <c r="P65" i="14" s="1"/>
  <c r="R94" i="13"/>
  <c r="U94" i="13" s="1"/>
  <c r="T691" i="14"/>
  <c r="T643" i="14"/>
  <c r="T621" i="14"/>
  <c r="U617" i="14"/>
  <c r="O617" i="14"/>
  <c r="U556" i="14"/>
  <c r="O556" i="14"/>
  <c r="T418" i="14"/>
  <c r="U414" i="14"/>
  <c r="O414" i="14"/>
  <c r="N358" i="14"/>
  <c r="N356" i="14" s="1"/>
  <c r="R333" i="14"/>
  <c r="U333" i="14" s="1"/>
  <c r="U334" i="14"/>
  <c r="P325" i="14"/>
  <c r="M323" i="14"/>
  <c r="P323" i="14" s="1"/>
  <c r="O304" i="14"/>
  <c r="U268" i="14"/>
  <c r="M268" i="14"/>
  <c r="M266" i="14" s="1"/>
  <c r="O267" i="14"/>
  <c r="R188" i="14"/>
  <c r="U188" i="14" s="1"/>
  <c r="R189" i="13"/>
  <c r="L141" i="13"/>
  <c r="L139" i="13" s="1"/>
  <c r="O139" i="13" s="1"/>
  <c r="S139" i="13"/>
  <c r="M123" i="13"/>
  <c r="P123" i="13" s="1"/>
  <c r="N359" i="14"/>
  <c r="P359" i="14" s="1"/>
  <c r="Q333" i="14"/>
  <c r="T333" i="14" s="1"/>
  <c r="T334" i="14"/>
  <c r="O325" i="14"/>
  <c r="L323" i="14"/>
  <c r="O323" i="14" s="1"/>
  <c r="S320" i="14"/>
  <c r="S266" i="14"/>
  <c r="L188" i="14"/>
  <c r="L186" i="14" s="1"/>
  <c r="P181" i="14"/>
  <c r="M179" i="14"/>
  <c r="P179" i="14" s="1"/>
  <c r="N175" i="14"/>
  <c r="N173" i="14" s="1"/>
  <c r="O174" i="14"/>
  <c r="P52" i="14"/>
  <c r="M26" i="14"/>
  <c r="P26" i="14" s="1"/>
  <c r="M50" i="14"/>
  <c r="P50" i="14" s="1"/>
  <c r="S19" i="14"/>
  <c r="Q188" i="14"/>
  <c r="T188" i="14" s="1"/>
  <c r="P178" i="14"/>
  <c r="U158" i="14"/>
  <c r="P147" i="14"/>
  <c r="M145" i="14"/>
  <c r="P145" i="14" s="1"/>
  <c r="P144" i="14"/>
  <c r="M142" i="14"/>
  <c r="M141" i="14"/>
  <c r="K92" i="14"/>
  <c r="O67" i="14"/>
  <c r="L65" i="14"/>
  <c r="O65" i="14" s="1"/>
  <c r="L61" i="14"/>
  <c r="O52" i="14"/>
  <c r="L26" i="14"/>
  <c r="O26" i="14" s="1"/>
  <c r="L50" i="14"/>
  <c r="O50" i="14" s="1"/>
  <c r="L46" i="14"/>
  <c r="P334" i="14"/>
  <c r="U321" i="14"/>
  <c r="O321" i="14"/>
  <c r="I281" i="14"/>
  <c r="K281" i="14" s="1"/>
  <c r="P267" i="14"/>
  <c r="K229" i="14"/>
  <c r="I202" i="14"/>
  <c r="K202" i="14" s="1"/>
  <c r="P191" i="14"/>
  <c r="T187" i="14"/>
  <c r="U174" i="14"/>
  <c r="O147" i="14"/>
  <c r="L145" i="14"/>
  <c r="O145" i="14" s="1"/>
  <c r="O144" i="14"/>
  <c r="L142" i="14"/>
  <c r="L141" i="14"/>
  <c r="L139" i="14" s="1"/>
  <c r="U120" i="14"/>
  <c r="U118" i="14"/>
  <c r="P73" i="14"/>
  <c r="R305" i="14"/>
  <c r="U305" i="14" s="1"/>
  <c r="L305" i="14"/>
  <c r="O305" i="14" s="1"/>
  <c r="L284" i="14"/>
  <c r="O284" i="14" s="1"/>
  <c r="Q268" i="14"/>
  <c r="T268" i="14" s="1"/>
  <c r="Q189" i="14"/>
  <c r="K260" i="14"/>
  <c r="I253" i="14"/>
  <c r="K253" i="14" s="1"/>
  <c r="K198" i="14"/>
  <c r="O181" i="14"/>
  <c r="P158" i="14"/>
  <c r="U144" i="14"/>
  <c r="R142" i="14"/>
  <c r="U142" i="14" s="1"/>
  <c r="R139" i="14"/>
  <c r="U139" i="14" s="1"/>
  <c r="P60" i="14"/>
  <c r="P22" i="14"/>
  <c r="M19" i="14"/>
  <c r="P174" i="14"/>
  <c r="N163" i="14"/>
  <c r="N26" i="14"/>
  <c r="N24" i="14" s="1"/>
  <c r="N160" i="14"/>
  <c r="N23" i="14"/>
  <c r="N159" i="14"/>
  <c r="N157" i="14" s="1"/>
  <c r="O158" i="14"/>
  <c r="S141" i="14"/>
  <c r="S139" i="14" s="1"/>
  <c r="T140" i="14"/>
  <c r="N119" i="14"/>
  <c r="N117" i="14" s="1"/>
  <c r="P118" i="14"/>
  <c r="Q72" i="14"/>
  <c r="T72" i="14" s="1"/>
  <c r="R19" i="14"/>
  <c r="L19" i="14"/>
  <c r="S175" i="14"/>
  <c r="S173" i="14" s="1"/>
  <c r="M175" i="14"/>
  <c r="M173" i="14" s="1"/>
  <c r="S159" i="14"/>
  <c r="S157" i="14" s="1"/>
  <c r="M159" i="14"/>
  <c r="I156" i="14"/>
  <c r="K156" i="14" s="1"/>
  <c r="Q141" i="14"/>
  <c r="T141" i="14" s="1"/>
  <c r="U140" i="14"/>
  <c r="O140" i="14"/>
  <c r="S119" i="14"/>
  <c r="S117" i="14" s="1"/>
  <c r="M119" i="14"/>
  <c r="P119" i="14" s="1"/>
  <c r="U99" i="14"/>
  <c r="O99" i="14"/>
  <c r="K84" i="14"/>
  <c r="T77" i="14"/>
  <c r="N74" i="14"/>
  <c r="N72" i="14" s="1"/>
  <c r="N61" i="14"/>
  <c r="N59" i="14" s="1"/>
  <c r="N46" i="14"/>
  <c r="N44" i="14" s="1"/>
  <c r="S23" i="14"/>
  <c r="S20" i="14" s="1"/>
  <c r="M23" i="14"/>
  <c r="R175" i="14"/>
  <c r="U175" i="14" s="1"/>
  <c r="L175" i="14"/>
  <c r="L173" i="14" s="1"/>
  <c r="R159" i="14"/>
  <c r="U159" i="14" s="1"/>
  <c r="L159" i="14"/>
  <c r="R119" i="14"/>
  <c r="L119" i="14"/>
  <c r="O119" i="14" s="1"/>
  <c r="N96" i="14"/>
  <c r="N94" i="14" s="1"/>
  <c r="S74" i="14"/>
  <c r="S72" i="14" s="1"/>
  <c r="M74" i="14"/>
  <c r="P74" i="14" s="1"/>
  <c r="M61" i="14"/>
  <c r="M59" i="14" s="1"/>
  <c r="M46" i="14"/>
  <c r="R23" i="14"/>
  <c r="L23" i="14"/>
  <c r="L21" i="14" s="1"/>
  <c r="M176" i="14"/>
  <c r="M163" i="14"/>
  <c r="P163" i="14" s="1"/>
  <c r="M160" i="14"/>
  <c r="M123" i="14"/>
  <c r="P123" i="14" s="1"/>
  <c r="M120" i="14"/>
  <c r="P120" i="14" s="1"/>
  <c r="P45" i="14"/>
  <c r="U25" i="14"/>
  <c r="O25" i="14"/>
  <c r="Q23" i="14"/>
  <c r="U22" i="14"/>
  <c r="O22" i="14"/>
  <c r="K423" i="13"/>
  <c r="I412" i="13"/>
  <c r="K412" i="13" s="1"/>
  <c r="Q139" i="13"/>
  <c r="T139" i="13" s="1"/>
  <c r="T141" i="13"/>
  <c r="L335" i="12"/>
  <c r="L333" i="12" s="1"/>
  <c r="M760" i="13"/>
  <c r="P760" i="13" s="1"/>
  <c r="L322" i="13"/>
  <c r="O322" i="13" s="1"/>
  <c r="S142" i="13"/>
  <c r="K705" i="12"/>
  <c r="Q415" i="12"/>
  <c r="T415" i="12" s="1"/>
  <c r="I281" i="12"/>
  <c r="K281" i="12" s="1"/>
  <c r="O162" i="12"/>
  <c r="I138" i="12"/>
  <c r="K138" i="12" s="1"/>
  <c r="L714" i="13"/>
  <c r="O714" i="13" s="1"/>
  <c r="K709" i="13"/>
  <c r="J702" i="13"/>
  <c r="K676" i="13"/>
  <c r="K629" i="13"/>
  <c r="S618" i="13"/>
  <c r="S616" i="13" s="1"/>
  <c r="N599" i="13"/>
  <c r="Q576" i="13"/>
  <c r="T576" i="13" s="1"/>
  <c r="L515" i="13"/>
  <c r="O515" i="13" s="1"/>
  <c r="R495" i="13"/>
  <c r="U495" i="13" s="1"/>
  <c r="U494" i="13"/>
  <c r="U418" i="13"/>
  <c r="S415" i="13"/>
  <c r="S413" i="13" s="1"/>
  <c r="S392" i="13"/>
  <c r="P341" i="13"/>
  <c r="P338" i="13"/>
  <c r="S333" i="13"/>
  <c r="N323" i="13"/>
  <c r="K314" i="13"/>
  <c r="M309" i="13"/>
  <c r="P309" i="13" s="1"/>
  <c r="R306" i="13"/>
  <c r="N284" i="13"/>
  <c r="N282" i="13" s="1"/>
  <c r="I281" i="13"/>
  <c r="K281" i="13" s="1"/>
  <c r="K260" i="13"/>
  <c r="K241" i="13"/>
  <c r="L234" i="13"/>
  <c r="K229" i="13"/>
  <c r="K209" i="13"/>
  <c r="Q189" i="13"/>
  <c r="P181" i="13"/>
  <c r="P178" i="13"/>
  <c r="R175" i="13"/>
  <c r="U175" i="13" s="1"/>
  <c r="Q142" i="13"/>
  <c r="T142" i="13" s="1"/>
  <c r="R120" i="13"/>
  <c r="K109" i="13"/>
  <c r="L100" i="13"/>
  <c r="O100" i="13" s="1"/>
  <c r="U95" i="13"/>
  <c r="U77" i="13"/>
  <c r="N74" i="13"/>
  <c r="N72" i="13" s="1"/>
  <c r="P64" i="13"/>
  <c r="N62" i="13"/>
  <c r="P62" i="13" s="1"/>
  <c r="N46" i="13"/>
  <c r="N44" i="13" s="1"/>
  <c r="S44" i="13"/>
  <c r="L74" i="11"/>
  <c r="O74" i="11" s="1"/>
  <c r="U733" i="12"/>
  <c r="S618" i="12"/>
  <c r="S616" i="12" s="1"/>
  <c r="N188" i="12"/>
  <c r="N186" i="12" s="1"/>
  <c r="O181" i="12"/>
  <c r="T175" i="12"/>
  <c r="K152" i="12"/>
  <c r="M119" i="12"/>
  <c r="P119" i="12" s="1"/>
  <c r="T119" i="12"/>
  <c r="S730" i="13"/>
  <c r="S728" i="13" s="1"/>
  <c r="S714" i="13"/>
  <c r="S693" i="13"/>
  <c r="U693" i="13" s="1"/>
  <c r="M690" i="13"/>
  <c r="P690" i="13" s="1"/>
  <c r="R618" i="13"/>
  <c r="R616" i="13" s="1"/>
  <c r="I615" i="13"/>
  <c r="K615" i="13" s="1"/>
  <c r="U600" i="13"/>
  <c r="N576" i="13"/>
  <c r="L576" i="13"/>
  <c r="O576" i="13" s="1"/>
  <c r="M555" i="13"/>
  <c r="P555" i="13" s="1"/>
  <c r="N534" i="13"/>
  <c r="M519" i="13"/>
  <c r="P519" i="13" s="1"/>
  <c r="M515" i="13"/>
  <c r="P515" i="13" s="1"/>
  <c r="T514" i="13"/>
  <c r="R496" i="13"/>
  <c r="U496" i="13" s="1"/>
  <c r="Q495" i="13"/>
  <c r="T495" i="13" s="1"/>
  <c r="N493" i="13"/>
  <c r="N335" i="13"/>
  <c r="N333" i="13" s="1"/>
  <c r="L243" i="13"/>
  <c r="O243" i="13" s="1"/>
  <c r="N175" i="13"/>
  <c r="Q175" i="13"/>
  <c r="T175" i="13" s="1"/>
  <c r="M142" i="13"/>
  <c r="P142" i="13" s="1"/>
  <c r="L119" i="13"/>
  <c r="O119" i="13" s="1"/>
  <c r="L120" i="13"/>
  <c r="O120" i="13" s="1"/>
  <c r="M96" i="13"/>
  <c r="P96" i="13" s="1"/>
  <c r="R44" i="13"/>
  <c r="U44" i="13" s="1"/>
  <c r="Q19" i="13"/>
  <c r="T19" i="13" s="1"/>
  <c r="O518" i="12"/>
  <c r="O165" i="12"/>
  <c r="Q160" i="12"/>
  <c r="T160" i="12" s="1"/>
  <c r="S762" i="13"/>
  <c r="S760" i="13" s="1"/>
  <c r="I759" i="13"/>
  <c r="K759" i="13" s="1"/>
  <c r="Q731" i="13"/>
  <c r="T731" i="13" s="1"/>
  <c r="R730" i="13"/>
  <c r="U730" i="13" s="1"/>
  <c r="U695" i="13"/>
  <c r="Q693" i="13"/>
  <c r="J675" i="13"/>
  <c r="K675" i="13" s="1"/>
  <c r="K632" i="13"/>
  <c r="S555" i="13"/>
  <c r="S513" i="13"/>
  <c r="T394" i="13"/>
  <c r="K385" i="13"/>
  <c r="S378" i="13"/>
  <c r="Q377" i="13"/>
  <c r="T357" i="13"/>
  <c r="P336" i="13"/>
  <c r="O328" i="13"/>
  <c r="S320" i="13"/>
  <c r="P290" i="13"/>
  <c r="T178" i="13"/>
  <c r="M175" i="13"/>
  <c r="M173" i="13" s="1"/>
  <c r="P162" i="13"/>
  <c r="O147" i="13"/>
  <c r="P144" i="13"/>
  <c r="R117" i="13"/>
  <c r="L96" i="13"/>
  <c r="O96" i="13" s="1"/>
  <c r="L74" i="13"/>
  <c r="T25" i="13"/>
  <c r="S377" i="12"/>
  <c r="S375" i="12" s="1"/>
  <c r="Q72" i="12"/>
  <c r="T72" i="12" s="1"/>
  <c r="K780" i="13"/>
  <c r="Q730" i="13"/>
  <c r="T730" i="13" s="1"/>
  <c r="Q714" i="13"/>
  <c r="T714" i="13" s="1"/>
  <c r="K707" i="13"/>
  <c r="R692" i="13"/>
  <c r="U692" i="13" s="1"/>
  <c r="S690" i="13"/>
  <c r="S645" i="13"/>
  <c r="U645" i="13" s="1"/>
  <c r="K626" i="13"/>
  <c r="S576" i="13"/>
  <c r="T498" i="13"/>
  <c r="K440" i="13"/>
  <c r="U380" i="13"/>
  <c r="Q378" i="13"/>
  <c r="T378" i="13" s="1"/>
  <c r="S375" i="13"/>
  <c r="I365" i="13"/>
  <c r="K365" i="13" s="1"/>
  <c r="S356" i="13"/>
  <c r="O338" i="13"/>
  <c r="M322" i="13"/>
  <c r="P322" i="13" s="1"/>
  <c r="U305" i="13"/>
  <c r="L306" i="13"/>
  <c r="O306" i="13" s="1"/>
  <c r="O290" i="13"/>
  <c r="L284" i="13"/>
  <c r="O284" i="13" s="1"/>
  <c r="R282" i="13"/>
  <c r="U282" i="13" s="1"/>
  <c r="P271" i="13"/>
  <c r="N232" i="13"/>
  <c r="L233" i="13"/>
  <c r="L214" i="13"/>
  <c r="O214" i="13" s="1"/>
  <c r="P191" i="13"/>
  <c r="N188" i="13"/>
  <c r="N186" i="13" s="1"/>
  <c r="O178" i="13"/>
  <c r="R160" i="13"/>
  <c r="U160" i="13" s="1"/>
  <c r="M97" i="13"/>
  <c r="P97" i="13" s="1"/>
  <c r="N75" i="13"/>
  <c r="P75" i="13" s="1"/>
  <c r="S24" i="13"/>
  <c r="U647" i="12"/>
  <c r="R644" i="13"/>
  <c r="U644" i="13" s="1"/>
  <c r="N616" i="13"/>
  <c r="Q555" i="13"/>
  <c r="T555" i="13" s="1"/>
  <c r="L555" i="13"/>
  <c r="O555" i="13" s="1"/>
  <c r="P518" i="13"/>
  <c r="I456" i="13"/>
  <c r="K456" i="13" s="1"/>
  <c r="M413" i="13"/>
  <c r="P413" i="13" s="1"/>
  <c r="M375" i="13"/>
  <c r="P375" i="13" s="1"/>
  <c r="N358" i="13"/>
  <c r="N356" i="13" s="1"/>
  <c r="K330" i="13"/>
  <c r="M326" i="13"/>
  <c r="P326" i="13" s="1"/>
  <c r="N268" i="13"/>
  <c r="N266" i="13" s="1"/>
  <c r="M268" i="13"/>
  <c r="M266" i="13" s="1"/>
  <c r="J231" i="13"/>
  <c r="J185" i="13" s="1"/>
  <c r="P194" i="13"/>
  <c r="M188" i="13"/>
  <c r="M186" i="13" s="1"/>
  <c r="N176" i="13"/>
  <c r="P176" i="13" s="1"/>
  <c r="T144" i="13"/>
  <c r="O118" i="13"/>
  <c r="L97" i="13"/>
  <c r="O97" i="13" s="1"/>
  <c r="P80" i="13"/>
  <c r="P77" i="13"/>
  <c r="L75" i="13"/>
  <c r="P49" i="13"/>
  <c r="T22" i="13"/>
  <c r="O49" i="12"/>
  <c r="N47" i="12"/>
  <c r="O47" i="12" s="1"/>
  <c r="K703" i="13"/>
  <c r="I701" i="13"/>
  <c r="L690" i="13"/>
  <c r="O690" i="13" s="1"/>
  <c r="O691" i="13"/>
  <c r="Q645" i="13"/>
  <c r="T647" i="13"/>
  <c r="Q644" i="13"/>
  <c r="K785" i="13"/>
  <c r="K779" i="13"/>
  <c r="L760" i="13"/>
  <c r="O760" i="13" s="1"/>
  <c r="O761" i="13"/>
  <c r="Q763" i="13"/>
  <c r="T763" i="13" s="1"/>
  <c r="Q762" i="13"/>
  <c r="T762" i="13" s="1"/>
  <c r="T765" i="13"/>
  <c r="U691" i="13"/>
  <c r="M519" i="12"/>
  <c r="P519" i="12" s="1"/>
  <c r="P521" i="12"/>
  <c r="I231" i="12"/>
  <c r="I185" i="12" s="1"/>
  <c r="K185" i="12" s="1"/>
  <c r="K783" i="13"/>
  <c r="U761" i="13"/>
  <c r="L728" i="13"/>
  <c r="O728" i="13" s="1"/>
  <c r="O730" i="13"/>
  <c r="R513" i="13"/>
  <c r="U513" i="13" s="1"/>
  <c r="U514" i="13"/>
  <c r="P287" i="13"/>
  <c r="M284" i="13"/>
  <c r="K85" i="13"/>
  <c r="I83" i="13"/>
  <c r="U733" i="11"/>
  <c r="M359" i="13"/>
  <c r="P359" i="13" s="1"/>
  <c r="M358" i="13"/>
  <c r="M356" i="13" s="1"/>
  <c r="P361" i="13"/>
  <c r="J332" i="13"/>
  <c r="K332" i="13" s="1"/>
  <c r="J343" i="13"/>
  <c r="T731" i="11"/>
  <c r="L235" i="11"/>
  <c r="K782" i="12"/>
  <c r="I423" i="12"/>
  <c r="K423" i="12" s="1"/>
  <c r="K116" i="12"/>
  <c r="R97" i="12"/>
  <c r="U765" i="13"/>
  <c r="R762" i="13"/>
  <c r="U762" i="13" s="1"/>
  <c r="P761" i="13"/>
  <c r="I758" i="13"/>
  <c r="K758" i="13" s="1"/>
  <c r="U733" i="13"/>
  <c r="T729" i="13"/>
  <c r="P715" i="13"/>
  <c r="P691" i="13"/>
  <c r="U647" i="13"/>
  <c r="U621" i="13"/>
  <c r="Q599" i="13"/>
  <c r="T599" i="13" s="1"/>
  <c r="N515" i="13"/>
  <c r="N513" i="13" s="1"/>
  <c r="M362" i="13"/>
  <c r="P362" i="13" s="1"/>
  <c r="P364" i="13"/>
  <c r="N159" i="13"/>
  <c r="N157" i="13" s="1"/>
  <c r="N26" i="13"/>
  <c r="N24" i="13" s="1"/>
  <c r="N163" i="13"/>
  <c r="O415" i="13"/>
  <c r="L413" i="13"/>
  <c r="O413" i="13" s="1"/>
  <c r="R392" i="13"/>
  <c r="U392" i="13" s="1"/>
  <c r="U393" i="13"/>
  <c r="M285" i="13"/>
  <c r="P285" i="13" s="1"/>
  <c r="Q160" i="13"/>
  <c r="T160" i="13" s="1"/>
  <c r="T162" i="13"/>
  <c r="Q159" i="13"/>
  <c r="T159" i="13" s="1"/>
  <c r="K781" i="11"/>
  <c r="S762" i="12"/>
  <c r="S760" i="12" s="1"/>
  <c r="T322" i="13"/>
  <c r="Q320" i="13"/>
  <c r="T320" i="13" s="1"/>
  <c r="I137" i="13"/>
  <c r="K137" i="13" s="1"/>
  <c r="K152" i="13"/>
  <c r="O49" i="11"/>
  <c r="K784" i="12"/>
  <c r="J674" i="12"/>
  <c r="K674" i="12" s="1"/>
  <c r="M515" i="12"/>
  <c r="P515" i="12" s="1"/>
  <c r="K503" i="12"/>
  <c r="L233" i="12"/>
  <c r="P102" i="12"/>
  <c r="L96" i="12"/>
  <c r="L94" i="12" s="1"/>
  <c r="L642" i="13"/>
  <c r="O642" i="13" s="1"/>
  <c r="L616" i="13"/>
  <c r="O616" i="13" s="1"/>
  <c r="M599" i="13"/>
  <c r="P599" i="13" s="1"/>
  <c r="P600" i="13"/>
  <c r="R555" i="13"/>
  <c r="U555" i="13" s="1"/>
  <c r="T535" i="13"/>
  <c r="M534" i="13"/>
  <c r="P534" i="13" s="1"/>
  <c r="P535" i="13"/>
  <c r="T414" i="13"/>
  <c r="L375" i="13"/>
  <c r="O375" i="13" s="1"/>
  <c r="O376" i="13"/>
  <c r="L358" i="13"/>
  <c r="O364" i="13"/>
  <c r="R356" i="13"/>
  <c r="U356" i="13" s="1"/>
  <c r="U358" i="13"/>
  <c r="Q282" i="13"/>
  <c r="T282" i="13" s="1"/>
  <c r="T283" i="13"/>
  <c r="T267" i="13"/>
  <c r="K183" i="13"/>
  <c r="I172" i="13"/>
  <c r="K172" i="13" s="1"/>
  <c r="O181" i="13"/>
  <c r="L179" i="13"/>
  <c r="O179" i="13" s="1"/>
  <c r="L175" i="13"/>
  <c r="S119" i="13"/>
  <c r="U119" i="13" s="1"/>
  <c r="S120" i="13"/>
  <c r="T122" i="13"/>
  <c r="K778" i="11"/>
  <c r="K302" i="13"/>
  <c r="Q186" i="13"/>
  <c r="T187" i="13"/>
  <c r="M141" i="10"/>
  <c r="P141" i="10" s="1"/>
  <c r="M358" i="11"/>
  <c r="M356" i="11" s="1"/>
  <c r="O122" i="11"/>
  <c r="S692" i="12"/>
  <c r="S690" i="12" s="1"/>
  <c r="L519" i="12"/>
  <c r="O519" i="12" s="1"/>
  <c r="L515" i="12"/>
  <c r="O515" i="12" s="1"/>
  <c r="T498" i="12"/>
  <c r="M339" i="12"/>
  <c r="P339" i="12" s="1"/>
  <c r="T308" i="12"/>
  <c r="O122" i="12"/>
  <c r="T761" i="13"/>
  <c r="T715" i="13"/>
  <c r="P617" i="13"/>
  <c r="O601" i="13"/>
  <c r="S534" i="13"/>
  <c r="J503" i="13"/>
  <c r="J492" i="13" s="1"/>
  <c r="S496" i="13"/>
  <c r="O393" i="13"/>
  <c r="L392" i="13"/>
  <c r="O392" i="13" s="1"/>
  <c r="P357" i="13"/>
  <c r="O304" i="13"/>
  <c r="S186" i="13"/>
  <c r="U188" i="13"/>
  <c r="I92" i="13"/>
  <c r="K92" i="13" s="1"/>
  <c r="K108" i="13"/>
  <c r="S96" i="13"/>
  <c r="S94" i="13" s="1"/>
  <c r="S97" i="13"/>
  <c r="S19" i="13"/>
  <c r="R320" i="13"/>
  <c r="U320" i="13" s="1"/>
  <c r="T304" i="13"/>
  <c r="T174" i="13"/>
  <c r="K678" i="12"/>
  <c r="O25" i="13"/>
  <c r="L19" i="13"/>
  <c r="P181" i="10"/>
  <c r="K293" i="12"/>
  <c r="P290" i="12"/>
  <c r="P125" i="12"/>
  <c r="J701" i="13"/>
  <c r="M642" i="13"/>
  <c r="P642" i="13" s="1"/>
  <c r="Q618" i="13"/>
  <c r="T621" i="13"/>
  <c r="M576" i="13"/>
  <c r="P576" i="13" s="1"/>
  <c r="P577" i="13"/>
  <c r="O514" i="13"/>
  <c r="U376" i="13"/>
  <c r="S306" i="13"/>
  <c r="T308" i="13"/>
  <c r="R303" i="13"/>
  <c r="U303" i="13" s="1"/>
  <c r="U304" i="13"/>
  <c r="O194" i="13"/>
  <c r="L192" i="13"/>
  <c r="O192" i="13" s="1"/>
  <c r="P160" i="13"/>
  <c r="K503" i="13"/>
  <c r="T418" i="13"/>
  <c r="Q415" i="13"/>
  <c r="T415" i="13" s="1"/>
  <c r="R377" i="13"/>
  <c r="U377" i="13" s="1"/>
  <c r="M335" i="13"/>
  <c r="O325" i="13"/>
  <c r="N305" i="13"/>
  <c r="N303" i="13" s="1"/>
  <c r="L268" i="13"/>
  <c r="I265" i="13"/>
  <c r="K265" i="13" s="1"/>
  <c r="I136" i="13"/>
  <c r="K136" i="13" s="1"/>
  <c r="K154" i="13"/>
  <c r="L145" i="13"/>
  <c r="O145" i="13" s="1"/>
  <c r="I116" i="13"/>
  <c r="K116" i="13" s="1"/>
  <c r="P45" i="13"/>
  <c r="R24" i="13"/>
  <c r="U24" i="13" s="1"/>
  <c r="U25" i="13"/>
  <c r="L336" i="13"/>
  <c r="O336" i="13" s="1"/>
  <c r="L335" i="13"/>
  <c r="L272" i="13"/>
  <c r="O272" i="13" s="1"/>
  <c r="I242" i="13"/>
  <c r="K249" i="13"/>
  <c r="I238" i="13"/>
  <c r="K238" i="13" s="1"/>
  <c r="P187" i="13"/>
  <c r="I168" i="13"/>
  <c r="K168" i="13" s="1"/>
  <c r="K167" i="13"/>
  <c r="O165" i="13"/>
  <c r="L163" i="13"/>
  <c r="O163" i="13" s="1"/>
  <c r="R333" i="13"/>
  <c r="U333" i="13" s="1"/>
  <c r="P308" i="13"/>
  <c r="S268" i="13"/>
  <c r="I213" i="13"/>
  <c r="K213" i="13" s="1"/>
  <c r="K220" i="13"/>
  <c r="N189" i="13"/>
  <c r="O189" i="13" s="1"/>
  <c r="O191" i="13"/>
  <c r="O162" i="13"/>
  <c r="L160" i="13"/>
  <c r="O160" i="13" s="1"/>
  <c r="L159" i="13"/>
  <c r="L157" i="13" s="1"/>
  <c r="O125" i="13"/>
  <c r="L123" i="13"/>
  <c r="O123" i="13" s="1"/>
  <c r="M120" i="13"/>
  <c r="P120" i="13" s="1"/>
  <c r="P122" i="13"/>
  <c r="T95" i="13"/>
  <c r="P52" i="13"/>
  <c r="M26" i="13"/>
  <c r="P26" i="13" s="1"/>
  <c r="M50" i="13"/>
  <c r="P50" i="13" s="1"/>
  <c r="L46" i="13"/>
  <c r="N23" i="13"/>
  <c r="P22" i="13"/>
  <c r="M19" i="13"/>
  <c r="R269" i="13"/>
  <c r="U269" i="13" s="1"/>
  <c r="R268" i="13"/>
  <c r="S160" i="13"/>
  <c r="S159" i="13"/>
  <c r="S157" i="13" s="1"/>
  <c r="M159" i="13"/>
  <c r="O52" i="13"/>
  <c r="L26" i="13"/>
  <c r="O26" i="13" s="1"/>
  <c r="L50" i="13"/>
  <c r="O50" i="13" s="1"/>
  <c r="P25" i="13"/>
  <c r="I82" i="13"/>
  <c r="P67" i="13"/>
  <c r="M65" i="13"/>
  <c r="P65" i="13" s="1"/>
  <c r="P60" i="13"/>
  <c r="U22" i="13"/>
  <c r="R19" i="13"/>
  <c r="U308" i="13"/>
  <c r="O308" i="13"/>
  <c r="O287" i="13"/>
  <c r="T271" i="13"/>
  <c r="L188" i="13"/>
  <c r="S189" i="13"/>
  <c r="L176" i="13"/>
  <c r="R159" i="13"/>
  <c r="O158" i="13"/>
  <c r="N141" i="13"/>
  <c r="N139" i="13" s="1"/>
  <c r="N119" i="13"/>
  <c r="N117" i="13" s="1"/>
  <c r="Q96" i="13"/>
  <c r="T96" i="13" s="1"/>
  <c r="P73" i="13"/>
  <c r="O67" i="13"/>
  <c r="L65" i="13"/>
  <c r="O65" i="13" s="1"/>
  <c r="L61" i="13"/>
  <c r="U191" i="13"/>
  <c r="O22" i="13"/>
  <c r="U122" i="13"/>
  <c r="O122" i="13"/>
  <c r="U99" i="13"/>
  <c r="O99" i="13"/>
  <c r="K84" i="13"/>
  <c r="T77" i="13"/>
  <c r="S23" i="13"/>
  <c r="S20" i="13" s="1"/>
  <c r="M23" i="13"/>
  <c r="S74" i="13"/>
  <c r="M74" i="13"/>
  <c r="M61" i="13"/>
  <c r="M46" i="13"/>
  <c r="R23" i="13"/>
  <c r="L23" i="13"/>
  <c r="Q23" i="13"/>
  <c r="K784" i="10"/>
  <c r="U619" i="10"/>
  <c r="R693" i="11"/>
  <c r="U306" i="11"/>
  <c r="M268" i="11"/>
  <c r="M266" i="11" s="1"/>
  <c r="K779" i="12"/>
  <c r="T763" i="12"/>
  <c r="M728" i="12"/>
  <c r="P728" i="12" s="1"/>
  <c r="K681" i="12"/>
  <c r="M642" i="12"/>
  <c r="P642" i="12" s="1"/>
  <c r="I456" i="12"/>
  <c r="K456" i="12" s="1"/>
  <c r="K371" i="12"/>
  <c r="K368" i="12"/>
  <c r="K344" i="12"/>
  <c r="O341" i="12"/>
  <c r="M322" i="12"/>
  <c r="P322" i="12" s="1"/>
  <c r="M323" i="12"/>
  <c r="P323" i="12" s="1"/>
  <c r="Q306" i="12"/>
  <c r="O287" i="12"/>
  <c r="J231" i="12"/>
  <c r="J185" i="12" s="1"/>
  <c r="N189" i="12"/>
  <c r="T178" i="12"/>
  <c r="Q176" i="12"/>
  <c r="T176" i="12" s="1"/>
  <c r="N141" i="12"/>
  <c r="N139" i="12" s="1"/>
  <c r="I136" i="12"/>
  <c r="K136" i="12" s="1"/>
  <c r="T122" i="12"/>
  <c r="K109" i="12"/>
  <c r="L100" i="12"/>
  <c r="O100" i="12" s="1"/>
  <c r="M96" i="12"/>
  <c r="M94" i="12" s="1"/>
  <c r="S97" i="12"/>
  <c r="I92" i="12"/>
  <c r="K92" i="12" s="1"/>
  <c r="I83" i="12"/>
  <c r="K83" i="12" s="1"/>
  <c r="U77" i="12"/>
  <c r="N74" i="12"/>
  <c r="N72" i="12" s="1"/>
  <c r="O73" i="12"/>
  <c r="P64" i="12"/>
  <c r="U60" i="12"/>
  <c r="N46" i="12"/>
  <c r="N44" i="12" s="1"/>
  <c r="S44" i="12"/>
  <c r="M159" i="12"/>
  <c r="P159" i="12" s="1"/>
  <c r="T619" i="10"/>
  <c r="L326" i="10"/>
  <c r="O326" i="10" s="1"/>
  <c r="L78" i="10"/>
  <c r="O78" i="10" s="1"/>
  <c r="I701" i="11"/>
  <c r="M359" i="11"/>
  <c r="K209" i="11"/>
  <c r="K781" i="12"/>
  <c r="K774" i="12"/>
  <c r="R762" i="12"/>
  <c r="R730" i="12"/>
  <c r="R728" i="12" s="1"/>
  <c r="O729" i="12"/>
  <c r="O715" i="12"/>
  <c r="K707" i="12"/>
  <c r="R692" i="12"/>
  <c r="I689" i="12"/>
  <c r="K689" i="12" s="1"/>
  <c r="L642" i="12"/>
  <c r="O642" i="12" s="1"/>
  <c r="K629" i="12"/>
  <c r="R618" i="12"/>
  <c r="Q576" i="12"/>
  <c r="T576" i="12" s="1"/>
  <c r="N515" i="12"/>
  <c r="N513" i="12" s="1"/>
  <c r="M493" i="12"/>
  <c r="P493" i="12" s="1"/>
  <c r="L392" i="12"/>
  <c r="O392" i="12" s="1"/>
  <c r="L254" i="12"/>
  <c r="O254" i="12" s="1"/>
  <c r="M160" i="12"/>
  <c r="P160" i="12" s="1"/>
  <c r="S120" i="12"/>
  <c r="U120" i="12" s="1"/>
  <c r="S117" i="12"/>
  <c r="T117" i="12" s="1"/>
  <c r="R44" i="12"/>
  <c r="U44" i="12" s="1"/>
  <c r="Q19" i="12"/>
  <c r="T19" i="12" s="1"/>
  <c r="M96" i="10"/>
  <c r="M94" i="10" s="1"/>
  <c r="P94" i="10" s="1"/>
  <c r="U765" i="12"/>
  <c r="Q762" i="12"/>
  <c r="Q760" i="12" s="1"/>
  <c r="L760" i="12"/>
  <c r="O760" i="12" s="1"/>
  <c r="S731" i="12"/>
  <c r="U731" i="12" s="1"/>
  <c r="Q730" i="12"/>
  <c r="T729" i="12"/>
  <c r="N728" i="12"/>
  <c r="T715" i="12"/>
  <c r="N714" i="12"/>
  <c r="J701" i="12"/>
  <c r="K676" i="12"/>
  <c r="T645" i="12"/>
  <c r="S644" i="12"/>
  <c r="S642" i="12" s="1"/>
  <c r="N616" i="12"/>
  <c r="J503" i="12"/>
  <c r="J492" i="12" s="1"/>
  <c r="Q495" i="12"/>
  <c r="T495" i="12" s="1"/>
  <c r="N493" i="12"/>
  <c r="L493" i="12"/>
  <c r="O493" i="12" s="1"/>
  <c r="R377" i="12"/>
  <c r="R375" i="12" s="1"/>
  <c r="Q356" i="12"/>
  <c r="T356" i="12" s="1"/>
  <c r="P328" i="12"/>
  <c r="O311" i="12"/>
  <c r="S305" i="12"/>
  <c r="T305" i="12" s="1"/>
  <c r="K251" i="12"/>
  <c r="L203" i="12"/>
  <c r="O203" i="12" s="1"/>
  <c r="P181" i="12"/>
  <c r="P162" i="12"/>
  <c r="T159" i="12"/>
  <c r="T144" i="12"/>
  <c r="Q142" i="12"/>
  <c r="T142" i="12" s="1"/>
  <c r="Q120" i="12"/>
  <c r="P97" i="12"/>
  <c r="L74" i="12"/>
  <c r="O74" i="12" s="1"/>
  <c r="Q75" i="12"/>
  <c r="T75" i="12" s="1"/>
  <c r="T73" i="12"/>
  <c r="N61" i="12"/>
  <c r="N59" i="12" s="1"/>
  <c r="S59" i="12"/>
  <c r="T25" i="12"/>
  <c r="N323" i="12"/>
  <c r="K784" i="6"/>
  <c r="K661" i="10"/>
  <c r="M100" i="10"/>
  <c r="P100" i="10" s="1"/>
  <c r="N268" i="11"/>
  <c r="N266" i="11" s="1"/>
  <c r="K785" i="12"/>
  <c r="T765" i="12"/>
  <c r="K727" i="12"/>
  <c r="I701" i="12"/>
  <c r="U695" i="12"/>
  <c r="K679" i="12"/>
  <c r="R644" i="12"/>
  <c r="M616" i="12"/>
  <c r="P616" i="12" s="1"/>
  <c r="S576" i="12"/>
  <c r="S496" i="12"/>
  <c r="U418" i="12"/>
  <c r="S415" i="12"/>
  <c r="S413" i="12" s="1"/>
  <c r="N392" i="12"/>
  <c r="U380" i="12"/>
  <c r="P376" i="12"/>
  <c r="P361" i="12"/>
  <c r="J351" i="12"/>
  <c r="N335" i="12"/>
  <c r="N333" i="12" s="1"/>
  <c r="N336" i="12"/>
  <c r="N268" i="12"/>
  <c r="N266" i="12" s="1"/>
  <c r="L97" i="12"/>
  <c r="O97" i="12" s="1"/>
  <c r="P62" i="12"/>
  <c r="S24" i="12"/>
  <c r="M19" i="12"/>
  <c r="S535" i="1"/>
  <c r="U763" i="12"/>
  <c r="I242" i="11"/>
  <c r="K242" i="11" s="1"/>
  <c r="T733" i="12"/>
  <c r="J675" i="12"/>
  <c r="K675" i="12" s="1"/>
  <c r="P643" i="12"/>
  <c r="Q599" i="12"/>
  <c r="T599" i="12" s="1"/>
  <c r="L599" i="12"/>
  <c r="O599" i="12" s="1"/>
  <c r="R576" i="12"/>
  <c r="U576" i="12" s="1"/>
  <c r="T418" i="12"/>
  <c r="R415" i="12"/>
  <c r="U415" i="12" s="1"/>
  <c r="K369" i="12"/>
  <c r="O361" i="12"/>
  <c r="M335" i="12"/>
  <c r="K330" i="12"/>
  <c r="N269" i="12"/>
  <c r="N232" i="12"/>
  <c r="I238" i="12"/>
  <c r="K238" i="12" s="1"/>
  <c r="L222" i="12"/>
  <c r="O222" i="12" s="1"/>
  <c r="L214" i="12"/>
  <c r="O214" i="12" s="1"/>
  <c r="N175" i="12"/>
  <c r="N173" i="12" s="1"/>
  <c r="T162" i="12"/>
  <c r="S141" i="12"/>
  <c r="S139" i="12" s="1"/>
  <c r="O125" i="12"/>
  <c r="P122" i="12"/>
  <c r="M120" i="12"/>
  <c r="P120" i="12" s="1"/>
  <c r="P99" i="12"/>
  <c r="P80" i="12"/>
  <c r="P77" i="12"/>
  <c r="L75" i="12"/>
  <c r="O75" i="12" s="1"/>
  <c r="P49" i="12"/>
  <c r="T22" i="12"/>
  <c r="L19" i="12"/>
  <c r="K615" i="12"/>
  <c r="U645" i="12"/>
  <c r="L268" i="11"/>
  <c r="O268" i="11" s="1"/>
  <c r="L576" i="12"/>
  <c r="O576" i="12" s="1"/>
  <c r="O514" i="12"/>
  <c r="O364" i="12"/>
  <c r="L362" i="12"/>
  <c r="O362" i="12" s="1"/>
  <c r="U188" i="12"/>
  <c r="J701" i="10"/>
  <c r="S173" i="10"/>
  <c r="I82" i="10"/>
  <c r="K82" i="10" s="1"/>
  <c r="K705" i="11"/>
  <c r="O287" i="11"/>
  <c r="S117" i="11"/>
  <c r="K772" i="12"/>
  <c r="T761" i="12"/>
  <c r="T695" i="12"/>
  <c r="Q692" i="12"/>
  <c r="Q690" i="12" s="1"/>
  <c r="U691" i="12"/>
  <c r="O691" i="12"/>
  <c r="T647" i="12"/>
  <c r="Q644" i="12"/>
  <c r="U643" i="12"/>
  <c r="O643" i="12"/>
  <c r="K632" i="12"/>
  <c r="U621" i="12"/>
  <c r="P618" i="12"/>
  <c r="L616" i="12"/>
  <c r="O616" i="12" s="1"/>
  <c r="R599" i="12"/>
  <c r="U599" i="12" s="1"/>
  <c r="T578" i="12"/>
  <c r="R555" i="12"/>
  <c r="U555" i="12" s="1"/>
  <c r="L555" i="12"/>
  <c r="O555" i="12" s="1"/>
  <c r="N534" i="12"/>
  <c r="L534" i="12"/>
  <c r="O534" i="12" s="1"/>
  <c r="S513" i="12"/>
  <c r="L413" i="12"/>
  <c r="O413" i="12" s="1"/>
  <c r="M413" i="12"/>
  <c r="P413" i="12" s="1"/>
  <c r="U376" i="12"/>
  <c r="Q333" i="12"/>
  <c r="T333" i="12" s="1"/>
  <c r="T334" i="12"/>
  <c r="N284" i="12"/>
  <c r="N282" i="12" s="1"/>
  <c r="U191" i="12"/>
  <c r="R189" i="12"/>
  <c r="U118" i="12"/>
  <c r="P364" i="12"/>
  <c r="M362" i="12"/>
  <c r="P362" i="12" s="1"/>
  <c r="N163" i="12"/>
  <c r="N26" i="12"/>
  <c r="N24" i="12" s="1"/>
  <c r="N159" i="12"/>
  <c r="N157" i="12" s="1"/>
  <c r="Q618" i="12"/>
  <c r="M392" i="12"/>
  <c r="P392" i="12" s="1"/>
  <c r="P393" i="12"/>
  <c r="L375" i="12"/>
  <c r="O375" i="12" s="1"/>
  <c r="O376" i="12"/>
  <c r="M358" i="12"/>
  <c r="M356" i="12" s="1"/>
  <c r="I213" i="12"/>
  <c r="K213" i="12" s="1"/>
  <c r="K220" i="12"/>
  <c r="P67" i="12"/>
  <c r="M65" i="12"/>
  <c r="P65" i="12" s="1"/>
  <c r="K709" i="10"/>
  <c r="K385" i="10"/>
  <c r="K344" i="10"/>
  <c r="I238" i="10"/>
  <c r="K238" i="10" s="1"/>
  <c r="K707" i="11"/>
  <c r="S645" i="11"/>
  <c r="T418" i="11"/>
  <c r="N305" i="11"/>
  <c r="N303" i="11" s="1"/>
  <c r="O271" i="11"/>
  <c r="L203" i="11"/>
  <c r="O203" i="11" s="1"/>
  <c r="R189" i="11"/>
  <c r="P102" i="11"/>
  <c r="K703" i="12"/>
  <c r="T691" i="12"/>
  <c r="T643" i="12"/>
  <c r="T621" i="12"/>
  <c r="T617" i="12"/>
  <c r="O600" i="12"/>
  <c r="Q555" i="12"/>
  <c r="T555" i="12" s="1"/>
  <c r="T556" i="12"/>
  <c r="M555" i="12"/>
  <c r="P555" i="12" s="1"/>
  <c r="M534" i="12"/>
  <c r="P534" i="12" s="1"/>
  <c r="P535" i="12"/>
  <c r="R513" i="12"/>
  <c r="U513" i="12" s="1"/>
  <c r="U514" i="12"/>
  <c r="Q513" i="12"/>
  <c r="T513" i="12" s="1"/>
  <c r="T414" i="12"/>
  <c r="R392" i="12"/>
  <c r="U392" i="12" s="1"/>
  <c r="I374" i="12"/>
  <c r="T376" i="12"/>
  <c r="O308" i="12"/>
  <c r="N306" i="12"/>
  <c r="O306" i="12" s="1"/>
  <c r="N305" i="12"/>
  <c r="N303" i="12" s="1"/>
  <c r="U304" i="12"/>
  <c r="P287" i="12"/>
  <c r="M285" i="12"/>
  <c r="P285" i="12" s="1"/>
  <c r="M284" i="12"/>
  <c r="P284" i="12" s="1"/>
  <c r="O283" i="12"/>
  <c r="O271" i="12"/>
  <c r="L269" i="12"/>
  <c r="O269" i="12" s="1"/>
  <c r="L235" i="12"/>
  <c r="I195" i="12"/>
  <c r="K195" i="12" s="1"/>
  <c r="R186" i="12"/>
  <c r="U186" i="12" s="1"/>
  <c r="U96" i="12"/>
  <c r="R94" i="12"/>
  <c r="U94" i="12" s="1"/>
  <c r="P19" i="12"/>
  <c r="M576" i="12"/>
  <c r="P576" i="12" s="1"/>
  <c r="T380" i="11"/>
  <c r="L192" i="11"/>
  <c r="O192" i="11" s="1"/>
  <c r="L188" i="11"/>
  <c r="L186" i="11" s="1"/>
  <c r="S730" i="12"/>
  <c r="S728" i="12" s="1"/>
  <c r="K631" i="12"/>
  <c r="N599" i="12"/>
  <c r="Q303" i="12"/>
  <c r="T304" i="12"/>
  <c r="P274" i="12"/>
  <c r="M272" i="12"/>
  <c r="P272" i="12" s="1"/>
  <c r="T271" i="12"/>
  <c r="S269" i="12"/>
  <c r="T269" i="12" s="1"/>
  <c r="S268" i="12"/>
  <c r="S266" i="12" s="1"/>
  <c r="I265" i="12"/>
  <c r="K265" i="12" s="1"/>
  <c r="L234" i="12"/>
  <c r="T187" i="12"/>
  <c r="U141" i="12"/>
  <c r="R139" i="12"/>
  <c r="U139" i="12" s="1"/>
  <c r="O19" i="12"/>
  <c r="P514" i="12"/>
  <c r="S499" i="1"/>
  <c r="L322" i="10"/>
  <c r="O322" i="10" s="1"/>
  <c r="J675" i="11"/>
  <c r="U647" i="11"/>
  <c r="K229" i="11"/>
  <c r="K630" i="12"/>
  <c r="K626" i="12"/>
  <c r="M599" i="12"/>
  <c r="P599" i="12" s="1"/>
  <c r="R534" i="12"/>
  <c r="U534" i="12" s="1"/>
  <c r="P518" i="12"/>
  <c r="M516" i="12"/>
  <c r="P516" i="12" s="1"/>
  <c r="K504" i="12"/>
  <c r="R495" i="12"/>
  <c r="U498" i="12"/>
  <c r="Q378" i="12"/>
  <c r="T378" i="12" s="1"/>
  <c r="Q377" i="12"/>
  <c r="T380" i="12"/>
  <c r="O359" i="12"/>
  <c r="J332" i="12"/>
  <c r="K332" i="12" s="1"/>
  <c r="J343" i="12"/>
  <c r="O274" i="12"/>
  <c r="L272" i="12"/>
  <c r="O272" i="12" s="1"/>
  <c r="U271" i="12"/>
  <c r="R269" i="12"/>
  <c r="R268" i="12"/>
  <c r="L268" i="12"/>
  <c r="O268" i="12" s="1"/>
  <c r="P144" i="12"/>
  <c r="M142" i="12"/>
  <c r="P142" i="12" s="1"/>
  <c r="M141" i="12"/>
  <c r="M139" i="12" s="1"/>
  <c r="S19" i="12"/>
  <c r="K386" i="12"/>
  <c r="I365" i="12"/>
  <c r="K365" i="12" s="1"/>
  <c r="L358" i="12"/>
  <c r="O325" i="12"/>
  <c r="L323" i="12"/>
  <c r="O323" i="12" s="1"/>
  <c r="P308" i="12"/>
  <c r="M306" i="12"/>
  <c r="I302" i="12"/>
  <c r="K302" i="12" s="1"/>
  <c r="S282" i="12"/>
  <c r="T267" i="12"/>
  <c r="L243" i="12"/>
  <c r="P191" i="12"/>
  <c r="M189" i="12"/>
  <c r="M188" i="12"/>
  <c r="P174" i="12"/>
  <c r="P147" i="12"/>
  <c r="M145" i="12"/>
  <c r="P145" i="12" s="1"/>
  <c r="O144" i="12"/>
  <c r="L142" i="12"/>
  <c r="O142" i="12" s="1"/>
  <c r="L141" i="12"/>
  <c r="U22" i="12"/>
  <c r="J374" i="12"/>
  <c r="P338" i="12"/>
  <c r="M336" i="12"/>
  <c r="Q320" i="12"/>
  <c r="T320" i="12" s="1"/>
  <c r="P311" i="12"/>
  <c r="M309" i="12"/>
  <c r="P309" i="12" s="1"/>
  <c r="M305" i="12"/>
  <c r="M303" i="12" s="1"/>
  <c r="O304" i="12"/>
  <c r="R282" i="12"/>
  <c r="U282" i="12" s="1"/>
  <c r="U283" i="12"/>
  <c r="P194" i="12"/>
  <c r="M192" i="12"/>
  <c r="P192" i="12" s="1"/>
  <c r="O191" i="12"/>
  <c r="L189" i="12"/>
  <c r="L188" i="12"/>
  <c r="O174" i="12"/>
  <c r="U158" i="12"/>
  <c r="O147" i="12"/>
  <c r="L145" i="12"/>
  <c r="O145" i="12" s="1"/>
  <c r="N120" i="12"/>
  <c r="N119" i="12"/>
  <c r="N117" i="12" s="1"/>
  <c r="P359" i="12"/>
  <c r="O338" i="12"/>
  <c r="L336" i="12"/>
  <c r="S333" i="12"/>
  <c r="U308" i="12"/>
  <c r="S306" i="12"/>
  <c r="U306" i="12" s="1"/>
  <c r="Q282" i="12"/>
  <c r="T282" i="12" s="1"/>
  <c r="T283" i="12"/>
  <c r="P271" i="12"/>
  <c r="M269" i="12"/>
  <c r="M268" i="12"/>
  <c r="O194" i="12"/>
  <c r="L192" i="12"/>
  <c r="O192" i="12" s="1"/>
  <c r="T191" i="12"/>
  <c r="S189" i="12"/>
  <c r="T189" i="12" s="1"/>
  <c r="N176" i="12"/>
  <c r="O178" i="12"/>
  <c r="P60" i="12"/>
  <c r="R24" i="12"/>
  <c r="U24" i="12" s="1"/>
  <c r="U25" i="12"/>
  <c r="R19" i="12"/>
  <c r="N358" i="12"/>
  <c r="N356" i="12" s="1"/>
  <c r="U334" i="12"/>
  <c r="O334" i="12"/>
  <c r="P325" i="12"/>
  <c r="T321" i="12"/>
  <c r="R305" i="12"/>
  <c r="L305" i="12"/>
  <c r="P304" i="12"/>
  <c r="L284" i="12"/>
  <c r="O284" i="12" s="1"/>
  <c r="P283" i="12"/>
  <c r="Q268" i="12"/>
  <c r="U267" i="12"/>
  <c r="O267" i="12"/>
  <c r="K249" i="12"/>
  <c r="Q188" i="12"/>
  <c r="T188" i="12" s="1"/>
  <c r="U187" i="12"/>
  <c r="O187" i="12"/>
  <c r="K183" i="12"/>
  <c r="S176" i="12"/>
  <c r="S175" i="12"/>
  <c r="S173" i="12" s="1"/>
  <c r="L176" i="12"/>
  <c r="L175" i="12"/>
  <c r="T99" i="12"/>
  <c r="Q97" i="12"/>
  <c r="O67" i="12"/>
  <c r="L65" i="12"/>
  <c r="O65" i="12" s="1"/>
  <c r="L61" i="12"/>
  <c r="K260" i="12"/>
  <c r="K229" i="12"/>
  <c r="I202" i="12"/>
  <c r="K202" i="12" s="1"/>
  <c r="R176" i="12"/>
  <c r="U176" i="12" s="1"/>
  <c r="R175" i="12"/>
  <c r="U175" i="12" s="1"/>
  <c r="U174" i="12"/>
  <c r="P158" i="12"/>
  <c r="U144" i="12"/>
  <c r="R142" i="12"/>
  <c r="U142" i="12" s="1"/>
  <c r="P118" i="12"/>
  <c r="T96" i="12"/>
  <c r="Q94" i="12"/>
  <c r="T94" i="12" s="1"/>
  <c r="I82" i="12"/>
  <c r="P73" i="12"/>
  <c r="P52" i="12"/>
  <c r="M26" i="12"/>
  <c r="P26" i="12" s="1"/>
  <c r="M50" i="12"/>
  <c r="P50" i="12" s="1"/>
  <c r="P45" i="12"/>
  <c r="P25" i="12"/>
  <c r="K252" i="12"/>
  <c r="O158" i="12"/>
  <c r="O118" i="12"/>
  <c r="O52" i="12"/>
  <c r="L26" i="12"/>
  <c r="O26" i="12" s="1"/>
  <c r="L50" i="12"/>
  <c r="O50" i="12" s="1"/>
  <c r="L46" i="12"/>
  <c r="O25" i="12"/>
  <c r="N23" i="12"/>
  <c r="P22" i="12"/>
  <c r="Q139" i="12"/>
  <c r="T139" i="12" s="1"/>
  <c r="T140" i="12"/>
  <c r="O22" i="12"/>
  <c r="M175" i="12"/>
  <c r="S159" i="12"/>
  <c r="S157" i="12" s="1"/>
  <c r="I156" i="12"/>
  <c r="K156" i="12" s="1"/>
  <c r="U99" i="12"/>
  <c r="O99" i="12"/>
  <c r="K84" i="12"/>
  <c r="T77" i="12"/>
  <c r="S23" i="12"/>
  <c r="S20" i="12" s="1"/>
  <c r="M23" i="12"/>
  <c r="R159" i="12"/>
  <c r="U159" i="12" s="1"/>
  <c r="L159" i="12"/>
  <c r="O159" i="12" s="1"/>
  <c r="R119" i="12"/>
  <c r="U119" i="12" s="1"/>
  <c r="L119" i="12"/>
  <c r="O119" i="12" s="1"/>
  <c r="N96" i="12"/>
  <c r="S74" i="12"/>
  <c r="S72" i="12" s="1"/>
  <c r="M74" i="12"/>
  <c r="P74" i="12" s="1"/>
  <c r="M61" i="12"/>
  <c r="M46" i="12"/>
  <c r="R23" i="12"/>
  <c r="R21" i="12" s="1"/>
  <c r="L23" i="12"/>
  <c r="L21" i="12" s="1"/>
  <c r="M176" i="12"/>
  <c r="M163" i="12"/>
  <c r="P163" i="12" s="1"/>
  <c r="Q23" i="12"/>
  <c r="K676" i="10"/>
  <c r="K631" i="11"/>
  <c r="N175" i="11"/>
  <c r="N173" i="11" s="1"/>
  <c r="O62" i="11"/>
  <c r="I136" i="11"/>
  <c r="K136" i="11" s="1"/>
  <c r="K782" i="10"/>
  <c r="K785" i="11"/>
  <c r="K779" i="11"/>
  <c r="K630" i="11"/>
  <c r="K386" i="11"/>
  <c r="K371" i="11"/>
  <c r="O178" i="11"/>
  <c r="P47" i="11"/>
  <c r="O341" i="9"/>
  <c r="K772" i="10"/>
  <c r="U763" i="10"/>
  <c r="M519" i="11"/>
  <c r="P519" i="11" s="1"/>
  <c r="J351" i="11"/>
  <c r="O328" i="11"/>
  <c r="I302" i="11"/>
  <c r="K302" i="11" s="1"/>
  <c r="M284" i="11"/>
  <c r="P284" i="11" s="1"/>
  <c r="I169" i="11"/>
  <c r="K169" i="11" s="1"/>
  <c r="O165" i="11"/>
  <c r="M163" i="11"/>
  <c r="P163" i="11" s="1"/>
  <c r="O144" i="11"/>
  <c r="O125" i="11"/>
  <c r="U122" i="11"/>
  <c r="S120" i="11"/>
  <c r="T120" i="11" s="1"/>
  <c r="O99" i="11"/>
  <c r="P77" i="11"/>
  <c r="O47" i="11"/>
  <c r="K781" i="6"/>
  <c r="K781" i="8"/>
  <c r="T763" i="10"/>
  <c r="O338" i="10"/>
  <c r="Q75" i="10"/>
  <c r="T75" i="10" s="1"/>
  <c r="S642" i="11"/>
  <c r="O521" i="11"/>
  <c r="I168" i="11"/>
  <c r="K168" i="11" s="1"/>
  <c r="U162" i="11"/>
  <c r="O160" i="11"/>
  <c r="N119" i="11"/>
  <c r="N117" i="11" s="1"/>
  <c r="O80" i="11"/>
  <c r="N74" i="11"/>
  <c r="N72" i="11" s="1"/>
  <c r="P64" i="11"/>
  <c r="K630" i="9"/>
  <c r="P80" i="10"/>
  <c r="Q416" i="11"/>
  <c r="T416" i="11" s="1"/>
  <c r="K369" i="11"/>
  <c r="I365" i="11"/>
  <c r="K365" i="11" s="1"/>
  <c r="K330" i="11"/>
  <c r="S268" i="11"/>
  <c r="S266" i="11" s="1"/>
  <c r="K167" i="11"/>
  <c r="Q142" i="11"/>
  <c r="T142" i="11" s="1"/>
  <c r="K127" i="11"/>
  <c r="I82" i="11"/>
  <c r="I70" i="11" s="1"/>
  <c r="K70" i="11" s="1"/>
  <c r="T77" i="11"/>
  <c r="Q75" i="11"/>
  <c r="T75" i="11" s="1"/>
  <c r="N61" i="11"/>
  <c r="N59" i="11" s="1"/>
  <c r="U621" i="11"/>
  <c r="S619" i="11"/>
  <c r="T619" i="11" s="1"/>
  <c r="U269" i="11"/>
  <c r="R159" i="9"/>
  <c r="U159" i="9" s="1"/>
  <c r="U162" i="9"/>
  <c r="S493" i="11"/>
  <c r="L375" i="11"/>
  <c r="O375" i="11" s="1"/>
  <c r="O376" i="11"/>
  <c r="N336" i="11"/>
  <c r="P336" i="11" s="1"/>
  <c r="N335" i="11"/>
  <c r="N333" i="11" s="1"/>
  <c r="U376" i="11"/>
  <c r="T415" i="11"/>
  <c r="Q413" i="11"/>
  <c r="T413" i="11" s="1"/>
  <c r="M392" i="11"/>
  <c r="P392" i="11" s="1"/>
  <c r="P393" i="11"/>
  <c r="Q730" i="10"/>
  <c r="T730" i="10" s="1"/>
  <c r="T733" i="10"/>
  <c r="Q731" i="10"/>
  <c r="T731" i="10" s="1"/>
  <c r="O729" i="11"/>
  <c r="L728" i="11"/>
  <c r="O728" i="11" s="1"/>
  <c r="K689" i="11"/>
  <c r="P692" i="11"/>
  <c r="M690" i="11"/>
  <c r="P690" i="11" s="1"/>
  <c r="Q644" i="11"/>
  <c r="Q642" i="11" s="1"/>
  <c r="T642" i="11" s="1"/>
  <c r="T647" i="11"/>
  <c r="L555" i="11"/>
  <c r="O555" i="11" s="1"/>
  <c r="O556" i="11"/>
  <c r="Q495" i="11"/>
  <c r="T495" i="11" s="1"/>
  <c r="T498" i="11"/>
  <c r="Q496" i="11"/>
  <c r="T496" i="11" s="1"/>
  <c r="M119" i="7"/>
  <c r="P119" i="7" s="1"/>
  <c r="M339" i="10"/>
  <c r="P339" i="10" s="1"/>
  <c r="P328" i="10"/>
  <c r="I221" i="10"/>
  <c r="K221" i="10" s="1"/>
  <c r="K783" i="11"/>
  <c r="R731" i="11"/>
  <c r="U731" i="11" s="1"/>
  <c r="R730" i="11"/>
  <c r="R728" i="11" s="1"/>
  <c r="T600" i="11"/>
  <c r="Q513" i="11"/>
  <c r="T513" i="11" s="1"/>
  <c r="S496" i="11"/>
  <c r="N413" i="11"/>
  <c r="I374" i="11"/>
  <c r="O361" i="11"/>
  <c r="S356" i="11"/>
  <c r="M335" i="11"/>
  <c r="M333" i="11" s="1"/>
  <c r="L335" i="11"/>
  <c r="O335" i="11" s="1"/>
  <c r="P308" i="11"/>
  <c r="M305" i="11"/>
  <c r="P305" i="11" s="1"/>
  <c r="L222" i="11"/>
  <c r="O222" i="11" s="1"/>
  <c r="P194" i="11"/>
  <c r="O181" i="11"/>
  <c r="K152" i="11"/>
  <c r="O147" i="11"/>
  <c r="N141" i="11"/>
  <c r="N139" i="11" s="1"/>
  <c r="L141" i="11"/>
  <c r="M123" i="11"/>
  <c r="P123" i="11" s="1"/>
  <c r="L96" i="11"/>
  <c r="R97" i="11"/>
  <c r="I83" i="11"/>
  <c r="K83" i="11" s="1"/>
  <c r="R75" i="11"/>
  <c r="U75" i="11" s="1"/>
  <c r="N46" i="11"/>
  <c r="N44" i="11" s="1"/>
  <c r="S44" i="11"/>
  <c r="R44" i="11"/>
  <c r="U44" i="11" s="1"/>
  <c r="N19" i="11"/>
  <c r="L339" i="10"/>
  <c r="O339" i="10" s="1"/>
  <c r="R269" i="10"/>
  <c r="U269" i="10" s="1"/>
  <c r="K252" i="10"/>
  <c r="L234" i="10"/>
  <c r="O125" i="10"/>
  <c r="Q714" i="11"/>
  <c r="T714" i="11" s="1"/>
  <c r="R645" i="11"/>
  <c r="U645" i="11" s="1"/>
  <c r="I615" i="11"/>
  <c r="K615" i="11" s="1"/>
  <c r="Q555" i="11"/>
  <c r="T555" i="11" s="1"/>
  <c r="J458" i="11"/>
  <c r="L284" i="11"/>
  <c r="O284" i="11" s="1"/>
  <c r="L254" i="11"/>
  <c r="O254" i="11" s="1"/>
  <c r="S157" i="11"/>
  <c r="M97" i="11"/>
  <c r="P97" i="11" s="1"/>
  <c r="M19" i="11"/>
  <c r="P19" i="11" s="1"/>
  <c r="I93" i="11"/>
  <c r="K93" i="11" s="1"/>
  <c r="K784" i="9"/>
  <c r="K781" i="9"/>
  <c r="K778" i="9"/>
  <c r="J702" i="9"/>
  <c r="S377" i="10"/>
  <c r="S375" i="10" s="1"/>
  <c r="I332" i="10"/>
  <c r="N760" i="11"/>
  <c r="N714" i="11"/>
  <c r="N690" i="11"/>
  <c r="N642" i="11"/>
  <c r="K632" i="11"/>
  <c r="R618" i="11"/>
  <c r="R616" i="11" s="1"/>
  <c r="L616" i="11"/>
  <c r="O616" i="11" s="1"/>
  <c r="S534" i="11"/>
  <c r="K503" i="11"/>
  <c r="R377" i="11"/>
  <c r="R375" i="11" s="1"/>
  <c r="K368" i="11"/>
  <c r="M339" i="11"/>
  <c r="P339" i="11" s="1"/>
  <c r="T308" i="11"/>
  <c r="N272" i="11"/>
  <c r="T178" i="11"/>
  <c r="P176" i="11"/>
  <c r="O162" i="11"/>
  <c r="M120" i="11"/>
  <c r="P120" i="11" s="1"/>
  <c r="R94" i="11"/>
  <c r="U94" i="11" s="1"/>
  <c r="P80" i="11"/>
  <c r="N75" i="11"/>
  <c r="O64" i="11"/>
  <c r="T60" i="11"/>
  <c r="T22" i="11"/>
  <c r="S97" i="11"/>
  <c r="I93" i="8"/>
  <c r="K93" i="8" s="1"/>
  <c r="K778" i="10"/>
  <c r="K679" i="10"/>
  <c r="K632" i="10"/>
  <c r="O194" i="10"/>
  <c r="K727" i="11"/>
  <c r="M714" i="11"/>
  <c r="P714" i="11" s="1"/>
  <c r="J702" i="11"/>
  <c r="K626" i="11"/>
  <c r="Q618" i="11"/>
  <c r="Q616" i="11" s="1"/>
  <c r="N616" i="11"/>
  <c r="S555" i="11"/>
  <c r="R534" i="11"/>
  <c r="U534" i="11" s="1"/>
  <c r="L515" i="11"/>
  <c r="O515" i="11" s="1"/>
  <c r="J503" i="11"/>
  <c r="J492" i="11" s="1"/>
  <c r="Q377" i="11"/>
  <c r="Q375" i="11" s="1"/>
  <c r="N375" i="11"/>
  <c r="M362" i="11"/>
  <c r="P362" i="11" s="1"/>
  <c r="L322" i="11"/>
  <c r="O322" i="11" s="1"/>
  <c r="Q306" i="11"/>
  <c r="T306" i="11" s="1"/>
  <c r="M272" i="11"/>
  <c r="P272" i="11" s="1"/>
  <c r="P271" i="11"/>
  <c r="I195" i="11"/>
  <c r="K195" i="11" s="1"/>
  <c r="L189" i="11"/>
  <c r="O189" i="11" s="1"/>
  <c r="L75" i="11"/>
  <c r="O75" i="11" s="1"/>
  <c r="S59" i="11"/>
  <c r="T269" i="11"/>
  <c r="J675" i="9"/>
  <c r="K675" i="9" s="1"/>
  <c r="R496" i="10"/>
  <c r="U496" i="10" s="1"/>
  <c r="K784" i="11"/>
  <c r="S762" i="11"/>
  <c r="S760" i="11" s="1"/>
  <c r="L760" i="11"/>
  <c r="O760" i="11" s="1"/>
  <c r="M728" i="11"/>
  <c r="P728" i="11" s="1"/>
  <c r="J701" i="11"/>
  <c r="L690" i="11"/>
  <c r="O690" i="11" s="1"/>
  <c r="J674" i="11"/>
  <c r="T621" i="11"/>
  <c r="M616" i="11"/>
  <c r="P616" i="11" s="1"/>
  <c r="L576" i="11"/>
  <c r="O576" i="11" s="1"/>
  <c r="M576" i="11"/>
  <c r="P576" i="11" s="1"/>
  <c r="M555" i="11"/>
  <c r="P555" i="11" s="1"/>
  <c r="Q534" i="11"/>
  <c r="T534" i="11" s="1"/>
  <c r="O518" i="11"/>
  <c r="O494" i="11"/>
  <c r="J374" i="11"/>
  <c r="K346" i="11"/>
  <c r="L323" i="11"/>
  <c r="O323" i="11" s="1"/>
  <c r="U308" i="11"/>
  <c r="R305" i="11"/>
  <c r="R303" i="11" s="1"/>
  <c r="M288" i="11"/>
  <c r="P288" i="11" s="1"/>
  <c r="J231" i="11"/>
  <c r="J185" i="11" s="1"/>
  <c r="L214" i="11"/>
  <c r="O214" i="11" s="1"/>
  <c r="Q175" i="11"/>
  <c r="T162" i="11"/>
  <c r="P162" i="11"/>
  <c r="S160" i="11"/>
  <c r="S141" i="11"/>
  <c r="S139" i="11" s="1"/>
  <c r="O102" i="11"/>
  <c r="U77" i="11"/>
  <c r="O77" i="11"/>
  <c r="U74" i="11"/>
  <c r="P62" i="11"/>
  <c r="P49" i="11"/>
  <c r="R642" i="11"/>
  <c r="U642" i="11" s="1"/>
  <c r="U692" i="11"/>
  <c r="R690" i="11"/>
  <c r="U690" i="11" s="1"/>
  <c r="K440" i="11"/>
  <c r="I423" i="11"/>
  <c r="M189" i="11"/>
  <c r="P189" i="11" s="1"/>
  <c r="P191" i="11"/>
  <c r="K785" i="8"/>
  <c r="K782" i="8"/>
  <c r="K779" i="8"/>
  <c r="K709" i="8"/>
  <c r="J351" i="8"/>
  <c r="K346" i="8"/>
  <c r="R762" i="10"/>
  <c r="R760" i="10" s="1"/>
  <c r="P359" i="10"/>
  <c r="J351" i="10"/>
  <c r="L254" i="10"/>
  <c r="O254" i="10" s="1"/>
  <c r="K780" i="11"/>
  <c r="Q762" i="11"/>
  <c r="S416" i="11"/>
  <c r="S415" i="11"/>
  <c r="S413" i="11" s="1"/>
  <c r="U394" i="11"/>
  <c r="R392" i="11"/>
  <c r="U392" i="11" s="1"/>
  <c r="P361" i="11"/>
  <c r="N359" i="11"/>
  <c r="N358" i="11"/>
  <c r="N356" i="11" s="1"/>
  <c r="P357" i="11"/>
  <c r="R333" i="11"/>
  <c r="U333" i="11" s="1"/>
  <c r="U334" i="11"/>
  <c r="M322" i="11"/>
  <c r="P325" i="11"/>
  <c r="M323" i="11"/>
  <c r="P323" i="11" s="1"/>
  <c r="I253" i="11"/>
  <c r="K253" i="11" s="1"/>
  <c r="K260" i="11"/>
  <c r="P147" i="11"/>
  <c r="M145" i="11"/>
  <c r="P145" i="11" s="1"/>
  <c r="M141" i="11"/>
  <c r="P141" i="11" s="1"/>
  <c r="P60" i="11"/>
  <c r="S392" i="11"/>
  <c r="I172" i="11"/>
  <c r="K172" i="11" s="1"/>
  <c r="K183" i="11"/>
  <c r="L326" i="9"/>
  <c r="O326" i="9" s="1"/>
  <c r="I221" i="9"/>
  <c r="K221" i="9" s="1"/>
  <c r="K785" i="10"/>
  <c r="K780" i="10"/>
  <c r="K678" i="10"/>
  <c r="K673" i="10"/>
  <c r="U498" i="10"/>
  <c r="O359" i="10"/>
  <c r="U308" i="10"/>
  <c r="L272" i="10"/>
  <c r="O272" i="10" s="1"/>
  <c r="L268" i="10"/>
  <c r="O268" i="10" s="1"/>
  <c r="R189" i="10"/>
  <c r="U189" i="10" s="1"/>
  <c r="S176" i="10"/>
  <c r="U162" i="10"/>
  <c r="P162" i="10"/>
  <c r="Q160" i="10"/>
  <c r="T160" i="10" s="1"/>
  <c r="K127" i="10"/>
  <c r="L74" i="10"/>
  <c r="O74" i="10" s="1"/>
  <c r="L75" i="10"/>
  <c r="O75" i="10" s="1"/>
  <c r="K782" i="11"/>
  <c r="P762" i="11"/>
  <c r="I759" i="11"/>
  <c r="K759" i="11" s="1"/>
  <c r="P729" i="11"/>
  <c r="U716" i="11"/>
  <c r="U695" i="11"/>
  <c r="S693" i="11"/>
  <c r="T693" i="11" s="1"/>
  <c r="Q645" i="11"/>
  <c r="T645" i="11" s="1"/>
  <c r="M642" i="11"/>
  <c r="P642" i="11" s="1"/>
  <c r="S618" i="11"/>
  <c r="L599" i="11"/>
  <c r="O599" i="11" s="1"/>
  <c r="S576" i="11"/>
  <c r="P556" i="11"/>
  <c r="N515" i="11"/>
  <c r="N513" i="11" s="1"/>
  <c r="R513" i="11"/>
  <c r="U513" i="11" s="1"/>
  <c r="M493" i="11"/>
  <c r="P493" i="11" s="1"/>
  <c r="R415" i="11"/>
  <c r="U418" i="11"/>
  <c r="Q392" i="11"/>
  <c r="T392" i="11" s="1"/>
  <c r="T393" i="11"/>
  <c r="S378" i="11"/>
  <c r="T378" i="11" s="1"/>
  <c r="O357" i="11"/>
  <c r="T334" i="11"/>
  <c r="Q333" i="11"/>
  <c r="T333" i="11" s="1"/>
  <c r="M326" i="11"/>
  <c r="P326" i="11" s="1"/>
  <c r="L309" i="11"/>
  <c r="O309" i="11" s="1"/>
  <c r="N284" i="11"/>
  <c r="N282" i="11" s="1"/>
  <c r="N285" i="11"/>
  <c r="L272" i="11"/>
  <c r="O272" i="11" s="1"/>
  <c r="O274" i="11"/>
  <c r="L236" i="11"/>
  <c r="S189" i="11"/>
  <c r="S188" i="11"/>
  <c r="S186" i="11" s="1"/>
  <c r="U186" i="11" s="1"/>
  <c r="R142" i="11"/>
  <c r="U142" i="11" s="1"/>
  <c r="R141" i="11"/>
  <c r="U144" i="11"/>
  <c r="Q692" i="11"/>
  <c r="K457" i="11"/>
  <c r="I456" i="11"/>
  <c r="K456" i="11" s="1"/>
  <c r="N322" i="11"/>
  <c r="N320" i="11" s="1"/>
  <c r="N323" i="11"/>
  <c r="T304" i="11"/>
  <c r="Q303" i="11"/>
  <c r="U144" i="9"/>
  <c r="K630" i="10"/>
  <c r="O311" i="10"/>
  <c r="L305" i="10"/>
  <c r="O305" i="10" s="1"/>
  <c r="N305" i="10"/>
  <c r="N303" i="10" s="1"/>
  <c r="L222" i="10"/>
  <c r="O222" i="10" s="1"/>
  <c r="O189" i="10"/>
  <c r="T162" i="10"/>
  <c r="Q157" i="10"/>
  <c r="T157" i="10" s="1"/>
  <c r="R94" i="10"/>
  <c r="U94" i="10" s="1"/>
  <c r="O62" i="10"/>
  <c r="T765" i="11"/>
  <c r="Q730" i="11"/>
  <c r="T733" i="11"/>
  <c r="S730" i="11"/>
  <c r="L714" i="11"/>
  <c r="O714" i="11" s="1"/>
  <c r="T695" i="11"/>
  <c r="L642" i="11"/>
  <c r="O642" i="11" s="1"/>
  <c r="P617" i="11"/>
  <c r="R599" i="11"/>
  <c r="U599" i="11" s="1"/>
  <c r="O578" i="11"/>
  <c r="T535" i="11"/>
  <c r="M534" i="11"/>
  <c r="P534" i="11" s="1"/>
  <c r="R496" i="11"/>
  <c r="U496" i="11" s="1"/>
  <c r="R495" i="11"/>
  <c r="U495" i="11" s="1"/>
  <c r="U498" i="11"/>
  <c r="M285" i="11"/>
  <c r="P285" i="11" s="1"/>
  <c r="P287" i="11"/>
  <c r="K276" i="11"/>
  <c r="I265" i="11"/>
  <c r="K265" i="11" s="1"/>
  <c r="Q186" i="11"/>
  <c r="T187" i="11"/>
  <c r="P118" i="11"/>
  <c r="Q321" i="1"/>
  <c r="T321" i="1" s="1"/>
  <c r="U647" i="9"/>
  <c r="T144" i="9"/>
  <c r="L100" i="9"/>
  <c r="O100" i="9" s="1"/>
  <c r="L96" i="9"/>
  <c r="O96" i="9" s="1"/>
  <c r="K774" i="10"/>
  <c r="R730" i="10"/>
  <c r="U730" i="10" s="1"/>
  <c r="K707" i="10"/>
  <c r="K705" i="10"/>
  <c r="O518" i="10"/>
  <c r="O364" i="10"/>
  <c r="K293" i="10"/>
  <c r="K209" i="10"/>
  <c r="L203" i="10"/>
  <c r="O203" i="10" s="1"/>
  <c r="N119" i="10"/>
  <c r="N117" i="10" s="1"/>
  <c r="I758" i="11"/>
  <c r="K758" i="11" s="1"/>
  <c r="P715" i="11"/>
  <c r="K703" i="11"/>
  <c r="U643" i="11"/>
  <c r="T556" i="11"/>
  <c r="M516" i="11"/>
  <c r="P516" i="11" s="1"/>
  <c r="M515" i="11"/>
  <c r="P515" i="11" s="1"/>
  <c r="O364" i="11"/>
  <c r="L362" i="11"/>
  <c r="O362" i="11" s="1"/>
  <c r="R356" i="11"/>
  <c r="U356" i="11" s="1"/>
  <c r="U357" i="11"/>
  <c r="R320" i="11"/>
  <c r="U320" i="11" s="1"/>
  <c r="L288" i="11"/>
  <c r="O288" i="11" s="1"/>
  <c r="Q268" i="11"/>
  <c r="T271" i="11"/>
  <c r="U174" i="11"/>
  <c r="L61" i="8"/>
  <c r="L59" i="8" s="1"/>
  <c r="U498" i="9"/>
  <c r="S495" i="10"/>
  <c r="S493" i="10" s="1"/>
  <c r="K276" i="10"/>
  <c r="I92" i="10"/>
  <c r="K92" i="10" s="1"/>
  <c r="P77" i="10"/>
  <c r="R762" i="11"/>
  <c r="U765" i="11"/>
  <c r="M599" i="11"/>
  <c r="P599" i="11" s="1"/>
  <c r="P577" i="11"/>
  <c r="R576" i="11"/>
  <c r="U576" i="11" s="1"/>
  <c r="T494" i="11"/>
  <c r="M413" i="11"/>
  <c r="P413" i="11" s="1"/>
  <c r="P414" i="11"/>
  <c r="O394" i="11"/>
  <c r="L392" i="11"/>
  <c r="O392" i="11" s="1"/>
  <c r="U380" i="11"/>
  <c r="S377" i="11"/>
  <c r="S375" i="11" s="1"/>
  <c r="O334" i="11"/>
  <c r="R282" i="11"/>
  <c r="U282" i="11" s="1"/>
  <c r="L243" i="11"/>
  <c r="L233" i="11"/>
  <c r="M188" i="11"/>
  <c r="M186" i="11" s="1"/>
  <c r="M179" i="11"/>
  <c r="P179" i="11" s="1"/>
  <c r="P181" i="11"/>
  <c r="N46" i="10"/>
  <c r="N44" i="10" s="1"/>
  <c r="K344" i="11"/>
  <c r="O341" i="11"/>
  <c r="O338" i="11"/>
  <c r="P334" i="11"/>
  <c r="T321" i="11"/>
  <c r="P311" i="11"/>
  <c r="O308" i="11"/>
  <c r="S305" i="11"/>
  <c r="L305" i="11"/>
  <c r="K293" i="11"/>
  <c r="I281" i="11"/>
  <c r="K281" i="11" s="1"/>
  <c r="U271" i="11"/>
  <c r="R268" i="11"/>
  <c r="I238" i="11"/>
  <c r="K238" i="11" s="1"/>
  <c r="S175" i="11"/>
  <c r="S173" i="11" s="1"/>
  <c r="S176" i="11"/>
  <c r="L176" i="11"/>
  <c r="O176" i="11" s="1"/>
  <c r="L175" i="11"/>
  <c r="L173" i="11" s="1"/>
  <c r="Q159" i="11"/>
  <c r="T122" i="11"/>
  <c r="M96" i="11"/>
  <c r="L46" i="11"/>
  <c r="P25" i="11"/>
  <c r="L358" i="11"/>
  <c r="J343" i="11"/>
  <c r="S282" i="11"/>
  <c r="N232" i="11"/>
  <c r="P158" i="11"/>
  <c r="K153" i="11"/>
  <c r="I138" i="11"/>
  <c r="K138" i="11" s="1"/>
  <c r="T140" i="11"/>
  <c r="K108" i="11"/>
  <c r="I92" i="11"/>
  <c r="K92" i="11" s="1"/>
  <c r="O52" i="11"/>
  <c r="L26" i="11"/>
  <c r="O26" i="11" s="1"/>
  <c r="L50" i="11"/>
  <c r="O50" i="11" s="1"/>
  <c r="P338" i="11"/>
  <c r="J332" i="11"/>
  <c r="K332" i="11" s="1"/>
  <c r="M269" i="11"/>
  <c r="P269" i="11" s="1"/>
  <c r="Q119" i="11"/>
  <c r="L234" i="11"/>
  <c r="I213" i="11"/>
  <c r="K213" i="11" s="1"/>
  <c r="K220" i="11"/>
  <c r="N23" i="11"/>
  <c r="N21" i="11" s="1"/>
  <c r="R24" i="11"/>
  <c r="U24" i="11" s="1"/>
  <c r="U25" i="11"/>
  <c r="O19" i="11"/>
  <c r="U191" i="11"/>
  <c r="O191" i="11"/>
  <c r="Q189" i="11"/>
  <c r="R176" i="11"/>
  <c r="U176" i="11" s="1"/>
  <c r="R175" i="11"/>
  <c r="U175" i="11" s="1"/>
  <c r="P144" i="11"/>
  <c r="M142" i="11"/>
  <c r="P142" i="11" s="1"/>
  <c r="U96" i="11"/>
  <c r="U22" i="11"/>
  <c r="R19" i="11"/>
  <c r="T191" i="11"/>
  <c r="N188" i="11"/>
  <c r="T99" i="11"/>
  <c r="Q97" i="11"/>
  <c r="Q72" i="11"/>
  <c r="T72" i="11" s="1"/>
  <c r="T96" i="11"/>
  <c r="Q94" i="11"/>
  <c r="T94" i="11" s="1"/>
  <c r="P67" i="11"/>
  <c r="M65" i="11"/>
  <c r="P65" i="11" s="1"/>
  <c r="P45" i="11"/>
  <c r="N26" i="11"/>
  <c r="N24" i="11" s="1"/>
  <c r="O25" i="11"/>
  <c r="P22" i="11"/>
  <c r="P178" i="11"/>
  <c r="M175" i="11"/>
  <c r="N159" i="11"/>
  <c r="N157" i="11" s="1"/>
  <c r="P73" i="11"/>
  <c r="O67" i="11"/>
  <c r="L65" i="11"/>
  <c r="O65" i="11" s="1"/>
  <c r="L61" i="11"/>
  <c r="P52" i="11"/>
  <c r="M26" i="11"/>
  <c r="P26" i="11" s="1"/>
  <c r="M50" i="11"/>
  <c r="P50" i="11" s="1"/>
  <c r="O22" i="11"/>
  <c r="M159" i="11"/>
  <c r="M157" i="11" s="1"/>
  <c r="Q141" i="11"/>
  <c r="T141" i="11" s="1"/>
  <c r="M119" i="11"/>
  <c r="P119" i="11" s="1"/>
  <c r="U99" i="11"/>
  <c r="S23" i="11"/>
  <c r="S20" i="11" s="1"/>
  <c r="S18" i="11" s="1"/>
  <c r="M23" i="11"/>
  <c r="R159" i="11"/>
  <c r="U159" i="11" s="1"/>
  <c r="L159" i="11"/>
  <c r="L157" i="11" s="1"/>
  <c r="R119" i="11"/>
  <c r="U119" i="11" s="1"/>
  <c r="L119" i="11"/>
  <c r="O119" i="11" s="1"/>
  <c r="N96" i="11"/>
  <c r="N94" i="11" s="1"/>
  <c r="S74" i="11"/>
  <c r="S72" i="11" s="1"/>
  <c r="M74" i="11"/>
  <c r="P74" i="11" s="1"/>
  <c r="M61" i="11"/>
  <c r="M46" i="11"/>
  <c r="R23" i="11"/>
  <c r="R21" i="11" s="1"/>
  <c r="L23" i="11"/>
  <c r="Q23" i="11"/>
  <c r="S728" i="10"/>
  <c r="S690" i="10"/>
  <c r="Q356" i="10"/>
  <c r="T356" i="10" s="1"/>
  <c r="S97" i="10"/>
  <c r="P191" i="8"/>
  <c r="L119" i="8"/>
  <c r="O119" i="8" s="1"/>
  <c r="O67" i="8"/>
  <c r="K678" i="9"/>
  <c r="K661" i="9"/>
  <c r="P361" i="9"/>
  <c r="Q269" i="9"/>
  <c r="N26" i="9"/>
  <c r="N24" i="9" s="1"/>
  <c r="J702" i="10"/>
  <c r="S693" i="10"/>
  <c r="U693" i="10" s="1"/>
  <c r="J674" i="10"/>
  <c r="K674" i="10" s="1"/>
  <c r="S642" i="10"/>
  <c r="K626" i="10"/>
  <c r="N515" i="10"/>
  <c r="N513" i="10" s="1"/>
  <c r="M516" i="10"/>
  <c r="P516" i="10" s="1"/>
  <c r="K371" i="10"/>
  <c r="L358" i="10"/>
  <c r="L356" i="10" s="1"/>
  <c r="L335" i="10"/>
  <c r="L333" i="10" s="1"/>
  <c r="T308" i="10"/>
  <c r="L306" i="10"/>
  <c r="O306" i="10" s="1"/>
  <c r="L284" i="10"/>
  <c r="L282" i="10" s="1"/>
  <c r="O282" i="10" s="1"/>
  <c r="Q269" i="10"/>
  <c r="T269" i="10" s="1"/>
  <c r="O191" i="10"/>
  <c r="I136" i="10"/>
  <c r="K136" i="10" s="1"/>
  <c r="L96" i="10"/>
  <c r="R97" i="10"/>
  <c r="U77" i="10"/>
  <c r="O77" i="10"/>
  <c r="P64" i="10"/>
  <c r="S24" i="10"/>
  <c r="Q24" i="10"/>
  <c r="T24" i="10" s="1"/>
  <c r="O144" i="7"/>
  <c r="K653" i="8"/>
  <c r="I374" i="9"/>
  <c r="K374" i="9" s="1"/>
  <c r="S645" i="10"/>
  <c r="U645" i="10" s="1"/>
  <c r="K631" i="10"/>
  <c r="N616" i="10"/>
  <c r="Q415" i="10"/>
  <c r="T415" i="10" s="1"/>
  <c r="Q392" i="10"/>
  <c r="T392" i="10" s="1"/>
  <c r="T305" i="10"/>
  <c r="M305" i="10"/>
  <c r="P305" i="10" s="1"/>
  <c r="S306" i="10"/>
  <c r="K251" i="10"/>
  <c r="L233" i="10"/>
  <c r="U191" i="10"/>
  <c r="M175" i="10"/>
  <c r="M173" i="10" s="1"/>
  <c r="M97" i="10"/>
  <c r="P97" i="10" s="1"/>
  <c r="T77" i="10"/>
  <c r="N74" i="10"/>
  <c r="N72" i="10" s="1"/>
  <c r="O64" i="10"/>
  <c r="L46" i="10"/>
  <c r="L19" i="10"/>
  <c r="M272" i="7"/>
  <c r="P272" i="7" s="1"/>
  <c r="N61" i="8"/>
  <c r="K632" i="9"/>
  <c r="M335" i="9"/>
  <c r="M333" i="9" s="1"/>
  <c r="O194" i="9"/>
  <c r="K779" i="10"/>
  <c r="P729" i="10"/>
  <c r="K682" i="10"/>
  <c r="O578" i="10"/>
  <c r="L515" i="10"/>
  <c r="L513" i="10" s="1"/>
  <c r="O513" i="10" s="1"/>
  <c r="T418" i="10"/>
  <c r="T357" i="10"/>
  <c r="P311" i="10"/>
  <c r="R306" i="10"/>
  <c r="U306" i="10" s="1"/>
  <c r="P287" i="10"/>
  <c r="O271" i="10"/>
  <c r="L269" i="10"/>
  <c r="O269" i="10" s="1"/>
  <c r="T191" i="10"/>
  <c r="N141" i="10"/>
  <c r="N139" i="10" s="1"/>
  <c r="O122" i="10"/>
  <c r="P99" i="10"/>
  <c r="L97" i="10"/>
  <c r="O97" i="10" s="1"/>
  <c r="R75" i="10"/>
  <c r="U75" i="10" s="1"/>
  <c r="N61" i="10"/>
  <c r="N59" i="10" s="1"/>
  <c r="R59" i="10"/>
  <c r="U59" i="10" s="1"/>
  <c r="T268" i="7"/>
  <c r="Q762" i="9"/>
  <c r="T762" i="9" s="1"/>
  <c r="S692" i="9"/>
  <c r="S690" i="9" s="1"/>
  <c r="K676" i="9"/>
  <c r="K631" i="9"/>
  <c r="U191" i="9"/>
  <c r="O144" i="9"/>
  <c r="R75" i="9"/>
  <c r="U75" i="9" s="1"/>
  <c r="P64" i="9"/>
  <c r="K781" i="10"/>
  <c r="L760" i="10"/>
  <c r="O760" i="10" s="1"/>
  <c r="L714" i="10"/>
  <c r="O714" i="10" s="1"/>
  <c r="K629" i="10"/>
  <c r="S618" i="10"/>
  <c r="S616" i="10" s="1"/>
  <c r="L336" i="10"/>
  <c r="O336" i="10" s="1"/>
  <c r="N335" i="10"/>
  <c r="N333" i="10" s="1"/>
  <c r="I319" i="10"/>
  <c r="K319" i="10" s="1"/>
  <c r="Q306" i="10"/>
  <c r="U271" i="10"/>
  <c r="L188" i="10"/>
  <c r="L186" i="10" s="1"/>
  <c r="O162" i="10"/>
  <c r="U122" i="10"/>
  <c r="P62" i="10"/>
  <c r="P49" i="10"/>
  <c r="N47" i="10"/>
  <c r="P47" i="10" s="1"/>
  <c r="Q762" i="8"/>
  <c r="Q760" i="8" s="1"/>
  <c r="U77" i="9"/>
  <c r="Q75" i="9"/>
  <c r="T75" i="9" s="1"/>
  <c r="K783" i="10"/>
  <c r="U765" i="10"/>
  <c r="S762" i="10"/>
  <c r="U733" i="10"/>
  <c r="S731" i="10"/>
  <c r="U729" i="10"/>
  <c r="M642" i="10"/>
  <c r="P642" i="10" s="1"/>
  <c r="R618" i="10"/>
  <c r="R616" i="10" s="1"/>
  <c r="L493" i="10"/>
  <c r="O493" i="10" s="1"/>
  <c r="J457" i="10"/>
  <c r="J456" i="10" s="1"/>
  <c r="O414" i="10"/>
  <c r="N392" i="10"/>
  <c r="S333" i="10"/>
  <c r="Q333" i="10"/>
  <c r="T333" i="10" s="1"/>
  <c r="K314" i="10"/>
  <c r="P308" i="10"/>
  <c r="R303" i="10"/>
  <c r="L285" i="10"/>
  <c r="O285" i="10" s="1"/>
  <c r="T271" i="10"/>
  <c r="N268" i="10"/>
  <c r="N266" i="10" s="1"/>
  <c r="L236" i="10"/>
  <c r="K220" i="10"/>
  <c r="L214" i="10"/>
  <c r="O214" i="10" s="1"/>
  <c r="Q189" i="10"/>
  <c r="T189" i="10" s="1"/>
  <c r="O165" i="10"/>
  <c r="K152" i="10"/>
  <c r="T122" i="10"/>
  <c r="Q120" i="10"/>
  <c r="T120" i="10" s="1"/>
  <c r="K109" i="10"/>
  <c r="O102" i="10"/>
  <c r="K84" i="10"/>
  <c r="N75" i="10"/>
  <c r="O49" i="10"/>
  <c r="L47" i="10"/>
  <c r="Q19" i="10"/>
  <c r="Q320" i="10"/>
  <c r="T320" i="10" s="1"/>
  <c r="T321" i="10"/>
  <c r="N176" i="10"/>
  <c r="N175" i="10"/>
  <c r="O178" i="10"/>
  <c r="P364" i="8"/>
  <c r="M362" i="8"/>
  <c r="P362" i="8" s="1"/>
  <c r="Q731" i="9"/>
  <c r="T731" i="9" s="1"/>
  <c r="T733" i="9"/>
  <c r="R119" i="9"/>
  <c r="U119" i="9" s="1"/>
  <c r="R120" i="9"/>
  <c r="K457" i="10"/>
  <c r="I456" i="10"/>
  <c r="K456" i="10" s="1"/>
  <c r="P102" i="7"/>
  <c r="M100" i="7"/>
  <c r="P100" i="7" s="1"/>
  <c r="L362" i="9"/>
  <c r="O362" i="9" s="1"/>
  <c r="O364" i="9"/>
  <c r="L358" i="9"/>
  <c r="L356" i="9" s="1"/>
  <c r="J351" i="9"/>
  <c r="R305" i="9"/>
  <c r="R303" i="9" s="1"/>
  <c r="U303" i="9" s="1"/>
  <c r="U308" i="9"/>
  <c r="R306" i="9"/>
  <c r="U306" i="9" s="1"/>
  <c r="I265" i="9"/>
  <c r="K265" i="9" s="1"/>
  <c r="K276" i="9"/>
  <c r="K252" i="9"/>
  <c r="L234" i="9"/>
  <c r="K220" i="9"/>
  <c r="Q693" i="10"/>
  <c r="Q692" i="10"/>
  <c r="T692" i="10" s="1"/>
  <c r="T695" i="10"/>
  <c r="M690" i="10"/>
  <c r="P690" i="10" s="1"/>
  <c r="N642" i="10"/>
  <c r="M616" i="10"/>
  <c r="P616" i="10" s="1"/>
  <c r="P617" i="10"/>
  <c r="Q599" i="10"/>
  <c r="T599" i="10" s="1"/>
  <c r="T600" i="10"/>
  <c r="Q534" i="10"/>
  <c r="T534" i="10" s="1"/>
  <c r="T535" i="10"/>
  <c r="Q496" i="10"/>
  <c r="T496" i="10" s="1"/>
  <c r="T498" i="10"/>
  <c r="Q495" i="10"/>
  <c r="T495" i="10" s="1"/>
  <c r="R693" i="9"/>
  <c r="U693" i="9" s="1"/>
  <c r="U695" i="9"/>
  <c r="M309" i="9"/>
  <c r="P309" i="9" s="1"/>
  <c r="P311" i="9"/>
  <c r="Q645" i="10"/>
  <c r="Q644" i="10"/>
  <c r="T644" i="10" s="1"/>
  <c r="T647" i="10"/>
  <c r="O144" i="10"/>
  <c r="L142" i="10"/>
  <c r="O142" i="10" s="1"/>
  <c r="L141" i="10"/>
  <c r="M362" i="9"/>
  <c r="P362" i="9" s="1"/>
  <c r="P364" i="9"/>
  <c r="L728" i="10"/>
  <c r="O728" i="10" s="1"/>
  <c r="N690" i="10"/>
  <c r="P364" i="7"/>
  <c r="M362" i="7"/>
  <c r="P362" i="7" s="1"/>
  <c r="Q645" i="9"/>
  <c r="Q644" i="9"/>
  <c r="Q642" i="9" s="1"/>
  <c r="O125" i="9"/>
  <c r="L123" i="9"/>
  <c r="O123" i="9" s="1"/>
  <c r="T761" i="10"/>
  <c r="L690" i="10"/>
  <c r="O690" i="10" s="1"/>
  <c r="O691" i="10"/>
  <c r="M599" i="10"/>
  <c r="P599" i="10" s="1"/>
  <c r="P601" i="10"/>
  <c r="M576" i="10"/>
  <c r="P576" i="10" s="1"/>
  <c r="P577" i="10"/>
  <c r="M534" i="10"/>
  <c r="P534" i="10" s="1"/>
  <c r="P536" i="10"/>
  <c r="N46" i="9"/>
  <c r="N44" i="9" s="1"/>
  <c r="K782" i="6"/>
  <c r="K631" i="8"/>
  <c r="K630" i="8"/>
  <c r="R762" i="9"/>
  <c r="U762" i="9" s="1"/>
  <c r="U765" i="9"/>
  <c r="R763" i="9"/>
  <c r="U763" i="9" s="1"/>
  <c r="L284" i="9"/>
  <c r="O287" i="9"/>
  <c r="M179" i="9"/>
  <c r="P179" i="9" s="1"/>
  <c r="P181" i="9"/>
  <c r="R714" i="10"/>
  <c r="U714" i="10" s="1"/>
  <c r="I701" i="10"/>
  <c r="K703" i="10"/>
  <c r="U691" i="10"/>
  <c r="J675" i="10"/>
  <c r="K675" i="10" s="1"/>
  <c r="P521" i="10"/>
  <c r="M519" i="10"/>
  <c r="P519" i="10" s="1"/>
  <c r="K505" i="10"/>
  <c r="J503" i="10"/>
  <c r="J492" i="10" s="1"/>
  <c r="P194" i="10"/>
  <c r="M192" i="10"/>
  <c r="P192" i="10" s="1"/>
  <c r="Q416" i="6"/>
  <c r="T416" i="6" s="1"/>
  <c r="T418" i="6"/>
  <c r="L642" i="10"/>
  <c r="O642" i="10" s="1"/>
  <c r="O643" i="10"/>
  <c r="R730" i="9"/>
  <c r="U730" i="9" s="1"/>
  <c r="R731" i="9"/>
  <c r="U731" i="9" s="1"/>
  <c r="R618" i="9"/>
  <c r="R616" i="9" s="1"/>
  <c r="U621" i="9"/>
  <c r="P328" i="9"/>
  <c r="M326" i="9"/>
  <c r="P326" i="9" s="1"/>
  <c r="R96" i="9"/>
  <c r="R97" i="9"/>
  <c r="U97" i="9" s="1"/>
  <c r="M760" i="10"/>
  <c r="P760" i="10" s="1"/>
  <c r="Q714" i="10"/>
  <c r="T714" i="10" s="1"/>
  <c r="T691" i="10"/>
  <c r="K681" i="10"/>
  <c r="K654" i="10"/>
  <c r="U643" i="10"/>
  <c r="S599" i="10"/>
  <c r="M555" i="10"/>
  <c r="P555" i="10" s="1"/>
  <c r="P556" i="10"/>
  <c r="S534" i="10"/>
  <c r="O376" i="10"/>
  <c r="L375" i="10"/>
  <c r="O375" i="10" s="1"/>
  <c r="P267" i="10"/>
  <c r="M515" i="10"/>
  <c r="P338" i="10"/>
  <c r="M336" i="10"/>
  <c r="P336" i="10" s="1"/>
  <c r="M335" i="10"/>
  <c r="L305" i="7"/>
  <c r="O305" i="7" s="1"/>
  <c r="K783" i="8"/>
  <c r="K780" i="8"/>
  <c r="O518" i="8"/>
  <c r="O361" i="8"/>
  <c r="O189" i="8"/>
  <c r="R495" i="9"/>
  <c r="U495" i="9" s="1"/>
  <c r="N335" i="9"/>
  <c r="N333" i="9" s="1"/>
  <c r="P287" i="9"/>
  <c r="S139" i="9"/>
  <c r="P122" i="9"/>
  <c r="O64" i="9"/>
  <c r="T765" i="10"/>
  <c r="Q762" i="10"/>
  <c r="U761" i="10"/>
  <c r="O761" i="10"/>
  <c r="T729" i="10"/>
  <c r="T715" i="10"/>
  <c r="U695" i="10"/>
  <c r="R692" i="10"/>
  <c r="U692" i="10" s="1"/>
  <c r="P691" i="10"/>
  <c r="U647" i="10"/>
  <c r="R644" i="10"/>
  <c r="U644" i="10" s="1"/>
  <c r="P643" i="10"/>
  <c r="U621" i="10"/>
  <c r="L599" i="10"/>
  <c r="O599" i="10" s="1"/>
  <c r="U557" i="10"/>
  <c r="L534" i="10"/>
  <c r="O534" i="10" s="1"/>
  <c r="T494" i="10"/>
  <c r="I492" i="10"/>
  <c r="K492" i="10" s="1"/>
  <c r="S415" i="10"/>
  <c r="S413" i="10" s="1"/>
  <c r="O394" i="10"/>
  <c r="P364" i="10"/>
  <c r="J343" i="10"/>
  <c r="J332" i="10"/>
  <c r="N322" i="10"/>
  <c r="N320" i="10" s="1"/>
  <c r="P290" i="10"/>
  <c r="M288" i="10"/>
  <c r="P288" i="10" s="1"/>
  <c r="N284" i="10"/>
  <c r="N282" i="10" s="1"/>
  <c r="P283" i="10"/>
  <c r="Q266" i="10"/>
  <c r="K241" i="10"/>
  <c r="P187" i="10"/>
  <c r="T174" i="10"/>
  <c r="U158" i="10"/>
  <c r="R72" i="10"/>
  <c r="U72" i="10" s="1"/>
  <c r="I423" i="10"/>
  <c r="P191" i="10"/>
  <c r="M189" i="10"/>
  <c r="P189" i="10" s="1"/>
  <c r="M188" i="10"/>
  <c r="M186" i="10" s="1"/>
  <c r="K632" i="8"/>
  <c r="N74" i="8"/>
  <c r="N72" i="8" s="1"/>
  <c r="J701" i="9"/>
  <c r="P99" i="9"/>
  <c r="L616" i="10"/>
  <c r="O616" i="10" s="1"/>
  <c r="R599" i="10"/>
  <c r="U599" i="10" s="1"/>
  <c r="L555" i="10"/>
  <c r="O555" i="10" s="1"/>
  <c r="R534" i="10"/>
  <c r="U534" i="10" s="1"/>
  <c r="R377" i="10"/>
  <c r="R378" i="10"/>
  <c r="U378" i="10" s="1"/>
  <c r="U380" i="10"/>
  <c r="P361" i="10"/>
  <c r="P325" i="10"/>
  <c r="M323" i="10"/>
  <c r="P323" i="10" s="1"/>
  <c r="M322" i="10"/>
  <c r="P322" i="10" s="1"/>
  <c r="P304" i="10"/>
  <c r="I253" i="10"/>
  <c r="K253" i="10" s="1"/>
  <c r="K260" i="10"/>
  <c r="I195" i="10"/>
  <c r="K195" i="10" s="1"/>
  <c r="K198" i="10"/>
  <c r="N188" i="10"/>
  <c r="K681" i="9"/>
  <c r="K629" i="9"/>
  <c r="L335" i="9"/>
  <c r="L333" i="9" s="1"/>
  <c r="L322" i="9"/>
  <c r="O322" i="9" s="1"/>
  <c r="T643" i="10"/>
  <c r="O521" i="10"/>
  <c r="Q513" i="10"/>
  <c r="T513" i="10" s="1"/>
  <c r="O494" i="10"/>
  <c r="R415" i="10"/>
  <c r="U418" i="10"/>
  <c r="T414" i="10"/>
  <c r="Q377" i="10"/>
  <c r="T380" i="10"/>
  <c r="Q378" i="10"/>
  <c r="T378" i="10" s="1"/>
  <c r="M358" i="10"/>
  <c r="K292" i="10"/>
  <c r="I281" i="10"/>
  <c r="K281" i="10" s="1"/>
  <c r="P274" i="10"/>
  <c r="M272" i="10"/>
  <c r="P272" i="10" s="1"/>
  <c r="Q186" i="10"/>
  <c r="T186" i="10" s="1"/>
  <c r="T188" i="10"/>
  <c r="U19" i="10"/>
  <c r="R493" i="10"/>
  <c r="U493" i="10" s="1"/>
  <c r="U393" i="10"/>
  <c r="R392" i="10"/>
  <c r="U392" i="10" s="1"/>
  <c r="U305" i="10"/>
  <c r="U174" i="10"/>
  <c r="P147" i="10"/>
  <c r="M145" i="10"/>
  <c r="P145" i="10" s="1"/>
  <c r="N358" i="9"/>
  <c r="N356" i="9" s="1"/>
  <c r="L222" i="9"/>
  <c r="O222" i="9" s="1"/>
  <c r="L119" i="9"/>
  <c r="O119" i="9" s="1"/>
  <c r="Q618" i="10"/>
  <c r="T621" i="10"/>
  <c r="U494" i="10"/>
  <c r="M413" i="10"/>
  <c r="P413" i="10" s="1"/>
  <c r="P415" i="10"/>
  <c r="P334" i="10"/>
  <c r="S303" i="10"/>
  <c r="T303" i="10" s="1"/>
  <c r="U283" i="10"/>
  <c r="R282" i="10"/>
  <c r="U282" i="10" s="1"/>
  <c r="P271" i="10"/>
  <c r="M269" i="10"/>
  <c r="P269" i="10" s="1"/>
  <c r="M268" i="10"/>
  <c r="L243" i="10"/>
  <c r="T178" i="10"/>
  <c r="Q176" i="10"/>
  <c r="T176" i="10" s="1"/>
  <c r="Q175" i="10"/>
  <c r="T175" i="10" s="1"/>
  <c r="P165" i="10"/>
  <c r="M163" i="10"/>
  <c r="P163" i="10" s="1"/>
  <c r="O118" i="10"/>
  <c r="M392" i="10"/>
  <c r="P392" i="10" s="1"/>
  <c r="O361" i="10"/>
  <c r="R333" i="10"/>
  <c r="U333" i="10" s="1"/>
  <c r="U334" i="10"/>
  <c r="S320" i="10"/>
  <c r="O321" i="10"/>
  <c r="R266" i="10"/>
  <c r="U267" i="10"/>
  <c r="L235" i="10"/>
  <c r="K242" i="10"/>
  <c r="R186" i="10"/>
  <c r="U187" i="10"/>
  <c r="O174" i="10"/>
  <c r="O147" i="10"/>
  <c r="L145" i="10"/>
  <c r="O145" i="10" s="1"/>
  <c r="S142" i="10"/>
  <c r="S141" i="10"/>
  <c r="S139" i="10" s="1"/>
  <c r="P73" i="10"/>
  <c r="U22" i="10"/>
  <c r="S392" i="10"/>
  <c r="K346" i="10"/>
  <c r="R320" i="10"/>
  <c r="U320" i="10" s="1"/>
  <c r="U321" i="10"/>
  <c r="S268" i="10"/>
  <c r="U268" i="10" s="1"/>
  <c r="S188" i="10"/>
  <c r="U188" i="10" s="1"/>
  <c r="L179" i="10"/>
  <c r="O179" i="10" s="1"/>
  <c r="O181" i="10"/>
  <c r="T96" i="10"/>
  <c r="Q94" i="10"/>
  <c r="T94" i="10" s="1"/>
  <c r="O52" i="10"/>
  <c r="L26" i="10"/>
  <c r="O26" i="10" s="1"/>
  <c r="L50" i="10"/>
  <c r="O50" i="10" s="1"/>
  <c r="R24" i="10"/>
  <c r="U24" i="10" s="1"/>
  <c r="U25" i="10"/>
  <c r="T19" i="10"/>
  <c r="M375" i="10"/>
  <c r="P375" i="10" s="1"/>
  <c r="N358" i="10"/>
  <c r="N356" i="10" s="1"/>
  <c r="O334" i="10"/>
  <c r="O325" i="10"/>
  <c r="L323" i="10"/>
  <c r="O323" i="10" s="1"/>
  <c r="O290" i="10"/>
  <c r="L288" i="10"/>
  <c r="O288" i="10" s="1"/>
  <c r="M284" i="10"/>
  <c r="P284" i="10" s="1"/>
  <c r="O267" i="10"/>
  <c r="N232" i="10"/>
  <c r="O187" i="10"/>
  <c r="P144" i="10"/>
  <c r="M142" i="10"/>
  <c r="P142" i="10" s="1"/>
  <c r="U118" i="10"/>
  <c r="T74" i="10"/>
  <c r="Q72" i="10"/>
  <c r="T72" i="10" s="1"/>
  <c r="O19" i="10"/>
  <c r="P19" i="10"/>
  <c r="P178" i="10"/>
  <c r="M176" i="10"/>
  <c r="I172" i="10"/>
  <c r="K172" i="10" s="1"/>
  <c r="U144" i="10"/>
  <c r="R142" i="10"/>
  <c r="U142" i="10" s="1"/>
  <c r="U120" i="10"/>
  <c r="U96" i="10"/>
  <c r="I83" i="10"/>
  <c r="P60" i="10"/>
  <c r="P25" i="10"/>
  <c r="K249" i="10"/>
  <c r="L176" i="10"/>
  <c r="L175" i="10"/>
  <c r="K169" i="10"/>
  <c r="I156" i="10"/>
  <c r="K156" i="10" s="1"/>
  <c r="P158" i="10"/>
  <c r="I138" i="10"/>
  <c r="K138" i="10" s="1"/>
  <c r="T99" i="10"/>
  <c r="Q97" i="10"/>
  <c r="P67" i="10"/>
  <c r="M65" i="10"/>
  <c r="P65" i="10" s="1"/>
  <c r="P45" i="10"/>
  <c r="N26" i="10"/>
  <c r="N24" i="10" s="1"/>
  <c r="O25" i="10"/>
  <c r="N23" i="10"/>
  <c r="N21" i="10" s="1"/>
  <c r="P22" i="10"/>
  <c r="R176" i="10"/>
  <c r="U176" i="10" s="1"/>
  <c r="R175" i="10"/>
  <c r="U175" i="10" s="1"/>
  <c r="N159" i="10"/>
  <c r="N157" i="10" s="1"/>
  <c r="O158" i="10"/>
  <c r="U141" i="10"/>
  <c r="R139" i="10"/>
  <c r="U139" i="10" s="1"/>
  <c r="T140" i="10"/>
  <c r="P118" i="10"/>
  <c r="O67" i="10"/>
  <c r="L65" i="10"/>
  <c r="O65" i="10" s="1"/>
  <c r="L61" i="10"/>
  <c r="P52" i="10"/>
  <c r="M26" i="10"/>
  <c r="P26" i="10" s="1"/>
  <c r="M50" i="10"/>
  <c r="P50" i="10" s="1"/>
  <c r="O22" i="10"/>
  <c r="S159" i="10"/>
  <c r="S157" i="10" s="1"/>
  <c r="M159" i="10"/>
  <c r="M157" i="10" s="1"/>
  <c r="Q141" i="10"/>
  <c r="T141" i="10" s="1"/>
  <c r="S119" i="10"/>
  <c r="S117" i="10" s="1"/>
  <c r="T117" i="10" s="1"/>
  <c r="M119" i="10"/>
  <c r="P119" i="10" s="1"/>
  <c r="U99" i="10"/>
  <c r="S23" i="10"/>
  <c r="S20" i="10" s="1"/>
  <c r="S18" i="10" s="1"/>
  <c r="M23" i="10"/>
  <c r="M21" i="10" s="1"/>
  <c r="R159" i="10"/>
  <c r="U159" i="10" s="1"/>
  <c r="L159" i="10"/>
  <c r="O159" i="10" s="1"/>
  <c r="R119" i="10"/>
  <c r="L119" i="10"/>
  <c r="O119" i="10" s="1"/>
  <c r="N96" i="10"/>
  <c r="N94" i="10" s="1"/>
  <c r="S74" i="10"/>
  <c r="S72" i="10" s="1"/>
  <c r="M74" i="10"/>
  <c r="P74" i="10" s="1"/>
  <c r="M61" i="10"/>
  <c r="M46" i="10"/>
  <c r="R23" i="10"/>
  <c r="R21" i="10" s="1"/>
  <c r="L23" i="10"/>
  <c r="M160" i="10"/>
  <c r="P160" i="10" s="1"/>
  <c r="Q142" i="10"/>
  <c r="T142" i="10" s="1"/>
  <c r="M123" i="10"/>
  <c r="P123" i="10" s="1"/>
  <c r="M120" i="10"/>
  <c r="P120" i="10" s="1"/>
  <c r="Q23" i="10"/>
  <c r="R160" i="1"/>
  <c r="U160" i="1" s="1"/>
  <c r="M145" i="8"/>
  <c r="P145" i="8" s="1"/>
  <c r="M141" i="8"/>
  <c r="P141" i="8" s="1"/>
  <c r="Q141" i="8"/>
  <c r="T141" i="8" s="1"/>
  <c r="S763" i="9"/>
  <c r="Q730" i="9"/>
  <c r="N728" i="9"/>
  <c r="T715" i="9"/>
  <c r="M714" i="9"/>
  <c r="P714" i="9" s="1"/>
  <c r="T695" i="9"/>
  <c r="K784" i="8"/>
  <c r="U268" i="8"/>
  <c r="L236" i="8"/>
  <c r="S714" i="9"/>
  <c r="S645" i="9"/>
  <c r="S644" i="9"/>
  <c r="S642" i="9" s="1"/>
  <c r="U643" i="9"/>
  <c r="J626" i="9"/>
  <c r="J615" i="9" s="1"/>
  <c r="Q555" i="9"/>
  <c r="T555" i="9" s="1"/>
  <c r="M96" i="7"/>
  <c r="M94" i="7" s="1"/>
  <c r="P94" i="7" s="1"/>
  <c r="K681" i="8"/>
  <c r="K673" i="8"/>
  <c r="T268" i="8"/>
  <c r="R75" i="8"/>
  <c r="U75" i="8" s="1"/>
  <c r="N46" i="8"/>
  <c r="N44" i="8" s="1"/>
  <c r="K783" i="9"/>
  <c r="T765" i="9"/>
  <c r="I758" i="9"/>
  <c r="K758" i="9" s="1"/>
  <c r="O691" i="9"/>
  <c r="R645" i="9"/>
  <c r="R644" i="9"/>
  <c r="L519" i="9"/>
  <c r="O519" i="9" s="1"/>
  <c r="O521" i="9"/>
  <c r="L235" i="5"/>
  <c r="K346" i="6"/>
  <c r="P271" i="6"/>
  <c r="O144" i="6"/>
  <c r="K371" i="7"/>
  <c r="M268" i="7"/>
  <c r="R269" i="7"/>
  <c r="L179" i="7"/>
  <c r="O179" i="7" s="1"/>
  <c r="P125" i="7"/>
  <c r="K778" i="8"/>
  <c r="J701" i="8"/>
  <c r="T693" i="8"/>
  <c r="M516" i="8"/>
  <c r="P516" i="8" s="1"/>
  <c r="N322" i="8"/>
  <c r="N320" i="8" s="1"/>
  <c r="O144" i="8"/>
  <c r="R72" i="8"/>
  <c r="U72" i="8" s="1"/>
  <c r="K785" i="9"/>
  <c r="K779" i="9"/>
  <c r="P761" i="9"/>
  <c r="O715" i="9"/>
  <c r="I701" i="9"/>
  <c r="K701" i="9" s="1"/>
  <c r="R692" i="9"/>
  <c r="U692" i="9" s="1"/>
  <c r="K679" i="9"/>
  <c r="K654" i="9"/>
  <c r="O643" i="9"/>
  <c r="R599" i="9"/>
  <c r="U599" i="9" s="1"/>
  <c r="U600" i="9"/>
  <c r="S513" i="9"/>
  <c r="Q378" i="9"/>
  <c r="T378" i="9" s="1"/>
  <c r="Q377" i="9"/>
  <c r="T377" i="9" s="1"/>
  <c r="T380" i="9"/>
  <c r="K778" i="6"/>
  <c r="I156" i="7"/>
  <c r="K156" i="7" s="1"/>
  <c r="U144" i="7"/>
  <c r="L760" i="9"/>
  <c r="O760" i="9" s="1"/>
  <c r="Q692" i="9"/>
  <c r="T692" i="9" s="1"/>
  <c r="M516" i="9"/>
  <c r="P516" i="9" s="1"/>
  <c r="I238" i="9"/>
  <c r="K238" i="9" s="1"/>
  <c r="M159" i="9"/>
  <c r="S160" i="9"/>
  <c r="N616" i="9"/>
  <c r="U577" i="9"/>
  <c r="S555" i="9"/>
  <c r="R555" i="9"/>
  <c r="U555" i="9" s="1"/>
  <c r="S378" i="9"/>
  <c r="N375" i="9"/>
  <c r="K346" i="9"/>
  <c r="M339" i="9"/>
  <c r="P339" i="9" s="1"/>
  <c r="K330" i="9"/>
  <c r="S320" i="9"/>
  <c r="R320" i="9"/>
  <c r="U320" i="9" s="1"/>
  <c r="O311" i="9"/>
  <c r="O308" i="9"/>
  <c r="N284" i="9"/>
  <c r="N282" i="9" s="1"/>
  <c r="L285" i="9"/>
  <c r="O285" i="9" s="1"/>
  <c r="P274" i="9"/>
  <c r="Q266" i="9"/>
  <c r="L243" i="9"/>
  <c r="O243" i="9" s="1"/>
  <c r="L214" i="9"/>
  <c r="O214" i="9" s="1"/>
  <c r="R173" i="9"/>
  <c r="U173" i="9" s="1"/>
  <c r="L159" i="9"/>
  <c r="O159" i="9" s="1"/>
  <c r="R160" i="9"/>
  <c r="U160" i="9" s="1"/>
  <c r="M141" i="9"/>
  <c r="P141" i="9" s="1"/>
  <c r="S142" i="9"/>
  <c r="K116" i="9"/>
  <c r="I92" i="9"/>
  <c r="K92" i="9" s="1"/>
  <c r="L74" i="9"/>
  <c r="L72" i="9" s="1"/>
  <c r="O72" i="9" s="1"/>
  <c r="O62" i="9"/>
  <c r="N50" i="9"/>
  <c r="R44" i="9"/>
  <c r="U44" i="9" s="1"/>
  <c r="M616" i="9"/>
  <c r="P616" i="9" s="1"/>
  <c r="S495" i="9"/>
  <c r="S493" i="9" s="1"/>
  <c r="N305" i="9"/>
  <c r="N303" i="9" s="1"/>
  <c r="S305" i="9"/>
  <c r="S303" i="9" s="1"/>
  <c r="S282" i="9"/>
  <c r="I280" i="9"/>
  <c r="K280" i="9" s="1"/>
  <c r="O271" i="9"/>
  <c r="L235" i="9"/>
  <c r="I202" i="9"/>
  <c r="K202" i="9" s="1"/>
  <c r="L188" i="9"/>
  <c r="L186" i="9" s="1"/>
  <c r="R189" i="9"/>
  <c r="U189" i="9" s="1"/>
  <c r="P178" i="9"/>
  <c r="M160" i="9"/>
  <c r="P160" i="9" s="1"/>
  <c r="K153" i="9"/>
  <c r="Q142" i="9"/>
  <c r="T142" i="9" s="1"/>
  <c r="L120" i="9"/>
  <c r="O120" i="9" s="1"/>
  <c r="L97" i="9"/>
  <c r="O97" i="9" s="1"/>
  <c r="N61" i="9"/>
  <c r="N59" i="9" s="1"/>
  <c r="S59" i="9"/>
  <c r="Q19" i="9"/>
  <c r="T19" i="9" s="1"/>
  <c r="L576" i="9"/>
  <c r="O576" i="9" s="1"/>
  <c r="Q356" i="9"/>
  <c r="T356" i="9" s="1"/>
  <c r="O325" i="9"/>
  <c r="U271" i="9"/>
  <c r="P165" i="9"/>
  <c r="P162" i="9"/>
  <c r="I83" i="9"/>
  <c r="K83" i="9" s="1"/>
  <c r="P80" i="9"/>
  <c r="P77" i="9"/>
  <c r="P62" i="9"/>
  <c r="T25" i="9"/>
  <c r="J674" i="9"/>
  <c r="K674" i="9" s="1"/>
  <c r="K673" i="9"/>
  <c r="T647" i="9"/>
  <c r="R619" i="9"/>
  <c r="L599" i="9"/>
  <c r="O599" i="9" s="1"/>
  <c r="N555" i="9"/>
  <c r="S534" i="9"/>
  <c r="N493" i="9"/>
  <c r="R392" i="9"/>
  <c r="U392" i="9" s="1"/>
  <c r="N359" i="9"/>
  <c r="P338" i="9"/>
  <c r="L323" i="9"/>
  <c r="O323" i="9" s="1"/>
  <c r="M322" i="9"/>
  <c r="L305" i="9"/>
  <c r="L303" i="9" s="1"/>
  <c r="O303" i="9" s="1"/>
  <c r="Q306" i="9"/>
  <c r="T306" i="9" s="1"/>
  <c r="L268" i="9"/>
  <c r="O268" i="9" s="1"/>
  <c r="T271" i="9"/>
  <c r="M268" i="9"/>
  <c r="K241" i="9"/>
  <c r="L233" i="9"/>
  <c r="K198" i="9"/>
  <c r="S188" i="9"/>
  <c r="S186" i="9" s="1"/>
  <c r="L179" i="9"/>
  <c r="O179" i="9" s="1"/>
  <c r="M175" i="9"/>
  <c r="M173" i="9" s="1"/>
  <c r="S176" i="9"/>
  <c r="O165" i="9"/>
  <c r="O162" i="9"/>
  <c r="O147" i="9"/>
  <c r="M145" i="9"/>
  <c r="P145" i="9" s="1"/>
  <c r="P144" i="9"/>
  <c r="M142" i="9"/>
  <c r="P142" i="9" s="1"/>
  <c r="P125" i="9"/>
  <c r="P102" i="9"/>
  <c r="I82" i="9"/>
  <c r="K82" i="9" s="1"/>
  <c r="O80" i="9"/>
  <c r="O77" i="9"/>
  <c r="P49" i="9"/>
  <c r="N47" i="9"/>
  <c r="P47" i="9" s="1"/>
  <c r="S24" i="9"/>
  <c r="J503" i="9"/>
  <c r="J492" i="9" s="1"/>
  <c r="J458" i="9"/>
  <c r="M359" i="9"/>
  <c r="S333" i="9"/>
  <c r="Q282" i="9"/>
  <c r="T282" i="9" s="1"/>
  <c r="S269" i="9"/>
  <c r="U269" i="9" s="1"/>
  <c r="L203" i="9"/>
  <c r="O203" i="9" s="1"/>
  <c r="L175" i="9"/>
  <c r="L173" i="9" s="1"/>
  <c r="R176" i="9"/>
  <c r="U176" i="9" s="1"/>
  <c r="M119" i="9"/>
  <c r="S120" i="9"/>
  <c r="K109" i="9"/>
  <c r="M96" i="9"/>
  <c r="S97" i="9"/>
  <c r="N74" i="9"/>
  <c r="N72" i="9" s="1"/>
  <c r="O49" i="9"/>
  <c r="I492" i="7"/>
  <c r="K492" i="7" s="1"/>
  <c r="K503" i="7"/>
  <c r="K615" i="9"/>
  <c r="L519" i="7"/>
  <c r="O519" i="7" s="1"/>
  <c r="O521" i="7"/>
  <c r="M272" i="8"/>
  <c r="P272" i="8" s="1"/>
  <c r="P274" i="8"/>
  <c r="R188" i="8"/>
  <c r="R186" i="8" s="1"/>
  <c r="R189" i="8"/>
  <c r="U189" i="8" s="1"/>
  <c r="K780" i="9"/>
  <c r="S96" i="8"/>
  <c r="S94" i="8" s="1"/>
  <c r="S97" i="8"/>
  <c r="I172" i="8"/>
  <c r="K172" i="8" s="1"/>
  <c r="K183" i="8"/>
  <c r="S618" i="7"/>
  <c r="S616" i="7" s="1"/>
  <c r="S619" i="7"/>
  <c r="T619" i="7" s="1"/>
  <c r="K782" i="9"/>
  <c r="K774" i="9"/>
  <c r="I759" i="9"/>
  <c r="K759" i="9" s="1"/>
  <c r="R376" i="1"/>
  <c r="U376" i="1" s="1"/>
  <c r="Q731" i="8"/>
  <c r="T731" i="8" s="1"/>
  <c r="T733" i="8"/>
  <c r="Q576" i="9"/>
  <c r="T576" i="9" s="1"/>
  <c r="T577" i="9"/>
  <c r="O321" i="9"/>
  <c r="Q496" i="9"/>
  <c r="T496" i="9" s="1"/>
  <c r="Q495" i="9"/>
  <c r="T495" i="9" s="1"/>
  <c r="T498" i="9"/>
  <c r="O414" i="9"/>
  <c r="L413" i="9"/>
  <c r="O413" i="9" s="1"/>
  <c r="T305" i="4"/>
  <c r="O325" i="5"/>
  <c r="T647" i="6"/>
  <c r="S731" i="7"/>
  <c r="T731" i="7" s="1"/>
  <c r="T378" i="7"/>
  <c r="O311" i="7"/>
  <c r="U733" i="8"/>
  <c r="K707" i="8"/>
  <c r="K705" i="8"/>
  <c r="K629" i="8"/>
  <c r="O364" i="8"/>
  <c r="L339" i="8"/>
  <c r="O339" i="8" s="1"/>
  <c r="N305" i="8"/>
  <c r="N303" i="8" s="1"/>
  <c r="P271" i="8"/>
  <c r="M269" i="8"/>
  <c r="P269" i="8" s="1"/>
  <c r="L235" i="8"/>
  <c r="O147" i="8"/>
  <c r="L141" i="8"/>
  <c r="L139" i="8" s="1"/>
  <c r="O139" i="8" s="1"/>
  <c r="N75" i="8"/>
  <c r="K703" i="9"/>
  <c r="T691" i="9"/>
  <c r="T643" i="9"/>
  <c r="L616" i="9"/>
  <c r="O616" i="9" s="1"/>
  <c r="M599" i="9"/>
  <c r="P599" i="9" s="1"/>
  <c r="R534" i="9"/>
  <c r="U534" i="9" s="1"/>
  <c r="L534" i="9"/>
  <c r="O534" i="9" s="1"/>
  <c r="M534" i="9"/>
  <c r="P534" i="9" s="1"/>
  <c r="N515" i="9"/>
  <c r="N513" i="9" s="1"/>
  <c r="L515" i="9"/>
  <c r="P495" i="9"/>
  <c r="M493" i="9"/>
  <c r="P493" i="9" s="1"/>
  <c r="K457" i="9"/>
  <c r="I456" i="9"/>
  <c r="K456" i="9" s="1"/>
  <c r="O25" i="9"/>
  <c r="L19" i="9"/>
  <c r="J503" i="8"/>
  <c r="J492" i="8" s="1"/>
  <c r="S619" i="9"/>
  <c r="T619" i="9" s="1"/>
  <c r="S618" i="9"/>
  <c r="M288" i="9"/>
  <c r="P288" i="9" s="1"/>
  <c r="P290" i="9"/>
  <c r="M284" i="9"/>
  <c r="P284" i="9" s="1"/>
  <c r="M189" i="9"/>
  <c r="P191" i="9"/>
  <c r="M188" i="9"/>
  <c r="P25" i="9"/>
  <c r="N188" i="7"/>
  <c r="N186" i="7" s="1"/>
  <c r="K661" i="8"/>
  <c r="L222" i="8"/>
  <c r="O222" i="8" s="1"/>
  <c r="L46" i="8"/>
  <c r="L44" i="8" s="1"/>
  <c r="S730" i="9"/>
  <c r="S728" i="9" s="1"/>
  <c r="Q618" i="9"/>
  <c r="T621" i="9"/>
  <c r="Q534" i="9"/>
  <c r="T534" i="9" s="1"/>
  <c r="T535" i="9"/>
  <c r="M515" i="9"/>
  <c r="L516" i="9"/>
  <c r="O516" i="9" s="1"/>
  <c r="R513" i="9"/>
  <c r="U513" i="9" s="1"/>
  <c r="K440" i="9"/>
  <c r="I423" i="9"/>
  <c r="S416" i="9"/>
  <c r="S415" i="9"/>
  <c r="S413" i="9" s="1"/>
  <c r="U414" i="9"/>
  <c r="U393" i="9"/>
  <c r="L392" i="9"/>
  <c r="O392" i="9" s="1"/>
  <c r="O393" i="9"/>
  <c r="L359" i="9"/>
  <c r="O361" i="9"/>
  <c r="M192" i="9"/>
  <c r="P192" i="9" s="1"/>
  <c r="P194" i="9"/>
  <c r="Q72" i="9"/>
  <c r="T72" i="9" s="1"/>
  <c r="T515" i="9"/>
  <c r="Q513" i="9"/>
  <c r="T513" i="9" s="1"/>
  <c r="T494" i="9"/>
  <c r="J343" i="9"/>
  <c r="J332" i="9"/>
  <c r="K332" i="9" s="1"/>
  <c r="K676" i="8"/>
  <c r="O52" i="9"/>
  <c r="L26" i="9"/>
  <c r="O26" i="9" s="1"/>
  <c r="L50" i="9"/>
  <c r="O50" i="9" s="1"/>
  <c r="K251" i="5"/>
  <c r="K774" i="8"/>
  <c r="R644" i="8"/>
  <c r="R642" i="8" s="1"/>
  <c r="K440" i="8"/>
  <c r="K314" i="8"/>
  <c r="L233" i="8"/>
  <c r="I240" i="8"/>
  <c r="K240" i="8" s="1"/>
  <c r="L192" i="8"/>
  <c r="O192" i="8" s="1"/>
  <c r="O52" i="8"/>
  <c r="U733" i="9"/>
  <c r="P729" i="9"/>
  <c r="P715" i="9"/>
  <c r="K707" i="9"/>
  <c r="L555" i="9"/>
  <c r="O555" i="9" s="1"/>
  <c r="L493" i="9"/>
  <c r="O493" i="9" s="1"/>
  <c r="O494" i="9"/>
  <c r="R415" i="9"/>
  <c r="U415" i="9" s="1"/>
  <c r="U418" i="9"/>
  <c r="M413" i="9"/>
  <c r="P413" i="9" s="1"/>
  <c r="Q392" i="9"/>
  <c r="T392" i="9" s="1"/>
  <c r="T394" i="9"/>
  <c r="M375" i="9"/>
  <c r="P375" i="9" s="1"/>
  <c r="L336" i="9"/>
  <c r="O338" i="9"/>
  <c r="P271" i="9"/>
  <c r="N23" i="9"/>
  <c r="N268" i="9"/>
  <c r="N266" i="9" s="1"/>
  <c r="N269" i="9"/>
  <c r="P269" i="9" s="1"/>
  <c r="P267" i="9"/>
  <c r="Q139" i="9"/>
  <c r="T139" i="9" s="1"/>
  <c r="T141" i="9"/>
  <c r="L236" i="9"/>
  <c r="L214" i="8"/>
  <c r="O214" i="8" s="1"/>
  <c r="K371" i="8"/>
  <c r="J343" i="8"/>
  <c r="M100" i="8"/>
  <c r="P100" i="8" s="1"/>
  <c r="P617" i="9"/>
  <c r="Q599" i="9"/>
  <c r="T599" i="9" s="1"/>
  <c r="M576" i="9"/>
  <c r="P576" i="9" s="1"/>
  <c r="M555" i="9"/>
  <c r="P555" i="9" s="1"/>
  <c r="P556" i="9"/>
  <c r="P521" i="9"/>
  <c r="M519" i="9"/>
  <c r="P519" i="9" s="1"/>
  <c r="U494" i="9"/>
  <c r="I492" i="9"/>
  <c r="K492" i="9" s="1"/>
  <c r="Q415" i="9"/>
  <c r="T415" i="9" s="1"/>
  <c r="T418" i="9"/>
  <c r="L272" i="9"/>
  <c r="O272" i="9" s="1"/>
  <c r="O274" i="9"/>
  <c r="K242" i="9"/>
  <c r="N232" i="9"/>
  <c r="Q157" i="9"/>
  <c r="T157" i="9" s="1"/>
  <c r="S19" i="9"/>
  <c r="I365" i="9"/>
  <c r="K365" i="9" s="1"/>
  <c r="K371" i="9"/>
  <c r="P308" i="9"/>
  <c r="I302" i="9"/>
  <c r="K302" i="9" s="1"/>
  <c r="L288" i="9"/>
  <c r="O288" i="9" s="1"/>
  <c r="I281" i="9"/>
  <c r="K281" i="9" s="1"/>
  <c r="T268" i="9"/>
  <c r="S266" i="9"/>
  <c r="O267" i="9"/>
  <c r="O187" i="9"/>
  <c r="Q173" i="9"/>
  <c r="T173" i="9" s="1"/>
  <c r="R375" i="9"/>
  <c r="U375" i="9" s="1"/>
  <c r="R356" i="9"/>
  <c r="U356" i="9" s="1"/>
  <c r="O334" i="9"/>
  <c r="M323" i="9"/>
  <c r="P323" i="9" s="1"/>
  <c r="Q320" i="9"/>
  <c r="T320" i="9" s="1"/>
  <c r="T321" i="9"/>
  <c r="M305" i="9"/>
  <c r="P305" i="9" s="1"/>
  <c r="R268" i="9"/>
  <c r="U268" i="9" s="1"/>
  <c r="U267" i="9"/>
  <c r="L254" i="9"/>
  <c r="O254" i="9" s="1"/>
  <c r="N142" i="9"/>
  <c r="N141" i="9"/>
  <c r="N139" i="9" s="1"/>
  <c r="O140" i="9"/>
  <c r="T122" i="9"/>
  <c r="Q120" i="9"/>
  <c r="Q119" i="9"/>
  <c r="T119" i="9" s="1"/>
  <c r="P45" i="9"/>
  <c r="R24" i="9"/>
  <c r="U24" i="9" s="1"/>
  <c r="U25" i="9"/>
  <c r="N392" i="9"/>
  <c r="T376" i="9"/>
  <c r="R333" i="9"/>
  <c r="U333" i="9" s="1"/>
  <c r="U334" i="9"/>
  <c r="N322" i="9"/>
  <c r="N320" i="9" s="1"/>
  <c r="Q94" i="9"/>
  <c r="T94" i="9" s="1"/>
  <c r="P73" i="9"/>
  <c r="N336" i="9"/>
  <c r="P304" i="9"/>
  <c r="P283" i="9"/>
  <c r="I253" i="9"/>
  <c r="K253" i="9" s="1"/>
  <c r="K260" i="9"/>
  <c r="K251" i="9"/>
  <c r="I240" i="9"/>
  <c r="K240" i="9" s="1"/>
  <c r="Q189" i="9"/>
  <c r="T189" i="9" s="1"/>
  <c r="Q188" i="9"/>
  <c r="T188" i="9" s="1"/>
  <c r="T187" i="9"/>
  <c r="P52" i="9"/>
  <c r="M26" i="9"/>
  <c r="P26" i="9" s="1"/>
  <c r="M50" i="9"/>
  <c r="P50" i="9" s="1"/>
  <c r="L46" i="9"/>
  <c r="P22" i="9"/>
  <c r="M19" i="9"/>
  <c r="R378" i="9"/>
  <c r="U378" i="9" s="1"/>
  <c r="M336" i="9"/>
  <c r="K249" i="9"/>
  <c r="P176" i="9"/>
  <c r="T162" i="9"/>
  <c r="Q160" i="9"/>
  <c r="T160" i="9" s="1"/>
  <c r="K154" i="9"/>
  <c r="I136" i="9"/>
  <c r="K136" i="9" s="1"/>
  <c r="K85" i="9"/>
  <c r="P67" i="9"/>
  <c r="M65" i="9"/>
  <c r="P65" i="9" s="1"/>
  <c r="P60" i="9"/>
  <c r="U22" i="9"/>
  <c r="R19" i="9"/>
  <c r="M358" i="9"/>
  <c r="Q305" i="9"/>
  <c r="O191" i="9"/>
  <c r="N189" i="9"/>
  <c r="O189" i="9" s="1"/>
  <c r="R186" i="9"/>
  <c r="U186" i="9" s="1"/>
  <c r="U187" i="9"/>
  <c r="T178" i="9"/>
  <c r="Q176" i="9"/>
  <c r="T176" i="9" s="1"/>
  <c r="O176" i="9"/>
  <c r="K169" i="9"/>
  <c r="I156" i="9"/>
  <c r="K156" i="9" s="1"/>
  <c r="P140" i="9"/>
  <c r="T99" i="9"/>
  <c r="Q97" i="9"/>
  <c r="T97" i="9" s="1"/>
  <c r="O67" i="9"/>
  <c r="L65" i="9"/>
  <c r="O65" i="9" s="1"/>
  <c r="L61" i="9"/>
  <c r="U380" i="9"/>
  <c r="K344" i="9"/>
  <c r="N188" i="9"/>
  <c r="N186" i="9" s="1"/>
  <c r="U140" i="9"/>
  <c r="U74" i="9"/>
  <c r="O22" i="9"/>
  <c r="U178" i="9"/>
  <c r="O178" i="9"/>
  <c r="U122" i="9"/>
  <c r="O122" i="9"/>
  <c r="U99" i="9"/>
  <c r="O99" i="9"/>
  <c r="K84" i="9"/>
  <c r="T77" i="9"/>
  <c r="S23" i="9"/>
  <c r="S20" i="9" s="1"/>
  <c r="M23" i="9"/>
  <c r="M21" i="9" s="1"/>
  <c r="K183" i="9"/>
  <c r="N175" i="9"/>
  <c r="N173" i="9" s="1"/>
  <c r="N159" i="9"/>
  <c r="N157" i="9" s="1"/>
  <c r="K152" i="9"/>
  <c r="R141" i="9"/>
  <c r="U141" i="9" s="1"/>
  <c r="L141" i="9"/>
  <c r="O141" i="9" s="1"/>
  <c r="K127" i="9"/>
  <c r="N119" i="9"/>
  <c r="N117" i="9" s="1"/>
  <c r="N96" i="9"/>
  <c r="N94" i="9" s="1"/>
  <c r="S74" i="9"/>
  <c r="S72" i="9" s="1"/>
  <c r="M74" i="9"/>
  <c r="P74" i="9" s="1"/>
  <c r="M61" i="9"/>
  <c r="M46" i="9"/>
  <c r="R23" i="9"/>
  <c r="L23" i="9"/>
  <c r="L21" i="9" s="1"/>
  <c r="Q23" i="9"/>
  <c r="S269" i="6"/>
  <c r="S268" i="6"/>
  <c r="S266" i="6" s="1"/>
  <c r="N619" i="1"/>
  <c r="U729" i="8"/>
  <c r="R415" i="6"/>
  <c r="U415" i="6" s="1"/>
  <c r="U418" i="6"/>
  <c r="R416" i="6"/>
  <c r="U416" i="6" s="1"/>
  <c r="S495" i="7"/>
  <c r="S493" i="7" s="1"/>
  <c r="S496" i="7"/>
  <c r="L728" i="8"/>
  <c r="O728" i="8" s="1"/>
  <c r="O729" i="8"/>
  <c r="R714" i="8"/>
  <c r="U714" i="8" s="1"/>
  <c r="U715" i="8"/>
  <c r="L163" i="6"/>
  <c r="O163" i="6" s="1"/>
  <c r="O165" i="6"/>
  <c r="L714" i="8"/>
  <c r="O714" i="8" s="1"/>
  <c r="O715" i="8"/>
  <c r="R692" i="8"/>
  <c r="R690" i="8" s="1"/>
  <c r="R693" i="8"/>
  <c r="U693" i="8" s="1"/>
  <c r="M305" i="7"/>
  <c r="P305" i="7" s="1"/>
  <c r="P308" i="7"/>
  <c r="M306" i="7"/>
  <c r="P306" i="7" s="1"/>
  <c r="R266" i="8"/>
  <c r="U266" i="8" s="1"/>
  <c r="O274" i="6"/>
  <c r="S416" i="7"/>
  <c r="P287" i="7"/>
  <c r="L285" i="7"/>
  <c r="O285" i="7" s="1"/>
  <c r="O274" i="7"/>
  <c r="L268" i="7"/>
  <c r="O268" i="7" s="1"/>
  <c r="L234" i="7"/>
  <c r="P49" i="7"/>
  <c r="U765" i="8"/>
  <c r="M728" i="8"/>
  <c r="P728" i="8" s="1"/>
  <c r="K682" i="8"/>
  <c r="K678" i="8"/>
  <c r="K654" i="8"/>
  <c r="L642" i="8"/>
  <c r="O642" i="8" s="1"/>
  <c r="J626" i="8"/>
  <c r="J615" i="8" s="1"/>
  <c r="S555" i="8"/>
  <c r="L555" i="8"/>
  <c r="O555" i="8" s="1"/>
  <c r="O535" i="8"/>
  <c r="R495" i="8"/>
  <c r="U495" i="8" s="1"/>
  <c r="U494" i="8"/>
  <c r="O494" i="8"/>
  <c r="M413" i="8"/>
  <c r="P413" i="8" s="1"/>
  <c r="O394" i="8"/>
  <c r="L375" i="8"/>
  <c r="O375" i="8" s="1"/>
  <c r="M335" i="8"/>
  <c r="M333" i="8" s="1"/>
  <c r="N309" i="8"/>
  <c r="I238" i="8"/>
  <c r="K238" i="8" s="1"/>
  <c r="I202" i="8"/>
  <c r="K202" i="8" s="1"/>
  <c r="N188" i="8"/>
  <c r="N186" i="8" s="1"/>
  <c r="M120" i="8"/>
  <c r="P120" i="8" s="1"/>
  <c r="T99" i="8"/>
  <c r="L96" i="8"/>
  <c r="O96" i="8" s="1"/>
  <c r="I83" i="8"/>
  <c r="I71" i="8" s="1"/>
  <c r="K71" i="8" s="1"/>
  <c r="N62" i="8"/>
  <c r="P62" i="8" s="1"/>
  <c r="T60" i="8"/>
  <c r="P49" i="8"/>
  <c r="S44" i="8"/>
  <c r="N159" i="8"/>
  <c r="N157" i="8" s="1"/>
  <c r="I240" i="4"/>
  <c r="K240" i="4" s="1"/>
  <c r="K784" i="7"/>
  <c r="K781" i="7"/>
  <c r="L61" i="7"/>
  <c r="L59" i="7" s="1"/>
  <c r="K758" i="8"/>
  <c r="T763" i="8"/>
  <c r="P715" i="8"/>
  <c r="S692" i="8"/>
  <c r="S690" i="8" s="1"/>
  <c r="U645" i="8"/>
  <c r="S616" i="8"/>
  <c r="S496" i="8"/>
  <c r="Q495" i="8"/>
  <c r="T495" i="8" s="1"/>
  <c r="N493" i="8"/>
  <c r="J458" i="8"/>
  <c r="I456" i="8"/>
  <c r="K456" i="8" s="1"/>
  <c r="L413" i="8"/>
  <c r="O413" i="8" s="1"/>
  <c r="Q378" i="8"/>
  <c r="T378" i="8" s="1"/>
  <c r="L335" i="8"/>
  <c r="L333" i="8" s="1"/>
  <c r="M309" i="8"/>
  <c r="P309" i="8" s="1"/>
  <c r="M305" i="8"/>
  <c r="M303" i="8" s="1"/>
  <c r="S306" i="8"/>
  <c r="T306" i="8" s="1"/>
  <c r="K293" i="8"/>
  <c r="M284" i="8"/>
  <c r="P284" i="8" s="1"/>
  <c r="M285" i="8"/>
  <c r="P285" i="8" s="1"/>
  <c r="I253" i="8"/>
  <c r="K253" i="8" s="1"/>
  <c r="U187" i="8"/>
  <c r="M142" i="8"/>
  <c r="P142" i="8" s="1"/>
  <c r="K108" i="8"/>
  <c r="Q96" i="8"/>
  <c r="T96" i="8" s="1"/>
  <c r="L62" i="8"/>
  <c r="Q44" i="8"/>
  <c r="T44" i="8" s="1"/>
  <c r="R44" i="8"/>
  <c r="U44" i="8" s="1"/>
  <c r="N19" i="8"/>
  <c r="S142" i="8"/>
  <c r="U77" i="5"/>
  <c r="K774" i="6"/>
  <c r="K276" i="7"/>
  <c r="S94" i="7"/>
  <c r="U763" i="8"/>
  <c r="R730" i="8"/>
  <c r="U730" i="8" s="1"/>
  <c r="S619" i="8"/>
  <c r="T619" i="8" s="1"/>
  <c r="P600" i="8"/>
  <c r="P577" i="8"/>
  <c r="S513" i="8"/>
  <c r="Q513" i="8"/>
  <c r="T513" i="8" s="1"/>
  <c r="U498" i="8"/>
  <c r="Q416" i="8"/>
  <c r="T416" i="8" s="1"/>
  <c r="S415" i="8"/>
  <c r="S413" i="8" s="1"/>
  <c r="O334" i="8"/>
  <c r="T321" i="8"/>
  <c r="T308" i="8"/>
  <c r="L305" i="8"/>
  <c r="L303" i="8" s="1"/>
  <c r="P290" i="8"/>
  <c r="P144" i="8"/>
  <c r="S24" i="8"/>
  <c r="O361" i="6"/>
  <c r="K780" i="7"/>
  <c r="K629" i="7"/>
  <c r="R303" i="7"/>
  <c r="U303" i="7" s="1"/>
  <c r="L222" i="7"/>
  <c r="O222" i="7" s="1"/>
  <c r="N159" i="7"/>
  <c r="N157" i="7" s="1"/>
  <c r="S762" i="8"/>
  <c r="S760" i="8" s="1"/>
  <c r="Q730" i="8"/>
  <c r="T730" i="8" s="1"/>
  <c r="J702" i="8"/>
  <c r="L690" i="8"/>
  <c r="O690" i="8" s="1"/>
  <c r="S534" i="8"/>
  <c r="M519" i="8"/>
  <c r="P519" i="8" s="1"/>
  <c r="M515" i="8"/>
  <c r="P515" i="8" s="1"/>
  <c r="T498" i="8"/>
  <c r="U418" i="8"/>
  <c r="R415" i="8"/>
  <c r="U415" i="8" s="1"/>
  <c r="N358" i="8"/>
  <c r="N356" i="8" s="1"/>
  <c r="L359" i="8"/>
  <c r="R356" i="8"/>
  <c r="U356" i="8" s="1"/>
  <c r="J332" i="8"/>
  <c r="K332" i="8" s="1"/>
  <c r="M336" i="8"/>
  <c r="P336" i="8" s="1"/>
  <c r="N323" i="8"/>
  <c r="S320" i="8"/>
  <c r="M306" i="8"/>
  <c r="P306" i="8" s="1"/>
  <c r="O290" i="8"/>
  <c r="L272" i="8"/>
  <c r="O272" i="8" s="1"/>
  <c r="M268" i="8"/>
  <c r="M266" i="8" s="1"/>
  <c r="S269" i="8"/>
  <c r="L254" i="8"/>
  <c r="O254" i="8" s="1"/>
  <c r="L234" i="8"/>
  <c r="K229" i="8"/>
  <c r="P194" i="8"/>
  <c r="R19" i="8"/>
  <c r="L19" i="8"/>
  <c r="Q24" i="8"/>
  <c r="T24" i="8" s="1"/>
  <c r="M309" i="6"/>
  <c r="P309" i="6" s="1"/>
  <c r="K709" i="7"/>
  <c r="J701" i="7"/>
  <c r="I365" i="7"/>
  <c r="K365" i="7" s="1"/>
  <c r="M141" i="7"/>
  <c r="P141" i="7" s="1"/>
  <c r="R139" i="7"/>
  <c r="U139" i="7" s="1"/>
  <c r="P80" i="7"/>
  <c r="R762" i="8"/>
  <c r="U762" i="8" s="1"/>
  <c r="M760" i="8"/>
  <c r="P760" i="8" s="1"/>
  <c r="S731" i="8"/>
  <c r="I701" i="8"/>
  <c r="K679" i="8"/>
  <c r="J674" i="8"/>
  <c r="K674" i="8" s="1"/>
  <c r="S644" i="8"/>
  <c r="S642" i="8" s="1"/>
  <c r="N616" i="8"/>
  <c r="N599" i="8"/>
  <c r="N576" i="8"/>
  <c r="P414" i="8"/>
  <c r="P338" i="8"/>
  <c r="L336" i="8"/>
  <c r="O336" i="8" s="1"/>
  <c r="T334" i="8"/>
  <c r="Q305" i="8"/>
  <c r="T305" i="8" s="1"/>
  <c r="K292" i="8"/>
  <c r="L268" i="8"/>
  <c r="O268" i="8" s="1"/>
  <c r="R269" i="8"/>
  <c r="L203" i="8"/>
  <c r="O203" i="8" s="1"/>
  <c r="K169" i="8"/>
  <c r="N141" i="8"/>
  <c r="N139" i="8" s="1"/>
  <c r="N47" i="8"/>
  <c r="O47" i="8" s="1"/>
  <c r="T45" i="8"/>
  <c r="R24" i="8"/>
  <c r="U24" i="8" s="1"/>
  <c r="Q19" i="8"/>
  <c r="T19" i="8" s="1"/>
  <c r="T645" i="8"/>
  <c r="P361" i="8"/>
  <c r="M359" i="8"/>
  <c r="K705" i="6"/>
  <c r="K676" i="6"/>
  <c r="U305" i="6"/>
  <c r="L145" i="6"/>
  <c r="O145" i="6" s="1"/>
  <c r="K631" i="7"/>
  <c r="S377" i="7"/>
  <c r="S375" i="7" s="1"/>
  <c r="O361" i="7"/>
  <c r="M335" i="7"/>
  <c r="M333" i="7" s="1"/>
  <c r="K314" i="7"/>
  <c r="M269" i="7"/>
  <c r="I242" i="7"/>
  <c r="K242" i="7" s="1"/>
  <c r="M159" i="7"/>
  <c r="P159" i="7" s="1"/>
  <c r="S160" i="7"/>
  <c r="R94" i="7"/>
  <c r="U94" i="7" s="1"/>
  <c r="L62" i="7"/>
  <c r="O62" i="7" s="1"/>
  <c r="T765" i="8"/>
  <c r="U695" i="8"/>
  <c r="J675" i="8"/>
  <c r="K675" i="8" s="1"/>
  <c r="U647" i="8"/>
  <c r="Q375" i="8"/>
  <c r="T375" i="8" s="1"/>
  <c r="P341" i="8"/>
  <c r="M339" i="8"/>
  <c r="P339" i="8" s="1"/>
  <c r="O283" i="8"/>
  <c r="T621" i="6"/>
  <c r="T733" i="7"/>
  <c r="K630" i="7"/>
  <c r="K626" i="7"/>
  <c r="U498" i="7"/>
  <c r="S303" i="7"/>
  <c r="I280" i="7"/>
  <c r="K280" i="7" s="1"/>
  <c r="L236" i="7"/>
  <c r="O165" i="7"/>
  <c r="R117" i="7"/>
  <c r="U117" i="7" s="1"/>
  <c r="N96" i="7"/>
  <c r="N94" i="7" s="1"/>
  <c r="O64" i="7"/>
  <c r="K772" i="8"/>
  <c r="L760" i="8"/>
  <c r="O760" i="8" s="1"/>
  <c r="Q714" i="8"/>
  <c r="T714" i="8" s="1"/>
  <c r="T695" i="8"/>
  <c r="Q692" i="8"/>
  <c r="M690" i="8"/>
  <c r="P690" i="8" s="1"/>
  <c r="T647" i="8"/>
  <c r="Q644" i="8"/>
  <c r="M642" i="8"/>
  <c r="P642" i="8" s="1"/>
  <c r="U621" i="8"/>
  <c r="R618" i="8"/>
  <c r="U618" i="8" s="1"/>
  <c r="I615" i="8"/>
  <c r="K615" i="8" s="1"/>
  <c r="O601" i="8"/>
  <c r="O578" i="8"/>
  <c r="M555" i="8"/>
  <c r="P555" i="8" s="1"/>
  <c r="Q413" i="8"/>
  <c r="T413" i="8" s="1"/>
  <c r="Q356" i="8"/>
  <c r="T356" i="8" s="1"/>
  <c r="T357" i="8"/>
  <c r="L322" i="8"/>
  <c r="R282" i="8"/>
  <c r="U282" i="8" s="1"/>
  <c r="U283" i="8"/>
  <c r="U174" i="8"/>
  <c r="R320" i="8"/>
  <c r="U320" i="8" s="1"/>
  <c r="U322" i="8"/>
  <c r="O147" i="7"/>
  <c r="O122" i="7"/>
  <c r="L78" i="7"/>
  <c r="O78" i="7" s="1"/>
  <c r="M47" i="7"/>
  <c r="P47" i="7" s="1"/>
  <c r="T691" i="8"/>
  <c r="T643" i="8"/>
  <c r="T621" i="8"/>
  <c r="Q618" i="8"/>
  <c r="M534" i="8"/>
  <c r="P534" i="8" s="1"/>
  <c r="P535" i="8"/>
  <c r="N515" i="8"/>
  <c r="N513" i="8" s="1"/>
  <c r="P514" i="8"/>
  <c r="O328" i="8"/>
  <c r="L326" i="8"/>
  <c r="O326" i="8" s="1"/>
  <c r="M75" i="8"/>
  <c r="P75" i="8" s="1"/>
  <c r="P77" i="8"/>
  <c r="M74" i="8"/>
  <c r="R513" i="8"/>
  <c r="U513" i="8" s="1"/>
  <c r="U514" i="8"/>
  <c r="N175" i="8"/>
  <c r="N173" i="8" s="1"/>
  <c r="N176" i="8"/>
  <c r="L326" i="6"/>
  <c r="O326" i="6" s="1"/>
  <c r="N284" i="6"/>
  <c r="N282" i="6" s="1"/>
  <c r="N175" i="6"/>
  <c r="N173" i="6" s="1"/>
  <c r="K778" i="7"/>
  <c r="U733" i="7"/>
  <c r="S644" i="7"/>
  <c r="S642" i="7" s="1"/>
  <c r="R495" i="7"/>
  <c r="U495" i="7" s="1"/>
  <c r="R415" i="7"/>
  <c r="U415" i="7" s="1"/>
  <c r="K346" i="7"/>
  <c r="M322" i="7"/>
  <c r="P322" i="7" s="1"/>
  <c r="M309" i="7"/>
  <c r="P309" i="7" s="1"/>
  <c r="I136" i="7"/>
  <c r="K136" i="7" s="1"/>
  <c r="K109" i="7"/>
  <c r="U99" i="7"/>
  <c r="T77" i="7"/>
  <c r="M74" i="7"/>
  <c r="P74" i="7" s="1"/>
  <c r="L75" i="7"/>
  <c r="O75" i="7" s="1"/>
  <c r="M616" i="8"/>
  <c r="P616" i="8" s="1"/>
  <c r="R555" i="8"/>
  <c r="U555" i="8" s="1"/>
  <c r="O514" i="8"/>
  <c r="Q188" i="8"/>
  <c r="T191" i="8"/>
  <c r="Q189" i="8"/>
  <c r="T189" i="8" s="1"/>
  <c r="Q120" i="8"/>
  <c r="T120" i="8" s="1"/>
  <c r="Q119" i="8"/>
  <c r="Q117" i="8" s="1"/>
  <c r="T122" i="8"/>
  <c r="S123" i="1"/>
  <c r="P165" i="8"/>
  <c r="M163" i="8"/>
  <c r="P163" i="8" s="1"/>
  <c r="O341" i="6"/>
  <c r="K292" i="6"/>
  <c r="N358" i="7"/>
  <c r="N356" i="7" s="1"/>
  <c r="J351" i="7"/>
  <c r="L326" i="7"/>
  <c r="O326" i="7" s="1"/>
  <c r="L322" i="7"/>
  <c r="O322" i="7" s="1"/>
  <c r="L233" i="7"/>
  <c r="L203" i="7"/>
  <c r="O203" i="7" s="1"/>
  <c r="Q176" i="7"/>
  <c r="T176" i="7" s="1"/>
  <c r="K626" i="8"/>
  <c r="L616" i="8"/>
  <c r="O616" i="8" s="1"/>
  <c r="O617" i="8"/>
  <c r="O521" i="8"/>
  <c r="L519" i="8"/>
  <c r="O519" i="8" s="1"/>
  <c r="K504" i="8"/>
  <c r="M392" i="8"/>
  <c r="P392" i="8" s="1"/>
  <c r="P393" i="8"/>
  <c r="R378" i="8"/>
  <c r="U378" i="8" s="1"/>
  <c r="R377" i="8"/>
  <c r="U380" i="8"/>
  <c r="M375" i="8"/>
  <c r="P375" i="8" s="1"/>
  <c r="P376" i="8"/>
  <c r="M358" i="8"/>
  <c r="K230" i="8"/>
  <c r="U556" i="8"/>
  <c r="O556" i="8"/>
  <c r="K503" i="8"/>
  <c r="T418" i="8"/>
  <c r="U414" i="8"/>
  <c r="O414" i="8"/>
  <c r="K385" i="8"/>
  <c r="N359" i="8"/>
  <c r="L358" i="8"/>
  <c r="O338" i="8"/>
  <c r="M326" i="8"/>
  <c r="P326" i="8" s="1"/>
  <c r="U308" i="8"/>
  <c r="R306" i="8"/>
  <c r="Q282" i="8"/>
  <c r="T282" i="8" s="1"/>
  <c r="Q173" i="8"/>
  <c r="T173" i="8" s="1"/>
  <c r="T174" i="8"/>
  <c r="O165" i="8"/>
  <c r="L163" i="8"/>
  <c r="O163" i="8" s="1"/>
  <c r="N120" i="8"/>
  <c r="N119" i="8"/>
  <c r="N117" i="8" s="1"/>
  <c r="L78" i="8"/>
  <c r="O78" i="8" s="1"/>
  <c r="L74" i="8"/>
  <c r="L515" i="8"/>
  <c r="O515" i="8" s="1"/>
  <c r="T414" i="8"/>
  <c r="S377" i="8"/>
  <c r="S375" i="8" s="1"/>
  <c r="U357" i="8"/>
  <c r="O357" i="8"/>
  <c r="N335" i="8"/>
  <c r="M322" i="8"/>
  <c r="P322" i="8" s="1"/>
  <c r="M323" i="8"/>
  <c r="P323" i="8" s="1"/>
  <c r="N284" i="8"/>
  <c r="N282" i="8" s="1"/>
  <c r="P181" i="8"/>
  <c r="M179" i="8"/>
  <c r="P179" i="8" s="1"/>
  <c r="O95" i="8"/>
  <c r="S75" i="8"/>
  <c r="S23" i="8"/>
  <c r="S20" i="8" s="1"/>
  <c r="S18" i="8" s="1"/>
  <c r="S74" i="8"/>
  <c r="S72" i="8" s="1"/>
  <c r="L26" i="8"/>
  <c r="K423" i="8"/>
  <c r="K344" i="8"/>
  <c r="L323" i="8"/>
  <c r="O323" i="8" s="1"/>
  <c r="O287" i="8"/>
  <c r="L285" i="8"/>
  <c r="O285" i="8" s="1"/>
  <c r="L284" i="8"/>
  <c r="O284" i="8" s="1"/>
  <c r="I265" i="8"/>
  <c r="K265" i="8" s="1"/>
  <c r="K276" i="8"/>
  <c r="O181" i="8"/>
  <c r="L179" i="8"/>
  <c r="O179" i="8" s="1"/>
  <c r="Q160" i="8"/>
  <c r="T160" i="8" s="1"/>
  <c r="T162" i="8"/>
  <c r="O158" i="8"/>
  <c r="I137" i="8"/>
  <c r="K137" i="8" s="1"/>
  <c r="K152" i="8"/>
  <c r="P125" i="8"/>
  <c r="M119" i="8"/>
  <c r="M123" i="8"/>
  <c r="P123" i="8" s="1"/>
  <c r="R94" i="8"/>
  <c r="U94" i="8" s="1"/>
  <c r="U95" i="8"/>
  <c r="I82" i="8"/>
  <c r="Q72" i="8"/>
  <c r="T72" i="8" s="1"/>
  <c r="T73" i="8"/>
  <c r="M26" i="8"/>
  <c r="P26" i="8" s="1"/>
  <c r="M50" i="8"/>
  <c r="P50" i="8" s="1"/>
  <c r="P52" i="8"/>
  <c r="L23" i="8"/>
  <c r="T380" i="8"/>
  <c r="K330" i="8"/>
  <c r="P321" i="8"/>
  <c r="O311" i="8"/>
  <c r="L309" i="8"/>
  <c r="O309" i="8" s="1"/>
  <c r="R305" i="8"/>
  <c r="U305" i="8" s="1"/>
  <c r="T271" i="8"/>
  <c r="Q269" i="8"/>
  <c r="I242" i="8"/>
  <c r="U158" i="8"/>
  <c r="P99" i="8"/>
  <c r="M97" i="8"/>
  <c r="P97" i="8" s="1"/>
  <c r="M96" i="8"/>
  <c r="T95" i="8"/>
  <c r="O308" i="8"/>
  <c r="L306" i="8"/>
  <c r="O306" i="8" s="1"/>
  <c r="Q266" i="8"/>
  <c r="T266" i="8" s="1"/>
  <c r="Q176" i="8"/>
  <c r="T176" i="8" s="1"/>
  <c r="T178" i="8"/>
  <c r="O174" i="8"/>
  <c r="Q157" i="8"/>
  <c r="T157" i="8" s="1"/>
  <c r="T158" i="8"/>
  <c r="M65" i="8"/>
  <c r="P65" i="8" s="1"/>
  <c r="P67" i="8"/>
  <c r="P19" i="8"/>
  <c r="P308" i="8"/>
  <c r="T304" i="8"/>
  <c r="P287" i="8"/>
  <c r="T283" i="8"/>
  <c r="U271" i="8"/>
  <c r="O271" i="8"/>
  <c r="K252" i="8"/>
  <c r="U191" i="8"/>
  <c r="O191" i="8"/>
  <c r="S188" i="8"/>
  <c r="P178" i="8"/>
  <c r="M176" i="8"/>
  <c r="M175" i="8"/>
  <c r="M160" i="8"/>
  <c r="P160" i="8" s="1"/>
  <c r="M159" i="8"/>
  <c r="U144" i="8"/>
  <c r="K127" i="8"/>
  <c r="S119" i="8"/>
  <c r="S117" i="8" s="1"/>
  <c r="R117" i="8"/>
  <c r="N96" i="8"/>
  <c r="N94" i="8" s="1"/>
  <c r="P64" i="8"/>
  <c r="U26" i="8"/>
  <c r="N268" i="8"/>
  <c r="L243" i="8"/>
  <c r="K220" i="8"/>
  <c r="K198" i="8"/>
  <c r="O178" i="8"/>
  <c r="L176" i="8"/>
  <c r="O176" i="8" s="1"/>
  <c r="L175" i="8"/>
  <c r="O175" i="8" s="1"/>
  <c r="O162" i="8"/>
  <c r="L160" i="8"/>
  <c r="O160" i="8" s="1"/>
  <c r="L159" i="8"/>
  <c r="O159" i="8" s="1"/>
  <c r="K154" i="8"/>
  <c r="I136" i="8"/>
  <c r="K136" i="8" s="1"/>
  <c r="R141" i="8"/>
  <c r="T118" i="8"/>
  <c r="P80" i="8"/>
  <c r="M188" i="8"/>
  <c r="M189" i="8"/>
  <c r="P189" i="8" s="1"/>
  <c r="S176" i="8"/>
  <c r="S160" i="8"/>
  <c r="M61" i="8"/>
  <c r="M47" i="8"/>
  <c r="M23" i="8"/>
  <c r="M46" i="8"/>
  <c r="R23" i="8"/>
  <c r="U19" i="8"/>
  <c r="O19" i="8"/>
  <c r="L188" i="8"/>
  <c r="U178" i="8"/>
  <c r="R176" i="8"/>
  <c r="U176" i="8" s="1"/>
  <c r="R175" i="8"/>
  <c r="U175" i="8" s="1"/>
  <c r="U162" i="8"/>
  <c r="R160" i="8"/>
  <c r="U160" i="8" s="1"/>
  <c r="R159" i="8"/>
  <c r="U159" i="8" s="1"/>
  <c r="Q142" i="8"/>
  <c r="T142" i="8" s="1"/>
  <c r="N26" i="8"/>
  <c r="N24" i="8" s="1"/>
  <c r="K153" i="8"/>
  <c r="L123" i="8"/>
  <c r="O123" i="8" s="1"/>
  <c r="R120" i="8"/>
  <c r="U120" i="8" s="1"/>
  <c r="L120" i="8"/>
  <c r="O120" i="8" s="1"/>
  <c r="L100" i="8"/>
  <c r="O100" i="8" s="1"/>
  <c r="R97" i="8"/>
  <c r="U97" i="8" s="1"/>
  <c r="L97" i="8"/>
  <c r="O97" i="8" s="1"/>
  <c r="U77" i="8"/>
  <c r="O77" i="8"/>
  <c r="Q75" i="8"/>
  <c r="T75" i="8" s="1"/>
  <c r="O64" i="8"/>
  <c r="N50" i="8"/>
  <c r="O49" i="8"/>
  <c r="N23" i="8"/>
  <c r="U122" i="8"/>
  <c r="O122" i="8"/>
  <c r="U99" i="8"/>
  <c r="O99" i="8"/>
  <c r="T77" i="8"/>
  <c r="Q23" i="8"/>
  <c r="J374" i="4"/>
  <c r="R763" i="6"/>
  <c r="U763" i="6" s="1"/>
  <c r="I265" i="6"/>
  <c r="K265" i="6" s="1"/>
  <c r="U765" i="6"/>
  <c r="I280" i="6"/>
  <c r="K280" i="6" s="1"/>
  <c r="T765" i="6"/>
  <c r="L233" i="5"/>
  <c r="K780" i="5"/>
  <c r="Q763" i="5"/>
  <c r="K654" i="6"/>
  <c r="M285" i="6"/>
  <c r="P285" i="6" s="1"/>
  <c r="S413" i="7"/>
  <c r="R306" i="7"/>
  <c r="U306" i="7" s="1"/>
  <c r="I138" i="7"/>
  <c r="K138" i="7" s="1"/>
  <c r="S97" i="7"/>
  <c r="L203" i="6"/>
  <c r="O203" i="6" s="1"/>
  <c r="T191" i="6"/>
  <c r="P144" i="6"/>
  <c r="K785" i="7"/>
  <c r="I759" i="7"/>
  <c r="K759" i="7" s="1"/>
  <c r="R730" i="7"/>
  <c r="U730" i="7" s="1"/>
  <c r="L599" i="7"/>
  <c r="O599" i="7" s="1"/>
  <c r="N555" i="7"/>
  <c r="L515" i="7"/>
  <c r="O515" i="7" s="1"/>
  <c r="U418" i="7"/>
  <c r="Q415" i="7"/>
  <c r="T415" i="7" s="1"/>
  <c r="N392" i="7"/>
  <c r="K369" i="7"/>
  <c r="N359" i="7"/>
  <c r="M339" i="7"/>
  <c r="P339" i="7" s="1"/>
  <c r="L335" i="7"/>
  <c r="L333" i="7" s="1"/>
  <c r="S333" i="7"/>
  <c r="P328" i="7"/>
  <c r="L323" i="7"/>
  <c r="O323" i="7" s="1"/>
  <c r="Q306" i="7"/>
  <c r="T306" i="7" s="1"/>
  <c r="U304" i="7"/>
  <c r="U283" i="7"/>
  <c r="U268" i="7"/>
  <c r="Q269" i="7"/>
  <c r="Q189" i="7"/>
  <c r="N160" i="7"/>
  <c r="S157" i="7"/>
  <c r="P147" i="7"/>
  <c r="P144" i="7"/>
  <c r="L123" i="7"/>
  <c r="O123" i="7" s="1"/>
  <c r="N119" i="7"/>
  <c r="N117" i="7" s="1"/>
  <c r="L96" i="7"/>
  <c r="O96" i="7" s="1"/>
  <c r="R97" i="7"/>
  <c r="U97" i="7" s="1"/>
  <c r="I92" i="7"/>
  <c r="K92" i="7" s="1"/>
  <c r="U77" i="7"/>
  <c r="M75" i="7"/>
  <c r="P75" i="7" s="1"/>
  <c r="S59" i="7"/>
  <c r="R59" i="7"/>
  <c r="U59" i="7" s="1"/>
  <c r="M760" i="7"/>
  <c r="P760" i="7" s="1"/>
  <c r="Q730" i="7"/>
  <c r="Q728" i="7" s="1"/>
  <c r="T728" i="7" s="1"/>
  <c r="J702" i="7"/>
  <c r="R693" i="7"/>
  <c r="U693" i="7" s="1"/>
  <c r="J457" i="7"/>
  <c r="J456" i="7" s="1"/>
  <c r="K368" i="7"/>
  <c r="R333" i="7"/>
  <c r="U333" i="7" s="1"/>
  <c r="N284" i="7"/>
  <c r="N282" i="7" s="1"/>
  <c r="N189" i="7"/>
  <c r="Q175" i="7"/>
  <c r="T175" i="7" s="1"/>
  <c r="M160" i="7"/>
  <c r="P160" i="7" s="1"/>
  <c r="S120" i="7"/>
  <c r="M61" i="7"/>
  <c r="M59" i="7" s="1"/>
  <c r="N728" i="7"/>
  <c r="R645" i="7"/>
  <c r="U645" i="7" s="1"/>
  <c r="P600" i="7"/>
  <c r="T556" i="7"/>
  <c r="Q534" i="7"/>
  <c r="T534" i="7" s="1"/>
  <c r="R513" i="7"/>
  <c r="U513" i="7" s="1"/>
  <c r="T498" i="7"/>
  <c r="L493" i="7"/>
  <c r="O493" i="7" s="1"/>
  <c r="I423" i="7"/>
  <c r="R378" i="7"/>
  <c r="U378" i="7" s="1"/>
  <c r="R377" i="7"/>
  <c r="U377" i="7" s="1"/>
  <c r="O364" i="7"/>
  <c r="M336" i="7"/>
  <c r="P336" i="7" s="1"/>
  <c r="O308" i="7"/>
  <c r="O271" i="7"/>
  <c r="L269" i="7"/>
  <c r="O269" i="7" s="1"/>
  <c r="T144" i="7"/>
  <c r="R120" i="7"/>
  <c r="O102" i="7"/>
  <c r="P99" i="7"/>
  <c r="M97" i="7"/>
  <c r="P97" i="7" s="1"/>
  <c r="S75" i="7"/>
  <c r="O49" i="7"/>
  <c r="T45" i="7"/>
  <c r="N19" i="7"/>
  <c r="L236" i="6"/>
  <c r="O162" i="6"/>
  <c r="K779" i="7"/>
  <c r="S763" i="7"/>
  <c r="P729" i="7"/>
  <c r="L714" i="7"/>
  <c r="O714" i="7" s="1"/>
  <c r="K707" i="7"/>
  <c r="K705" i="7"/>
  <c r="N616" i="7"/>
  <c r="S555" i="7"/>
  <c r="P518" i="7"/>
  <c r="Q495" i="7"/>
  <c r="T495" i="7" s="1"/>
  <c r="N493" i="7"/>
  <c r="J343" i="7"/>
  <c r="O338" i="7"/>
  <c r="L336" i="7"/>
  <c r="O336" i="7" s="1"/>
  <c r="U308" i="7"/>
  <c r="N305" i="7"/>
  <c r="N303" i="7" s="1"/>
  <c r="L306" i="7"/>
  <c r="O306" i="7" s="1"/>
  <c r="L284" i="7"/>
  <c r="O284" i="7" s="1"/>
  <c r="U271" i="7"/>
  <c r="N268" i="7"/>
  <c r="N266" i="7" s="1"/>
  <c r="P181" i="7"/>
  <c r="N175" i="7"/>
  <c r="N173" i="7" s="1"/>
  <c r="R142" i="7"/>
  <c r="U142" i="7" s="1"/>
  <c r="S141" i="7"/>
  <c r="S139" i="7" s="1"/>
  <c r="N120" i="7"/>
  <c r="O99" i="7"/>
  <c r="L97" i="7"/>
  <c r="O97" i="7" s="1"/>
  <c r="L74" i="7"/>
  <c r="O74" i="7" s="1"/>
  <c r="R75" i="7"/>
  <c r="U75" i="7" s="1"/>
  <c r="S44" i="7"/>
  <c r="R44" i="7"/>
  <c r="U44" i="7" s="1"/>
  <c r="M19" i="7"/>
  <c r="O122" i="6"/>
  <c r="R762" i="7"/>
  <c r="U762" i="7" s="1"/>
  <c r="R714" i="7"/>
  <c r="U714" i="7" s="1"/>
  <c r="J674" i="7"/>
  <c r="J332" i="7"/>
  <c r="N335" i="7"/>
  <c r="S306" i="7"/>
  <c r="T271" i="7"/>
  <c r="S269" i="7"/>
  <c r="L235" i="7"/>
  <c r="J231" i="7"/>
  <c r="J185" i="7" s="1"/>
  <c r="L214" i="7"/>
  <c r="O214" i="7" s="1"/>
  <c r="I195" i="7"/>
  <c r="K195" i="7" s="1"/>
  <c r="L141" i="7"/>
  <c r="O141" i="7" s="1"/>
  <c r="Q142" i="7"/>
  <c r="T142" i="7" s="1"/>
  <c r="P122" i="7"/>
  <c r="M120" i="7"/>
  <c r="P120" i="7" s="1"/>
  <c r="I82" i="7"/>
  <c r="I70" i="7" s="1"/>
  <c r="K70" i="7" s="1"/>
  <c r="Q75" i="7"/>
  <c r="T75" i="7" s="1"/>
  <c r="Q72" i="7"/>
  <c r="T72" i="7" s="1"/>
  <c r="P64" i="7"/>
  <c r="M62" i="7"/>
  <c r="P62" i="7" s="1"/>
  <c r="S24" i="7"/>
  <c r="P140" i="7"/>
  <c r="P125" i="4"/>
  <c r="L339" i="5"/>
  <c r="O339" i="5" s="1"/>
  <c r="P178" i="5"/>
  <c r="K785" i="6"/>
  <c r="S762" i="6"/>
  <c r="S760" i="6" s="1"/>
  <c r="K673" i="6"/>
  <c r="S616" i="6"/>
  <c r="P521" i="6"/>
  <c r="I456" i="6"/>
  <c r="K456" i="6" s="1"/>
  <c r="S303" i="6"/>
  <c r="I172" i="6"/>
  <c r="K172" i="6" s="1"/>
  <c r="U162" i="6"/>
  <c r="U144" i="6"/>
  <c r="Q120" i="6"/>
  <c r="T120" i="6" s="1"/>
  <c r="K108" i="6"/>
  <c r="U96" i="6"/>
  <c r="I83" i="6"/>
  <c r="K83" i="6" s="1"/>
  <c r="I758" i="7"/>
  <c r="K758" i="7" s="1"/>
  <c r="K772" i="7"/>
  <c r="U765" i="7"/>
  <c r="P761" i="7"/>
  <c r="Q714" i="7"/>
  <c r="T714" i="7" s="1"/>
  <c r="T715" i="7"/>
  <c r="M714" i="7"/>
  <c r="P714" i="7" s="1"/>
  <c r="S692" i="7"/>
  <c r="S690" i="7" s="1"/>
  <c r="R690" i="7"/>
  <c r="U691" i="7"/>
  <c r="J675" i="7"/>
  <c r="L642" i="7"/>
  <c r="O642" i="7" s="1"/>
  <c r="O643" i="7"/>
  <c r="U617" i="7"/>
  <c r="M555" i="7"/>
  <c r="P555" i="7" s="1"/>
  <c r="P556" i="7"/>
  <c r="N515" i="7"/>
  <c r="N513" i="7" s="1"/>
  <c r="M413" i="7"/>
  <c r="P413" i="7" s="1"/>
  <c r="P414" i="7"/>
  <c r="L392" i="7"/>
  <c r="O392" i="7" s="1"/>
  <c r="P304" i="7"/>
  <c r="P283" i="7"/>
  <c r="O321" i="7"/>
  <c r="K152" i="7"/>
  <c r="I137" i="7"/>
  <c r="K137" i="7" s="1"/>
  <c r="U695" i="5"/>
  <c r="K631" i="6"/>
  <c r="K371" i="6"/>
  <c r="K330" i="6"/>
  <c r="S306" i="6"/>
  <c r="K220" i="6"/>
  <c r="L214" i="6"/>
  <c r="O214" i="6" s="1"/>
  <c r="L179" i="6"/>
  <c r="O179" i="6" s="1"/>
  <c r="S175" i="6"/>
  <c r="S173" i="6" s="1"/>
  <c r="I168" i="6"/>
  <c r="K168" i="6" s="1"/>
  <c r="N160" i="6"/>
  <c r="O160" i="6" s="1"/>
  <c r="R142" i="6"/>
  <c r="U142" i="6" s="1"/>
  <c r="R75" i="6"/>
  <c r="L728" i="7"/>
  <c r="O728" i="7" s="1"/>
  <c r="T691" i="7"/>
  <c r="R619" i="7"/>
  <c r="R618" i="7"/>
  <c r="U621" i="7"/>
  <c r="L555" i="7"/>
  <c r="O555" i="7" s="1"/>
  <c r="O556" i="7"/>
  <c r="L534" i="7"/>
  <c r="O534" i="7" s="1"/>
  <c r="M515" i="7"/>
  <c r="Q645" i="7"/>
  <c r="T645" i="7" s="1"/>
  <c r="Q644" i="7"/>
  <c r="T644" i="7" s="1"/>
  <c r="T647" i="7"/>
  <c r="S160" i="4"/>
  <c r="U647" i="5"/>
  <c r="P77" i="5"/>
  <c r="S416" i="6"/>
  <c r="P364" i="6"/>
  <c r="N359" i="6"/>
  <c r="O359" i="6" s="1"/>
  <c r="R306" i="6"/>
  <c r="M272" i="6"/>
  <c r="P272" i="6" s="1"/>
  <c r="O271" i="6"/>
  <c r="R159" i="6"/>
  <c r="U159" i="6" s="1"/>
  <c r="L78" i="6"/>
  <c r="O78" i="6" s="1"/>
  <c r="M47" i="6"/>
  <c r="P47" i="6" s="1"/>
  <c r="P49" i="6"/>
  <c r="T729" i="7"/>
  <c r="O715" i="7"/>
  <c r="N690" i="7"/>
  <c r="R642" i="7"/>
  <c r="U642" i="7" s="1"/>
  <c r="U643" i="7"/>
  <c r="Q618" i="7"/>
  <c r="T621" i="7"/>
  <c r="L576" i="7"/>
  <c r="O576" i="7" s="1"/>
  <c r="P521" i="7"/>
  <c r="M519" i="7"/>
  <c r="P519" i="7" s="1"/>
  <c r="J374" i="7"/>
  <c r="O376" i="7"/>
  <c r="L375" i="7"/>
  <c r="O375" i="7" s="1"/>
  <c r="R186" i="7"/>
  <c r="R72" i="7"/>
  <c r="U72" i="7" s="1"/>
  <c r="U74" i="7"/>
  <c r="M642" i="7"/>
  <c r="P642" i="7" s="1"/>
  <c r="M175" i="7"/>
  <c r="P178" i="7"/>
  <c r="M176" i="7"/>
  <c r="P176" i="7" s="1"/>
  <c r="K369" i="1"/>
  <c r="L236" i="4"/>
  <c r="I701" i="6"/>
  <c r="Q692" i="6"/>
  <c r="T692" i="6" s="1"/>
  <c r="K678" i="6"/>
  <c r="N515" i="6"/>
  <c r="N513" i="6" s="1"/>
  <c r="K368" i="6"/>
  <c r="K154" i="6"/>
  <c r="M100" i="6"/>
  <c r="P100" i="6" s="1"/>
  <c r="S97" i="6"/>
  <c r="Q762" i="7"/>
  <c r="T762" i="7" s="1"/>
  <c r="T765" i="7"/>
  <c r="S760" i="7"/>
  <c r="L760" i="7"/>
  <c r="O760" i="7" s="1"/>
  <c r="O761" i="7"/>
  <c r="U715" i="7"/>
  <c r="I701" i="7"/>
  <c r="Q693" i="7"/>
  <c r="T693" i="7" s="1"/>
  <c r="Q692" i="7"/>
  <c r="T695" i="7"/>
  <c r="M690" i="7"/>
  <c r="P690" i="7" s="1"/>
  <c r="T643" i="7"/>
  <c r="M616" i="7"/>
  <c r="P616" i="7" s="1"/>
  <c r="P617" i="7"/>
  <c r="R599" i="7"/>
  <c r="U599" i="7" s="1"/>
  <c r="Q576" i="7"/>
  <c r="T576" i="7" s="1"/>
  <c r="R555" i="7"/>
  <c r="U555" i="7" s="1"/>
  <c r="U556" i="7"/>
  <c r="K457" i="7"/>
  <c r="I456" i="7"/>
  <c r="K456" i="7" s="1"/>
  <c r="M358" i="7"/>
  <c r="P361" i="7"/>
  <c r="M359" i="7"/>
  <c r="O290" i="7"/>
  <c r="L288" i="7"/>
  <c r="O288" i="7" s="1"/>
  <c r="N26" i="7"/>
  <c r="N24" i="7" s="1"/>
  <c r="O25" i="7"/>
  <c r="K344" i="5"/>
  <c r="K772" i="6"/>
  <c r="L515" i="6"/>
  <c r="O515" i="6" s="1"/>
  <c r="M268" i="6"/>
  <c r="M266" i="6" s="1"/>
  <c r="K209" i="6"/>
  <c r="U99" i="6"/>
  <c r="U761" i="7"/>
  <c r="L690" i="7"/>
  <c r="O690" i="7" s="1"/>
  <c r="O691" i="7"/>
  <c r="N642" i="7"/>
  <c r="L616" i="7"/>
  <c r="O616" i="7" s="1"/>
  <c r="O617" i="7"/>
  <c r="Q513" i="7"/>
  <c r="T513" i="7" s="1"/>
  <c r="M493" i="7"/>
  <c r="P493" i="7" s="1"/>
  <c r="P494" i="7"/>
  <c r="U376" i="7"/>
  <c r="K292" i="7"/>
  <c r="I281" i="7"/>
  <c r="K281" i="7" s="1"/>
  <c r="M189" i="7"/>
  <c r="M188" i="7"/>
  <c r="P191" i="7"/>
  <c r="P187" i="7"/>
  <c r="L175" i="7"/>
  <c r="O178" i="7"/>
  <c r="L176" i="7"/>
  <c r="O176" i="7" s="1"/>
  <c r="T96" i="7"/>
  <c r="Q94" i="7"/>
  <c r="T94" i="7" s="1"/>
  <c r="P19" i="7"/>
  <c r="U695" i="7"/>
  <c r="P691" i="7"/>
  <c r="U647" i="7"/>
  <c r="P643" i="7"/>
  <c r="I615" i="7"/>
  <c r="K615" i="7" s="1"/>
  <c r="T600" i="7"/>
  <c r="T577" i="7"/>
  <c r="T535" i="7"/>
  <c r="O518" i="7"/>
  <c r="T418" i="7"/>
  <c r="L413" i="7"/>
  <c r="O413" i="7" s="1"/>
  <c r="U393" i="7"/>
  <c r="R320" i="7"/>
  <c r="U320" i="7" s="1"/>
  <c r="U321" i="7"/>
  <c r="P267" i="7"/>
  <c r="L254" i="7"/>
  <c r="O254" i="7" s="1"/>
  <c r="L243" i="7"/>
  <c r="I213" i="7"/>
  <c r="K213" i="7" s="1"/>
  <c r="K220" i="7"/>
  <c r="P194" i="7"/>
  <c r="M192" i="7"/>
  <c r="P192" i="7" s="1"/>
  <c r="L188" i="7"/>
  <c r="O191" i="7"/>
  <c r="L189" i="7"/>
  <c r="O187" i="7"/>
  <c r="S175" i="7"/>
  <c r="S173" i="7" s="1"/>
  <c r="S176" i="7"/>
  <c r="P174" i="7"/>
  <c r="L159" i="7"/>
  <c r="O162" i="7"/>
  <c r="N142" i="7"/>
  <c r="N141" i="7"/>
  <c r="N139" i="7" s="1"/>
  <c r="T119" i="7"/>
  <c r="Q117" i="7"/>
  <c r="T117" i="7" s="1"/>
  <c r="P67" i="7"/>
  <c r="M65" i="7"/>
  <c r="P65" i="7" s="1"/>
  <c r="N23" i="7"/>
  <c r="N21" i="7" s="1"/>
  <c r="O22" i="7"/>
  <c r="L19" i="7"/>
  <c r="J503" i="7"/>
  <c r="J492" i="7" s="1"/>
  <c r="P376" i="7"/>
  <c r="L359" i="7"/>
  <c r="R356" i="7"/>
  <c r="U356" i="7" s="1"/>
  <c r="P338" i="7"/>
  <c r="Q320" i="7"/>
  <c r="T320" i="7" s="1"/>
  <c r="T321" i="7"/>
  <c r="Q303" i="7"/>
  <c r="T303" i="7" s="1"/>
  <c r="O267" i="7"/>
  <c r="O194" i="7"/>
  <c r="L192" i="7"/>
  <c r="O192" i="7" s="1"/>
  <c r="S188" i="7"/>
  <c r="T188" i="7" s="1"/>
  <c r="T191" i="7"/>
  <c r="S189" i="7"/>
  <c r="R175" i="7"/>
  <c r="U178" i="7"/>
  <c r="R176" i="7"/>
  <c r="U176" i="7" s="1"/>
  <c r="P165" i="7"/>
  <c r="M163" i="7"/>
  <c r="P163" i="7" s="1"/>
  <c r="P158" i="7"/>
  <c r="Q139" i="7"/>
  <c r="T139" i="7" s="1"/>
  <c r="O67" i="7"/>
  <c r="L65" i="7"/>
  <c r="O65" i="7" s="1"/>
  <c r="P45" i="7"/>
  <c r="Q377" i="7"/>
  <c r="T380" i="7"/>
  <c r="Q356" i="7"/>
  <c r="T356" i="7" s="1"/>
  <c r="P271" i="7"/>
  <c r="N269" i="7"/>
  <c r="S266" i="7"/>
  <c r="T266" i="7" s="1"/>
  <c r="I238" i="7"/>
  <c r="K238" i="7" s="1"/>
  <c r="I253" i="7"/>
  <c r="K260" i="7"/>
  <c r="U191" i="7"/>
  <c r="R189" i="7"/>
  <c r="R159" i="7"/>
  <c r="U162" i="7"/>
  <c r="R160" i="7"/>
  <c r="U160" i="7" s="1"/>
  <c r="K386" i="7"/>
  <c r="I374" i="7"/>
  <c r="L358" i="7"/>
  <c r="I332" i="7"/>
  <c r="K344" i="7"/>
  <c r="O341" i="7"/>
  <c r="L339" i="7"/>
  <c r="O339" i="7" s="1"/>
  <c r="P325" i="7"/>
  <c r="M323" i="7"/>
  <c r="P323" i="7" s="1"/>
  <c r="N322" i="7"/>
  <c r="N320" i="7" s="1"/>
  <c r="I319" i="7"/>
  <c r="K319" i="7" s="1"/>
  <c r="P290" i="7"/>
  <c r="M288" i="7"/>
  <c r="P288" i="7" s="1"/>
  <c r="M284" i="7"/>
  <c r="P284" i="7" s="1"/>
  <c r="R266" i="7"/>
  <c r="U267" i="7"/>
  <c r="T162" i="7"/>
  <c r="Q159" i="7"/>
  <c r="Q160" i="7"/>
  <c r="T160" i="7" s="1"/>
  <c r="P52" i="7"/>
  <c r="M26" i="7"/>
  <c r="P26" i="7" s="1"/>
  <c r="M50" i="7"/>
  <c r="P50" i="7" s="1"/>
  <c r="M46" i="7"/>
  <c r="M44" i="7" s="1"/>
  <c r="S19" i="7"/>
  <c r="P321" i="7"/>
  <c r="T308" i="7"/>
  <c r="I172" i="7"/>
  <c r="K172" i="7" s="1"/>
  <c r="P162" i="7"/>
  <c r="U119" i="7"/>
  <c r="L119" i="7"/>
  <c r="I83" i="7"/>
  <c r="P73" i="7"/>
  <c r="O52" i="7"/>
  <c r="L26" i="7"/>
  <c r="O26" i="7" s="1"/>
  <c r="L50" i="7"/>
  <c r="O50" i="7" s="1"/>
  <c r="L46" i="7"/>
  <c r="R24" i="7"/>
  <c r="U24" i="7" s="1"/>
  <c r="U25" i="7"/>
  <c r="U22" i="7"/>
  <c r="R19" i="7"/>
  <c r="K229" i="7"/>
  <c r="I202" i="7"/>
  <c r="K202" i="7" s="1"/>
  <c r="T122" i="7"/>
  <c r="Q120" i="7"/>
  <c r="M145" i="7"/>
  <c r="P145" i="7" s="1"/>
  <c r="T99" i="7"/>
  <c r="Q97" i="7"/>
  <c r="T97" i="7" s="1"/>
  <c r="S72" i="7"/>
  <c r="P60" i="7"/>
  <c r="O47" i="7"/>
  <c r="P25" i="7"/>
  <c r="P22" i="7"/>
  <c r="U122" i="7"/>
  <c r="N74" i="7"/>
  <c r="N72" i="7" s="1"/>
  <c r="N61" i="7"/>
  <c r="N46" i="7"/>
  <c r="N44" i="7" s="1"/>
  <c r="S23" i="7"/>
  <c r="S20" i="7" s="1"/>
  <c r="M23" i="7"/>
  <c r="M21" i="7" s="1"/>
  <c r="Q19" i="7"/>
  <c r="K127" i="7"/>
  <c r="R23" i="7"/>
  <c r="L23" i="7"/>
  <c r="L21" i="7" s="1"/>
  <c r="Q23" i="7"/>
  <c r="R392" i="6"/>
  <c r="U392" i="6" s="1"/>
  <c r="U393" i="6"/>
  <c r="M145" i="5"/>
  <c r="P145" i="5" s="1"/>
  <c r="P147" i="5"/>
  <c r="K780" i="6"/>
  <c r="M65" i="6"/>
  <c r="P65" i="6" s="1"/>
  <c r="P67" i="6"/>
  <c r="M766" i="1"/>
  <c r="P766" i="1" s="1"/>
  <c r="O494" i="6"/>
  <c r="L493" i="6"/>
  <c r="O493" i="6" s="1"/>
  <c r="S734" i="1"/>
  <c r="M78" i="5"/>
  <c r="P78" i="5" s="1"/>
  <c r="P80" i="5"/>
  <c r="R731" i="6"/>
  <c r="U733" i="6"/>
  <c r="R730" i="6"/>
  <c r="U730" i="6" s="1"/>
  <c r="M728" i="6"/>
  <c r="P728" i="6" s="1"/>
  <c r="P730" i="6"/>
  <c r="I492" i="6"/>
  <c r="K492" i="6" s="1"/>
  <c r="K503" i="6"/>
  <c r="Q320" i="6"/>
  <c r="T320" i="6" s="1"/>
  <c r="T321" i="6"/>
  <c r="Q159" i="6"/>
  <c r="T159" i="6" s="1"/>
  <c r="Q160" i="6"/>
  <c r="T160" i="6" s="1"/>
  <c r="N97" i="6"/>
  <c r="N96" i="6"/>
  <c r="N94" i="6" s="1"/>
  <c r="R19" i="6"/>
  <c r="U22" i="6"/>
  <c r="N763" i="1"/>
  <c r="M145" i="4"/>
  <c r="P145" i="4" s="1"/>
  <c r="P147" i="4"/>
  <c r="S378" i="6"/>
  <c r="S377" i="6"/>
  <c r="S375" i="6" s="1"/>
  <c r="L362" i="6"/>
  <c r="O362" i="6" s="1"/>
  <c r="O364" i="6"/>
  <c r="Q306" i="6"/>
  <c r="T308" i="6"/>
  <c r="K249" i="6"/>
  <c r="I242" i="6"/>
  <c r="K242" i="6" s="1"/>
  <c r="Q175" i="6"/>
  <c r="T175" i="6" s="1"/>
  <c r="Q176" i="6"/>
  <c r="T176" i="6" s="1"/>
  <c r="T26" i="6"/>
  <c r="Q24" i="6"/>
  <c r="T24" i="6" s="1"/>
  <c r="K703" i="6"/>
  <c r="J701" i="6"/>
  <c r="M326" i="6"/>
  <c r="P326" i="6" s="1"/>
  <c r="P328" i="6"/>
  <c r="K84" i="6"/>
  <c r="I82" i="6"/>
  <c r="K82" i="6" s="1"/>
  <c r="Q72" i="6"/>
  <c r="T73" i="6"/>
  <c r="S576" i="6"/>
  <c r="M534" i="6"/>
  <c r="P534" i="6" s="1"/>
  <c r="P535" i="6"/>
  <c r="K330" i="3"/>
  <c r="R142" i="5"/>
  <c r="U142" i="5" s="1"/>
  <c r="U144" i="5"/>
  <c r="L616" i="6"/>
  <c r="O616" i="6" s="1"/>
  <c r="O618" i="6"/>
  <c r="I238" i="6"/>
  <c r="K238" i="6" s="1"/>
  <c r="I253" i="6"/>
  <c r="K253" i="6" s="1"/>
  <c r="K369" i="6"/>
  <c r="L222" i="6"/>
  <c r="O222" i="6" s="1"/>
  <c r="P336" i="5"/>
  <c r="N268" i="5"/>
  <c r="N266" i="5" s="1"/>
  <c r="L236" i="5"/>
  <c r="Q763" i="6"/>
  <c r="T763" i="6" s="1"/>
  <c r="K707" i="6"/>
  <c r="N690" i="6"/>
  <c r="Q645" i="6"/>
  <c r="K615" i="6"/>
  <c r="S619" i="6"/>
  <c r="Q599" i="6"/>
  <c r="T599" i="6" s="1"/>
  <c r="S555" i="6"/>
  <c r="L519" i="6"/>
  <c r="O519" i="6" s="1"/>
  <c r="Q513" i="6"/>
  <c r="T513" i="6" s="1"/>
  <c r="Q415" i="6"/>
  <c r="N413" i="6"/>
  <c r="K365" i="6"/>
  <c r="J351" i="6"/>
  <c r="K314" i="6"/>
  <c r="L309" i="6"/>
  <c r="O309" i="6" s="1"/>
  <c r="M305" i="6"/>
  <c r="M303" i="6" s="1"/>
  <c r="U271" i="6"/>
  <c r="I195" i="6"/>
  <c r="K195" i="6" s="1"/>
  <c r="P181" i="6"/>
  <c r="N159" i="6"/>
  <c r="N157" i="6" s="1"/>
  <c r="L159" i="6"/>
  <c r="U122" i="6"/>
  <c r="L96" i="6"/>
  <c r="O96" i="6" s="1"/>
  <c r="L74" i="6"/>
  <c r="L72" i="6" s="1"/>
  <c r="L75" i="6"/>
  <c r="P64" i="6"/>
  <c r="R44" i="6"/>
  <c r="U44" i="6" s="1"/>
  <c r="Q644" i="6"/>
  <c r="Q642" i="6" s="1"/>
  <c r="S534" i="6"/>
  <c r="L375" i="6"/>
  <c r="O375" i="6" s="1"/>
  <c r="N119" i="6"/>
  <c r="N117" i="6" s="1"/>
  <c r="M96" i="6"/>
  <c r="P96" i="6" s="1"/>
  <c r="K209" i="2"/>
  <c r="K229" i="5"/>
  <c r="O196" i="5"/>
  <c r="S142" i="5"/>
  <c r="K779" i="6"/>
  <c r="S731" i="6"/>
  <c r="T731" i="6" s="1"/>
  <c r="Q730" i="6"/>
  <c r="T730" i="6" s="1"/>
  <c r="M714" i="6"/>
  <c r="P714" i="6" s="1"/>
  <c r="J675" i="6"/>
  <c r="K675" i="6" s="1"/>
  <c r="M642" i="6"/>
  <c r="P642" i="6" s="1"/>
  <c r="Q619" i="6"/>
  <c r="Q534" i="6"/>
  <c r="T534" i="6" s="1"/>
  <c r="M515" i="6"/>
  <c r="P515" i="6" s="1"/>
  <c r="Q333" i="6"/>
  <c r="T333" i="6" s="1"/>
  <c r="L234" i="6"/>
  <c r="R186" i="6"/>
  <c r="N141" i="6"/>
  <c r="N139" i="6" s="1"/>
  <c r="I137" i="6"/>
  <c r="K137" i="6" s="1"/>
  <c r="N120" i="6"/>
  <c r="S59" i="6"/>
  <c r="S44" i="6"/>
  <c r="N19" i="6"/>
  <c r="Q618" i="6"/>
  <c r="Q616" i="6" s="1"/>
  <c r="S358" i="1"/>
  <c r="P341" i="5"/>
  <c r="O147" i="5"/>
  <c r="O62" i="5"/>
  <c r="Q760" i="6"/>
  <c r="T760" i="6" s="1"/>
  <c r="T733" i="6"/>
  <c r="K689" i="6"/>
  <c r="L642" i="6"/>
  <c r="O642" i="6" s="1"/>
  <c r="K630" i="6"/>
  <c r="M576" i="6"/>
  <c r="P576" i="6" s="1"/>
  <c r="J343" i="6"/>
  <c r="O290" i="6"/>
  <c r="L268" i="6"/>
  <c r="R269" i="6"/>
  <c r="L254" i="6"/>
  <c r="O254" i="6" s="1"/>
  <c r="N188" i="6"/>
  <c r="N186" i="6" s="1"/>
  <c r="S139" i="6"/>
  <c r="U120" i="6"/>
  <c r="S119" i="6"/>
  <c r="S117" i="6" s="1"/>
  <c r="O67" i="6"/>
  <c r="L61" i="6"/>
  <c r="L59" i="6" s="1"/>
  <c r="O52" i="6"/>
  <c r="L46" i="6"/>
  <c r="L44" i="6" s="1"/>
  <c r="J343" i="5"/>
  <c r="J674" i="6"/>
  <c r="K674" i="6" s="1"/>
  <c r="R513" i="6"/>
  <c r="U513" i="6" s="1"/>
  <c r="P361" i="3"/>
  <c r="L179" i="4"/>
  <c r="O179" i="4" s="1"/>
  <c r="P274" i="5"/>
  <c r="R72" i="5"/>
  <c r="U72" i="5" s="1"/>
  <c r="K783" i="6"/>
  <c r="S728" i="6"/>
  <c r="S714" i="6"/>
  <c r="K709" i="6"/>
  <c r="J702" i="6"/>
  <c r="S642" i="6"/>
  <c r="K629" i="6"/>
  <c r="M599" i="6"/>
  <c r="P599" i="6" s="1"/>
  <c r="R555" i="6"/>
  <c r="U555" i="6" s="1"/>
  <c r="P518" i="6"/>
  <c r="J457" i="6"/>
  <c r="J456" i="6" s="1"/>
  <c r="L392" i="6"/>
  <c r="O392" i="6" s="1"/>
  <c r="S356" i="6"/>
  <c r="J332" i="6"/>
  <c r="K332" i="6" s="1"/>
  <c r="U308" i="6"/>
  <c r="M306" i="6"/>
  <c r="M269" i="6"/>
  <c r="P269" i="6" s="1"/>
  <c r="O194" i="6"/>
  <c r="Q189" i="6"/>
  <c r="N176" i="6"/>
  <c r="P176" i="6" s="1"/>
  <c r="L141" i="6"/>
  <c r="L139" i="6" s="1"/>
  <c r="O139" i="6" s="1"/>
  <c r="S142" i="6"/>
  <c r="O99" i="6"/>
  <c r="P77" i="6"/>
  <c r="R72" i="6"/>
  <c r="R24" i="6"/>
  <c r="U24" i="6" s="1"/>
  <c r="L19" i="6"/>
  <c r="M616" i="6"/>
  <c r="P616" i="6" s="1"/>
  <c r="Q555" i="6"/>
  <c r="T555" i="6" s="1"/>
  <c r="P338" i="6"/>
  <c r="N335" i="6"/>
  <c r="N333" i="6" s="1"/>
  <c r="O338" i="6"/>
  <c r="M323" i="6"/>
  <c r="P323" i="6" s="1"/>
  <c r="M322" i="6"/>
  <c r="P322" i="6" s="1"/>
  <c r="P325" i="6"/>
  <c r="L222" i="2"/>
  <c r="O222" i="2" s="1"/>
  <c r="M159" i="4"/>
  <c r="M157" i="4" s="1"/>
  <c r="P62" i="4"/>
  <c r="K703" i="5"/>
  <c r="R495" i="5"/>
  <c r="R493" i="5" s="1"/>
  <c r="K369" i="5"/>
  <c r="K346" i="5"/>
  <c r="P162" i="5"/>
  <c r="M160" i="5"/>
  <c r="P160" i="5" s="1"/>
  <c r="L714" i="6"/>
  <c r="O714" i="6" s="1"/>
  <c r="O715" i="6"/>
  <c r="R692" i="6"/>
  <c r="U692" i="6" s="1"/>
  <c r="U695" i="6"/>
  <c r="M690" i="6"/>
  <c r="P690" i="6" s="1"/>
  <c r="K626" i="6"/>
  <c r="L576" i="6"/>
  <c r="O576" i="6" s="1"/>
  <c r="O577" i="6"/>
  <c r="S496" i="6"/>
  <c r="S495" i="6"/>
  <c r="S493" i="6" s="1"/>
  <c r="P393" i="6"/>
  <c r="M392" i="6"/>
  <c r="P392" i="6" s="1"/>
  <c r="P376" i="6"/>
  <c r="M375" i="6"/>
  <c r="P375" i="6" s="1"/>
  <c r="N306" i="6"/>
  <c r="O306" i="6" s="1"/>
  <c r="P308" i="6"/>
  <c r="N305" i="6"/>
  <c r="N303" i="6" s="1"/>
  <c r="M189" i="6"/>
  <c r="P189" i="6" s="1"/>
  <c r="P191" i="6"/>
  <c r="M188" i="6"/>
  <c r="P188" i="6" s="1"/>
  <c r="R599" i="6"/>
  <c r="U599" i="6" s="1"/>
  <c r="U600" i="6"/>
  <c r="Q282" i="6"/>
  <c r="T282" i="6" s="1"/>
  <c r="T284" i="6"/>
  <c r="T271" i="6"/>
  <c r="Q268" i="6"/>
  <c r="Q269" i="6"/>
  <c r="P267" i="6"/>
  <c r="M578" i="1"/>
  <c r="P578" i="1" s="1"/>
  <c r="O62" i="4"/>
  <c r="Q496" i="5"/>
  <c r="J374" i="5"/>
  <c r="U268" i="5"/>
  <c r="I253" i="5"/>
  <c r="K253" i="5" s="1"/>
  <c r="L222" i="5"/>
  <c r="O222" i="5" s="1"/>
  <c r="K209" i="5"/>
  <c r="L78" i="5"/>
  <c r="O78" i="5" s="1"/>
  <c r="M760" i="6"/>
  <c r="P760" i="6" s="1"/>
  <c r="L728" i="6"/>
  <c r="O728" i="6" s="1"/>
  <c r="R714" i="6"/>
  <c r="U714" i="6" s="1"/>
  <c r="U715" i="6"/>
  <c r="L690" i="6"/>
  <c r="O690" i="6" s="1"/>
  <c r="R644" i="6"/>
  <c r="U644" i="6" s="1"/>
  <c r="U647" i="6"/>
  <c r="R576" i="6"/>
  <c r="U576" i="6" s="1"/>
  <c r="U577" i="6"/>
  <c r="M555" i="6"/>
  <c r="P555" i="6" s="1"/>
  <c r="U498" i="6"/>
  <c r="R496" i="6"/>
  <c r="U496" i="6" s="1"/>
  <c r="M493" i="6"/>
  <c r="P493" i="6" s="1"/>
  <c r="P494" i="6"/>
  <c r="I423" i="6"/>
  <c r="K440" i="6"/>
  <c r="P361" i="6"/>
  <c r="M358" i="6"/>
  <c r="M359" i="6"/>
  <c r="Q356" i="6"/>
  <c r="T356" i="6" s="1"/>
  <c r="O191" i="6"/>
  <c r="L189" i="6"/>
  <c r="O189" i="6" s="1"/>
  <c r="L188" i="6"/>
  <c r="S72" i="6"/>
  <c r="T74" i="6"/>
  <c r="S493" i="1"/>
  <c r="Q644" i="1"/>
  <c r="M141" i="4"/>
  <c r="M139" i="4" s="1"/>
  <c r="K779" i="5"/>
  <c r="K629" i="5"/>
  <c r="T308" i="5"/>
  <c r="O287" i="5"/>
  <c r="I281" i="5"/>
  <c r="K281" i="5" s="1"/>
  <c r="R189" i="5"/>
  <c r="T144" i="5"/>
  <c r="P64" i="5"/>
  <c r="T761" i="6"/>
  <c r="R760" i="6"/>
  <c r="U760" i="6" s="1"/>
  <c r="L760" i="6"/>
  <c r="O760" i="6" s="1"/>
  <c r="S693" i="6"/>
  <c r="T693" i="6" s="1"/>
  <c r="U621" i="6"/>
  <c r="R618" i="6"/>
  <c r="L534" i="6"/>
  <c r="O534" i="6" s="1"/>
  <c r="O535" i="6"/>
  <c r="P334" i="6"/>
  <c r="L123" i="6"/>
  <c r="O123" i="6" s="1"/>
  <c r="L119" i="6"/>
  <c r="O125" i="6"/>
  <c r="S362" i="1"/>
  <c r="T695" i="4"/>
  <c r="K673" i="4"/>
  <c r="K653" i="4"/>
  <c r="P325" i="4"/>
  <c r="I241" i="4"/>
  <c r="K241" i="4" s="1"/>
  <c r="L203" i="4"/>
  <c r="O203" i="4" s="1"/>
  <c r="O49" i="4"/>
  <c r="K784" i="5"/>
  <c r="S644" i="5"/>
  <c r="S642" i="5" s="1"/>
  <c r="Q618" i="5"/>
  <c r="Q616" i="5" s="1"/>
  <c r="I423" i="5"/>
  <c r="K423" i="5" s="1"/>
  <c r="K276" i="5"/>
  <c r="S139" i="5"/>
  <c r="M120" i="5"/>
  <c r="P120" i="5" s="1"/>
  <c r="R97" i="5"/>
  <c r="U97" i="5" s="1"/>
  <c r="O64" i="5"/>
  <c r="P715" i="6"/>
  <c r="Q714" i="6"/>
  <c r="T714" i="6" s="1"/>
  <c r="R693" i="6"/>
  <c r="S645" i="6"/>
  <c r="P577" i="6"/>
  <c r="R534" i="6"/>
  <c r="U534" i="6" s="1"/>
  <c r="U535" i="6"/>
  <c r="R493" i="6"/>
  <c r="U493" i="6" s="1"/>
  <c r="L413" i="6"/>
  <c r="O413" i="6" s="1"/>
  <c r="Q392" i="6"/>
  <c r="T392" i="6" s="1"/>
  <c r="N336" i="6"/>
  <c r="P336" i="6" s="1"/>
  <c r="O334" i="6"/>
  <c r="M288" i="6"/>
  <c r="P288" i="6" s="1"/>
  <c r="O287" i="6"/>
  <c r="L284" i="6"/>
  <c r="L235" i="6"/>
  <c r="L243" i="6"/>
  <c r="P162" i="1"/>
  <c r="K368" i="4"/>
  <c r="N358" i="4"/>
  <c r="N356" i="4" s="1"/>
  <c r="K109" i="4"/>
  <c r="O64" i="4"/>
  <c r="S692" i="5"/>
  <c r="U692" i="5" s="1"/>
  <c r="T498" i="5"/>
  <c r="P325" i="5"/>
  <c r="P194" i="5"/>
  <c r="U191" i="5"/>
  <c r="L100" i="5"/>
  <c r="O100" i="5" s="1"/>
  <c r="I92" i="5"/>
  <c r="K92" i="5" s="1"/>
  <c r="T695" i="6"/>
  <c r="R645" i="6"/>
  <c r="K632" i="6"/>
  <c r="L599" i="6"/>
  <c r="O599" i="6" s="1"/>
  <c r="O600" i="6"/>
  <c r="S513" i="6"/>
  <c r="O514" i="6"/>
  <c r="I374" i="6"/>
  <c r="K374" i="6" s="1"/>
  <c r="K385" i="6"/>
  <c r="R378" i="6"/>
  <c r="U378" i="6" s="1"/>
  <c r="R377" i="6"/>
  <c r="U377" i="6" s="1"/>
  <c r="U380" i="6"/>
  <c r="N322" i="6"/>
  <c r="N320" i="6" s="1"/>
  <c r="Q495" i="6"/>
  <c r="T498" i="6"/>
  <c r="J458" i="6"/>
  <c r="Q377" i="6"/>
  <c r="T377" i="6" s="1"/>
  <c r="N358" i="6"/>
  <c r="N356" i="6" s="1"/>
  <c r="R356" i="6"/>
  <c r="U356" i="6" s="1"/>
  <c r="R333" i="6"/>
  <c r="U333" i="6" s="1"/>
  <c r="U334" i="6"/>
  <c r="O325" i="6"/>
  <c r="L323" i="6"/>
  <c r="O323" i="6" s="1"/>
  <c r="L322" i="6"/>
  <c r="O322" i="6" s="1"/>
  <c r="P321" i="6"/>
  <c r="R303" i="6"/>
  <c r="U284" i="6"/>
  <c r="R282" i="6"/>
  <c r="U282" i="6" s="1"/>
  <c r="S189" i="6"/>
  <c r="S188" i="6"/>
  <c r="U188" i="6" s="1"/>
  <c r="Q186" i="6"/>
  <c r="L176" i="6"/>
  <c r="O178" i="6"/>
  <c r="L175" i="6"/>
  <c r="K127" i="6"/>
  <c r="I116" i="6"/>
  <c r="K116" i="6" s="1"/>
  <c r="S24" i="6"/>
  <c r="S19" i="6"/>
  <c r="N516" i="6"/>
  <c r="J503" i="6"/>
  <c r="J492" i="6" s="1"/>
  <c r="N285" i="6"/>
  <c r="L516" i="6"/>
  <c r="O516" i="6" s="1"/>
  <c r="Q496" i="6"/>
  <c r="T496" i="6" s="1"/>
  <c r="T380" i="6"/>
  <c r="O376" i="6"/>
  <c r="L358" i="6"/>
  <c r="M339" i="6"/>
  <c r="P339" i="6" s="1"/>
  <c r="L335" i="6"/>
  <c r="L333" i="6" s="1"/>
  <c r="U321" i="6"/>
  <c r="R320" i="6"/>
  <c r="U320" i="6" s="1"/>
  <c r="K302" i="6"/>
  <c r="L305" i="6"/>
  <c r="P165" i="6"/>
  <c r="M163" i="6"/>
  <c r="P163" i="6" s="1"/>
  <c r="M159" i="6"/>
  <c r="K344" i="6"/>
  <c r="M335" i="6"/>
  <c r="M333" i="6" s="1"/>
  <c r="S320" i="6"/>
  <c r="O308" i="6"/>
  <c r="U304" i="6"/>
  <c r="M284" i="6"/>
  <c r="K260" i="6"/>
  <c r="I221" i="6"/>
  <c r="K221" i="6" s="1"/>
  <c r="U191" i="6"/>
  <c r="R189" i="6"/>
  <c r="U178" i="6"/>
  <c r="R175" i="6"/>
  <c r="S160" i="6"/>
  <c r="S159" i="6"/>
  <c r="S157" i="6" s="1"/>
  <c r="L233" i="6"/>
  <c r="N62" i="6"/>
  <c r="P62" i="6" s="1"/>
  <c r="N61" i="6"/>
  <c r="O60" i="6"/>
  <c r="Q305" i="6"/>
  <c r="R266" i="6"/>
  <c r="M141" i="6"/>
  <c r="M145" i="6"/>
  <c r="P145" i="6" s="1"/>
  <c r="P118" i="6"/>
  <c r="Q97" i="6"/>
  <c r="Q96" i="6"/>
  <c r="T99" i="6"/>
  <c r="N75" i="6"/>
  <c r="N74" i="6"/>
  <c r="N72" i="6" s="1"/>
  <c r="U60" i="6"/>
  <c r="R59" i="6"/>
  <c r="U59" i="6" s="1"/>
  <c r="U19" i="6"/>
  <c r="M192" i="6"/>
  <c r="P192" i="6" s="1"/>
  <c r="P194" i="6"/>
  <c r="U141" i="6"/>
  <c r="R139" i="6"/>
  <c r="U139" i="6" s="1"/>
  <c r="P125" i="6"/>
  <c r="M123" i="6"/>
  <c r="P123" i="6" s="1"/>
  <c r="P122" i="6"/>
  <c r="M120" i="6"/>
  <c r="P120" i="6" s="1"/>
  <c r="M119" i="6"/>
  <c r="P119" i="6" s="1"/>
  <c r="M78" i="6"/>
  <c r="P78" i="6" s="1"/>
  <c r="M74" i="6"/>
  <c r="P80" i="6"/>
  <c r="N268" i="6"/>
  <c r="P178" i="6"/>
  <c r="I169" i="6"/>
  <c r="K169" i="6" s="1"/>
  <c r="K167" i="6"/>
  <c r="P162" i="6"/>
  <c r="M160" i="6"/>
  <c r="R119" i="6"/>
  <c r="I93" i="6"/>
  <c r="K93" i="6" s="1"/>
  <c r="K109" i="6"/>
  <c r="T77" i="6"/>
  <c r="P52" i="6"/>
  <c r="O47" i="6"/>
  <c r="R94" i="6"/>
  <c r="U94" i="6" s="1"/>
  <c r="S75" i="6"/>
  <c r="S23" i="6"/>
  <c r="S20" i="6" s="1"/>
  <c r="T144" i="6"/>
  <c r="Q142" i="6"/>
  <c r="T142" i="6" s="1"/>
  <c r="Q139" i="6"/>
  <c r="T139" i="6" s="1"/>
  <c r="I138" i="6"/>
  <c r="K138" i="6" s="1"/>
  <c r="K92" i="6"/>
  <c r="L26" i="6"/>
  <c r="U74" i="6"/>
  <c r="M61" i="6"/>
  <c r="N26" i="6"/>
  <c r="N24" i="6" s="1"/>
  <c r="P22" i="6"/>
  <c r="M19" i="6"/>
  <c r="M175" i="6"/>
  <c r="Q117" i="6"/>
  <c r="M26" i="6"/>
  <c r="P26" i="6" s="1"/>
  <c r="P25" i="6"/>
  <c r="O19" i="6"/>
  <c r="T178" i="6"/>
  <c r="T162" i="6"/>
  <c r="N142" i="6"/>
  <c r="T122" i="6"/>
  <c r="L100" i="6"/>
  <c r="O100" i="6" s="1"/>
  <c r="P99" i="6"/>
  <c r="R97" i="6"/>
  <c r="L97" i="6"/>
  <c r="O97" i="6" s="1"/>
  <c r="U77" i="6"/>
  <c r="O77" i="6"/>
  <c r="Q75" i="6"/>
  <c r="O64" i="6"/>
  <c r="N50" i="6"/>
  <c r="O49" i="6"/>
  <c r="N23" i="6"/>
  <c r="N46" i="6"/>
  <c r="N44" i="6" s="1"/>
  <c r="M23" i="6"/>
  <c r="Q19" i="6"/>
  <c r="M46" i="6"/>
  <c r="R23" i="6"/>
  <c r="L23" i="6"/>
  <c r="Q23" i="6"/>
  <c r="N416" i="1"/>
  <c r="P99" i="4"/>
  <c r="O761" i="5"/>
  <c r="R714" i="5"/>
  <c r="U714" i="5" s="1"/>
  <c r="M534" i="5"/>
  <c r="P534" i="5" s="1"/>
  <c r="U334" i="5"/>
  <c r="R333" i="5"/>
  <c r="U333" i="5" s="1"/>
  <c r="R306" i="5"/>
  <c r="U308" i="5"/>
  <c r="R120" i="5"/>
  <c r="U535" i="5"/>
  <c r="R534" i="5"/>
  <c r="U534" i="5" s="1"/>
  <c r="K682" i="2"/>
  <c r="P49" i="3"/>
  <c r="K785" i="4"/>
  <c r="K782" i="4"/>
  <c r="K779" i="4"/>
  <c r="K654" i="4"/>
  <c r="L163" i="4"/>
  <c r="O163" i="4" s="1"/>
  <c r="I758" i="5"/>
  <c r="K758" i="5" s="1"/>
  <c r="L534" i="5"/>
  <c r="O534" i="5" s="1"/>
  <c r="O535" i="5"/>
  <c r="L516" i="5"/>
  <c r="O516" i="5" s="1"/>
  <c r="O518" i="5"/>
  <c r="U494" i="5"/>
  <c r="P269" i="5"/>
  <c r="O165" i="5"/>
  <c r="L163" i="5"/>
  <c r="O163" i="5" s="1"/>
  <c r="L119" i="5"/>
  <c r="O119" i="5" s="1"/>
  <c r="L120" i="5"/>
  <c r="O120" i="5" s="1"/>
  <c r="K632" i="4"/>
  <c r="O578" i="5"/>
  <c r="L576" i="5"/>
  <c r="O576" i="5" s="1"/>
  <c r="K742" i="1"/>
  <c r="O47" i="3"/>
  <c r="K781" i="4"/>
  <c r="K626" i="4"/>
  <c r="M515" i="4"/>
  <c r="M513" i="4" s="1"/>
  <c r="P513" i="4" s="1"/>
  <c r="J351" i="4"/>
  <c r="P338" i="4"/>
  <c r="O271" i="4"/>
  <c r="R176" i="4"/>
  <c r="U176" i="4" s="1"/>
  <c r="P77" i="4"/>
  <c r="R763" i="5"/>
  <c r="M760" i="5"/>
  <c r="P760" i="5" s="1"/>
  <c r="S731" i="5"/>
  <c r="U731" i="5" s="1"/>
  <c r="M599" i="5"/>
  <c r="P599" i="5" s="1"/>
  <c r="P600" i="5"/>
  <c r="S413" i="5"/>
  <c r="P394" i="5"/>
  <c r="M392" i="5"/>
  <c r="P392" i="5" s="1"/>
  <c r="S333" i="5"/>
  <c r="M189" i="5"/>
  <c r="M188" i="5"/>
  <c r="M186" i="5" s="1"/>
  <c r="S119" i="5"/>
  <c r="U119" i="5" s="1"/>
  <c r="S120" i="5"/>
  <c r="M96" i="5"/>
  <c r="P99" i="5"/>
  <c r="M97" i="5"/>
  <c r="P97" i="5" s="1"/>
  <c r="S97" i="5"/>
  <c r="R44" i="5"/>
  <c r="U44" i="5" s="1"/>
  <c r="Q19" i="5"/>
  <c r="T19" i="5" s="1"/>
  <c r="T22" i="5"/>
  <c r="L96" i="5"/>
  <c r="L94" i="5" s="1"/>
  <c r="O94" i="5" s="1"/>
  <c r="L97" i="5"/>
  <c r="O97" i="5" s="1"/>
  <c r="N74" i="5"/>
  <c r="N72" i="5" s="1"/>
  <c r="N75" i="5"/>
  <c r="S558" i="1"/>
  <c r="K779" i="2"/>
  <c r="K368" i="3"/>
  <c r="O122" i="3"/>
  <c r="L65" i="3"/>
  <c r="O65" i="3" s="1"/>
  <c r="J674" i="4"/>
  <c r="K674" i="4" s="1"/>
  <c r="M188" i="4"/>
  <c r="M186" i="4" s="1"/>
  <c r="U144" i="4"/>
  <c r="Q75" i="4"/>
  <c r="T75" i="4" s="1"/>
  <c r="K778" i="5"/>
  <c r="U733" i="5"/>
  <c r="M728" i="5"/>
  <c r="P728" i="5" s="1"/>
  <c r="I689" i="5"/>
  <c r="K689" i="5" s="1"/>
  <c r="K707" i="5"/>
  <c r="P617" i="5"/>
  <c r="M616" i="5"/>
  <c r="P616" i="5" s="1"/>
  <c r="Q534" i="5"/>
  <c r="T534" i="5" s="1"/>
  <c r="T535" i="5"/>
  <c r="M493" i="5"/>
  <c r="P493" i="5" s="1"/>
  <c r="P494" i="5"/>
  <c r="L392" i="5"/>
  <c r="O392" i="5" s="1"/>
  <c r="I365" i="5"/>
  <c r="K365" i="5" s="1"/>
  <c r="K371" i="5"/>
  <c r="K368" i="5"/>
  <c r="N359" i="5"/>
  <c r="N358" i="5"/>
  <c r="N356" i="5" s="1"/>
  <c r="L335" i="5"/>
  <c r="L333" i="5" s="1"/>
  <c r="L336" i="5"/>
  <c r="O336" i="5" s="1"/>
  <c r="O334" i="5"/>
  <c r="L326" i="5"/>
  <c r="O326" i="5" s="1"/>
  <c r="O328" i="5"/>
  <c r="R305" i="5"/>
  <c r="U305" i="5" s="1"/>
  <c r="M141" i="5"/>
  <c r="M139" i="5" s="1"/>
  <c r="M142" i="5"/>
  <c r="M123" i="5"/>
  <c r="P123" i="5" s="1"/>
  <c r="P125" i="5"/>
  <c r="U118" i="5"/>
  <c r="R117" i="5"/>
  <c r="I83" i="5"/>
  <c r="K83" i="5" s="1"/>
  <c r="N46" i="5"/>
  <c r="N44" i="5" s="1"/>
  <c r="O49" i="5"/>
  <c r="N47" i="5"/>
  <c r="O47" i="5" s="1"/>
  <c r="L394" i="1"/>
  <c r="O394" i="1" s="1"/>
  <c r="K653" i="1"/>
  <c r="K703" i="2"/>
  <c r="J332" i="3"/>
  <c r="K332" i="3" s="1"/>
  <c r="K705" i="4"/>
  <c r="K631" i="4"/>
  <c r="S495" i="5"/>
  <c r="S496" i="5"/>
  <c r="U496" i="5" s="1"/>
  <c r="U498" i="5"/>
  <c r="L493" i="5"/>
  <c r="O493" i="5" s="1"/>
  <c r="O494" i="5"/>
  <c r="M359" i="5"/>
  <c r="P361" i="5"/>
  <c r="Q305" i="5"/>
  <c r="T305" i="5" s="1"/>
  <c r="L288" i="5"/>
  <c r="O288" i="5" s="1"/>
  <c r="O290" i="5"/>
  <c r="R159" i="5"/>
  <c r="R160" i="5"/>
  <c r="U160" i="5" s="1"/>
  <c r="O125" i="5"/>
  <c r="L123" i="5"/>
  <c r="O123" i="5" s="1"/>
  <c r="K109" i="5"/>
  <c r="M100" i="5"/>
  <c r="P100" i="5" s="1"/>
  <c r="P102" i="5"/>
  <c r="M47" i="5"/>
  <c r="P49" i="5"/>
  <c r="T26" i="5"/>
  <c r="Q24" i="5"/>
  <c r="T24" i="5" s="1"/>
  <c r="N714" i="5"/>
  <c r="N642" i="5"/>
  <c r="T621" i="5"/>
  <c r="P535" i="5"/>
  <c r="P518" i="5"/>
  <c r="U514" i="5"/>
  <c r="K457" i="5"/>
  <c r="S416" i="5"/>
  <c r="O393" i="5"/>
  <c r="L362" i="5"/>
  <c r="O362" i="5" s="1"/>
  <c r="L358" i="5"/>
  <c r="P328" i="5"/>
  <c r="N322" i="5"/>
  <c r="N320" i="5" s="1"/>
  <c r="N305" i="5"/>
  <c r="N303" i="5" s="1"/>
  <c r="P290" i="5"/>
  <c r="M284" i="5"/>
  <c r="P284" i="5" s="1"/>
  <c r="M268" i="5"/>
  <c r="M266" i="5" s="1"/>
  <c r="S269" i="5"/>
  <c r="L203" i="5"/>
  <c r="O203" i="5" s="1"/>
  <c r="O194" i="5"/>
  <c r="L188" i="5"/>
  <c r="L186" i="5" s="1"/>
  <c r="L189" i="5"/>
  <c r="P181" i="5"/>
  <c r="Q142" i="5"/>
  <c r="T142" i="5" s="1"/>
  <c r="R75" i="5"/>
  <c r="U75" i="5" s="1"/>
  <c r="U73" i="5"/>
  <c r="N61" i="5"/>
  <c r="N59" i="5" s="1"/>
  <c r="S59" i="5"/>
  <c r="N19" i="5"/>
  <c r="R730" i="5"/>
  <c r="R728" i="5" s="1"/>
  <c r="N728" i="5"/>
  <c r="S714" i="5"/>
  <c r="M714" i="5"/>
  <c r="P714" i="5" s="1"/>
  <c r="M642" i="5"/>
  <c r="P642" i="5" s="1"/>
  <c r="N616" i="5"/>
  <c r="Q599" i="5"/>
  <c r="T599" i="5" s="1"/>
  <c r="N392" i="5"/>
  <c r="T378" i="5"/>
  <c r="P338" i="5"/>
  <c r="N335" i="5"/>
  <c r="N333" i="5" s="1"/>
  <c r="P323" i="5"/>
  <c r="I319" i="5"/>
  <c r="K319" i="5" s="1"/>
  <c r="M309" i="5"/>
  <c r="P309" i="5" s="1"/>
  <c r="M305" i="5"/>
  <c r="P305" i="5" s="1"/>
  <c r="S306" i="5"/>
  <c r="S303" i="5"/>
  <c r="L272" i="5"/>
  <c r="O272" i="5" s="1"/>
  <c r="L268" i="5"/>
  <c r="R269" i="5"/>
  <c r="L254" i="5"/>
  <c r="O254" i="5" s="1"/>
  <c r="L234" i="5"/>
  <c r="L214" i="5"/>
  <c r="O214" i="5" s="1"/>
  <c r="K198" i="5"/>
  <c r="L179" i="5"/>
  <c r="O179" i="5" s="1"/>
  <c r="M175" i="5"/>
  <c r="S176" i="5"/>
  <c r="P165" i="5"/>
  <c r="K153" i="5"/>
  <c r="L74" i="5"/>
  <c r="Q75" i="5"/>
  <c r="T75" i="5" s="1"/>
  <c r="P62" i="5"/>
  <c r="N534" i="5"/>
  <c r="N515" i="5"/>
  <c r="N513" i="5" s="1"/>
  <c r="S513" i="5"/>
  <c r="J457" i="5"/>
  <c r="J456" i="5" s="1"/>
  <c r="N375" i="5"/>
  <c r="L359" i="5"/>
  <c r="M335" i="5"/>
  <c r="M333" i="5" s="1"/>
  <c r="K314" i="5"/>
  <c r="N306" i="5"/>
  <c r="Q282" i="5"/>
  <c r="T282" i="5" s="1"/>
  <c r="K265" i="5"/>
  <c r="L175" i="5"/>
  <c r="R176" i="5"/>
  <c r="U176" i="5" s="1"/>
  <c r="M159" i="5"/>
  <c r="M157" i="5" s="1"/>
  <c r="S160" i="5"/>
  <c r="K138" i="5"/>
  <c r="T141" i="5"/>
  <c r="S728" i="5"/>
  <c r="K726" i="5"/>
  <c r="R693" i="5"/>
  <c r="U693" i="5" s="1"/>
  <c r="J674" i="5"/>
  <c r="R645" i="5"/>
  <c r="U645" i="5" s="1"/>
  <c r="L616" i="5"/>
  <c r="O616" i="5" s="1"/>
  <c r="Q576" i="5"/>
  <c r="T576" i="5" s="1"/>
  <c r="R576" i="5"/>
  <c r="U576" i="5" s="1"/>
  <c r="S555" i="5"/>
  <c r="L284" i="5"/>
  <c r="O284" i="5" s="1"/>
  <c r="L243" i="5"/>
  <c r="R173" i="5"/>
  <c r="U173" i="5" s="1"/>
  <c r="L159" i="5"/>
  <c r="O159" i="5" s="1"/>
  <c r="K137" i="5"/>
  <c r="M119" i="5"/>
  <c r="L75" i="5"/>
  <c r="O75" i="5" s="1"/>
  <c r="S731" i="4"/>
  <c r="T731" i="4" s="1"/>
  <c r="S730" i="4"/>
  <c r="S728" i="4" s="1"/>
  <c r="S763" i="5"/>
  <c r="T765" i="5"/>
  <c r="U765" i="5"/>
  <c r="S762" i="5"/>
  <c r="S760" i="5" s="1"/>
  <c r="U760" i="5" s="1"/>
  <c r="I238" i="4"/>
  <c r="K238" i="4" s="1"/>
  <c r="K249" i="4"/>
  <c r="R188" i="4"/>
  <c r="R186" i="4" s="1"/>
  <c r="R189" i="4"/>
  <c r="U189" i="4" s="1"/>
  <c r="L714" i="5"/>
  <c r="O714" i="5" s="1"/>
  <c r="K705" i="5"/>
  <c r="U691" i="5"/>
  <c r="R690" i="5"/>
  <c r="L599" i="5"/>
  <c r="O599" i="5" s="1"/>
  <c r="O600" i="5"/>
  <c r="M285" i="4"/>
  <c r="P285" i="4" s="1"/>
  <c r="L175" i="4"/>
  <c r="L173" i="4" s="1"/>
  <c r="L176" i="4"/>
  <c r="O176" i="4" s="1"/>
  <c r="S117" i="4"/>
  <c r="P64" i="4"/>
  <c r="K785" i="5"/>
  <c r="O692" i="5"/>
  <c r="J675" i="5"/>
  <c r="R599" i="5"/>
  <c r="U599" i="5" s="1"/>
  <c r="U600" i="5"/>
  <c r="Q415" i="4"/>
  <c r="Q413" i="4" s="1"/>
  <c r="T413" i="4" s="1"/>
  <c r="Q416" i="4"/>
  <c r="T416" i="4" s="1"/>
  <c r="M158" i="1"/>
  <c r="P158" i="1" s="1"/>
  <c r="N622" i="1"/>
  <c r="S760" i="4"/>
  <c r="R305" i="4"/>
  <c r="U305" i="4" s="1"/>
  <c r="R306" i="4"/>
  <c r="N189" i="4"/>
  <c r="P189" i="4" s="1"/>
  <c r="O191" i="4"/>
  <c r="P729" i="5"/>
  <c r="Q762" i="4"/>
  <c r="Q760" i="4" s="1"/>
  <c r="Q763" i="4"/>
  <c r="Q692" i="5"/>
  <c r="T695" i="5"/>
  <c r="Q693" i="5"/>
  <c r="T693" i="5" s="1"/>
  <c r="N618" i="1"/>
  <c r="M326" i="3"/>
  <c r="P326" i="3" s="1"/>
  <c r="N515" i="4"/>
  <c r="N513" i="4" s="1"/>
  <c r="I492" i="4"/>
  <c r="K492" i="4" s="1"/>
  <c r="K503" i="4"/>
  <c r="M362" i="4"/>
  <c r="P362" i="4" s="1"/>
  <c r="M309" i="4"/>
  <c r="P309" i="4" s="1"/>
  <c r="P311" i="4"/>
  <c r="S141" i="4"/>
  <c r="S139" i="4" s="1"/>
  <c r="S142" i="4"/>
  <c r="Q760" i="5"/>
  <c r="Q728" i="5"/>
  <c r="T730" i="5"/>
  <c r="U716" i="5"/>
  <c r="I456" i="4"/>
  <c r="K456" i="4" s="1"/>
  <c r="K457" i="4"/>
  <c r="N306" i="4"/>
  <c r="P306" i="4" s="1"/>
  <c r="P308" i="4"/>
  <c r="I156" i="4"/>
  <c r="K156" i="4" s="1"/>
  <c r="I169" i="4"/>
  <c r="K169" i="4" s="1"/>
  <c r="I137" i="4"/>
  <c r="K137" i="4" s="1"/>
  <c r="K152" i="4"/>
  <c r="K781" i="5"/>
  <c r="I759" i="5"/>
  <c r="K759" i="5" s="1"/>
  <c r="Q644" i="5"/>
  <c r="T647" i="5"/>
  <c r="Q645" i="5"/>
  <c r="T645" i="5" s="1"/>
  <c r="L555" i="5"/>
  <c r="O555" i="5" s="1"/>
  <c r="O556" i="5"/>
  <c r="Q416" i="5"/>
  <c r="T416" i="5" s="1"/>
  <c r="Q415" i="5"/>
  <c r="T415" i="5" s="1"/>
  <c r="T418" i="5"/>
  <c r="Q392" i="5"/>
  <c r="T392" i="5" s="1"/>
  <c r="U376" i="5"/>
  <c r="U96" i="5"/>
  <c r="R94" i="5"/>
  <c r="U94" i="5" s="1"/>
  <c r="K783" i="4"/>
  <c r="S763" i="4"/>
  <c r="U763" i="4" s="1"/>
  <c r="U733" i="4"/>
  <c r="U693" i="4"/>
  <c r="K630" i="4"/>
  <c r="O364" i="4"/>
  <c r="L222" i="4"/>
  <c r="O222" i="4" s="1"/>
  <c r="R117" i="4"/>
  <c r="M100" i="4"/>
  <c r="P100" i="4" s="1"/>
  <c r="L78" i="4"/>
  <c r="O78" i="4" s="1"/>
  <c r="T733" i="5"/>
  <c r="T716" i="5"/>
  <c r="K701" i="5"/>
  <c r="M690" i="5"/>
  <c r="P690" i="5" s="1"/>
  <c r="L642" i="5"/>
  <c r="O642" i="5" s="1"/>
  <c r="K631" i="5"/>
  <c r="R618" i="5"/>
  <c r="R616" i="5" s="1"/>
  <c r="U621" i="5"/>
  <c r="I615" i="5"/>
  <c r="K615" i="5" s="1"/>
  <c r="N599" i="5"/>
  <c r="L413" i="5"/>
  <c r="O413" i="5" s="1"/>
  <c r="O414" i="5"/>
  <c r="L309" i="5"/>
  <c r="O309" i="5" s="1"/>
  <c r="O311" i="5"/>
  <c r="L306" i="5"/>
  <c r="O306" i="5" s="1"/>
  <c r="O308" i="5"/>
  <c r="L305" i="5"/>
  <c r="O305" i="5" s="1"/>
  <c r="N284" i="5"/>
  <c r="N282" i="5" s="1"/>
  <c r="O191" i="5"/>
  <c r="N189" i="5"/>
  <c r="N188" i="5"/>
  <c r="P73" i="5"/>
  <c r="P415" i="5"/>
  <c r="M413" i="5"/>
  <c r="P413" i="5" s="1"/>
  <c r="P321" i="5"/>
  <c r="Q189" i="5"/>
  <c r="Q188" i="5"/>
  <c r="Q186" i="5" s="1"/>
  <c r="T191" i="5"/>
  <c r="P191" i="1"/>
  <c r="O338" i="2"/>
  <c r="J702" i="3"/>
  <c r="U498" i="3"/>
  <c r="O336" i="3"/>
  <c r="K293" i="3"/>
  <c r="P290" i="3"/>
  <c r="K703" i="4"/>
  <c r="Q645" i="4"/>
  <c r="K346" i="4"/>
  <c r="N284" i="4"/>
  <c r="N282" i="4" s="1"/>
  <c r="U268" i="4"/>
  <c r="P181" i="4"/>
  <c r="M175" i="4"/>
  <c r="M173" i="4" s="1"/>
  <c r="S176" i="4"/>
  <c r="T119" i="4"/>
  <c r="T77" i="4"/>
  <c r="R75" i="4"/>
  <c r="U75" i="4" s="1"/>
  <c r="P761" i="5"/>
  <c r="Q731" i="5"/>
  <c r="P643" i="5"/>
  <c r="R642" i="5"/>
  <c r="U642" i="5" s="1"/>
  <c r="K630" i="5"/>
  <c r="K626" i="5"/>
  <c r="S618" i="5"/>
  <c r="S616" i="5" s="1"/>
  <c r="O617" i="5"/>
  <c r="N576" i="5"/>
  <c r="R555" i="5"/>
  <c r="U555" i="5" s="1"/>
  <c r="U556" i="5"/>
  <c r="R378" i="5"/>
  <c r="U378" i="5" s="1"/>
  <c r="R377" i="5"/>
  <c r="U380" i="5"/>
  <c r="K293" i="5"/>
  <c r="I280" i="5"/>
  <c r="K280" i="5" s="1"/>
  <c r="Q269" i="5"/>
  <c r="Q268" i="5"/>
  <c r="T268" i="5" s="1"/>
  <c r="T271" i="5"/>
  <c r="R266" i="5"/>
  <c r="U266" i="5" s="1"/>
  <c r="K202" i="5"/>
  <c r="T74" i="5"/>
  <c r="Q72" i="5"/>
  <c r="T72" i="5" s="1"/>
  <c r="Q555" i="5"/>
  <c r="T555" i="5" s="1"/>
  <c r="T556" i="5"/>
  <c r="Q493" i="5"/>
  <c r="U414" i="5"/>
  <c r="M375" i="5"/>
  <c r="P375" i="5" s="1"/>
  <c r="P376" i="5"/>
  <c r="U357" i="5"/>
  <c r="R356" i="5"/>
  <c r="U356" i="5" s="1"/>
  <c r="T162" i="5"/>
  <c r="Q160" i="5"/>
  <c r="T160" i="5" s="1"/>
  <c r="Q159" i="5"/>
  <c r="T159" i="5" s="1"/>
  <c r="S19" i="5"/>
  <c r="T495" i="1"/>
  <c r="K785" i="3"/>
  <c r="K782" i="3"/>
  <c r="K779" i="3"/>
  <c r="J332" i="4"/>
  <c r="K332" i="4" s="1"/>
  <c r="R266" i="4"/>
  <c r="M120" i="4"/>
  <c r="P120" i="4" s="1"/>
  <c r="U74" i="4"/>
  <c r="S619" i="5"/>
  <c r="U619" i="5" s="1"/>
  <c r="N555" i="5"/>
  <c r="P521" i="5"/>
  <c r="M519" i="5"/>
  <c r="P519" i="5" s="1"/>
  <c r="P514" i="5"/>
  <c r="T414" i="5"/>
  <c r="L375" i="5"/>
  <c r="O375" i="5" s="1"/>
  <c r="O376" i="5"/>
  <c r="T357" i="5"/>
  <c r="Q356" i="5"/>
  <c r="T356" i="5" s="1"/>
  <c r="J332" i="5"/>
  <c r="K332" i="5" s="1"/>
  <c r="O187" i="5"/>
  <c r="N145" i="5"/>
  <c r="N26" i="5"/>
  <c r="N24" i="5" s="1"/>
  <c r="U22" i="5"/>
  <c r="R19" i="5"/>
  <c r="Q377" i="5"/>
  <c r="T380" i="5"/>
  <c r="P364" i="5"/>
  <c r="M362" i="5"/>
  <c r="P362" i="5" s="1"/>
  <c r="U322" i="5"/>
  <c r="R320" i="5"/>
  <c r="U320" i="5" s="1"/>
  <c r="P144" i="5"/>
  <c r="N142" i="5"/>
  <c r="O144" i="5"/>
  <c r="N23" i="5"/>
  <c r="N141" i="5"/>
  <c r="N139" i="5" s="1"/>
  <c r="O140" i="5"/>
  <c r="I82" i="5"/>
  <c r="P45" i="5"/>
  <c r="M189" i="1"/>
  <c r="O271" i="3"/>
  <c r="K778" i="4"/>
  <c r="K701" i="4"/>
  <c r="K679" i="4"/>
  <c r="Q266" i="4"/>
  <c r="L214" i="4"/>
  <c r="O214" i="4" s="1"/>
  <c r="R94" i="4"/>
  <c r="U94" i="4" s="1"/>
  <c r="I83" i="4"/>
  <c r="K83" i="4" s="1"/>
  <c r="P557" i="5"/>
  <c r="M555" i="5"/>
  <c r="P555" i="5" s="1"/>
  <c r="O521" i="5"/>
  <c r="L519" i="5"/>
  <c r="O519" i="5" s="1"/>
  <c r="L515" i="5"/>
  <c r="N413" i="5"/>
  <c r="K386" i="5"/>
  <c r="I374" i="5"/>
  <c r="P60" i="5"/>
  <c r="U418" i="5"/>
  <c r="R415" i="5"/>
  <c r="U415" i="5" s="1"/>
  <c r="S377" i="5"/>
  <c r="S375" i="5" s="1"/>
  <c r="O361" i="5"/>
  <c r="M358" i="5"/>
  <c r="S320" i="5"/>
  <c r="Q306" i="5"/>
  <c r="P304" i="5"/>
  <c r="P271" i="5"/>
  <c r="N243" i="5"/>
  <c r="N232" i="5" s="1"/>
  <c r="R186" i="5"/>
  <c r="U187" i="5"/>
  <c r="K169" i="5"/>
  <c r="I156" i="5"/>
  <c r="K156" i="5" s="1"/>
  <c r="K154" i="5"/>
  <c r="I136" i="5"/>
  <c r="K136" i="5" s="1"/>
  <c r="P52" i="5"/>
  <c r="M26" i="5"/>
  <c r="P26" i="5" s="1"/>
  <c r="M50" i="5"/>
  <c r="P50" i="5" s="1"/>
  <c r="R24" i="5"/>
  <c r="U24" i="5" s="1"/>
  <c r="U25" i="5"/>
  <c r="M515" i="5"/>
  <c r="P515" i="5" s="1"/>
  <c r="I238" i="5"/>
  <c r="K238" i="5" s="1"/>
  <c r="I242" i="5"/>
  <c r="Q94" i="5"/>
  <c r="T94" i="5" s="1"/>
  <c r="P67" i="5"/>
  <c r="M65" i="5"/>
  <c r="P65" i="5" s="1"/>
  <c r="J503" i="5"/>
  <c r="J351" i="5"/>
  <c r="L322" i="5"/>
  <c r="L323" i="5"/>
  <c r="O323" i="5" s="1"/>
  <c r="R282" i="5"/>
  <c r="U282" i="5" s="1"/>
  <c r="I213" i="5"/>
  <c r="K213" i="5" s="1"/>
  <c r="K220" i="5"/>
  <c r="M19" i="5"/>
  <c r="Q333" i="5"/>
  <c r="T333" i="5" s="1"/>
  <c r="M322" i="5"/>
  <c r="M320" i="5" s="1"/>
  <c r="I241" i="5"/>
  <c r="K241" i="5" s="1"/>
  <c r="K252" i="5"/>
  <c r="T178" i="5"/>
  <c r="Q176" i="5"/>
  <c r="T176" i="5" s="1"/>
  <c r="Q175" i="5"/>
  <c r="T175" i="5" s="1"/>
  <c r="P25" i="5"/>
  <c r="O19" i="5"/>
  <c r="O338" i="5"/>
  <c r="P308" i="5"/>
  <c r="P287" i="5"/>
  <c r="U271" i="5"/>
  <c r="O271" i="5"/>
  <c r="P191" i="5"/>
  <c r="P140" i="5"/>
  <c r="T99" i="5"/>
  <c r="Q97" i="5"/>
  <c r="T97" i="5" s="1"/>
  <c r="O67" i="5"/>
  <c r="L65" i="5"/>
  <c r="O65" i="5" s="1"/>
  <c r="L61" i="5"/>
  <c r="T187" i="5"/>
  <c r="T122" i="5"/>
  <c r="Q120" i="5"/>
  <c r="O52" i="5"/>
  <c r="L26" i="5"/>
  <c r="O26" i="5" s="1"/>
  <c r="L50" i="5"/>
  <c r="O50" i="5" s="1"/>
  <c r="L46" i="5"/>
  <c r="O25" i="5"/>
  <c r="P22" i="5"/>
  <c r="S189" i="5"/>
  <c r="S188" i="5"/>
  <c r="S186" i="5" s="1"/>
  <c r="U140" i="5"/>
  <c r="Q119" i="5"/>
  <c r="O22" i="5"/>
  <c r="U178" i="5"/>
  <c r="O178" i="5"/>
  <c r="U162" i="5"/>
  <c r="O162" i="5"/>
  <c r="U122" i="5"/>
  <c r="O122" i="5"/>
  <c r="U99" i="5"/>
  <c r="O99" i="5"/>
  <c r="K84" i="5"/>
  <c r="T77" i="5"/>
  <c r="S23" i="5"/>
  <c r="S20" i="5" s="1"/>
  <c r="M23" i="5"/>
  <c r="M21" i="5" s="1"/>
  <c r="K183" i="5"/>
  <c r="N175" i="5"/>
  <c r="N173" i="5" s="1"/>
  <c r="N159" i="5"/>
  <c r="K152" i="5"/>
  <c r="R141" i="5"/>
  <c r="U141" i="5" s="1"/>
  <c r="L141" i="5"/>
  <c r="L139" i="5" s="1"/>
  <c r="K127" i="5"/>
  <c r="N119" i="5"/>
  <c r="N117" i="5" s="1"/>
  <c r="N96" i="5"/>
  <c r="N94" i="5" s="1"/>
  <c r="S74" i="5"/>
  <c r="S72" i="5" s="1"/>
  <c r="M74" i="5"/>
  <c r="P74" i="5" s="1"/>
  <c r="M61" i="5"/>
  <c r="M46" i="5"/>
  <c r="R23" i="5"/>
  <c r="L23" i="5"/>
  <c r="Q23" i="5"/>
  <c r="Q160" i="1"/>
  <c r="T160" i="1" s="1"/>
  <c r="U308" i="1"/>
  <c r="K784" i="3"/>
  <c r="T765" i="3"/>
  <c r="O359" i="3"/>
  <c r="L339" i="3"/>
  <c r="O339" i="3" s="1"/>
  <c r="K758" i="4"/>
  <c r="N760" i="4"/>
  <c r="L728" i="4"/>
  <c r="O728" i="4" s="1"/>
  <c r="M714" i="4"/>
  <c r="P714" i="4" s="1"/>
  <c r="K676" i="4"/>
  <c r="R619" i="4"/>
  <c r="M760" i="4"/>
  <c r="P760" i="4" s="1"/>
  <c r="R731" i="4"/>
  <c r="S714" i="4"/>
  <c r="R692" i="4"/>
  <c r="R690" i="4" s="1"/>
  <c r="K780" i="3"/>
  <c r="K676" i="3"/>
  <c r="T498" i="3"/>
  <c r="R306" i="3"/>
  <c r="U306" i="3" s="1"/>
  <c r="R75" i="3"/>
  <c r="U75" i="3" s="1"/>
  <c r="K780" i="4"/>
  <c r="L760" i="4"/>
  <c r="O760" i="4" s="1"/>
  <c r="R730" i="4"/>
  <c r="K727" i="4"/>
  <c r="R714" i="4"/>
  <c r="U714" i="4" s="1"/>
  <c r="K689" i="4"/>
  <c r="K682" i="4"/>
  <c r="J675" i="4"/>
  <c r="K675" i="4" s="1"/>
  <c r="T621" i="4"/>
  <c r="O521" i="4"/>
  <c r="P64" i="1"/>
  <c r="Q762" i="3"/>
  <c r="T762" i="3" s="1"/>
  <c r="P518" i="3"/>
  <c r="J351" i="3"/>
  <c r="U308" i="3"/>
  <c r="L78" i="3"/>
  <c r="O78" i="3" s="1"/>
  <c r="L74" i="3"/>
  <c r="O74" i="3" s="1"/>
  <c r="P729" i="4"/>
  <c r="Q714" i="4"/>
  <c r="T714" i="4" s="1"/>
  <c r="K276" i="2"/>
  <c r="Q495" i="3"/>
  <c r="T495" i="3" s="1"/>
  <c r="M335" i="3"/>
  <c r="M333" i="3" s="1"/>
  <c r="M100" i="3"/>
  <c r="P100" i="3" s="1"/>
  <c r="K784" i="4"/>
  <c r="N714" i="4"/>
  <c r="U695" i="4"/>
  <c r="N555" i="4"/>
  <c r="K220" i="1"/>
  <c r="L515" i="4"/>
  <c r="O515" i="4" s="1"/>
  <c r="K681" i="4"/>
  <c r="K661" i="4"/>
  <c r="N642" i="4"/>
  <c r="Q618" i="4"/>
  <c r="Q616" i="4" s="1"/>
  <c r="T616" i="4" s="1"/>
  <c r="N616" i="4"/>
  <c r="N576" i="4"/>
  <c r="M555" i="4"/>
  <c r="P555" i="4" s="1"/>
  <c r="P521" i="4"/>
  <c r="J503" i="4"/>
  <c r="J492" i="4" s="1"/>
  <c r="R416" i="4"/>
  <c r="U416" i="4" s="1"/>
  <c r="P415" i="4"/>
  <c r="N392" i="4"/>
  <c r="M392" i="4"/>
  <c r="P392" i="4" s="1"/>
  <c r="M326" i="4"/>
  <c r="P326" i="4" s="1"/>
  <c r="L309" i="4"/>
  <c r="O309" i="4" s="1"/>
  <c r="M305" i="4"/>
  <c r="M303" i="4" s="1"/>
  <c r="S306" i="4"/>
  <c r="U304" i="4"/>
  <c r="O304" i="4"/>
  <c r="N285" i="4"/>
  <c r="U283" i="4"/>
  <c r="P274" i="4"/>
  <c r="P271" i="4"/>
  <c r="L235" i="4"/>
  <c r="I242" i="4"/>
  <c r="K242" i="4" s="1"/>
  <c r="U191" i="4"/>
  <c r="M176" i="4"/>
  <c r="P176" i="4" s="1"/>
  <c r="P165" i="4"/>
  <c r="O147" i="4"/>
  <c r="O144" i="4"/>
  <c r="K108" i="4"/>
  <c r="M96" i="4"/>
  <c r="S97" i="4"/>
  <c r="U95" i="4"/>
  <c r="L75" i="4"/>
  <c r="O75" i="4" s="1"/>
  <c r="P49" i="4"/>
  <c r="L47" i="4"/>
  <c r="O47" i="4" s="1"/>
  <c r="T45" i="4"/>
  <c r="N359" i="4"/>
  <c r="Q333" i="4"/>
  <c r="T333" i="4" s="1"/>
  <c r="L305" i="4"/>
  <c r="L303" i="4" s="1"/>
  <c r="O274" i="4"/>
  <c r="L96" i="4"/>
  <c r="R97" i="4"/>
  <c r="U97" i="4" s="1"/>
  <c r="P80" i="4"/>
  <c r="T418" i="4"/>
  <c r="L392" i="4"/>
  <c r="O392" i="4" s="1"/>
  <c r="K365" i="4"/>
  <c r="I280" i="4"/>
  <c r="K280" i="4" s="1"/>
  <c r="U271" i="4"/>
  <c r="U267" i="4"/>
  <c r="P178" i="4"/>
  <c r="K167" i="4"/>
  <c r="L159" i="4"/>
  <c r="L157" i="4" s="1"/>
  <c r="R160" i="4"/>
  <c r="U160" i="4" s="1"/>
  <c r="K153" i="4"/>
  <c r="T144" i="4"/>
  <c r="Q142" i="4"/>
  <c r="T142" i="4" s="1"/>
  <c r="L123" i="4"/>
  <c r="O123" i="4" s="1"/>
  <c r="M119" i="4"/>
  <c r="S120" i="4"/>
  <c r="U77" i="4"/>
  <c r="Q19" i="4"/>
  <c r="T19" i="4" s="1"/>
  <c r="N516" i="4"/>
  <c r="J458" i="4"/>
  <c r="S413" i="4"/>
  <c r="L413" i="4"/>
  <c r="O413" i="4" s="1"/>
  <c r="J343" i="4"/>
  <c r="L284" i="4"/>
  <c r="O284" i="4" s="1"/>
  <c r="M268" i="4"/>
  <c r="M266" i="4" s="1"/>
  <c r="S269" i="4"/>
  <c r="K262" i="4"/>
  <c r="L254" i="4"/>
  <c r="O254" i="4" s="1"/>
  <c r="T191" i="4"/>
  <c r="M160" i="4"/>
  <c r="P160" i="4" s="1"/>
  <c r="M142" i="4"/>
  <c r="K127" i="4"/>
  <c r="L119" i="4"/>
  <c r="O119" i="4" s="1"/>
  <c r="R120" i="4"/>
  <c r="L97" i="4"/>
  <c r="O97" i="4" s="1"/>
  <c r="N19" i="4"/>
  <c r="O338" i="4"/>
  <c r="O325" i="4"/>
  <c r="T321" i="4"/>
  <c r="L306" i="4"/>
  <c r="Q303" i="4"/>
  <c r="T303" i="4" s="1"/>
  <c r="O290" i="4"/>
  <c r="L268" i="4"/>
  <c r="L266" i="4" s="1"/>
  <c r="O266" i="4" s="1"/>
  <c r="R269" i="4"/>
  <c r="P191" i="4"/>
  <c r="R157" i="4"/>
  <c r="U157" i="4" s="1"/>
  <c r="M599" i="4"/>
  <c r="P599" i="4" s="1"/>
  <c r="Q555" i="4"/>
  <c r="T555" i="4" s="1"/>
  <c r="S495" i="4"/>
  <c r="S493" i="4" s="1"/>
  <c r="S377" i="4"/>
  <c r="S375" i="4" s="1"/>
  <c r="S320" i="4"/>
  <c r="N305" i="4"/>
  <c r="Q269" i="4"/>
  <c r="S173" i="4"/>
  <c r="P162" i="4"/>
  <c r="Q139" i="4"/>
  <c r="T139" i="4" s="1"/>
  <c r="N141" i="4"/>
  <c r="N139" i="4" s="1"/>
  <c r="L120" i="4"/>
  <c r="O120" i="4" s="1"/>
  <c r="L100" i="4"/>
  <c r="O100" i="4" s="1"/>
  <c r="L74" i="4"/>
  <c r="S59" i="4"/>
  <c r="L19" i="4"/>
  <c r="S576" i="4"/>
  <c r="L618" i="1"/>
  <c r="O618" i="1" s="1"/>
  <c r="R720" i="1"/>
  <c r="U720" i="1" s="1"/>
  <c r="S618" i="2"/>
  <c r="T618" i="2" s="1"/>
  <c r="L214" i="2"/>
  <c r="O214" i="2" s="1"/>
  <c r="S377" i="3"/>
  <c r="S375" i="3" s="1"/>
  <c r="R644" i="4"/>
  <c r="U647" i="4"/>
  <c r="O361" i="4"/>
  <c r="L359" i="4"/>
  <c r="L358" i="4"/>
  <c r="M188" i="1"/>
  <c r="M321" i="1"/>
  <c r="P321" i="1" s="1"/>
  <c r="J432" i="1"/>
  <c r="S515" i="1"/>
  <c r="R696" i="1"/>
  <c r="U696" i="1" s="1"/>
  <c r="S692" i="1"/>
  <c r="J702" i="1"/>
  <c r="K783" i="2"/>
  <c r="L233" i="2"/>
  <c r="L141" i="2"/>
  <c r="L139" i="2" s="1"/>
  <c r="K709" i="3"/>
  <c r="K678" i="3"/>
  <c r="S618" i="3"/>
  <c r="S616" i="3" s="1"/>
  <c r="M359" i="3"/>
  <c r="P359" i="3" s="1"/>
  <c r="L222" i="3"/>
  <c r="O222" i="3" s="1"/>
  <c r="K220" i="3"/>
  <c r="I759" i="4"/>
  <c r="K759" i="4" s="1"/>
  <c r="M642" i="4"/>
  <c r="P642" i="4" s="1"/>
  <c r="P643" i="4"/>
  <c r="R599" i="4"/>
  <c r="U599" i="4" s="1"/>
  <c r="U600" i="4"/>
  <c r="Q576" i="4"/>
  <c r="T576" i="4" s="1"/>
  <c r="T577" i="4"/>
  <c r="R534" i="4"/>
  <c r="U534" i="4" s="1"/>
  <c r="U535" i="4"/>
  <c r="P518" i="4"/>
  <c r="M516" i="4"/>
  <c r="P516" i="4" s="1"/>
  <c r="K440" i="4"/>
  <c r="I423" i="4"/>
  <c r="P334" i="4"/>
  <c r="Q157" i="4"/>
  <c r="T157" i="4" s="1"/>
  <c r="N269" i="1"/>
  <c r="T691" i="4"/>
  <c r="L534" i="4"/>
  <c r="O534" i="4" s="1"/>
  <c r="O535" i="4"/>
  <c r="P361" i="4"/>
  <c r="M359" i="4"/>
  <c r="M358" i="4"/>
  <c r="O341" i="4"/>
  <c r="L339" i="4"/>
  <c r="O339" i="4" s="1"/>
  <c r="R576" i="4"/>
  <c r="U576" i="4" s="1"/>
  <c r="U577" i="4"/>
  <c r="I281" i="4"/>
  <c r="K281" i="4" s="1"/>
  <c r="K292" i="4"/>
  <c r="P77" i="1"/>
  <c r="K172" i="1"/>
  <c r="R175" i="1"/>
  <c r="U175" i="1" s="1"/>
  <c r="T214" i="1"/>
  <c r="K785" i="2"/>
  <c r="L100" i="2"/>
  <c r="O100" i="2" s="1"/>
  <c r="R75" i="2"/>
  <c r="U75" i="2" s="1"/>
  <c r="O64" i="2"/>
  <c r="N61" i="2"/>
  <c r="N59" i="2" s="1"/>
  <c r="K703" i="3"/>
  <c r="U693" i="3"/>
  <c r="S268" i="3"/>
  <c r="S266" i="3" s="1"/>
  <c r="K202" i="3"/>
  <c r="R142" i="3"/>
  <c r="U142" i="3" s="1"/>
  <c r="O125" i="3"/>
  <c r="L119" i="3"/>
  <c r="L117" i="3" s="1"/>
  <c r="O117" i="3" s="1"/>
  <c r="U765" i="4"/>
  <c r="R762" i="4"/>
  <c r="U762" i="4" s="1"/>
  <c r="P761" i="4"/>
  <c r="T733" i="4"/>
  <c r="Q730" i="4"/>
  <c r="U729" i="4"/>
  <c r="O729" i="4"/>
  <c r="U715" i="4"/>
  <c r="O715" i="4"/>
  <c r="K678" i="4"/>
  <c r="R645" i="4"/>
  <c r="U618" i="4"/>
  <c r="R616" i="4"/>
  <c r="U616" i="4" s="1"/>
  <c r="Q599" i="4"/>
  <c r="T599" i="4" s="1"/>
  <c r="T600" i="4"/>
  <c r="Q534" i="4"/>
  <c r="T534" i="4" s="1"/>
  <c r="T535" i="4"/>
  <c r="O518" i="4"/>
  <c r="L516" i="4"/>
  <c r="O516" i="4" s="1"/>
  <c r="K506" i="4"/>
  <c r="R496" i="4"/>
  <c r="U496" i="4" s="1"/>
  <c r="R495" i="4"/>
  <c r="U495" i="4" s="1"/>
  <c r="U498" i="4"/>
  <c r="N493" i="4"/>
  <c r="R413" i="4"/>
  <c r="U413" i="4" s="1"/>
  <c r="U175" i="4"/>
  <c r="R173" i="4"/>
  <c r="U173" i="4" s="1"/>
  <c r="L601" i="1"/>
  <c r="O601" i="1" s="1"/>
  <c r="S717" i="1"/>
  <c r="S645" i="4"/>
  <c r="S644" i="4"/>
  <c r="T644" i="4" s="1"/>
  <c r="L576" i="4"/>
  <c r="O576" i="4" s="1"/>
  <c r="O577" i="4"/>
  <c r="R378" i="4"/>
  <c r="U378" i="4" s="1"/>
  <c r="R377" i="4"/>
  <c r="U377" i="4" s="1"/>
  <c r="U380" i="4"/>
  <c r="S599" i="4"/>
  <c r="S534" i="4"/>
  <c r="U494" i="4"/>
  <c r="U376" i="4"/>
  <c r="M377" i="1"/>
  <c r="P377" i="1" s="1"/>
  <c r="M119" i="2"/>
  <c r="P119" i="2" s="1"/>
  <c r="S94" i="2"/>
  <c r="L78" i="2"/>
  <c r="O78" i="2" s="1"/>
  <c r="R762" i="3"/>
  <c r="U762" i="3" s="1"/>
  <c r="O338" i="3"/>
  <c r="U269" i="3"/>
  <c r="Q160" i="3"/>
  <c r="T160" i="3" s="1"/>
  <c r="K154" i="3"/>
  <c r="I83" i="3"/>
  <c r="K83" i="3" s="1"/>
  <c r="O62" i="3"/>
  <c r="T765" i="4"/>
  <c r="U761" i="4"/>
  <c r="O761" i="4"/>
  <c r="T729" i="4"/>
  <c r="T715" i="4"/>
  <c r="K707" i="4"/>
  <c r="Q693" i="4"/>
  <c r="T693" i="4" s="1"/>
  <c r="Q692" i="4"/>
  <c r="M690" i="4"/>
  <c r="P690" i="4" s="1"/>
  <c r="N534" i="4"/>
  <c r="R513" i="4"/>
  <c r="U513" i="4" s="1"/>
  <c r="Q495" i="4"/>
  <c r="T498" i="4"/>
  <c r="M493" i="4"/>
  <c r="P493" i="4" s="1"/>
  <c r="P494" i="4"/>
  <c r="M335" i="4"/>
  <c r="M333" i="4" s="1"/>
  <c r="R320" i="4"/>
  <c r="U320" i="4" s="1"/>
  <c r="U321" i="4"/>
  <c r="P19" i="4"/>
  <c r="R139" i="3"/>
  <c r="U139" i="3" s="1"/>
  <c r="K653" i="3"/>
  <c r="K369" i="3"/>
  <c r="L599" i="4"/>
  <c r="O599" i="4" s="1"/>
  <c r="O600" i="4"/>
  <c r="P178" i="1"/>
  <c r="J661" i="1"/>
  <c r="K661" i="1" s="1"/>
  <c r="M175" i="2"/>
  <c r="M173" i="2" s="1"/>
  <c r="I83" i="2"/>
  <c r="K83" i="2" s="1"/>
  <c r="K344" i="3"/>
  <c r="O308" i="3"/>
  <c r="M284" i="3"/>
  <c r="P284" i="3" s="1"/>
  <c r="M159" i="3"/>
  <c r="M157" i="3" s="1"/>
  <c r="P157" i="3" s="1"/>
  <c r="K772" i="4"/>
  <c r="S692" i="4"/>
  <c r="S690" i="4" s="1"/>
  <c r="L690" i="4"/>
  <c r="O690" i="4" s="1"/>
  <c r="Q642" i="4"/>
  <c r="S619" i="4"/>
  <c r="T619" i="4" s="1"/>
  <c r="N599" i="4"/>
  <c r="M576" i="4"/>
  <c r="P576" i="4" s="1"/>
  <c r="M534" i="4"/>
  <c r="P534" i="4" s="1"/>
  <c r="Q513" i="4"/>
  <c r="T513" i="4" s="1"/>
  <c r="T514" i="4"/>
  <c r="Q496" i="4"/>
  <c r="T496" i="4" s="1"/>
  <c r="L493" i="4"/>
  <c r="O493" i="4" s="1"/>
  <c r="O494" i="4"/>
  <c r="S416" i="4"/>
  <c r="K386" i="4"/>
  <c r="I374" i="4"/>
  <c r="P341" i="4"/>
  <c r="M339" i="4"/>
  <c r="P339" i="4" s="1"/>
  <c r="L335" i="4"/>
  <c r="Q282" i="4"/>
  <c r="T282" i="4" s="1"/>
  <c r="L243" i="4"/>
  <c r="L233" i="4"/>
  <c r="O19" i="4"/>
  <c r="U691" i="4"/>
  <c r="P535" i="4"/>
  <c r="Q377" i="4"/>
  <c r="T380" i="4"/>
  <c r="R356" i="4"/>
  <c r="U356" i="4" s="1"/>
  <c r="T178" i="4"/>
  <c r="Q176" i="4"/>
  <c r="T176" i="4" s="1"/>
  <c r="Q175" i="4"/>
  <c r="T175" i="4" s="1"/>
  <c r="P140" i="4"/>
  <c r="P73" i="4"/>
  <c r="K629" i="4"/>
  <c r="M375" i="4"/>
  <c r="P375" i="4" s="1"/>
  <c r="P376" i="4"/>
  <c r="K371" i="4"/>
  <c r="K369" i="4"/>
  <c r="Q356" i="4"/>
  <c r="T356" i="4" s="1"/>
  <c r="T357" i="4"/>
  <c r="P336" i="4"/>
  <c r="N322" i="4"/>
  <c r="N320" i="4" s="1"/>
  <c r="P321" i="4"/>
  <c r="M284" i="4"/>
  <c r="T268" i="4"/>
  <c r="J231" i="4"/>
  <c r="J185" i="4" s="1"/>
  <c r="O140" i="4"/>
  <c r="U22" i="4"/>
  <c r="Q378" i="4"/>
  <c r="T378" i="4" s="1"/>
  <c r="L375" i="4"/>
  <c r="O375" i="4" s="1"/>
  <c r="O376" i="4"/>
  <c r="O336" i="4"/>
  <c r="O321" i="4"/>
  <c r="P269" i="4"/>
  <c r="P267" i="4"/>
  <c r="L192" i="4"/>
  <c r="O192" i="4" s="1"/>
  <c r="S19" i="4"/>
  <c r="T647" i="4"/>
  <c r="U621" i="4"/>
  <c r="U418" i="4"/>
  <c r="O328" i="4"/>
  <c r="L326" i="4"/>
  <c r="O326" i="4" s="1"/>
  <c r="L322" i="4"/>
  <c r="O322" i="4" s="1"/>
  <c r="T308" i="4"/>
  <c r="Q306" i="4"/>
  <c r="P290" i="4"/>
  <c r="M288" i="4"/>
  <c r="P288" i="4" s="1"/>
  <c r="S266" i="4"/>
  <c r="L234" i="4"/>
  <c r="U187" i="4"/>
  <c r="R24" i="4"/>
  <c r="U24" i="4" s="1"/>
  <c r="U25" i="4"/>
  <c r="R19" i="4"/>
  <c r="N335" i="4"/>
  <c r="N333" i="4" s="1"/>
  <c r="M322" i="4"/>
  <c r="P322" i="4" s="1"/>
  <c r="I319" i="4"/>
  <c r="K319" i="4" s="1"/>
  <c r="U308" i="4"/>
  <c r="O308" i="4"/>
  <c r="O287" i="4"/>
  <c r="K276" i="4"/>
  <c r="T271" i="4"/>
  <c r="N268" i="4"/>
  <c r="N266" i="4" s="1"/>
  <c r="K260" i="4"/>
  <c r="K229" i="4"/>
  <c r="I202" i="4"/>
  <c r="K202" i="4" s="1"/>
  <c r="P194" i="4"/>
  <c r="T187" i="4"/>
  <c r="P60" i="4"/>
  <c r="K344" i="4"/>
  <c r="K314" i="4"/>
  <c r="K252" i="4"/>
  <c r="S188" i="4"/>
  <c r="S186" i="4" s="1"/>
  <c r="U140" i="4"/>
  <c r="U119" i="4"/>
  <c r="T99" i="4"/>
  <c r="Q97" i="4"/>
  <c r="T97" i="4" s="1"/>
  <c r="I82" i="4"/>
  <c r="Q72" i="4"/>
  <c r="T72" i="4" s="1"/>
  <c r="P45" i="4"/>
  <c r="N26" i="4"/>
  <c r="N24" i="4" s="1"/>
  <c r="P25" i="4"/>
  <c r="K220" i="4"/>
  <c r="K198" i="4"/>
  <c r="L188" i="4"/>
  <c r="L186" i="4" s="1"/>
  <c r="N188" i="4"/>
  <c r="K154" i="4"/>
  <c r="I136" i="4"/>
  <c r="K136" i="4" s="1"/>
  <c r="P144" i="4"/>
  <c r="N142" i="4"/>
  <c r="T122" i="4"/>
  <c r="Q120" i="4"/>
  <c r="P67" i="4"/>
  <c r="M65" i="4"/>
  <c r="P65" i="4" s="1"/>
  <c r="P52" i="4"/>
  <c r="M26" i="4"/>
  <c r="P26" i="4" s="1"/>
  <c r="M50" i="4"/>
  <c r="P50" i="4" s="1"/>
  <c r="P47" i="4"/>
  <c r="O25" i="4"/>
  <c r="N23" i="4"/>
  <c r="P22" i="4"/>
  <c r="M192" i="4"/>
  <c r="P192" i="4" s="1"/>
  <c r="Q189" i="4"/>
  <c r="T189" i="4" s="1"/>
  <c r="Q188" i="4"/>
  <c r="O187" i="4"/>
  <c r="T162" i="4"/>
  <c r="Q160" i="4"/>
  <c r="T160" i="4" s="1"/>
  <c r="O160" i="4"/>
  <c r="Q117" i="4"/>
  <c r="Q94" i="4"/>
  <c r="T94" i="4" s="1"/>
  <c r="O67" i="4"/>
  <c r="L65" i="4"/>
  <c r="O65" i="4" s="1"/>
  <c r="L61" i="4"/>
  <c r="O52" i="4"/>
  <c r="L26" i="4"/>
  <c r="O26" i="4" s="1"/>
  <c r="L50" i="4"/>
  <c r="O50" i="4" s="1"/>
  <c r="L46" i="4"/>
  <c r="O22" i="4"/>
  <c r="P187" i="4"/>
  <c r="U178" i="4"/>
  <c r="O178" i="4"/>
  <c r="I168" i="4"/>
  <c r="K168" i="4" s="1"/>
  <c r="U162" i="4"/>
  <c r="O162" i="4"/>
  <c r="U122" i="4"/>
  <c r="O122" i="4"/>
  <c r="U99" i="4"/>
  <c r="K84" i="4"/>
  <c r="N74" i="4"/>
  <c r="N72" i="4" s="1"/>
  <c r="N61" i="4"/>
  <c r="N59" i="4" s="1"/>
  <c r="N46" i="4"/>
  <c r="N44" i="4" s="1"/>
  <c r="S23" i="4"/>
  <c r="S20" i="4" s="1"/>
  <c r="M23" i="4"/>
  <c r="K183" i="4"/>
  <c r="N175" i="4"/>
  <c r="N159" i="4"/>
  <c r="R141" i="4"/>
  <c r="U141" i="4" s="1"/>
  <c r="L141" i="4"/>
  <c r="N119" i="4"/>
  <c r="N117" i="4" s="1"/>
  <c r="N96" i="4"/>
  <c r="N94" i="4" s="1"/>
  <c r="S74" i="4"/>
  <c r="S72" i="4" s="1"/>
  <c r="M74" i="4"/>
  <c r="P74" i="4" s="1"/>
  <c r="M61" i="4"/>
  <c r="M59" i="4" s="1"/>
  <c r="M46" i="4"/>
  <c r="R23" i="4"/>
  <c r="L23" i="4"/>
  <c r="L21" i="4" s="1"/>
  <c r="Q23" i="4"/>
  <c r="J374" i="1"/>
  <c r="K374" i="1" s="1"/>
  <c r="L557" i="1"/>
  <c r="O557" i="1" s="1"/>
  <c r="Q601" i="1"/>
  <c r="T601" i="1" s="1"/>
  <c r="J675" i="1"/>
  <c r="K675" i="1" s="1"/>
  <c r="R513" i="3"/>
  <c r="U513" i="3" s="1"/>
  <c r="M375" i="3"/>
  <c r="P375" i="3" s="1"/>
  <c r="P376" i="3"/>
  <c r="K84" i="3"/>
  <c r="I82" i="3"/>
  <c r="K82" i="3" s="1"/>
  <c r="O52" i="3"/>
  <c r="L50" i="3"/>
  <c r="O50" i="3" s="1"/>
  <c r="R305" i="1"/>
  <c r="U305" i="1" s="1"/>
  <c r="N493" i="3"/>
  <c r="I213" i="1"/>
  <c r="K213" i="1" s="1"/>
  <c r="M97" i="1"/>
  <c r="P97" i="1" s="1"/>
  <c r="O191" i="1"/>
  <c r="K295" i="1"/>
  <c r="N376" i="1"/>
  <c r="K386" i="1"/>
  <c r="L415" i="1"/>
  <c r="O415" i="1" s="1"/>
  <c r="N515" i="1"/>
  <c r="T621" i="1"/>
  <c r="L728" i="3"/>
  <c r="O728" i="3" s="1"/>
  <c r="L599" i="3"/>
  <c r="O599" i="3" s="1"/>
  <c r="O600" i="3"/>
  <c r="Q74" i="3"/>
  <c r="T74" i="3" s="1"/>
  <c r="T77" i="3"/>
  <c r="O99" i="1"/>
  <c r="R140" i="1"/>
  <c r="U140" i="1" s="1"/>
  <c r="S141" i="1"/>
  <c r="S139" i="1" s="1"/>
  <c r="S145" i="1"/>
  <c r="O177" i="1"/>
  <c r="N175" i="1"/>
  <c r="N173" i="1" s="1"/>
  <c r="N179" i="1"/>
  <c r="O196" i="1"/>
  <c r="T271" i="1"/>
  <c r="M305" i="1"/>
  <c r="P361" i="1"/>
  <c r="L376" i="1"/>
  <c r="O376" i="1" s="1"/>
  <c r="J485" i="1"/>
  <c r="U600" i="3"/>
  <c r="R599" i="3"/>
  <c r="U599" i="3" s="1"/>
  <c r="K440" i="3"/>
  <c r="I423" i="3"/>
  <c r="K423" i="3" s="1"/>
  <c r="L362" i="3"/>
  <c r="O362" i="3" s="1"/>
  <c r="O364" i="3"/>
  <c r="L141" i="3"/>
  <c r="O144" i="3"/>
  <c r="L142" i="3"/>
  <c r="O142" i="3" s="1"/>
  <c r="L192" i="3"/>
  <c r="O192" i="3" s="1"/>
  <c r="O194" i="3"/>
  <c r="J82" i="1"/>
  <c r="J70" i="1" s="1"/>
  <c r="P99" i="1"/>
  <c r="K238" i="1"/>
  <c r="R377" i="1"/>
  <c r="U377" i="1" s="1"/>
  <c r="N601" i="1"/>
  <c r="K260" i="2"/>
  <c r="I253" i="2"/>
  <c r="K253" i="2" s="1"/>
  <c r="R645" i="3"/>
  <c r="U645" i="3" s="1"/>
  <c r="U647" i="3"/>
  <c r="R644" i="3"/>
  <c r="M642" i="3"/>
  <c r="P642" i="3" s="1"/>
  <c r="P643" i="3"/>
  <c r="J374" i="3"/>
  <c r="Q282" i="3"/>
  <c r="T282" i="3" s="1"/>
  <c r="L234" i="3"/>
  <c r="L160" i="3"/>
  <c r="O160" i="3" s="1"/>
  <c r="O162" i="3"/>
  <c r="R44" i="3"/>
  <c r="U44" i="3" s="1"/>
  <c r="R600" i="1"/>
  <c r="U600" i="1" s="1"/>
  <c r="R618" i="3"/>
  <c r="R616" i="3" s="1"/>
  <c r="R619" i="3"/>
  <c r="U619" i="3" s="1"/>
  <c r="M145" i="3"/>
  <c r="P145" i="3" s="1"/>
  <c r="P147" i="3"/>
  <c r="U73" i="3"/>
  <c r="R72" i="3"/>
  <c r="U72" i="3" s="1"/>
  <c r="N120" i="1"/>
  <c r="Q22" i="1"/>
  <c r="T22" i="1" s="1"/>
  <c r="K84" i="1"/>
  <c r="K90" i="1"/>
  <c r="K109" i="1"/>
  <c r="K127" i="1"/>
  <c r="I185" i="1"/>
  <c r="K185" i="1" s="1"/>
  <c r="Q600" i="1"/>
  <c r="T600" i="1" s="1"/>
  <c r="M534" i="3"/>
  <c r="P534" i="3" s="1"/>
  <c r="R378" i="3"/>
  <c r="U378" i="3" s="1"/>
  <c r="U380" i="3"/>
  <c r="R377" i="3"/>
  <c r="Q188" i="3"/>
  <c r="Q186" i="3" s="1"/>
  <c r="Q189" i="3"/>
  <c r="T162" i="2"/>
  <c r="M65" i="2"/>
  <c r="P65" i="2" s="1"/>
  <c r="K783" i="3"/>
  <c r="R730" i="3"/>
  <c r="R728" i="3" s="1"/>
  <c r="M714" i="3"/>
  <c r="P714" i="3" s="1"/>
  <c r="J701" i="3"/>
  <c r="Q693" i="3"/>
  <c r="T693" i="3" s="1"/>
  <c r="S692" i="3"/>
  <c r="S690" i="3" s="1"/>
  <c r="J674" i="3"/>
  <c r="K674" i="3" s="1"/>
  <c r="K652" i="3"/>
  <c r="L642" i="3"/>
  <c r="O642" i="3" s="1"/>
  <c r="N576" i="3"/>
  <c r="P535" i="3"/>
  <c r="R534" i="3"/>
  <c r="U534" i="3" s="1"/>
  <c r="P341" i="3"/>
  <c r="O328" i="3"/>
  <c r="T308" i="3"/>
  <c r="N305" i="3"/>
  <c r="N303" i="3" s="1"/>
  <c r="R268" i="3"/>
  <c r="R266" i="3" s="1"/>
  <c r="K249" i="3"/>
  <c r="K213" i="3"/>
  <c r="L214" i="3"/>
  <c r="O214" i="3" s="1"/>
  <c r="N188" i="3"/>
  <c r="N186" i="3" s="1"/>
  <c r="M142" i="3"/>
  <c r="P142" i="3" s="1"/>
  <c r="N119" i="3"/>
  <c r="N117" i="3" s="1"/>
  <c r="K93" i="3"/>
  <c r="T99" i="3"/>
  <c r="M96" i="3"/>
  <c r="P96" i="3" s="1"/>
  <c r="S97" i="3"/>
  <c r="P80" i="3"/>
  <c r="Q24" i="3"/>
  <c r="T24" i="3" s="1"/>
  <c r="L717" i="1"/>
  <c r="O717" i="1" s="1"/>
  <c r="K774" i="1"/>
  <c r="P338" i="2"/>
  <c r="N284" i="2"/>
  <c r="N282" i="2" s="1"/>
  <c r="Q730" i="3"/>
  <c r="Q728" i="3" s="1"/>
  <c r="N728" i="3"/>
  <c r="N714" i="3"/>
  <c r="U695" i="3"/>
  <c r="R692" i="3"/>
  <c r="R690" i="3" s="1"/>
  <c r="Q645" i="3"/>
  <c r="T645" i="3" s="1"/>
  <c r="S644" i="3"/>
  <c r="S642" i="3" s="1"/>
  <c r="N555" i="3"/>
  <c r="O535" i="3"/>
  <c r="O518" i="3"/>
  <c r="U514" i="3"/>
  <c r="O494" i="3"/>
  <c r="L392" i="3"/>
  <c r="O392" i="3" s="1"/>
  <c r="O361" i="3"/>
  <c r="M305" i="3"/>
  <c r="P305" i="3" s="1"/>
  <c r="M272" i="3"/>
  <c r="P272" i="3" s="1"/>
  <c r="M268" i="3"/>
  <c r="M266" i="3" s="1"/>
  <c r="K195" i="3"/>
  <c r="O178" i="3"/>
  <c r="S94" i="3"/>
  <c r="L96" i="3"/>
  <c r="O96" i="3" s="1"/>
  <c r="Q94" i="3"/>
  <c r="L46" i="3"/>
  <c r="L44" i="3" s="1"/>
  <c r="N19" i="3"/>
  <c r="K727" i="3"/>
  <c r="M599" i="3"/>
  <c r="P599" i="3" s="1"/>
  <c r="N534" i="3"/>
  <c r="N515" i="3"/>
  <c r="N513" i="3" s="1"/>
  <c r="S495" i="3"/>
  <c r="S493" i="3" s="1"/>
  <c r="Q306" i="3"/>
  <c r="T306" i="3" s="1"/>
  <c r="L305" i="3"/>
  <c r="O305" i="3" s="1"/>
  <c r="I281" i="3"/>
  <c r="K281" i="3" s="1"/>
  <c r="U271" i="3"/>
  <c r="I238" i="3"/>
  <c r="K238" i="3" s="1"/>
  <c r="N232" i="3"/>
  <c r="L236" i="3"/>
  <c r="J231" i="3"/>
  <c r="J185" i="3" s="1"/>
  <c r="M188" i="3"/>
  <c r="N175" i="3"/>
  <c r="N173" i="3" s="1"/>
  <c r="M160" i="3"/>
  <c r="P160" i="3" s="1"/>
  <c r="N120" i="3"/>
  <c r="M97" i="3"/>
  <c r="P97" i="3" s="1"/>
  <c r="L75" i="3"/>
  <c r="O75" i="3" s="1"/>
  <c r="R731" i="1"/>
  <c r="R763" i="2"/>
  <c r="S415" i="2"/>
  <c r="S413" i="2" s="1"/>
  <c r="J675" i="3"/>
  <c r="K675" i="3" s="1"/>
  <c r="T600" i="3"/>
  <c r="N599" i="3"/>
  <c r="S513" i="3"/>
  <c r="R495" i="3"/>
  <c r="U495" i="3" s="1"/>
  <c r="N322" i="3"/>
  <c r="N320" i="3" s="1"/>
  <c r="N323" i="3"/>
  <c r="L203" i="3"/>
  <c r="O203" i="3" s="1"/>
  <c r="N176" i="3"/>
  <c r="O176" i="3" s="1"/>
  <c r="N159" i="3"/>
  <c r="N157" i="3" s="1"/>
  <c r="R159" i="3"/>
  <c r="R157" i="3" s="1"/>
  <c r="U157" i="3" s="1"/>
  <c r="O147" i="3"/>
  <c r="N141" i="3"/>
  <c r="N139" i="3" s="1"/>
  <c r="I138" i="3"/>
  <c r="K138" i="3" s="1"/>
  <c r="S119" i="3"/>
  <c r="S117" i="3" s="1"/>
  <c r="T73" i="3"/>
  <c r="S59" i="3"/>
  <c r="Q59" i="3"/>
  <c r="T59" i="3" s="1"/>
  <c r="R59" i="3"/>
  <c r="U59" i="3" s="1"/>
  <c r="R19" i="3"/>
  <c r="L19" i="3"/>
  <c r="O19" i="3" s="1"/>
  <c r="N692" i="1"/>
  <c r="M692" i="1"/>
  <c r="P692" i="1" s="1"/>
  <c r="K755" i="1"/>
  <c r="K779" i="1"/>
  <c r="K782" i="1"/>
  <c r="K785" i="1"/>
  <c r="L519" i="2"/>
  <c r="O519" i="2" s="1"/>
  <c r="L358" i="2"/>
  <c r="L356" i="2" s="1"/>
  <c r="L288" i="2"/>
  <c r="O288" i="2" s="1"/>
  <c r="S189" i="2"/>
  <c r="U189" i="2" s="1"/>
  <c r="I116" i="2"/>
  <c r="K116" i="2" s="1"/>
  <c r="P62" i="2"/>
  <c r="K778" i="3"/>
  <c r="U765" i="3"/>
  <c r="S763" i="3"/>
  <c r="L760" i="3"/>
  <c r="O760" i="3" s="1"/>
  <c r="K726" i="3"/>
  <c r="K673" i="3"/>
  <c r="R416" i="3"/>
  <c r="U416" i="3" s="1"/>
  <c r="S415" i="3"/>
  <c r="S413" i="3" s="1"/>
  <c r="U393" i="3"/>
  <c r="N392" i="3"/>
  <c r="K386" i="3"/>
  <c r="N335" i="3"/>
  <c r="N333" i="3" s="1"/>
  <c r="S320" i="3"/>
  <c r="P311" i="3"/>
  <c r="P308" i="3"/>
  <c r="S305" i="3"/>
  <c r="U305" i="3" s="1"/>
  <c r="R303" i="3"/>
  <c r="R282" i="3"/>
  <c r="U282" i="3" s="1"/>
  <c r="L254" i="3"/>
  <c r="O254" i="3" s="1"/>
  <c r="Q175" i="3"/>
  <c r="T175" i="3" s="1"/>
  <c r="U162" i="3"/>
  <c r="Q159" i="3"/>
  <c r="T159" i="3" s="1"/>
  <c r="U144" i="3"/>
  <c r="M141" i="3"/>
  <c r="P141" i="3" s="1"/>
  <c r="O102" i="3"/>
  <c r="O99" i="3"/>
  <c r="L61" i="3"/>
  <c r="L59" i="3" s="1"/>
  <c r="N377" i="1"/>
  <c r="U733" i="3"/>
  <c r="S730" i="3"/>
  <c r="S728" i="3" s="1"/>
  <c r="T304" i="3"/>
  <c r="Q303" i="3"/>
  <c r="L188" i="3"/>
  <c r="O191" i="3"/>
  <c r="L189" i="3"/>
  <c r="L23" i="3"/>
  <c r="K114" i="1"/>
  <c r="R145" i="1"/>
  <c r="U145" i="1" s="1"/>
  <c r="Q174" i="1"/>
  <c r="T174" i="1" s="1"/>
  <c r="K198" i="1"/>
  <c r="K219" i="1"/>
  <c r="K221" i="1"/>
  <c r="R306" i="1"/>
  <c r="U306" i="1" s="1"/>
  <c r="P311" i="1"/>
  <c r="Q334" i="1"/>
  <c r="T334" i="1" s="1"/>
  <c r="N339" i="1"/>
  <c r="K346" i="1"/>
  <c r="J446" i="1"/>
  <c r="J440" i="1" s="1"/>
  <c r="J423" i="1" s="1"/>
  <c r="J412" i="1" s="1"/>
  <c r="J460" i="1"/>
  <c r="L499" i="1"/>
  <c r="O499" i="1" s="1"/>
  <c r="P562" i="1"/>
  <c r="S578" i="1"/>
  <c r="S576" i="1" s="1"/>
  <c r="K679" i="1"/>
  <c r="Q696" i="1"/>
  <c r="T696" i="1" s="1"/>
  <c r="J727" i="1"/>
  <c r="K727" i="1" s="1"/>
  <c r="U765" i="1"/>
  <c r="K709" i="2"/>
  <c r="S644" i="2"/>
  <c r="S642" i="2" s="1"/>
  <c r="P521" i="2"/>
  <c r="P274" i="2"/>
  <c r="K252" i="2"/>
  <c r="P194" i="2"/>
  <c r="O178" i="2"/>
  <c r="M78" i="2"/>
  <c r="P78" i="2" s="1"/>
  <c r="P80" i="2"/>
  <c r="L62" i="2"/>
  <c r="O62" i="2" s="1"/>
  <c r="K781" i="3"/>
  <c r="K774" i="3"/>
  <c r="Q690" i="3"/>
  <c r="T691" i="3"/>
  <c r="M555" i="3"/>
  <c r="P555" i="3" s="1"/>
  <c r="Q534" i="3"/>
  <c r="T534" i="3" s="1"/>
  <c r="O521" i="3"/>
  <c r="L519" i="3"/>
  <c r="O519" i="3" s="1"/>
  <c r="L515" i="3"/>
  <c r="P514" i="3"/>
  <c r="L413" i="3"/>
  <c r="O413" i="3" s="1"/>
  <c r="O414" i="3"/>
  <c r="K371" i="3"/>
  <c r="P334" i="3"/>
  <c r="K242" i="3"/>
  <c r="R189" i="1"/>
  <c r="R398" i="1"/>
  <c r="U398" i="1" s="1"/>
  <c r="M515" i="3"/>
  <c r="P515" i="3" s="1"/>
  <c r="M413" i="3"/>
  <c r="P413" i="3" s="1"/>
  <c r="M192" i="1"/>
  <c r="P192" i="1" s="1"/>
  <c r="L232" i="1"/>
  <c r="Q267" i="1"/>
  <c r="T267" i="1" s="1"/>
  <c r="M309" i="1"/>
  <c r="P309" i="1" s="1"/>
  <c r="K319" i="1"/>
  <c r="U379" i="1"/>
  <c r="S618" i="1"/>
  <c r="I701" i="1"/>
  <c r="L715" i="1"/>
  <c r="O715" i="1" s="1"/>
  <c r="Q734" i="1"/>
  <c r="T734" i="1" s="1"/>
  <c r="T765" i="1"/>
  <c r="K782" i="2"/>
  <c r="J701" i="2"/>
  <c r="K676" i="2"/>
  <c r="L516" i="2"/>
  <c r="O516" i="2" s="1"/>
  <c r="K457" i="2"/>
  <c r="L362" i="2"/>
  <c r="O362" i="2" s="1"/>
  <c r="Q305" i="2"/>
  <c r="Q303" i="2" s="1"/>
  <c r="N285" i="2"/>
  <c r="P77" i="2"/>
  <c r="Q714" i="3"/>
  <c r="T714" i="3" s="1"/>
  <c r="I701" i="3"/>
  <c r="K705" i="3"/>
  <c r="U617" i="3"/>
  <c r="Q576" i="3"/>
  <c r="T576" i="3" s="1"/>
  <c r="L555" i="3"/>
  <c r="O555" i="3" s="1"/>
  <c r="O556" i="3"/>
  <c r="O334" i="3"/>
  <c r="Q269" i="3"/>
  <c r="T269" i="3" s="1"/>
  <c r="Q268" i="3"/>
  <c r="T271" i="3"/>
  <c r="I92" i="3"/>
  <c r="K92" i="3" s="1"/>
  <c r="K108" i="3"/>
  <c r="S95" i="1"/>
  <c r="N334" i="1"/>
  <c r="N333" i="1" s="1"/>
  <c r="P521" i="3"/>
  <c r="M519" i="3"/>
  <c r="P519" i="3" s="1"/>
  <c r="L375" i="3"/>
  <c r="O375" i="3" s="1"/>
  <c r="O376" i="3"/>
  <c r="K365" i="3"/>
  <c r="M74" i="1"/>
  <c r="S74" i="1"/>
  <c r="U74" i="1" s="1"/>
  <c r="S78" i="1"/>
  <c r="M95" i="1"/>
  <c r="P95" i="1" s="1"/>
  <c r="N118" i="1"/>
  <c r="O144" i="1"/>
  <c r="N163" i="1"/>
  <c r="N232" i="1"/>
  <c r="L267" i="1"/>
  <c r="O267" i="1" s="1"/>
  <c r="K276" i="1"/>
  <c r="N284" i="1"/>
  <c r="R309" i="1"/>
  <c r="U309" i="1" s="1"/>
  <c r="S309" i="1"/>
  <c r="L322" i="1"/>
  <c r="O322" i="1" s="1"/>
  <c r="S333" i="1"/>
  <c r="J475" i="1"/>
  <c r="N716" i="1"/>
  <c r="Q762" i="2"/>
  <c r="Q760" i="2" s="1"/>
  <c r="T760" i="2" s="1"/>
  <c r="K679" i="2"/>
  <c r="O325" i="2"/>
  <c r="N175" i="2"/>
  <c r="N173" i="2" s="1"/>
  <c r="I138" i="2"/>
  <c r="K138" i="2" s="1"/>
  <c r="O122" i="2"/>
  <c r="O761" i="3"/>
  <c r="T617" i="3"/>
  <c r="K505" i="3"/>
  <c r="J503" i="3"/>
  <c r="J492" i="3" s="1"/>
  <c r="R413" i="3"/>
  <c r="U413" i="3" s="1"/>
  <c r="U414" i="3"/>
  <c r="Q392" i="3"/>
  <c r="T392" i="3" s="1"/>
  <c r="T394" i="3"/>
  <c r="M392" i="3"/>
  <c r="P392" i="3" s="1"/>
  <c r="P393" i="3"/>
  <c r="U358" i="3"/>
  <c r="R356" i="3"/>
  <c r="U356" i="3" s="1"/>
  <c r="M322" i="3"/>
  <c r="P325" i="3"/>
  <c r="M323" i="3"/>
  <c r="P323" i="3" s="1"/>
  <c r="L288" i="3"/>
  <c r="O288" i="3" s="1"/>
  <c r="O290" i="3"/>
  <c r="L179" i="3"/>
  <c r="O179" i="3" s="1"/>
  <c r="L175" i="3"/>
  <c r="O181" i="3"/>
  <c r="Q60" i="1"/>
  <c r="T60" i="1" s="1"/>
  <c r="S496" i="1"/>
  <c r="M536" i="1"/>
  <c r="P536" i="1" s="1"/>
  <c r="Q762" i="1"/>
  <c r="L616" i="3"/>
  <c r="O616" i="3" s="1"/>
  <c r="O617" i="3"/>
  <c r="Q416" i="3"/>
  <c r="T416" i="3" s="1"/>
  <c r="Q415" i="3"/>
  <c r="T415" i="3" s="1"/>
  <c r="T418" i="3"/>
  <c r="R46" i="1"/>
  <c r="U46" i="1" s="1"/>
  <c r="Q141" i="1"/>
  <c r="T141" i="1" s="1"/>
  <c r="L74" i="1"/>
  <c r="L78" i="1"/>
  <c r="O78" i="1" s="1"/>
  <c r="R95" i="1"/>
  <c r="U95" i="1" s="1"/>
  <c r="M159" i="1"/>
  <c r="P159" i="1" s="1"/>
  <c r="Q187" i="1"/>
  <c r="T187" i="1" s="1"/>
  <c r="N305" i="1"/>
  <c r="O305" i="1" s="1"/>
  <c r="L335" i="1"/>
  <c r="O335" i="1" s="1"/>
  <c r="N378" i="1"/>
  <c r="K457" i="1"/>
  <c r="Q582" i="1"/>
  <c r="T582" i="1" s="1"/>
  <c r="K652" i="1"/>
  <c r="M734" i="1"/>
  <c r="P734" i="1" s="1"/>
  <c r="K749" i="1"/>
  <c r="K781" i="2"/>
  <c r="J675" i="2"/>
  <c r="K675" i="2" s="1"/>
  <c r="U621" i="2"/>
  <c r="K346" i="2"/>
  <c r="P311" i="2"/>
  <c r="M268" i="2"/>
  <c r="M266" i="2" s="1"/>
  <c r="M269" i="2"/>
  <c r="I238" i="2"/>
  <c r="K238" i="2" s="1"/>
  <c r="S186" i="2"/>
  <c r="I92" i="2"/>
  <c r="K92" i="2" s="1"/>
  <c r="U761" i="3"/>
  <c r="S731" i="3"/>
  <c r="T731" i="3" s="1"/>
  <c r="K707" i="3"/>
  <c r="M690" i="3"/>
  <c r="P690" i="3" s="1"/>
  <c r="I689" i="3"/>
  <c r="K689" i="3" s="1"/>
  <c r="K661" i="3"/>
  <c r="N616" i="3"/>
  <c r="R555" i="3"/>
  <c r="U555" i="3" s="1"/>
  <c r="U556" i="3"/>
  <c r="T414" i="3"/>
  <c r="T358" i="3"/>
  <c r="Q356" i="3"/>
  <c r="T356" i="3" s="1"/>
  <c r="P338" i="3"/>
  <c r="M336" i="3"/>
  <c r="P336" i="3" s="1"/>
  <c r="O325" i="3"/>
  <c r="L323" i="3"/>
  <c r="O323" i="3" s="1"/>
  <c r="L322" i="3"/>
  <c r="N284" i="3"/>
  <c r="N282" i="3" s="1"/>
  <c r="N285" i="3"/>
  <c r="K183" i="3"/>
  <c r="I172" i="3"/>
  <c r="K172" i="3" s="1"/>
  <c r="N643" i="1"/>
  <c r="N644" i="1"/>
  <c r="M643" i="1"/>
  <c r="P643" i="1" s="1"/>
  <c r="K700" i="1"/>
  <c r="M730" i="1"/>
  <c r="P730" i="1" s="1"/>
  <c r="L734" i="1"/>
  <c r="O734" i="1" s="1"/>
  <c r="K740" i="1"/>
  <c r="U619" i="2"/>
  <c r="K198" i="2"/>
  <c r="M97" i="2"/>
  <c r="P97" i="2" s="1"/>
  <c r="T733" i="3"/>
  <c r="Q642" i="3"/>
  <c r="T643" i="3"/>
  <c r="K626" i="3"/>
  <c r="K630" i="3"/>
  <c r="K631" i="3"/>
  <c r="K632" i="3"/>
  <c r="Q619" i="3"/>
  <c r="T619" i="3" s="1"/>
  <c r="Q618" i="3"/>
  <c r="T621" i="3"/>
  <c r="M616" i="3"/>
  <c r="P616" i="3" s="1"/>
  <c r="I615" i="3"/>
  <c r="K615" i="3" s="1"/>
  <c r="Q555" i="3"/>
  <c r="T555" i="3" s="1"/>
  <c r="T556" i="3"/>
  <c r="N413" i="3"/>
  <c r="P364" i="3"/>
  <c r="M362" i="3"/>
  <c r="P362" i="3" s="1"/>
  <c r="J343" i="3"/>
  <c r="L75" i="2"/>
  <c r="O75" i="2" s="1"/>
  <c r="K772" i="3"/>
  <c r="T761" i="3"/>
  <c r="T695" i="3"/>
  <c r="U691" i="3"/>
  <c r="O691" i="3"/>
  <c r="T647" i="3"/>
  <c r="U643" i="3"/>
  <c r="O643" i="3"/>
  <c r="U621" i="3"/>
  <c r="P617" i="3"/>
  <c r="P556" i="3"/>
  <c r="T494" i="3"/>
  <c r="I456" i="3"/>
  <c r="K456" i="3" s="1"/>
  <c r="U418" i="3"/>
  <c r="P414" i="3"/>
  <c r="S392" i="3"/>
  <c r="U376" i="3"/>
  <c r="I374" i="3"/>
  <c r="S333" i="3"/>
  <c r="L309" i="3"/>
  <c r="O309" i="3" s="1"/>
  <c r="O311" i="3"/>
  <c r="N268" i="3"/>
  <c r="N266" i="3" s="1"/>
  <c r="N269" i="3"/>
  <c r="I240" i="3"/>
  <c r="K240" i="3" s="1"/>
  <c r="K251" i="3"/>
  <c r="L243" i="3"/>
  <c r="L233" i="3"/>
  <c r="S189" i="3"/>
  <c r="S188" i="3"/>
  <c r="T191" i="3"/>
  <c r="I156" i="3"/>
  <c r="K156" i="3" s="1"/>
  <c r="K169" i="3"/>
  <c r="P165" i="3"/>
  <c r="M163" i="3"/>
  <c r="P163" i="3" s="1"/>
  <c r="K503" i="3"/>
  <c r="T376" i="3"/>
  <c r="N358" i="3"/>
  <c r="N356" i="3" s="1"/>
  <c r="L358" i="3"/>
  <c r="R333" i="3"/>
  <c r="U333" i="3" s="1"/>
  <c r="U334" i="3"/>
  <c r="Q333" i="3"/>
  <c r="T333" i="3" s="1"/>
  <c r="L284" i="3"/>
  <c r="O284" i="3" s="1"/>
  <c r="O287" i="3"/>
  <c r="L285" i="3"/>
  <c r="O285" i="3" s="1"/>
  <c r="L272" i="3"/>
  <c r="O272" i="3" s="1"/>
  <c r="L268" i="3"/>
  <c r="O268" i="3" s="1"/>
  <c r="O274" i="3"/>
  <c r="T96" i="3"/>
  <c r="P19" i="3"/>
  <c r="M358" i="3"/>
  <c r="K276" i="3"/>
  <c r="I265" i="3"/>
  <c r="K265" i="3" s="1"/>
  <c r="S75" i="3"/>
  <c r="S23" i="3"/>
  <c r="S20" i="3" s="1"/>
  <c r="S18" i="3" s="1"/>
  <c r="S74" i="3"/>
  <c r="S72" i="3" s="1"/>
  <c r="Q378" i="3"/>
  <c r="T378" i="3" s="1"/>
  <c r="Q377" i="3"/>
  <c r="T380" i="3"/>
  <c r="K346" i="3"/>
  <c r="P178" i="3"/>
  <c r="M176" i="3"/>
  <c r="M175" i="3"/>
  <c r="L335" i="3"/>
  <c r="I302" i="3"/>
  <c r="K302" i="3" s="1"/>
  <c r="S282" i="3"/>
  <c r="P271" i="3"/>
  <c r="U191" i="3"/>
  <c r="R189" i="3"/>
  <c r="T187" i="3"/>
  <c r="S175" i="3"/>
  <c r="S173" i="3" s="1"/>
  <c r="L163" i="3"/>
  <c r="O163" i="3" s="1"/>
  <c r="L26" i="3"/>
  <c r="O165" i="3"/>
  <c r="L159" i="3"/>
  <c r="P140" i="3"/>
  <c r="M123" i="3"/>
  <c r="P123" i="3" s="1"/>
  <c r="I116" i="3"/>
  <c r="K116" i="3" s="1"/>
  <c r="P67" i="3"/>
  <c r="Q44" i="3"/>
  <c r="T44" i="3" s="1"/>
  <c r="T45" i="3"/>
  <c r="P287" i="3"/>
  <c r="M269" i="3"/>
  <c r="I241" i="3"/>
  <c r="K241" i="3" s="1"/>
  <c r="K209" i="3"/>
  <c r="K198" i="3"/>
  <c r="M192" i="3"/>
  <c r="P192" i="3" s="1"/>
  <c r="P194" i="3"/>
  <c r="R188" i="3"/>
  <c r="R176" i="3"/>
  <c r="U176" i="3" s="1"/>
  <c r="R175" i="3"/>
  <c r="S142" i="3"/>
  <c r="Q23" i="3"/>
  <c r="Q97" i="3"/>
  <c r="Q320" i="3"/>
  <c r="T320" i="3" s="1"/>
  <c r="I221" i="3"/>
  <c r="K221" i="3" s="1"/>
  <c r="P191" i="3"/>
  <c r="S159" i="3"/>
  <c r="S157" i="3" s="1"/>
  <c r="S160" i="3"/>
  <c r="R120" i="3"/>
  <c r="U120" i="3" s="1"/>
  <c r="R23" i="3"/>
  <c r="U122" i="3"/>
  <c r="R119" i="3"/>
  <c r="Q117" i="3"/>
  <c r="P77" i="3"/>
  <c r="M74" i="3"/>
  <c r="R24" i="3"/>
  <c r="U24" i="3" s="1"/>
  <c r="U26" i="3"/>
  <c r="I253" i="3"/>
  <c r="K253" i="3" s="1"/>
  <c r="K260" i="3"/>
  <c r="L235" i="3"/>
  <c r="N189" i="3"/>
  <c r="P189" i="3" s="1"/>
  <c r="K152" i="3"/>
  <c r="I137" i="3"/>
  <c r="K137" i="3" s="1"/>
  <c r="T144" i="3"/>
  <c r="Q141" i="3"/>
  <c r="Q142" i="3"/>
  <c r="T142" i="3" s="1"/>
  <c r="M179" i="3"/>
  <c r="P179" i="3" s="1"/>
  <c r="T158" i="3"/>
  <c r="Q176" i="3"/>
  <c r="T176" i="3" s="1"/>
  <c r="T122" i="3"/>
  <c r="Q120" i="3"/>
  <c r="T120" i="3" s="1"/>
  <c r="U96" i="3"/>
  <c r="R94" i="3"/>
  <c r="P64" i="3"/>
  <c r="M47" i="3"/>
  <c r="P47" i="3" s="1"/>
  <c r="M23" i="3"/>
  <c r="M21" i="3" s="1"/>
  <c r="M46" i="3"/>
  <c r="N26" i="3"/>
  <c r="N24" i="3" s="1"/>
  <c r="P62" i="3"/>
  <c r="M61" i="3"/>
  <c r="M26" i="3"/>
  <c r="P26" i="3" s="1"/>
  <c r="M50" i="3"/>
  <c r="P50" i="3" s="1"/>
  <c r="U19" i="3"/>
  <c r="M120" i="3"/>
  <c r="P120" i="3" s="1"/>
  <c r="M119" i="3"/>
  <c r="N96" i="3"/>
  <c r="N94" i="3" s="1"/>
  <c r="N142" i="3"/>
  <c r="K109" i="3"/>
  <c r="P99" i="3"/>
  <c r="R97" i="3"/>
  <c r="L97" i="3"/>
  <c r="O97" i="3" s="1"/>
  <c r="T95" i="3"/>
  <c r="U77" i="3"/>
  <c r="O77" i="3"/>
  <c r="Q75" i="3"/>
  <c r="T75" i="3" s="1"/>
  <c r="O64" i="3"/>
  <c r="N50" i="3"/>
  <c r="O49" i="3"/>
  <c r="N23" i="3"/>
  <c r="U99" i="3"/>
  <c r="N74" i="3"/>
  <c r="N72" i="3" s="1"/>
  <c r="N61" i="3"/>
  <c r="N59" i="3" s="1"/>
  <c r="N46" i="3"/>
  <c r="N44" i="3" s="1"/>
  <c r="Q19" i="3"/>
  <c r="T360" i="1"/>
  <c r="Q357" i="1"/>
  <c r="T357" i="1" s="1"/>
  <c r="P400" i="1"/>
  <c r="M394" i="1"/>
  <c r="P394" i="1" s="1"/>
  <c r="P497" i="1"/>
  <c r="M494" i="1"/>
  <c r="P494" i="1" s="1"/>
  <c r="N519" i="2"/>
  <c r="N515" i="2"/>
  <c r="N513" i="2" s="1"/>
  <c r="L309" i="2"/>
  <c r="O309" i="2" s="1"/>
  <c r="O311" i="2"/>
  <c r="P494" i="2"/>
  <c r="M493" i="2"/>
  <c r="P493" i="2" s="1"/>
  <c r="M690" i="2"/>
  <c r="P690" i="2" s="1"/>
  <c r="P691" i="2"/>
  <c r="N305" i="2"/>
  <c r="N303" i="2" s="1"/>
  <c r="N306" i="2"/>
  <c r="L97" i="1"/>
  <c r="O97" i="1" s="1"/>
  <c r="U274" i="1"/>
  <c r="R268" i="1"/>
  <c r="R283" i="1"/>
  <c r="U283" i="1" s="1"/>
  <c r="P379" i="1"/>
  <c r="M378" i="1"/>
  <c r="P378" i="1" s="1"/>
  <c r="Q514" i="1"/>
  <c r="T514" i="1" s="1"/>
  <c r="T498" i="2"/>
  <c r="Q495" i="2"/>
  <c r="Q493" i="2" s="1"/>
  <c r="Q496" i="2"/>
  <c r="R416" i="2"/>
  <c r="U416" i="2" s="1"/>
  <c r="R415" i="2"/>
  <c r="U415" i="2" s="1"/>
  <c r="U418" i="2"/>
  <c r="N188" i="2"/>
  <c r="N186" i="2" s="1"/>
  <c r="N192" i="2"/>
  <c r="I169" i="2"/>
  <c r="K169" i="2" s="1"/>
  <c r="I168" i="2"/>
  <c r="K168" i="2" s="1"/>
  <c r="K167" i="2"/>
  <c r="I156" i="2"/>
  <c r="K156" i="2" s="1"/>
  <c r="R644" i="2"/>
  <c r="R642" i="2" s="1"/>
  <c r="R645" i="2"/>
  <c r="U645" i="2" s="1"/>
  <c r="T304" i="2"/>
  <c r="U161" i="1"/>
  <c r="R158" i="1"/>
  <c r="U158" i="1" s="1"/>
  <c r="O327" i="1"/>
  <c r="L321" i="1"/>
  <c r="O321" i="1" s="1"/>
  <c r="M50" i="1"/>
  <c r="P50" i="1" s="1"/>
  <c r="R119" i="1"/>
  <c r="U119" i="1" s="1"/>
  <c r="U125" i="1"/>
  <c r="O290" i="1"/>
  <c r="L284" i="1"/>
  <c r="Q309" i="1"/>
  <c r="T309" i="1" s="1"/>
  <c r="Q25" i="1"/>
  <c r="T25" i="1" s="1"/>
  <c r="L561" i="1"/>
  <c r="O561" i="1" s="1"/>
  <c r="O562" i="1"/>
  <c r="P621" i="1"/>
  <c r="M618" i="1"/>
  <c r="P618" i="1" s="1"/>
  <c r="N269" i="2"/>
  <c r="N268" i="2"/>
  <c r="N266" i="2" s="1"/>
  <c r="S100" i="1"/>
  <c r="U67" i="1"/>
  <c r="R61" i="1"/>
  <c r="U61" i="1" s="1"/>
  <c r="M142" i="1"/>
  <c r="M140" i="1"/>
  <c r="P140" i="1" s="1"/>
  <c r="P143" i="1"/>
  <c r="R362" i="1"/>
  <c r="U362" i="1" s="1"/>
  <c r="N557" i="1"/>
  <c r="P557" i="2"/>
  <c r="M555" i="2"/>
  <c r="P555" i="2" s="1"/>
  <c r="M516" i="2"/>
  <c r="P516" i="2" s="1"/>
  <c r="M515" i="2"/>
  <c r="P515" i="2" s="1"/>
  <c r="P518" i="2"/>
  <c r="Q333" i="2"/>
  <c r="T333" i="2" s="1"/>
  <c r="O328" i="2"/>
  <c r="L326" i="2"/>
  <c r="O326" i="2" s="1"/>
  <c r="I281" i="2"/>
  <c r="K281" i="2" s="1"/>
  <c r="K292" i="2"/>
  <c r="P49" i="1"/>
  <c r="S65" i="1"/>
  <c r="M75" i="1"/>
  <c r="L95" i="1"/>
  <c r="O95" i="1" s="1"/>
  <c r="K138" i="1"/>
  <c r="K151" i="1"/>
  <c r="Q158" i="1"/>
  <c r="T158" i="1" s="1"/>
  <c r="S159" i="1"/>
  <c r="R174" i="1"/>
  <c r="U174" i="1" s="1"/>
  <c r="K183" i="1"/>
  <c r="L188" i="1"/>
  <c r="L186" i="1" s="1"/>
  <c r="M187" i="1"/>
  <c r="P187" i="1" s="1"/>
  <c r="S188" i="1"/>
  <c r="N214" i="1"/>
  <c r="K228" i="1"/>
  <c r="L268" i="1"/>
  <c r="O268" i="1" s="1"/>
  <c r="J477" i="1"/>
  <c r="M499" i="1"/>
  <c r="P499" i="1" s="1"/>
  <c r="S561" i="1"/>
  <c r="L600" i="1"/>
  <c r="O600" i="1" s="1"/>
  <c r="R601" i="1"/>
  <c r="U601" i="1" s="1"/>
  <c r="N617" i="1"/>
  <c r="K628" i="1"/>
  <c r="R691" i="1"/>
  <c r="U691" i="1" s="1"/>
  <c r="T697" i="1"/>
  <c r="P698" i="1"/>
  <c r="O718" i="1"/>
  <c r="Q729" i="1"/>
  <c r="T729" i="1" s="1"/>
  <c r="K778" i="1"/>
  <c r="K781" i="1"/>
  <c r="K784" i="1"/>
  <c r="K784" i="2"/>
  <c r="L714" i="2"/>
  <c r="O714" i="2" s="1"/>
  <c r="Q645" i="2"/>
  <c r="T645" i="2" s="1"/>
  <c r="Q644" i="2"/>
  <c r="T647" i="2"/>
  <c r="T577" i="2"/>
  <c r="L576" i="2"/>
  <c r="O576" i="2" s="1"/>
  <c r="O577" i="2"/>
  <c r="N534" i="2"/>
  <c r="Q415" i="2"/>
  <c r="T415" i="2" s="1"/>
  <c r="Q416" i="2"/>
  <c r="T416" i="2" s="1"/>
  <c r="T418" i="2"/>
  <c r="U393" i="2"/>
  <c r="R392" i="2"/>
  <c r="U392" i="2" s="1"/>
  <c r="S269" i="2"/>
  <c r="U269" i="2" s="1"/>
  <c r="T214" i="2"/>
  <c r="K202" i="2"/>
  <c r="K152" i="2"/>
  <c r="M141" i="2"/>
  <c r="M139" i="2" s="1"/>
  <c r="N120" i="2"/>
  <c r="N119" i="2"/>
  <c r="N117" i="2" s="1"/>
  <c r="T99" i="2"/>
  <c r="Q96" i="2"/>
  <c r="T96" i="2" s="1"/>
  <c r="O143" i="1"/>
  <c r="L159" i="1"/>
  <c r="O159" i="1" s="1"/>
  <c r="K330" i="1"/>
  <c r="R335" i="1"/>
  <c r="U335" i="1" s="1"/>
  <c r="J425" i="1"/>
  <c r="M535" i="1"/>
  <c r="P535" i="1" s="1"/>
  <c r="R535" i="1"/>
  <c r="U535" i="1" s="1"/>
  <c r="Q557" i="1"/>
  <c r="T557" i="1" s="1"/>
  <c r="K676" i="1"/>
  <c r="M720" i="1"/>
  <c r="P720" i="1" s="1"/>
  <c r="R729" i="1"/>
  <c r="U729" i="1" s="1"/>
  <c r="Q731" i="1"/>
  <c r="K744" i="1"/>
  <c r="U765" i="2"/>
  <c r="M760" i="2"/>
  <c r="P760" i="2" s="1"/>
  <c r="U643" i="2"/>
  <c r="I615" i="2"/>
  <c r="K615" i="2" s="1"/>
  <c r="K629" i="2"/>
  <c r="Q513" i="2"/>
  <c r="T513" i="2" s="1"/>
  <c r="J343" i="2"/>
  <c r="S159" i="2"/>
  <c r="S157" i="2" s="1"/>
  <c r="S23" i="2"/>
  <c r="S20" i="2" s="1"/>
  <c r="K89" i="1"/>
  <c r="T99" i="1"/>
  <c r="L140" i="1"/>
  <c r="O140" i="1" s="1"/>
  <c r="P141" i="1"/>
  <c r="S163" i="1"/>
  <c r="S176" i="1"/>
  <c r="N188" i="1"/>
  <c r="K229" i="1"/>
  <c r="M268" i="1"/>
  <c r="P268" i="1" s="1"/>
  <c r="S375" i="1"/>
  <c r="Q395" i="1"/>
  <c r="T395" i="1" s="1"/>
  <c r="R717" i="1"/>
  <c r="U717" i="1" s="1"/>
  <c r="L760" i="2"/>
  <c r="O760" i="2" s="1"/>
  <c r="T733" i="2"/>
  <c r="Q731" i="2"/>
  <c r="L335" i="2"/>
  <c r="L336" i="2"/>
  <c r="O336" i="2" s="1"/>
  <c r="N179" i="2"/>
  <c r="P64" i="2"/>
  <c r="S46" i="1"/>
  <c r="S44" i="1" s="1"/>
  <c r="U63" i="1"/>
  <c r="S62" i="1"/>
  <c r="S73" i="1"/>
  <c r="U99" i="1"/>
  <c r="Q119" i="1"/>
  <c r="T119" i="1" s="1"/>
  <c r="Q142" i="1"/>
  <c r="T142" i="1" s="1"/>
  <c r="L158" i="1"/>
  <c r="O158" i="1" s="1"/>
  <c r="M174" i="1"/>
  <c r="P174" i="1" s="1"/>
  <c r="S175" i="1"/>
  <c r="L288" i="1"/>
  <c r="O288" i="1" s="1"/>
  <c r="N336" i="1"/>
  <c r="R357" i="1"/>
  <c r="U357" i="1" s="1"/>
  <c r="N359" i="1"/>
  <c r="N381" i="1"/>
  <c r="M398" i="1"/>
  <c r="P398" i="1" s="1"/>
  <c r="U621" i="1"/>
  <c r="K627" i="1"/>
  <c r="K631" i="1"/>
  <c r="K673" i="1"/>
  <c r="K681" i="1"/>
  <c r="U733" i="1"/>
  <c r="K778" i="2"/>
  <c r="R692" i="2"/>
  <c r="R690" i="2" s="1"/>
  <c r="R693" i="2"/>
  <c r="R599" i="2"/>
  <c r="U599" i="2" s="1"/>
  <c r="I423" i="2"/>
  <c r="K423" i="2" s="1"/>
  <c r="K440" i="2"/>
  <c r="M362" i="2"/>
  <c r="P362" i="2" s="1"/>
  <c r="P364" i="2"/>
  <c r="M288" i="2"/>
  <c r="P288" i="2" s="1"/>
  <c r="P290" i="2"/>
  <c r="L235" i="2"/>
  <c r="K220" i="2"/>
  <c r="I213" i="2"/>
  <c r="K213" i="2" s="1"/>
  <c r="R160" i="2"/>
  <c r="U160" i="2" s="1"/>
  <c r="U162" i="2"/>
  <c r="Q74" i="2"/>
  <c r="T74" i="2" s="1"/>
  <c r="Q75" i="2"/>
  <c r="T75" i="2" s="1"/>
  <c r="R96" i="2"/>
  <c r="U99" i="2"/>
  <c r="N46" i="1"/>
  <c r="N44" i="1" s="1"/>
  <c r="U52" i="1"/>
  <c r="L23" i="1"/>
  <c r="Q73" i="1"/>
  <c r="T73" i="1" s="1"/>
  <c r="S96" i="1"/>
  <c r="K113" i="1"/>
  <c r="K150" i="1"/>
  <c r="K153" i="1"/>
  <c r="R159" i="1"/>
  <c r="U159" i="1" s="1"/>
  <c r="S179" i="1"/>
  <c r="S192" i="1"/>
  <c r="K265" i="1"/>
  <c r="O287" i="1"/>
  <c r="S304" i="1"/>
  <c r="S303" i="1" s="1"/>
  <c r="M323" i="1"/>
  <c r="P337" i="1"/>
  <c r="N415" i="1"/>
  <c r="M600" i="1"/>
  <c r="P600" i="1" s="1"/>
  <c r="J632" i="1"/>
  <c r="J626" i="1" s="1"/>
  <c r="J615" i="1" s="1"/>
  <c r="K615" i="1" s="1"/>
  <c r="U695" i="1"/>
  <c r="J701" i="1"/>
  <c r="R715" i="1"/>
  <c r="U715" i="1" s="1"/>
  <c r="K752" i="1"/>
  <c r="K780" i="1"/>
  <c r="K783" i="1"/>
  <c r="K780" i="2"/>
  <c r="U498" i="2"/>
  <c r="R496" i="2"/>
  <c r="R495" i="2"/>
  <c r="R493" i="2" s="1"/>
  <c r="P336" i="2"/>
  <c r="P328" i="2"/>
  <c r="M326" i="2"/>
  <c r="P326" i="2" s="1"/>
  <c r="Q282" i="2"/>
  <c r="T282" i="2" s="1"/>
  <c r="L234" i="2"/>
  <c r="M188" i="2"/>
  <c r="M186" i="2" s="1"/>
  <c r="P191" i="2"/>
  <c r="L163" i="2"/>
  <c r="O163" i="2" s="1"/>
  <c r="O165" i="2"/>
  <c r="L96" i="2"/>
  <c r="L94" i="2" s="1"/>
  <c r="O94" i="2" s="1"/>
  <c r="L97" i="2"/>
  <c r="O97" i="2" s="1"/>
  <c r="I701" i="2"/>
  <c r="K681" i="2"/>
  <c r="M642" i="2"/>
  <c r="P642" i="2" s="1"/>
  <c r="R618" i="2"/>
  <c r="R616" i="2" s="1"/>
  <c r="Q599" i="2"/>
  <c r="T599" i="2" s="1"/>
  <c r="N493" i="2"/>
  <c r="S392" i="2"/>
  <c r="K369" i="2"/>
  <c r="S356" i="2"/>
  <c r="T283" i="2"/>
  <c r="I280" i="2"/>
  <c r="K280" i="2" s="1"/>
  <c r="O274" i="2"/>
  <c r="T178" i="2"/>
  <c r="Q176" i="2"/>
  <c r="T176" i="2" s="1"/>
  <c r="O125" i="2"/>
  <c r="Q120" i="2"/>
  <c r="T120" i="2" s="1"/>
  <c r="P102" i="2"/>
  <c r="U77" i="2"/>
  <c r="M728" i="2"/>
  <c r="P728" i="2" s="1"/>
  <c r="K726" i="2"/>
  <c r="N599" i="2"/>
  <c r="L515" i="2"/>
  <c r="O515" i="2" s="1"/>
  <c r="K368" i="2"/>
  <c r="N335" i="2"/>
  <c r="N333" i="2" s="1"/>
  <c r="S320" i="2"/>
  <c r="K265" i="2"/>
  <c r="N232" i="2"/>
  <c r="T203" i="2"/>
  <c r="N141" i="2"/>
  <c r="N139" i="2" s="1"/>
  <c r="U120" i="2"/>
  <c r="L61" i="2"/>
  <c r="O49" i="2"/>
  <c r="J702" i="2"/>
  <c r="S690" i="2"/>
  <c r="U647" i="2"/>
  <c r="N642" i="2"/>
  <c r="O535" i="2"/>
  <c r="L413" i="2"/>
  <c r="O413" i="2" s="1"/>
  <c r="M335" i="2"/>
  <c r="M333" i="2" s="1"/>
  <c r="S333" i="2"/>
  <c r="L236" i="2"/>
  <c r="Q160" i="2"/>
  <c r="T160" i="2" s="1"/>
  <c r="P144" i="2"/>
  <c r="N142" i="2"/>
  <c r="P142" i="2" s="1"/>
  <c r="I136" i="2"/>
  <c r="K136" i="2" s="1"/>
  <c r="M96" i="2"/>
  <c r="P96" i="2" s="1"/>
  <c r="S97" i="2"/>
  <c r="U97" i="2" s="1"/>
  <c r="L74" i="2"/>
  <c r="O74" i="2" s="1"/>
  <c r="U501" i="1"/>
  <c r="R495" i="1"/>
  <c r="U495" i="1" s="1"/>
  <c r="R558" i="1"/>
  <c r="U558" i="1" s="1"/>
  <c r="U559" i="1"/>
  <c r="R556" i="1"/>
  <c r="P650" i="1"/>
  <c r="M644" i="1"/>
  <c r="P644" i="1" s="1"/>
  <c r="K772" i="2"/>
  <c r="I758" i="2"/>
  <c r="K758" i="2" s="1"/>
  <c r="U617" i="2"/>
  <c r="L61" i="1"/>
  <c r="O61" i="1" s="1"/>
  <c r="L75" i="1"/>
  <c r="U77" i="1"/>
  <c r="K87" i="1"/>
  <c r="N95" i="1"/>
  <c r="N94" i="1" s="1"/>
  <c r="Q96" i="1"/>
  <c r="R97" i="1"/>
  <c r="I116" i="1"/>
  <c r="K116" i="1" s="1"/>
  <c r="S118" i="1"/>
  <c r="S117" i="1" s="1"/>
  <c r="U122" i="1"/>
  <c r="N139" i="1"/>
  <c r="S142" i="1"/>
  <c r="L145" i="1"/>
  <c r="O145" i="1" s="1"/>
  <c r="N145" i="1"/>
  <c r="L163" i="1"/>
  <c r="O163" i="1" s="1"/>
  <c r="M176" i="1"/>
  <c r="M179" i="1"/>
  <c r="P179" i="1" s="1"/>
  <c r="R192" i="1"/>
  <c r="U192" i="1" s="1"/>
  <c r="I195" i="1"/>
  <c r="K195" i="1" s="1"/>
  <c r="N267" i="1"/>
  <c r="N266" i="1" s="1"/>
  <c r="P274" i="1"/>
  <c r="P308" i="1"/>
  <c r="S320" i="1"/>
  <c r="S323" i="1"/>
  <c r="P364" i="1"/>
  <c r="M358" i="1"/>
  <c r="P358" i="1" s="1"/>
  <c r="N494" i="1"/>
  <c r="N493" i="1" s="1"/>
  <c r="U563" i="1"/>
  <c r="R561" i="1"/>
  <c r="U561" i="1" s="1"/>
  <c r="R557" i="1"/>
  <c r="U557" i="1" s="1"/>
  <c r="T646" i="1"/>
  <c r="Q645" i="1"/>
  <c r="Q643" i="1"/>
  <c r="Q693" i="1"/>
  <c r="T694" i="1"/>
  <c r="U768" i="1"/>
  <c r="R762" i="1"/>
  <c r="T719" i="1"/>
  <c r="Q716" i="1"/>
  <c r="T716" i="1" s="1"/>
  <c r="Q717" i="1"/>
  <c r="T717" i="1" s="1"/>
  <c r="S22" i="1"/>
  <c r="L306" i="1"/>
  <c r="L304" i="1"/>
  <c r="U497" i="1"/>
  <c r="R494" i="1"/>
  <c r="R496" i="1"/>
  <c r="N561" i="1"/>
  <c r="N556" i="1"/>
  <c r="O52" i="1"/>
  <c r="M61" i="1"/>
  <c r="P61" i="1" s="1"/>
  <c r="M62" i="1"/>
  <c r="M78" i="1"/>
  <c r="P78" i="1" s="1"/>
  <c r="O79" i="1"/>
  <c r="R96" i="1"/>
  <c r="S97" i="1"/>
  <c r="Q97" i="1"/>
  <c r="L100" i="1"/>
  <c r="O100" i="1" s="1"/>
  <c r="N100" i="1"/>
  <c r="L119" i="1"/>
  <c r="O119" i="1" s="1"/>
  <c r="M23" i="1"/>
  <c r="T122" i="1"/>
  <c r="R141" i="1"/>
  <c r="U141" i="1" s="1"/>
  <c r="M145" i="1"/>
  <c r="P145" i="1" s="1"/>
  <c r="U146" i="1"/>
  <c r="O162" i="1"/>
  <c r="R163" i="1"/>
  <c r="U163" i="1" s="1"/>
  <c r="U165" i="1"/>
  <c r="S174" i="1"/>
  <c r="N176" i="1"/>
  <c r="P177" i="1"/>
  <c r="R187" i="1"/>
  <c r="R188" i="1"/>
  <c r="S189" i="1"/>
  <c r="S187" i="1"/>
  <c r="Q192" i="1"/>
  <c r="T192" i="1" s="1"/>
  <c r="T193" i="1"/>
  <c r="J199" i="1"/>
  <c r="L203" i="1"/>
  <c r="Q269" i="1"/>
  <c r="T269" i="1" s="1"/>
  <c r="T274" i="1"/>
  <c r="Q272" i="1"/>
  <c r="T272" i="1" s="1"/>
  <c r="K281" i="1"/>
  <c r="M284" i="1"/>
  <c r="M304" i="1"/>
  <c r="R321" i="1"/>
  <c r="U321" i="1" s="1"/>
  <c r="T417" i="1"/>
  <c r="Q414" i="1"/>
  <c r="T414" i="1" s="1"/>
  <c r="Q416" i="1"/>
  <c r="T416" i="1" s="1"/>
  <c r="N419" i="1"/>
  <c r="N414" i="1"/>
  <c r="O498" i="1"/>
  <c r="L495" i="1"/>
  <c r="O495" i="1" s="1"/>
  <c r="R514" i="1"/>
  <c r="U514" i="1" s="1"/>
  <c r="U539" i="1"/>
  <c r="R536" i="1"/>
  <c r="U536" i="1" s="1"/>
  <c r="O559" i="1"/>
  <c r="L556" i="1"/>
  <c r="L558" i="1"/>
  <c r="O558" i="1" s="1"/>
  <c r="Q715" i="1"/>
  <c r="T721" i="1"/>
  <c r="P514" i="2"/>
  <c r="T165" i="1"/>
  <c r="Q163" i="1"/>
  <c r="T163" i="1" s="1"/>
  <c r="L720" i="1"/>
  <c r="O720" i="1" s="1"/>
  <c r="O722" i="1"/>
  <c r="T175" i="2"/>
  <c r="Q173" i="2"/>
  <c r="T173" i="2" s="1"/>
  <c r="S50" i="1"/>
  <c r="S61" i="1"/>
  <c r="S59" i="1" s="1"/>
  <c r="R142" i="1"/>
  <c r="U142" i="1" s="1"/>
  <c r="L493" i="2"/>
  <c r="O493" i="2" s="1"/>
  <c r="O495" i="2"/>
  <c r="P325" i="2"/>
  <c r="M322" i="2"/>
  <c r="M323" i="2"/>
  <c r="N23" i="1"/>
  <c r="M47" i="1"/>
  <c r="P47" i="1" s="1"/>
  <c r="M65" i="1"/>
  <c r="P65" i="1" s="1"/>
  <c r="R23" i="1"/>
  <c r="Q62" i="1"/>
  <c r="T62" i="1" s="1"/>
  <c r="Q65" i="1"/>
  <c r="T65" i="1" s="1"/>
  <c r="Q78" i="1"/>
  <c r="T78" i="1" s="1"/>
  <c r="N74" i="1"/>
  <c r="L96" i="1"/>
  <c r="O96" i="1" s="1"/>
  <c r="M100" i="1"/>
  <c r="P100" i="1" s="1"/>
  <c r="U101" i="1"/>
  <c r="K137" i="1"/>
  <c r="L141" i="1"/>
  <c r="O141" i="1" s="1"/>
  <c r="P144" i="1"/>
  <c r="Q159" i="1"/>
  <c r="T159" i="1" s="1"/>
  <c r="S160" i="1"/>
  <c r="T191" i="1"/>
  <c r="L192" i="1"/>
  <c r="O192" i="1" s="1"/>
  <c r="N222" i="1"/>
  <c r="U271" i="1"/>
  <c r="S268" i="1"/>
  <c r="P287" i="1"/>
  <c r="M285" i="1"/>
  <c r="P285" i="1" s="1"/>
  <c r="Q288" i="1"/>
  <c r="T288" i="1" s="1"/>
  <c r="O307" i="1"/>
  <c r="U307" i="1"/>
  <c r="U340" i="1"/>
  <c r="R334" i="1"/>
  <c r="U334" i="1" s="1"/>
  <c r="R358" i="1"/>
  <c r="U358" i="1" s="1"/>
  <c r="R359" i="1"/>
  <c r="U359" i="1" s="1"/>
  <c r="U361" i="1"/>
  <c r="P382" i="1"/>
  <c r="M376" i="1"/>
  <c r="U397" i="1"/>
  <c r="R394" i="1"/>
  <c r="U394" i="1" s="1"/>
  <c r="M496" i="1"/>
  <c r="P496" i="1" s="1"/>
  <c r="M495" i="1"/>
  <c r="P495" i="1" s="1"/>
  <c r="P498" i="1"/>
  <c r="R499" i="1"/>
  <c r="U499" i="1" s="1"/>
  <c r="S537" i="1"/>
  <c r="S536" i="1"/>
  <c r="P559" i="1"/>
  <c r="M556" i="1"/>
  <c r="M558" i="1"/>
  <c r="P558" i="1" s="1"/>
  <c r="M557" i="1"/>
  <c r="P557" i="1" s="1"/>
  <c r="P560" i="1"/>
  <c r="R644" i="1"/>
  <c r="U650" i="1"/>
  <c r="R728" i="2"/>
  <c r="O692" i="2"/>
  <c r="L690" i="2"/>
  <c r="O690" i="2" s="1"/>
  <c r="O376" i="2"/>
  <c r="L375" i="2"/>
  <c r="O375" i="2" s="1"/>
  <c r="U75" i="1"/>
  <c r="M272" i="1"/>
  <c r="P272" i="1" s="1"/>
  <c r="T325" i="1"/>
  <c r="Q322" i="1"/>
  <c r="T322" i="1" s="1"/>
  <c r="M514" i="1"/>
  <c r="P514" i="1" s="1"/>
  <c r="P517" i="1"/>
  <c r="U521" i="1"/>
  <c r="R515" i="1"/>
  <c r="U515" i="1" s="1"/>
  <c r="P604" i="1"/>
  <c r="M601" i="1"/>
  <c r="P601" i="1" s="1"/>
  <c r="S619" i="1"/>
  <c r="S617" i="1"/>
  <c r="L644" i="1"/>
  <c r="O644" i="1" s="1"/>
  <c r="O650" i="1"/>
  <c r="P718" i="1"/>
  <c r="M715" i="1"/>
  <c r="P715" i="1" s="1"/>
  <c r="P732" i="1"/>
  <c r="M729" i="1"/>
  <c r="M731" i="1"/>
  <c r="P731" i="1" s="1"/>
  <c r="L616" i="2"/>
  <c r="O616" i="2" s="1"/>
  <c r="O617" i="2"/>
  <c r="S25" i="1"/>
  <c r="L160" i="1"/>
  <c r="O160" i="1" s="1"/>
  <c r="K371" i="1"/>
  <c r="N514" i="1"/>
  <c r="N516" i="1"/>
  <c r="N645" i="1"/>
  <c r="L26" i="1"/>
  <c r="O26" i="1" s="1"/>
  <c r="N65" i="1"/>
  <c r="R26" i="1"/>
  <c r="U26" i="1" s="1"/>
  <c r="L46" i="1"/>
  <c r="L44" i="1" s="1"/>
  <c r="M60" i="1"/>
  <c r="M22" i="1"/>
  <c r="S23" i="1"/>
  <c r="M46" i="1"/>
  <c r="M44" i="1" s="1"/>
  <c r="U49" i="1"/>
  <c r="Q61" i="1"/>
  <c r="T61" i="1" s="1"/>
  <c r="L62" i="1"/>
  <c r="L65" i="1"/>
  <c r="O65" i="1" s="1"/>
  <c r="Q75" i="1"/>
  <c r="T75" i="1" s="1"/>
  <c r="R78" i="1"/>
  <c r="U78" i="1" s="1"/>
  <c r="K86" i="1"/>
  <c r="I93" i="1"/>
  <c r="K93" i="1" s="1"/>
  <c r="Q95" i="1"/>
  <c r="M96" i="1"/>
  <c r="P96" i="1" s="1"/>
  <c r="M118" i="1"/>
  <c r="P118" i="1" s="1"/>
  <c r="K129" i="1"/>
  <c r="Q140" i="1"/>
  <c r="T140" i="1" s="1"/>
  <c r="N142" i="1"/>
  <c r="O142" i="1" s="1"/>
  <c r="T143" i="1"/>
  <c r="K152" i="1"/>
  <c r="M175" i="1"/>
  <c r="L189" i="1"/>
  <c r="O190" i="1"/>
  <c r="U191" i="1"/>
  <c r="T203" i="1"/>
  <c r="N283" i="1"/>
  <c r="R284" i="1"/>
  <c r="U284" i="1" s="1"/>
  <c r="T286" i="1"/>
  <c r="Q283" i="1"/>
  <c r="M306" i="1"/>
  <c r="O308" i="1"/>
  <c r="O310" i="1"/>
  <c r="S339" i="1"/>
  <c r="O361" i="1"/>
  <c r="L358" i="1"/>
  <c r="O358" i="1" s="1"/>
  <c r="L359" i="1"/>
  <c r="T364" i="1"/>
  <c r="Q358" i="1"/>
  <c r="T358" i="1" s="1"/>
  <c r="Q362" i="1"/>
  <c r="T362" i="1" s="1"/>
  <c r="K365" i="1"/>
  <c r="O518" i="1"/>
  <c r="L515" i="1"/>
  <c r="O515" i="1" s="1"/>
  <c r="T521" i="1"/>
  <c r="Q515" i="1"/>
  <c r="T515" i="1" s="1"/>
  <c r="N579" i="1"/>
  <c r="U620" i="1"/>
  <c r="R617" i="1"/>
  <c r="U617" i="1" s="1"/>
  <c r="U647" i="1"/>
  <c r="T647" i="1"/>
  <c r="S644" i="1"/>
  <c r="Q691" i="1"/>
  <c r="L692" i="1"/>
  <c r="O692" i="1" s="1"/>
  <c r="O695" i="1"/>
  <c r="L693" i="1"/>
  <c r="O693" i="1" s="1"/>
  <c r="S696" i="1"/>
  <c r="S691" i="1"/>
  <c r="O357" i="2"/>
  <c r="P267" i="2"/>
  <c r="L176" i="1"/>
  <c r="R176" i="1"/>
  <c r="U176" i="1" s="1"/>
  <c r="L179" i="1"/>
  <c r="O179" i="1" s="1"/>
  <c r="N192" i="1"/>
  <c r="L222" i="1"/>
  <c r="N288" i="1"/>
  <c r="Q304" i="1"/>
  <c r="T304" i="1" s="1"/>
  <c r="N309" i="1"/>
  <c r="T310" i="1"/>
  <c r="N323" i="1"/>
  <c r="N321" i="1"/>
  <c r="N320" i="1" s="1"/>
  <c r="P325" i="1"/>
  <c r="M322" i="1"/>
  <c r="P322" i="1" s="1"/>
  <c r="S326" i="1"/>
  <c r="L334" i="1"/>
  <c r="O334" i="1" s="1"/>
  <c r="S378" i="1"/>
  <c r="T418" i="1"/>
  <c r="Q415" i="1"/>
  <c r="T415" i="1" s="1"/>
  <c r="S519" i="1"/>
  <c r="S540" i="1"/>
  <c r="L577" i="1"/>
  <c r="O577" i="1" s="1"/>
  <c r="T584" i="1"/>
  <c r="Q578" i="1"/>
  <c r="T578" i="1" s="1"/>
  <c r="L619" i="1"/>
  <c r="O619" i="1" s="1"/>
  <c r="L617" i="1"/>
  <c r="O620" i="1"/>
  <c r="O697" i="1"/>
  <c r="L691" i="1"/>
  <c r="L696" i="1"/>
  <c r="O696" i="1" s="1"/>
  <c r="S731" i="1"/>
  <c r="S729" i="1"/>
  <c r="S728" i="1" s="1"/>
  <c r="O765" i="1"/>
  <c r="L762" i="1"/>
  <c r="O762" i="1" s="1"/>
  <c r="S766" i="1"/>
  <c r="S761" i="1"/>
  <c r="Q616" i="2"/>
  <c r="T617" i="2"/>
  <c r="L555" i="2"/>
  <c r="O555" i="2" s="1"/>
  <c r="O556" i="2"/>
  <c r="J365" i="2"/>
  <c r="K365" i="2" s="1"/>
  <c r="K371" i="2"/>
  <c r="R356" i="2"/>
  <c r="U356" i="2" s="1"/>
  <c r="U357" i="2"/>
  <c r="I332" i="2"/>
  <c r="K344" i="2"/>
  <c r="O341" i="2"/>
  <c r="L339" i="2"/>
  <c r="O339" i="2" s="1"/>
  <c r="R306" i="2"/>
  <c r="U308" i="2"/>
  <c r="R305" i="2"/>
  <c r="M284" i="2"/>
  <c r="P284" i="2" s="1"/>
  <c r="P287" i="2"/>
  <c r="M285" i="2"/>
  <c r="P285" i="2" s="1"/>
  <c r="L243" i="2"/>
  <c r="U73" i="2"/>
  <c r="R72" i="2"/>
  <c r="U72" i="2" s="1"/>
  <c r="T338" i="1"/>
  <c r="Q335" i="1"/>
  <c r="T335" i="1" s="1"/>
  <c r="U418" i="1"/>
  <c r="R415" i="1"/>
  <c r="U415" i="1" s="1"/>
  <c r="Q496" i="1"/>
  <c r="T497" i="1"/>
  <c r="Q494" i="1"/>
  <c r="L536" i="1"/>
  <c r="O536" i="1" s="1"/>
  <c r="Q558" i="1"/>
  <c r="T558" i="1" s="1"/>
  <c r="T559" i="1"/>
  <c r="Q556" i="1"/>
  <c r="T556" i="1" s="1"/>
  <c r="S582" i="1"/>
  <c r="N600" i="1"/>
  <c r="N605" i="1"/>
  <c r="P620" i="1"/>
  <c r="M619" i="1"/>
  <c r="P619" i="1" s="1"/>
  <c r="P697" i="1"/>
  <c r="M691" i="1"/>
  <c r="P691" i="1" s="1"/>
  <c r="S716" i="1"/>
  <c r="S714" i="1" s="1"/>
  <c r="S720" i="1"/>
  <c r="O732" i="1"/>
  <c r="L729" i="1"/>
  <c r="L731" i="1"/>
  <c r="O731" i="1" s="1"/>
  <c r="R730" i="1"/>
  <c r="U736" i="1"/>
  <c r="R734" i="1"/>
  <c r="U734" i="1" s="1"/>
  <c r="M763" i="1"/>
  <c r="P763" i="1" s="1"/>
  <c r="P764" i="1"/>
  <c r="O767" i="1"/>
  <c r="L761" i="1"/>
  <c r="O761" i="1" s="1"/>
  <c r="U716" i="2"/>
  <c r="R714" i="2"/>
  <c r="U714" i="2" s="1"/>
  <c r="K707" i="2"/>
  <c r="I689" i="2"/>
  <c r="K689" i="2" s="1"/>
  <c r="R555" i="2"/>
  <c r="U555" i="2" s="1"/>
  <c r="U556" i="2"/>
  <c r="M392" i="2"/>
  <c r="P392" i="2" s="1"/>
  <c r="P393" i="2"/>
  <c r="O271" i="2"/>
  <c r="L268" i="2"/>
  <c r="O268" i="2" s="1"/>
  <c r="L269" i="2"/>
  <c r="O269" i="2" s="1"/>
  <c r="U762" i="2"/>
  <c r="R760" i="2"/>
  <c r="U760" i="2" s="1"/>
  <c r="S730" i="2"/>
  <c r="S728" i="2" s="1"/>
  <c r="S731" i="2"/>
  <c r="S693" i="2"/>
  <c r="U695" i="2"/>
  <c r="T691" i="2"/>
  <c r="Q555" i="2"/>
  <c r="T555" i="2" s="1"/>
  <c r="T556" i="2"/>
  <c r="O393" i="2"/>
  <c r="L392" i="2"/>
  <c r="O392" i="2" s="1"/>
  <c r="S141" i="2"/>
  <c r="S139" i="2" s="1"/>
  <c r="S142" i="2"/>
  <c r="P271" i="1"/>
  <c r="R285" i="1"/>
  <c r="U285" i="1" s="1"/>
  <c r="R288" i="1"/>
  <c r="U288" i="1" s="1"/>
  <c r="K292" i="1"/>
  <c r="K296" i="1"/>
  <c r="S336" i="1"/>
  <c r="T361" i="1"/>
  <c r="Q359" i="1"/>
  <c r="T359" i="1" s="1"/>
  <c r="O363" i="1"/>
  <c r="L362" i="1"/>
  <c r="O362" i="1" s="1"/>
  <c r="L357" i="1"/>
  <c r="K368" i="1"/>
  <c r="S381" i="1"/>
  <c r="L398" i="1"/>
  <c r="O398" i="1" s="1"/>
  <c r="J467" i="1"/>
  <c r="O497" i="1"/>
  <c r="L494" i="1"/>
  <c r="L496" i="1"/>
  <c r="O496" i="1" s="1"/>
  <c r="S514" i="1"/>
  <c r="Q536" i="1"/>
  <c r="T536" i="1" s="1"/>
  <c r="S555" i="1"/>
  <c r="J636" i="1"/>
  <c r="J635" i="1" s="1"/>
  <c r="R692" i="1"/>
  <c r="R693" i="1"/>
  <c r="M716" i="1"/>
  <c r="P716" i="1" s="1"/>
  <c r="P722" i="1"/>
  <c r="L730" i="1"/>
  <c r="O730" i="1" s="1"/>
  <c r="O736" i="1"/>
  <c r="N761" i="1"/>
  <c r="N760" i="1" s="1"/>
  <c r="R731" i="2"/>
  <c r="U733" i="2"/>
  <c r="Q619" i="2"/>
  <c r="T619" i="2" s="1"/>
  <c r="T621" i="2"/>
  <c r="R576" i="2"/>
  <c r="U576" i="2" s="1"/>
  <c r="S495" i="2"/>
  <c r="S493" i="2" s="1"/>
  <c r="S496" i="2"/>
  <c r="J351" i="2"/>
  <c r="P304" i="2"/>
  <c r="O174" i="2"/>
  <c r="J654" i="1"/>
  <c r="K654" i="1" s="1"/>
  <c r="J674" i="1"/>
  <c r="K674" i="1" s="1"/>
  <c r="Q730" i="2"/>
  <c r="K678" i="2"/>
  <c r="T414" i="2"/>
  <c r="S378" i="2"/>
  <c r="S377" i="2"/>
  <c r="S375" i="2" s="1"/>
  <c r="Q356" i="2"/>
  <c r="T356" i="2" s="1"/>
  <c r="T357" i="2"/>
  <c r="P321" i="2"/>
  <c r="L284" i="2"/>
  <c r="O287" i="2"/>
  <c r="L285" i="2"/>
  <c r="O285" i="2" s="1"/>
  <c r="P283" i="2"/>
  <c r="R268" i="2"/>
  <c r="U268" i="2" s="1"/>
  <c r="U271" i="2"/>
  <c r="O267" i="2"/>
  <c r="N160" i="2"/>
  <c r="O160" i="2" s="1"/>
  <c r="N159" i="2"/>
  <c r="N157" i="2" s="1"/>
  <c r="O162" i="2"/>
  <c r="U144" i="2"/>
  <c r="R142" i="2"/>
  <c r="U142" i="2" s="1"/>
  <c r="R141" i="2"/>
  <c r="K385" i="1"/>
  <c r="M414" i="1"/>
  <c r="P414" i="1" s="1"/>
  <c r="S415" i="1"/>
  <c r="S413" i="1" s="1"/>
  <c r="J433" i="1"/>
  <c r="J447" i="1"/>
  <c r="J441" i="1" s="1"/>
  <c r="L514" i="1"/>
  <c r="O514" i="1" s="1"/>
  <c r="N558" i="1"/>
  <c r="Q602" i="1"/>
  <c r="T602" i="1" s="1"/>
  <c r="Q605" i="1"/>
  <c r="T605" i="1" s="1"/>
  <c r="R643" i="1"/>
  <c r="U643" i="1" s="1"/>
  <c r="S645" i="1"/>
  <c r="J682" i="1"/>
  <c r="K682" i="1" s="1"/>
  <c r="S693" i="1"/>
  <c r="K705" i="1"/>
  <c r="I759" i="1"/>
  <c r="K759" i="1" s="1"/>
  <c r="R761" i="1"/>
  <c r="U761" i="1" s="1"/>
  <c r="S762" i="1"/>
  <c r="K774" i="2"/>
  <c r="T765" i="2"/>
  <c r="S763" i="2"/>
  <c r="Q714" i="2"/>
  <c r="T714" i="2" s="1"/>
  <c r="Q692" i="2"/>
  <c r="T692" i="2" s="1"/>
  <c r="M599" i="2"/>
  <c r="P599" i="2" s="1"/>
  <c r="N576" i="2"/>
  <c r="M534" i="2"/>
  <c r="P534" i="2" s="1"/>
  <c r="S513" i="2"/>
  <c r="R377" i="2"/>
  <c r="U380" i="2"/>
  <c r="P361" i="2"/>
  <c r="M359" i="2"/>
  <c r="P359" i="2" s="1"/>
  <c r="N358" i="2"/>
  <c r="N356" i="2" s="1"/>
  <c r="I319" i="2"/>
  <c r="K319" i="2" s="1"/>
  <c r="M305" i="2"/>
  <c r="P305" i="2" s="1"/>
  <c r="P308" i="2"/>
  <c r="Q268" i="2"/>
  <c r="T271" i="2"/>
  <c r="Q269" i="2"/>
  <c r="S266" i="2"/>
  <c r="L254" i="2"/>
  <c r="O254" i="2" s="1"/>
  <c r="O191" i="2"/>
  <c r="L188" i="2"/>
  <c r="L186" i="2" s="1"/>
  <c r="P181" i="2"/>
  <c r="M179" i="2"/>
  <c r="P179" i="2" s="1"/>
  <c r="P162" i="2"/>
  <c r="M160" i="2"/>
  <c r="M159" i="2"/>
  <c r="M157" i="2" s="1"/>
  <c r="N395" i="1"/>
  <c r="N496" i="1"/>
  <c r="T498" i="1"/>
  <c r="N537" i="1"/>
  <c r="S599" i="1"/>
  <c r="S602" i="1"/>
  <c r="S605" i="1"/>
  <c r="K630" i="1"/>
  <c r="Q648" i="1"/>
  <c r="T648" i="1" s="1"/>
  <c r="S648" i="1"/>
  <c r="Q692" i="1"/>
  <c r="L716" i="1"/>
  <c r="O716" i="1" s="1"/>
  <c r="R716" i="1"/>
  <c r="Q730" i="1"/>
  <c r="P767" i="1"/>
  <c r="L642" i="2"/>
  <c r="O642" i="2" s="1"/>
  <c r="K626" i="2"/>
  <c r="K630" i="2"/>
  <c r="K631" i="2"/>
  <c r="M576" i="2"/>
  <c r="P576" i="2" s="1"/>
  <c r="R513" i="2"/>
  <c r="U513" i="2" s="1"/>
  <c r="Q377" i="2"/>
  <c r="T380" i="2"/>
  <c r="N375" i="2"/>
  <c r="O361" i="2"/>
  <c r="L359" i="2"/>
  <c r="O359" i="2" s="1"/>
  <c r="M358" i="2"/>
  <c r="M356" i="2" s="1"/>
  <c r="L305" i="2"/>
  <c r="O308" i="2"/>
  <c r="L306" i="2"/>
  <c r="O306" i="2" s="1"/>
  <c r="U267" i="2"/>
  <c r="K241" i="2"/>
  <c r="R188" i="2"/>
  <c r="U188" i="2" s="1"/>
  <c r="U191" i="2"/>
  <c r="P189" i="2"/>
  <c r="O187" i="2"/>
  <c r="K183" i="2"/>
  <c r="L179" i="2"/>
  <c r="O179" i="2" s="1"/>
  <c r="O181" i="2"/>
  <c r="O60" i="2"/>
  <c r="P52" i="2"/>
  <c r="M50" i="2"/>
  <c r="P50" i="2" s="1"/>
  <c r="M26" i="2"/>
  <c r="P26" i="2" s="1"/>
  <c r="J351" i="1"/>
  <c r="Q376" i="1"/>
  <c r="T376" i="1" s="1"/>
  <c r="J424" i="1"/>
  <c r="J459" i="1"/>
  <c r="J476" i="1"/>
  <c r="J484" i="1"/>
  <c r="U498" i="1"/>
  <c r="S516" i="1"/>
  <c r="S579" i="1"/>
  <c r="Q617" i="1"/>
  <c r="T617" i="1" s="1"/>
  <c r="L643" i="1"/>
  <c r="O643" i="1" s="1"/>
  <c r="K678" i="1"/>
  <c r="N693" i="1"/>
  <c r="T695" i="1"/>
  <c r="K703" i="1"/>
  <c r="N720" i="1"/>
  <c r="Q720" i="1"/>
  <c r="T720" i="1" s="1"/>
  <c r="K705" i="2"/>
  <c r="T695" i="2"/>
  <c r="J674" i="2"/>
  <c r="K674" i="2" s="1"/>
  <c r="N392" i="2"/>
  <c r="M375" i="2"/>
  <c r="P375" i="2" s="1"/>
  <c r="P376" i="2"/>
  <c r="J332" i="2"/>
  <c r="P341" i="2"/>
  <c r="M339" i="2"/>
  <c r="P339" i="2" s="1"/>
  <c r="N323" i="2"/>
  <c r="O323" i="2" s="1"/>
  <c r="N322" i="2"/>
  <c r="N320" i="2" s="1"/>
  <c r="Q320" i="2"/>
  <c r="T320" i="2" s="1"/>
  <c r="S305" i="2"/>
  <c r="S306" i="2"/>
  <c r="T306" i="2" s="1"/>
  <c r="K249" i="2"/>
  <c r="I242" i="2"/>
  <c r="Q188" i="2"/>
  <c r="T191" i="2"/>
  <c r="Q189" i="2"/>
  <c r="O189" i="2"/>
  <c r="U187" i="2"/>
  <c r="P165" i="2"/>
  <c r="M163" i="2"/>
  <c r="P163" i="2" s="1"/>
  <c r="Q117" i="2"/>
  <c r="P118" i="2"/>
  <c r="L203" i="2"/>
  <c r="O203" i="2" s="1"/>
  <c r="L192" i="2"/>
  <c r="O192" i="2" s="1"/>
  <c r="U174" i="2"/>
  <c r="T144" i="2"/>
  <c r="Q142" i="2"/>
  <c r="T142" i="2" s="1"/>
  <c r="Q141" i="2"/>
  <c r="T141" i="2" s="1"/>
  <c r="T140" i="2"/>
  <c r="O118" i="2"/>
  <c r="U45" i="2"/>
  <c r="R44" i="2"/>
  <c r="U44" i="2" s="1"/>
  <c r="J503" i="2"/>
  <c r="L322" i="2"/>
  <c r="T308" i="2"/>
  <c r="I302" i="2"/>
  <c r="K302" i="2" s="1"/>
  <c r="P271" i="2"/>
  <c r="I240" i="2"/>
  <c r="K240" i="2" s="1"/>
  <c r="K229" i="2"/>
  <c r="P178" i="2"/>
  <c r="M176" i="2"/>
  <c r="P176" i="2" s="1"/>
  <c r="S175" i="2"/>
  <c r="S173" i="2" s="1"/>
  <c r="U158" i="2"/>
  <c r="Q157" i="2"/>
  <c r="T157" i="2" s="1"/>
  <c r="I93" i="2"/>
  <c r="K93" i="2" s="1"/>
  <c r="K109" i="2"/>
  <c r="N78" i="2"/>
  <c r="N26" i="2"/>
  <c r="N24" i="2" s="1"/>
  <c r="N75" i="2"/>
  <c r="N74" i="2"/>
  <c r="N72" i="2" s="1"/>
  <c r="P49" i="2"/>
  <c r="O25" i="2"/>
  <c r="P19" i="2"/>
  <c r="L176" i="2"/>
  <c r="O176" i="2" s="1"/>
  <c r="L175" i="2"/>
  <c r="K85" i="2"/>
  <c r="S24" i="2"/>
  <c r="S19" i="2"/>
  <c r="U22" i="2"/>
  <c r="R19" i="2"/>
  <c r="O19" i="2"/>
  <c r="R176" i="2"/>
  <c r="U176" i="2" s="1"/>
  <c r="R175" i="2"/>
  <c r="U175" i="2" s="1"/>
  <c r="U178" i="2"/>
  <c r="P174" i="2"/>
  <c r="N47" i="2"/>
  <c r="P47" i="2" s="1"/>
  <c r="N23" i="2"/>
  <c r="N21" i="2" s="1"/>
  <c r="N46" i="2"/>
  <c r="N44" i="2" s="1"/>
  <c r="R24" i="2"/>
  <c r="U24" i="2" s="1"/>
  <c r="U25" i="2"/>
  <c r="T22" i="2"/>
  <c r="Q19" i="2"/>
  <c r="P158" i="2"/>
  <c r="P125" i="2"/>
  <c r="M123" i="2"/>
  <c r="P123" i="2" s="1"/>
  <c r="U122" i="2"/>
  <c r="U118" i="2"/>
  <c r="Q97" i="2"/>
  <c r="I82" i="2"/>
  <c r="O52" i="2"/>
  <c r="L26" i="2"/>
  <c r="O26" i="2" s="1"/>
  <c r="L50" i="2"/>
  <c r="O50" i="2" s="1"/>
  <c r="P45" i="2"/>
  <c r="P22" i="2"/>
  <c r="O158" i="2"/>
  <c r="O147" i="2"/>
  <c r="L145" i="2"/>
  <c r="O145" i="2" s="1"/>
  <c r="M145" i="2"/>
  <c r="P145" i="2" s="1"/>
  <c r="O144" i="2"/>
  <c r="L142" i="2"/>
  <c r="T122" i="2"/>
  <c r="P122" i="2"/>
  <c r="M120" i="2"/>
  <c r="P120" i="2" s="1"/>
  <c r="S119" i="2"/>
  <c r="T119" i="2" s="1"/>
  <c r="P73" i="2"/>
  <c r="L46" i="2"/>
  <c r="M23" i="2"/>
  <c r="O22" i="2"/>
  <c r="O67" i="2"/>
  <c r="L65" i="2"/>
  <c r="O65" i="2" s="1"/>
  <c r="P60" i="2"/>
  <c r="P25" i="2"/>
  <c r="R159" i="2"/>
  <c r="U159" i="2" s="1"/>
  <c r="L159" i="2"/>
  <c r="L157" i="2" s="1"/>
  <c r="R119" i="2"/>
  <c r="R117" i="2" s="1"/>
  <c r="L119" i="2"/>
  <c r="O119" i="2" s="1"/>
  <c r="N96" i="2"/>
  <c r="N94" i="2" s="1"/>
  <c r="S74" i="2"/>
  <c r="S72" i="2" s="1"/>
  <c r="M74" i="2"/>
  <c r="P74" i="2" s="1"/>
  <c r="M61" i="2"/>
  <c r="M46" i="2"/>
  <c r="R23" i="2"/>
  <c r="R21" i="2" s="1"/>
  <c r="L23" i="2"/>
  <c r="Q23" i="2"/>
  <c r="N59" i="1"/>
  <c r="T118" i="1"/>
  <c r="U273" i="1"/>
  <c r="R272" i="1"/>
  <c r="U272" i="1" s="1"/>
  <c r="U396" i="1"/>
  <c r="R395" i="1"/>
  <c r="U395" i="1" s="1"/>
  <c r="R393" i="1"/>
  <c r="N540" i="1"/>
  <c r="N536" i="1"/>
  <c r="N534" i="1" s="1"/>
  <c r="N26" i="1"/>
  <c r="R60" i="1"/>
  <c r="N62" i="1"/>
  <c r="O64" i="1"/>
  <c r="K85" i="1"/>
  <c r="I83" i="1"/>
  <c r="P161" i="1"/>
  <c r="M160" i="1"/>
  <c r="P160" i="1" s="1"/>
  <c r="T178" i="1"/>
  <c r="Q175" i="1"/>
  <c r="T175" i="1" s="1"/>
  <c r="N189" i="1"/>
  <c r="N22" i="1"/>
  <c r="Q26" i="1"/>
  <c r="L60" i="1"/>
  <c r="L73" i="1"/>
  <c r="U76" i="1"/>
  <c r="J83" i="1"/>
  <c r="J71" i="1" s="1"/>
  <c r="K92" i="1"/>
  <c r="M339" i="1"/>
  <c r="P339" i="1" s="1"/>
  <c r="P341" i="1"/>
  <c r="M26" i="1"/>
  <c r="P26" i="1" s="1"/>
  <c r="M335" i="1"/>
  <c r="J343" i="1"/>
  <c r="J332" i="1"/>
  <c r="K332" i="1" s="1"/>
  <c r="K344" i="1"/>
  <c r="U121" i="1"/>
  <c r="R120" i="1"/>
  <c r="U120" i="1" s="1"/>
  <c r="R118" i="1"/>
  <c r="S288" i="1"/>
  <c r="S284" i="1"/>
  <c r="S26" i="1"/>
  <c r="T400" i="1"/>
  <c r="Q394" i="1"/>
  <c r="T394" i="1" s="1"/>
  <c r="R25" i="1"/>
  <c r="T52" i="1"/>
  <c r="T77" i="1"/>
  <c r="P122" i="1"/>
  <c r="M119" i="1"/>
  <c r="P119" i="1" s="1"/>
  <c r="K209" i="1"/>
  <c r="I202" i="1"/>
  <c r="K202" i="1" s="1"/>
  <c r="U270" i="1"/>
  <c r="R269" i="1"/>
  <c r="U269" i="1" s="1"/>
  <c r="R267" i="1"/>
  <c r="O417" i="1"/>
  <c r="L416" i="1"/>
  <c r="O416" i="1" s="1"/>
  <c r="L414" i="1"/>
  <c r="R22" i="1"/>
  <c r="O76" i="1"/>
  <c r="U79" i="1"/>
  <c r="P164" i="1"/>
  <c r="M163" i="1"/>
  <c r="P163" i="1" s="1"/>
  <c r="M25" i="1"/>
  <c r="O178" i="1"/>
  <c r="L175" i="1"/>
  <c r="N187" i="1"/>
  <c r="Q188" i="1"/>
  <c r="Q189" i="1"/>
  <c r="S285" i="1"/>
  <c r="S283" i="1"/>
  <c r="S359" i="1"/>
  <c r="S357" i="1"/>
  <c r="P270" i="1"/>
  <c r="M269" i="1"/>
  <c r="M267" i="1"/>
  <c r="N398" i="1"/>
  <c r="N393" i="1"/>
  <c r="N392" i="1" s="1"/>
  <c r="O118" i="1"/>
  <c r="O393" i="1"/>
  <c r="Q46" i="1"/>
  <c r="N78" i="1"/>
  <c r="N73" i="1"/>
  <c r="N25" i="1"/>
  <c r="N119" i="1"/>
  <c r="L22" i="1"/>
  <c r="Q23" i="1"/>
  <c r="L25" i="1"/>
  <c r="O47" i="1"/>
  <c r="T49" i="1"/>
  <c r="U66" i="1"/>
  <c r="R73" i="1"/>
  <c r="Q74" i="1"/>
  <c r="N75" i="1"/>
  <c r="O77" i="1"/>
  <c r="O49" i="1"/>
  <c r="M73" i="1"/>
  <c r="O124" i="1"/>
  <c r="L123" i="1"/>
  <c r="O123" i="1" s="1"/>
  <c r="K154" i="1"/>
  <c r="I136" i="1"/>
  <c r="K136" i="1" s="1"/>
  <c r="L326" i="1"/>
  <c r="O326" i="1" s="1"/>
  <c r="O328" i="1"/>
  <c r="L378" i="1"/>
  <c r="O378" i="1" s="1"/>
  <c r="O380" i="1"/>
  <c r="L377" i="1"/>
  <c r="O377" i="1" s="1"/>
  <c r="L381" i="1"/>
  <c r="O381" i="1" s="1"/>
  <c r="O383" i="1"/>
  <c r="S395" i="1"/>
  <c r="S393" i="1"/>
  <c r="S392" i="1" s="1"/>
  <c r="T767" i="1"/>
  <c r="Q766" i="1"/>
  <c r="T766" i="1" s="1"/>
  <c r="Q761" i="1"/>
  <c r="K88" i="1"/>
  <c r="Q100" i="1"/>
  <c r="T100" i="1" s="1"/>
  <c r="K108" i="1"/>
  <c r="O121" i="1"/>
  <c r="L120" i="1"/>
  <c r="O120" i="1" s="1"/>
  <c r="S158" i="1"/>
  <c r="I168" i="1"/>
  <c r="I156" i="1"/>
  <c r="K156" i="1" s="1"/>
  <c r="K167" i="1"/>
  <c r="R179" i="1"/>
  <c r="U179" i="1" s="1"/>
  <c r="U181" i="1"/>
  <c r="N203" i="1"/>
  <c r="L214" i="1"/>
  <c r="S267" i="1"/>
  <c r="O270" i="1"/>
  <c r="L269" i="1"/>
  <c r="O269" i="1" s="1"/>
  <c r="T287" i="1"/>
  <c r="Q285" i="1"/>
  <c r="T285" i="1" s="1"/>
  <c r="M336" i="1"/>
  <c r="P338" i="1"/>
  <c r="P518" i="1"/>
  <c r="M515" i="1"/>
  <c r="P515" i="1" s="1"/>
  <c r="T124" i="1"/>
  <c r="Q123" i="1"/>
  <c r="T123" i="1" s="1"/>
  <c r="N158" i="1"/>
  <c r="N157" i="1" s="1"/>
  <c r="O273" i="1"/>
  <c r="L272" i="1"/>
  <c r="O272" i="1" s="1"/>
  <c r="L285" i="1"/>
  <c r="O285" i="1" s="1"/>
  <c r="L283" i="1"/>
  <c r="O286" i="1"/>
  <c r="N306" i="1"/>
  <c r="N304" i="1"/>
  <c r="T308" i="1"/>
  <c r="Q305" i="1"/>
  <c r="T305" i="1" s="1"/>
  <c r="L323" i="1"/>
  <c r="O325" i="1"/>
  <c r="P360" i="1"/>
  <c r="M359" i="1"/>
  <c r="M357" i="1"/>
  <c r="P393" i="1"/>
  <c r="P418" i="1"/>
  <c r="M415" i="1"/>
  <c r="P415" i="1" s="1"/>
  <c r="I82" i="1"/>
  <c r="T121" i="1"/>
  <c r="Q120" i="1"/>
  <c r="T120" i="1" s="1"/>
  <c r="U124" i="1"/>
  <c r="R123" i="1"/>
  <c r="U123" i="1" s="1"/>
  <c r="Q145" i="1"/>
  <c r="T145" i="1" s="1"/>
  <c r="T147" i="1"/>
  <c r="P286" i="1"/>
  <c r="M283" i="1"/>
  <c r="P289" i="1"/>
  <c r="M288" i="1"/>
  <c r="P288" i="1" s="1"/>
  <c r="K293" i="1"/>
  <c r="I280" i="1"/>
  <c r="K280" i="1" s="1"/>
  <c r="K314" i="1"/>
  <c r="I302" i="1"/>
  <c r="K302" i="1" s="1"/>
  <c r="M326" i="1"/>
  <c r="P326" i="1" s="1"/>
  <c r="P328" i="1"/>
  <c r="T337" i="1"/>
  <c r="Q336" i="1"/>
  <c r="T336" i="1" s="1"/>
  <c r="T340" i="1"/>
  <c r="Q339" i="1"/>
  <c r="T339" i="1" s="1"/>
  <c r="T377" i="1"/>
  <c r="O396" i="1"/>
  <c r="L395" i="1"/>
  <c r="O395" i="1" s="1"/>
  <c r="O535" i="1"/>
  <c r="T541" i="1"/>
  <c r="Q540" i="1"/>
  <c r="T540" i="1" s="1"/>
  <c r="Q535" i="1"/>
  <c r="Q561" i="1"/>
  <c r="T561" i="1" s="1"/>
  <c r="T563" i="1"/>
  <c r="Q268" i="1"/>
  <c r="R336" i="1"/>
  <c r="U336" i="1" s="1"/>
  <c r="U338" i="1"/>
  <c r="R339" i="1"/>
  <c r="U339" i="1" s="1"/>
  <c r="U341" i="1"/>
  <c r="Q378" i="1"/>
  <c r="T380" i="1"/>
  <c r="P396" i="1"/>
  <c r="M395" i="1"/>
  <c r="P395" i="1" s="1"/>
  <c r="O420" i="1"/>
  <c r="L419" i="1"/>
  <c r="O419" i="1" s="1"/>
  <c r="O538" i="1"/>
  <c r="L537" i="1"/>
  <c r="O537" i="1" s="1"/>
  <c r="T580" i="1"/>
  <c r="Q579" i="1"/>
  <c r="T579" i="1" s="1"/>
  <c r="Q577" i="1"/>
  <c r="M582" i="1"/>
  <c r="P582" i="1" s="1"/>
  <c r="P583" i="1"/>
  <c r="M577" i="1"/>
  <c r="L578" i="1"/>
  <c r="O578" i="1" s="1"/>
  <c r="O584" i="1"/>
  <c r="T624" i="1"/>
  <c r="Q622" i="1"/>
  <c r="T622" i="1" s="1"/>
  <c r="Q618" i="1"/>
  <c r="N717" i="1"/>
  <c r="N715" i="1"/>
  <c r="M120" i="1"/>
  <c r="P120" i="1" s="1"/>
  <c r="M123" i="1"/>
  <c r="P123" i="1" s="1"/>
  <c r="Q176" i="1"/>
  <c r="T176" i="1" s="1"/>
  <c r="Q179" i="1"/>
  <c r="T179" i="1" s="1"/>
  <c r="Q306" i="1"/>
  <c r="T306" i="1" s="1"/>
  <c r="T324" i="1"/>
  <c r="Q323" i="1"/>
  <c r="T323" i="1" s="1"/>
  <c r="T327" i="1"/>
  <c r="Q326" i="1"/>
  <c r="T326" i="1" s="1"/>
  <c r="P363" i="1"/>
  <c r="M362" i="1"/>
  <c r="P362" i="1" s="1"/>
  <c r="R378" i="1"/>
  <c r="U380" i="1"/>
  <c r="Q381" i="1"/>
  <c r="T381" i="1" s="1"/>
  <c r="T383" i="1"/>
  <c r="U414" i="1"/>
  <c r="M537" i="1"/>
  <c r="P537" i="1" s="1"/>
  <c r="P539" i="1"/>
  <c r="U580" i="1"/>
  <c r="R579" i="1"/>
  <c r="U579" i="1" s="1"/>
  <c r="R577" i="1"/>
  <c r="R622" i="1"/>
  <c r="U622" i="1" s="1"/>
  <c r="U624" i="1"/>
  <c r="R618" i="1"/>
  <c r="U322" i="1"/>
  <c r="R323" i="1"/>
  <c r="U323" i="1" s="1"/>
  <c r="U325" i="1"/>
  <c r="R326" i="1"/>
  <c r="U326" i="1" s="1"/>
  <c r="U328" i="1"/>
  <c r="L336" i="1"/>
  <c r="O338" i="1"/>
  <c r="L339" i="1"/>
  <c r="O339" i="1" s="1"/>
  <c r="O341" i="1"/>
  <c r="N357" i="1"/>
  <c r="N356" i="1" s="1"/>
  <c r="R381" i="1"/>
  <c r="U381" i="1" s="1"/>
  <c r="U383" i="1"/>
  <c r="M519" i="1"/>
  <c r="P519" i="1" s="1"/>
  <c r="P521" i="1"/>
  <c r="Q499" i="1"/>
  <c r="T499" i="1" s="1"/>
  <c r="I492" i="1"/>
  <c r="K492" i="1" s="1"/>
  <c r="K503" i="1"/>
  <c r="T517" i="1"/>
  <c r="Q516" i="1"/>
  <c r="T516" i="1" s="1"/>
  <c r="T520" i="1"/>
  <c r="Q519" i="1"/>
  <c r="T519" i="1" s="1"/>
  <c r="U541" i="1"/>
  <c r="R540" i="1"/>
  <c r="U540" i="1" s="1"/>
  <c r="N582" i="1"/>
  <c r="N577" i="1"/>
  <c r="N576" i="1" s="1"/>
  <c r="M602" i="1"/>
  <c r="P602" i="1" s="1"/>
  <c r="P603" i="1"/>
  <c r="L602" i="1"/>
  <c r="O602" i="1" s="1"/>
  <c r="O604" i="1"/>
  <c r="P623" i="1"/>
  <c r="M617" i="1"/>
  <c r="N696" i="1"/>
  <c r="N691" i="1"/>
  <c r="P765" i="1"/>
  <c r="M762" i="1"/>
  <c r="P762" i="1" s="1"/>
  <c r="T420" i="1"/>
  <c r="Q419" i="1"/>
  <c r="T419" i="1" s="1"/>
  <c r="I423" i="1"/>
  <c r="K440" i="1"/>
  <c r="T538" i="1"/>
  <c r="Q537" i="1"/>
  <c r="T537" i="1" s="1"/>
  <c r="O580" i="1"/>
  <c r="L579" i="1"/>
  <c r="O579" i="1" s="1"/>
  <c r="M605" i="1"/>
  <c r="P605" i="1" s="1"/>
  <c r="P606" i="1"/>
  <c r="L605" i="1"/>
  <c r="O605" i="1" s="1"/>
  <c r="O607" i="1"/>
  <c r="S643" i="1"/>
  <c r="Q398" i="1"/>
  <c r="T398" i="1" s="1"/>
  <c r="U417" i="1"/>
  <c r="R416" i="1"/>
  <c r="U416" i="1" s="1"/>
  <c r="U420" i="1"/>
  <c r="R419" i="1"/>
  <c r="U419" i="1" s="1"/>
  <c r="J468" i="1"/>
  <c r="U538" i="1"/>
  <c r="R537" i="1"/>
  <c r="U537" i="1" s="1"/>
  <c r="O541" i="1"/>
  <c r="L540" i="1"/>
  <c r="O540" i="1" s="1"/>
  <c r="M579" i="1"/>
  <c r="P579" i="1" s="1"/>
  <c r="P581" i="1"/>
  <c r="T620" i="1"/>
  <c r="Q619" i="1"/>
  <c r="Q393" i="1"/>
  <c r="S416" i="1"/>
  <c r="S419" i="1"/>
  <c r="M516" i="1"/>
  <c r="P516" i="1" s="1"/>
  <c r="M540" i="1"/>
  <c r="P540" i="1" s="1"/>
  <c r="P542" i="1"/>
  <c r="R578" i="1"/>
  <c r="U578" i="1" s="1"/>
  <c r="U584" i="1"/>
  <c r="R582" i="1"/>
  <c r="U582" i="1" s="1"/>
  <c r="R619" i="1"/>
  <c r="P646" i="1"/>
  <c r="M645" i="1"/>
  <c r="P645" i="1" s="1"/>
  <c r="K746" i="1"/>
  <c r="J726" i="1"/>
  <c r="K726" i="1" s="1"/>
  <c r="I758" i="1"/>
  <c r="K758" i="1" s="1"/>
  <c r="K772" i="1"/>
  <c r="L582" i="1"/>
  <c r="O582" i="1" s="1"/>
  <c r="R602" i="1"/>
  <c r="U602" i="1" s="1"/>
  <c r="R605" i="1"/>
  <c r="U605" i="1" s="1"/>
  <c r="L622" i="1"/>
  <c r="O622" i="1" s="1"/>
  <c r="O624" i="1"/>
  <c r="P649" i="1"/>
  <c r="M648" i="1"/>
  <c r="P648" i="1" s="1"/>
  <c r="K709" i="1"/>
  <c r="T764" i="1"/>
  <c r="Q763" i="1"/>
  <c r="T763" i="1" s="1"/>
  <c r="M416" i="1"/>
  <c r="P416" i="1" s="1"/>
  <c r="M419" i="1"/>
  <c r="P419" i="1" s="1"/>
  <c r="L516" i="1"/>
  <c r="O516" i="1" s="1"/>
  <c r="R516" i="1"/>
  <c r="U516" i="1" s="1"/>
  <c r="L519" i="1"/>
  <c r="O519" i="1" s="1"/>
  <c r="R519" i="1"/>
  <c r="U519" i="1" s="1"/>
  <c r="N729" i="1"/>
  <c r="N728" i="1" s="1"/>
  <c r="I689" i="1"/>
  <c r="K689" i="1" s="1"/>
  <c r="K707" i="1"/>
  <c r="L645" i="1"/>
  <c r="O645" i="1" s="1"/>
  <c r="R645" i="1"/>
  <c r="L648" i="1"/>
  <c r="O648" i="1" s="1"/>
  <c r="R648" i="1"/>
  <c r="U648" i="1" s="1"/>
  <c r="M693" i="1"/>
  <c r="P693" i="1" s="1"/>
  <c r="M696" i="1"/>
  <c r="P696" i="1" s="1"/>
  <c r="M717" i="1"/>
  <c r="P717" i="1" s="1"/>
  <c r="K629" i="1"/>
  <c r="L763" i="1"/>
  <c r="O763" i="1" s="1"/>
  <c r="R763" i="1"/>
  <c r="U763" i="1" s="1"/>
  <c r="L766" i="1"/>
  <c r="O766" i="1" s="1"/>
  <c r="R766" i="1"/>
  <c r="U766" i="1" s="1"/>
  <c r="T722" i="1"/>
  <c r="T733" i="1"/>
  <c r="T736" i="1"/>
  <c r="O175" i="21" l="1"/>
  <c r="Q157" i="22"/>
  <c r="T157" i="22" s="1"/>
  <c r="Q117" i="22"/>
  <c r="T117" i="22" s="1"/>
  <c r="R375" i="21"/>
  <c r="U375" i="21" s="1"/>
  <c r="R616" i="21"/>
  <c r="U616" i="21" s="1"/>
  <c r="Q139" i="17"/>
  <c r="T139" i="17" s="1"/>
  <c r="R616" i="22"/>
  <c r="U616" i="22" s="1"/>
  <c r="T269" i="21"/>
  <c r="O515" i="20"/>
  <c r="P305" i="15"/>
  <c r="K701" i="18"/>
  <c r="I71" i="20"/>
  <c r="K71" i="20" s="1"/>
  <c r="P175" i="20"/>
  <c r="K374" i="15"/>
  <c r="K374" i="19"/>
  <c r="M139" i="22"/>
  <c r="P139" i="22" s="1"/>
  <c r="Q94" i="22"/>
  <c r="T94" i="22" s="1"/>
  <c r="U74" i="15"/>
  <c r="O74" i="21"/>
  <c r="U762" i="17"/>
  <c r="U305" i="18"/>
  <c r="I71" i="21"/>
  <c r="K71" i="21" s="1"/>
  <c r="K82" i="21"/>
  <c r="L72" i="20"/>
  <c r="O72" i="20" s="1"/>
  <c r="I71" i="22"/>
  <c r="K71" i="22" s="1"/>
  <c r="U269" i="18"/>
  <c r="O188" i="22"/>
  <c r="T269" i="18"/>
  <c r="P188" i="22"/>
  <c r="K332" i="17"/>
  <c r="P306" i="21"/>
  <c r="U760" i="22"/>
  <c r="P186" i="19"/>
  <c r="O306" i="21"/>
  <c r="U269" i="21"/>
  <c r="T760" i="22"/>
  <c r="P188" i="19"/>
  <c r="O188" i="19"/>
  <c r="P157" i="19"/>
  <c r="R493" i="16"/>
  <c r="U493" i="16" s="1"/>
  <c r="T618" i="21"/>
  <c r="R728" i="22"/>
  <c r="U728" i="22" s="1"/>
  <c r="O359" i="22"/>
  <c r="M157" i="22"/>
  <c r="P157" i="22" s="1"/>
  <c r="R690" i="22"/>
  <c r="U690" i="22" s="1"/>
  <c r="U72" i="21"/>
  <c r="Q413" i="22"/>
  <c r="T413" i="22" s="1"/>
  <c r="P322" i="20"/>
  <c r="O61" i="21"/>
  <c r="O188" i="21"/>
  <c r="Q728" i="22"/>
  <c r="T728" i="22" s="1"/>
  <c r="T119" i="18"/>
  <c r="M282" i="18"/>
  <c r="P282" i="18" s="1"/>
  <c r="L94" i="20"/>
  <c r="O94" i="20" s="1"/>
  <c r="M94" i="21"/>
  <c r="P94" i="21" s="1"/>
  <c r="P358" i="21"/>
  <c r="L157" i="20"/>
  <c r="O157" i="20" s="1"/>
  <c r="O96" i="22"/>
  <c r="R413" i="15"/>
  <c r="U413" i="15" s="1"/>
  <c r="K83" i="18"/>
  <c r="Q303" i="22"/>
  <c r="T303" i="22" s="1"/>
  <c r="R728" i="20"/>
  <c r="U728" i="20" s="1"/>
  <c r="L117" i="22"/>
  <c r="O117" i="22" s="1"/>
  <c r="P175" i="22"/>
  <c r="T268" i="22"/>
  <c r="O173" i="19"/>
  <c r="L117" i="21"/>
  <c r="O117" i="21" s="1"/>
  <c r="L266" i="18"/>
  <c r="O266" i="18" s="1"/>
  <c r="R760" i="18"/>
  <c r="U760" i="18" s="1"/>
  <c r="U269" i="22"/>
  <c r="O515" i="17"/>
  <c r="M117" i="19"/>
  <c r="P117" i="19" s="1"/>
  <c r="U644" i="19"/>
  <c r="R139" i="21"/>
  <c r="U139" i="21" s="1"/>
  <c r="R303" i="21"/>
  <c r="U303" i="21" s="1"/>
  <c r="K374" i="21"/>
  <c r="T266" i="22"/>
  <c r="Q375" i="22"/>
  <c r="T375" i="22" s="1"/>
  <c r="O358" i="22"/>
  <c r="P358" i="22"/>
  <c r="U268" i="22"/>
  <c r="T762" i="22"/>
  <c r="L282" i="16"/>
  <c r="O282" i="16" s="1"/>
  <c r="M117" i="18"/>
  <c r="P117" i="18" s="1"/>
  <c r="U762" i="22"/>
  <c r="M513" i="22"/>
  <c r="P513" i="22" s="1"/>
  <c r="U645" i="21"/>
  <c r="T189" i="21"/>
  <c r="O186" i="21"/>
  <c r="K701" i="19"/>
  <c r="T642" i="21"/>
  <c r="T644" i="22"/>
  <c r="P266" i="22"/>
  <c r="R642" i="21"/>
  <c r="U642" i="21" s="1"/>
  <c r="P303" i="21"/>
  <c r="U616" i="19"/>
  <c r="M303" i="19"/>
  <c r="P303" i="19" s="1"/>
  <c r="M117" i="21"/>
  <c r="P117" i="21" s="1"/>
  <c r="R186" i="21"/>
  <c r="U186" i="21" s="1"/>
  <c r="O176" i="22"/>
  <c r="Q616" i="22"/>
  <c r="T616" i="22" s="1"/>
  <c r="T616" i="21"/>
  <c r="P268" i="22"/>
  <c r="P359" i="22"/>
  <c r="L157" i="22"/>
  <c r="O157" i="22" s="1"/>
  <c r="M117" i="22"/>
  <c r="P117" i="22" s="1"/>
  <c r="P119" i="22"/>
  <c r="R266" i="22"/>
  <c r="U266" i="22" s="1"/>
  <c r="R72" i="22"/>
  <c r="U72" i="22" s="1"/>
  <c r="U74" i="22"/>
  <c r="O336" i="22"/>
  <c r="L282" i="22"/>
  <c r="O282" i="22" s="1"/>
  <c r="Q493" i="22"/>
  <c r="T493" i="22" s="1"/>
  <c r="M94" i="22"/>
  <c r="P94" i="22" s="1"/>
  <c r="P96" i="22"/>
  <c r="L186" i="22"/>
  <c r="O186" i="22" s="1"/>
  <c r="T141" i="22"/>
  <c r="Q139" i="22"/>
  <c r="T139" i="22" s="1"/>
  <c r="M24" i="20"/>
  <c r="P24" i="20" s="1"/>
  <c r="L356" i="22"/>
  <c r="O356" i="22" s="1"/>
  <c r="U762" i="21"/>
  <c r="M303" i="22"/>
  <c r="P303" i="22" s="1"/>
  <c r="L72" i="22"/>
  <c r="O72" i="22" s="1"/>
  <c r="O61" i="20"/>
  <c r="U120" i="20"/>
  <c r="T120" i="20"/>
  <c r="U619" i="20"/>
  <c r="T645" i="21"/>
  <c r="T762" i="21"/>
  <c r="S642" i="22"/>
  <c r="U642" i="22" s="1"/>
  <c r="T619" i="22"/>
  <c r="R173" i="18"/>
  <c r="U173" i="18" s="1"/>
  <c r="P188" i="18"/>
  <c r="U692" i="18"/>
  <c r="O358" i="20"/>
  <c r="M94" i="20"/>
  <c r="P94" i="20" s="1"/>
  <c r="L94" i="21"/>
  <c r="O94" i="21" s="1"/>
  <c r="M72" i="22"/>
  <c r="P72" i="22" s="1"/>
  <c r="Q173" i="22"/>
  <c r="T173" i="22" s="1"/>
  <c r="R186" i="22"/>
  <c r="U186" i="22" s="1"/>
  <c r="N173" i="22"/>
  <c r="P173" i="22" s="1"/>
  <c r="M186" i="22"/>
  <c r="P186" i="22" s="1"/>
  <c r="P44" i="22"/>
  <c r="U760" i="21"/>
  <c r="U19" i="22"/>
  <c r="L20" i="22"/>
  <c r="O23" i="22"/>
  <c r="O305" i="22"/>
  <c r="L303" i="22"/>
  <c r="O303" i="22" s="1"/>
  <c r="U495" i="22"/>
  <c r="R493" i="22"/>
  <c r="U493" i="22" s="1"/>
  <c r="Q642" i="22"/>
  <c r="O356" i="17"/>
  <c r="L320" i="17"/>
  <c r="O320" i="17" s="1"/>
  <c r="P358" i="17"/>
  <c r="T692" i="17"/>
  <c r="O254" i="18"/>
  <c r="R157" i="19"/>
  <c r="U157" i="19" s="1"/>
  <c r="T693" i="19"/>
  <c r="N59" i="21"/>
  <c r="O59" i="21" s="1"/>
  <c r="P189" i="21"/>
  <c r="P305" i="21"/>
  <c r="R139" i="22"/>
  <c r="U139" i="22" s="1"/>
  <c r="K242" i="22"/>
  <c r="I231" i="22"/>
  <c r="M356" i="22"/>
  <c r="P356" i="22" s="1"/>
  <c r="U305" i="22"/>
  <c r="R303" i="22"/>
  <c r="U303" i="22" s="1"/>
  <c r="L513" i="22"/>
  <c r="O513" i="22" s="1"/>
  <c r="R20" i="22"/>
  <c r="U20" i="22" s="1"/>
  <c r="U23" i="22"/>
  <c r="L266" i="22"/>
  <c r="O266" i="22" s="1"/>
  <c r="Q690" i="22"/>
  <c r="T690" i="22" s="1"/>
  <c r="Q186" i="20"/>
  <c r="T186" i="20" s="1"/>
  <c r="U692" i="20"/>
  <c r="T619" i="21"/>
  <c r="L24" i="22"/>
  <c r="O24" i="22" s="1"/>
  <c r="P59" i="22"/>
  <c r="K82" i="22"/>
  <c r="I70" i="22"/>
  <c r="K70" i="22" s="1"/>
  <c r="L320" i="22"/>
  <c r="O320" i="22" s="1"/>
  <c r="T269" i="20"/>
  <c r="P268" i="21"/>
  <c r="Q20" i="22"/>
  <c r="T23" i="22"/>
  <c r="Q21" i="22"/>
  <c r="L59" i="22"/>
  <c r="O59" i="22" s="1"/>
  <c r="O61" i="22"/>
  <c r="S18" i="22"/>
  <c r="S21" i="22"/>
  <c r="U21" i="22" s="1"/>
  <c r="O335" i="22"/>
  <c r="L333" i="22"/>
  <c r="O333" i="22" s="1"/>
  <c r="P335" i="22"/>
  <c r="M333" i="22"/>
  <c r="P333" i="22" s="1"/>
  <c r="M320" i="22"/>
  <c r="P320" i="22" s="1"/>
  <c r="U730" i="21"/>
  <c r="R375" i="22"/>
  <c r="U375" i="22" s="1"/>
  <c r="M320" i="21"/>
  <c r="P320" i="21" s="1"/>
  <c r="Q760" i="21"/>
  <c r="T760" i="21" s="1"/>
  <c r="L21" i="22"/>
  <c r="N21" i="22"/>
  <c r="P21" i="22" s="1"/>
  <c r="N20" i="22"/>
  <c r="N18" i="22" s="1"/>
  <c r="P46" i="22"/>
  <c r="P23" i="22"/>
  <c r="M20" i="22"/>
  <c r="O243" i="22"/>
  <c r="L232" i="22"/>
  <c r="L139" i="22"/>
  <c r="O139" i="22" s="1"/>
  <c r="P159" i="21"/>
  <c r="U728" i="21"/>
  <c r="L44" i="22"/>
  <c r="O46" i="22"/>
  <c r="O175" i="22"/>
  <c r="L173" i="22"/>
  <c r="M24" i="22"/>
  <c r="P24" i="22" s="1"/>
  <c r="P61" i="22"/>
  <c r="M282" i="22"/>
  <c r="P282" i="22" s="1"/>
  <c r="K332" i="22"/>
  <c r="T693" i="14"/>
  <c r="T728" i="14"/>
  <c r="O46" i="19"/>
  <c r="O335" i="20"/>
  <c r="M139" i="20"/>
  <c r="P139" i="20" s="1"/>
  <c r="M282" i="20"/>
  <c r="P282" i="20" s="1"/>
  <c r="M513" i="20"/>
  <c r="P513" i="20" s="1"/>
  <c r="Q493" i="21"/>
  <c r="T493" i="21" s="1"/>
  <c r="P358" i="20"/>
  <c r="Q375" i="21"/>
  <c r="T375" i="21" s="1"/>
  <c r="R760" i="20"/>
  <c r="U760" i="20" s="1"/>
  <c r="L173" i="21"/>
  <c r="O173" i="21" s="1"/>
  <c r="P266" i="21"/>
  <c r="T616" i="19"/>
  <c r="N72" i="21"/>
  <c r="O72" i="21" s="1"/>
  <c r="U266" i="16"/>
  <c r="R173" i="21"/>
  <c r="U173" i="21" s="1"/>
  <c r="U189" i="21"/>
  <c r="K701" i="21"/>
  <c r="M72" i="21"/>
  <c r="P74" i="21"/>
  <c r="O44" i="21"/>
  <c r="L139" i="21"/>
  <c r="O139" i="21" s="1"/>
  <c r="O141" i="21"/>
  <c r="P284" i="21"/>
  <c r="M282" i="21"/>
  <c r="P282" i="21" s="1"/>
  <c r="O268" i="21"/>
  <c r="L266" i="21"/>
  <c r="O266" i="21" s="1"/>
  <c r="T692" i="21"/>
  <c r="Q690" i="21"/>
  <c r="T690" i="21" s="1"/>
  <c r="O175" i="19"/>
  <c r="P159" i="19"/>
  <c r="T618" i="19"/>
  <c r="O46" i="21"/>
  <c r="P175" i="21"/>
  <c r="M173" i="21"/>
  <c r="P173" i="21" s="1"/>
  <c r="T74" i="21"/>
  <c r="O305" i="21"/>
  <c r="L303" i="21"/>
  <c r="O303" i="21" s="1"/>
  <c r="L320" i="21"/>
  <c r="O320" i="21" s="1"/>
  <c r="P333" i="21"/>
  <c r="U378" i="21"/>
  <c r="R266" i="21"/>
  <c r="U266" i="21" s="1"/>
  <c r="U268" i="21"/>
  <c r="L232" i="21"/>
  <c r="O243" i="21"/>
  <c r="O358" i="18"/>
  <c r="P358" i="19"/>
  <c r="M356" i="20"/>
  <c r="P356" i="20" s="1"/>
  <c r="Q493" i="20"/>
  <c r="T493" i="20" s="1"/>
  <c r="T618" i="20"/>
  <c r="O46" i="20"/>
  <c r="L21" i="21"/>
  <c r="L20" i="21"/>
  <c r="O23" i="21"/>
  <c r="U74" i="21"/>
  <c r="T268" i="21"/>
  <c r="Q266" i="21"/>
  <c r="T266" i="21" s="1"/>
  <c r="T119" i="21"/>
  <c r="Q117" i="21"/>
  <c r="T117" i="21" s="1"/>
  <c r="M356" i="21"/>
  <c r="P356" i="21" s="1"/>
  <c r="I412" i="21"/>
  <c r="K412" i="21" s="1"/>
  <c r="K423" i="21"/>
  <c r="P160" i="17"/>
  <c r="O189" i="18"/>
  <c r="T119" i="19"/>
  <c r="R173" i="19"/>
  <c r="U173" i="19" s="1"/>
  <c r="O159" i="19"/>
  <c r="T644" i="19"/>
  <c r="P188" i="20"/>
  <c r="O188" i="20"/>
  <c r="L232" i="20"/>
  <c r="R21" i="21"/>
  <c r="R20" i="21"/>
  <c r="U23" i="21"/>
  <c r="S21" i="21"/>
  <c r="L24" i="21"/>
  <c r="O24" i="21" s="1"/>
  <c r="O26" i="21"/>
  <c r="P141" i="21"/>
  <c r="M139" i="21"/>
  <c r="P139" i="21" s="1"/>
  <c r="I185" i="21"/>
  <c r="K185" i="21" s="1"/>
  <c r="T72" i="21"/>
  <c r="P188" i="21"/>
  <c r="M186" i="21"/>
  <c r="P186" i="21" s="1"/>
  <c r="Q303" i="21"/>
  <c r="T303" i="21" s="1"/>
  <c r="P515" i="21"/>
  <c r="M513" i="21"/>
  <c r="P513" i="21" s="1"/>
  <c r="Q728" i="21"/>
  <c r="T728" i="21" s="1"/>
  <c r="T730" i="21"/>
  <c r="O284" i="21"/>
  <c r="L282" i="21"/>
  <c r="O282" i="21" s="1"/>
  <c r="T141" i="21"/>
  <c r="Q139" i="21"/>
  <c r="T139" i="21" s="1"/>
  <c r="K701" i="16"/>
  <c r="L117" i="18"/>
  <c r="O117" i="18" s="1"/>
  <c r="I231" i="18"/>
  <c r="K231" i="18" s="1"/>
  <c r="T415" i="18"/>
  <c r="P96" i="18"/>
  <c r="O157" i="19"/>
  <c r="U692" i="19"/>
  <c r="U619" i="19"/>
  <c r="M44" i="21"/>
  <c r="P46" i="21"/>
  <c r="T19" i="21"/>
  <c r="N21" i="21"/>
  <c r="P21" i="21" s="1"/>
  <c r="N20" i="21"/>
  <c r="N18" i="21" s="1"/>
  <c r="P19" i="21"/>
  <c r="U117" i="21"/>
  <c r="N157" i="21"/>
  <c r="O159" i="21"/>
  <c r="S18" i="21"/>
  <c r="Q173" i="21"/>
  <c r="T173" i="21" s="1"/>
  <c r="T175" i="21"/>
  <c r="R493" i="21"/>
  <c r="U493" i="21" s="1"/>
  <c r="Q157" i="21"/>
  <c r="T157" i="21" s="1"/>
  <c r="P335" i="21"/>
  <c r="U415" i="21"/>
  <c r="R413" i="21"/>
  <c r="U413" i="21" s="1"/>
  <c r="L356" i="21"/>
  <c r="O356" i="21" s="1"/>
  <c r="O358" i="21"/>
  <c r="L513" i="21"/>
  <c r="O513" i="21" s="1"/>
  <c r="T306" i="21"/>
  <c r="K82" i="16"/>
  <c r="U120" i="17"/>
  <c r="P189" i="18"/>
  <c r="P268" i="19"/>
  <c r="U618" i="20"/>
  <c r="M59" i="21"/>
  <c r="P59" i="21" s="1"/>
  <c r="P61" i="21"/>
  <c r="P23" i="21"/>
  <c r="M20" i="21"/>
  <c r="M24" i="21"/>
  <c r="P24" i="21" s="1"/>
  <c r="M157" i="21"/>
  <c r="P157" i="21" s="1"/>
  <c r="Q20" i="21"/>
  <c r="T20" i="21" s="1"/>
  <c r="T23" i="21"/>
  <c r="Q21" i="21"/>
  <c r="L333" i="21"/>
  <c r="O333" i="21" s="1"/>
  <c r="O335" i="21"/>
  <c r="U693" i="21"/>
  <c r="U119" i="21"/>
  <c r="R266" i="20"/>
  <c r="U266" i="20" s="1"/>
  <c r="N44" i="19"/>
  <c r="P44" i="19" s="1"/>
  <c r="Q375" i="19"/>
  <c r="T375" i="19" s="1"/>
  <c r="O189" i="20"/>
  <c r="L117" i="20"/>
  <c r="O117" i="20" s="1"/>
  <c r="Q375" i="20"/>
  <c r="T375" i="20" s="1"/>
  <c r="P119" i="20"/>
  <c r="M117" i="20"/>
  <c r="P117" i="20" s="1"/>
  <c r="M157" i="20"/>
  <c r="P157" i="20" s="1"/>
  <c r="P268" i="15"/>
  <c r="L186" i="20"/>
  <c r="O186" i="20" s="1"/>
  <c r="K503" i="18"/>
  <c r="N59" i="20"/>
  <c r="P59" i="20" s="1"/>
  <c r="T619" i="20"/>
  <c r="T268" i="13"/>
  <c r="L513" i="18"/>
  <c r="O513" i="18" s="1"/>
  <c r="K701" i="17"/>
  <c r="O188" i="18"/>
  <c r="O335" i="18"/>
  <c r="L72" i="19"/>
  <c r="O72" i="19" s="1"/>
  <c r="P175" i="19"/>
  <c r="R375" i="19"/>
  <c r="U375" i="19" s="1"/>
  <c r="U618" i="19"/>
  <c r="P61" i="20"/>
  <c r="N173" i="20"/>
  <c r="O173" i="20" s="1"/>
  <c r="K82" i="20"/>
  <c r="I70" i="20"/>
  <c r="K70" i="20" s="1"/>
  <c r="R375" i="20"/>
  <c r="U375" i="20" s="1"/>
  <c r="U97" i="16"/>
  <c r="P269" i="18"/>
  <c r="Q375" i="18"/>
  <c r="T375" i="18" s="1"/>
  <c r="R139" i="20"/>
  <c r="U139" i="20" s="1"/>
  <c r="U141" i="20"/>
  <c r="T19" i="20"/>
  <c r="O44" i="20"/>
  <c r="L303" i="20"/>
  <c r="O303" i="20" s="1"/>
  <c r="O305" i="20"/>
  <c r="L24" i="20"/>
  <c r="O24" i="20" s="1"/>
  <c r="O26" i="20"/>
  <c r="S616" i="20"/>
  <c r="O336" i="18"/>
  <c r="Q20" i="20"/>
  <c r="T20" i="20" s="1"/>
  <c r="T23" i="20"/>
  <c r="Q21" i="20"/>
  <c r="P23" i="20"/>
  <c r="M20" i="20"/>
  <c r="M18" i="20" s="1"/>
  <c r="R303" i="20"/>
  <c r="U303" i="20" s="1"/>
  <c r="U305" i="20"/>
  <c r="I231" i="20"/>
  <c r="K242" i="20"/>
  <c r="O322" i="20"/>
  <c r="L320" i="20"/>
  <c r="O320" i="20" s="1"/>
  <c r="P175" i="15"/>
  <c r="T188" i="19"/>
  <c r="U186" i="19"/>
  <c r="O333" i="19"/>
  <c r="Q690" i="19"/>
  <c r="T690" i="19" s="1"/>
  <c r="Q760" i="19"/>
  <c r="T760" i="19" s="1"/>
  <c r="P269" i="19"/>
  <c r="L21" i="20"/>
  <c r="L20" i="20"/>
  <c r="O23" i="20"/>
  <c r="N21" i="20"/>
  <c r="N20" i="20"/>
  <c r="N18" i="20" s="1"/>
  <c r="O175" i="20"/>
  <c r="O356" i="20"/>
  <c r="M303" i="20"/>
  <c r="P303" i="20" s="1"/>
  <c r="U645" i="19"/>
  <c r="R493" i="20"/>
  <c r="U493" i="20" s="1"/>
  <c r="T97" i="16"/>
  <c r="O358" i="16"/>
  <c r="U731" i="16"/>
  <c r="T74" i="17"/>
  <c r="P323" i="18"/>
  <c r="U496" i="18"/>
  <c r="T268" i="19"/>
  <c r="L303" i="19"/>
  <c r="O303" i="19" s="1"/>
  <c r="T117" i="19"/>
  <c r="T763" i="19"/>
  <c r="R21" i="20"/>
  <c r="R20" i="20"/>
  <c r="U23" i="20"/>
  <c r="S21" i="20"/>
  <c r="M72" i="20"/>
  <c r="P72" i="20" s="1"/>
  <c r="P19" i="20"/>
  <c r="R186" i="20"/>
  <c r="U186" i="20" s="1"/>
  <c r="P44" i="20"/>
  <c r="Q117" i="20"/>
  <c r="T117" i="20" s="1"/>
  <c r="P268" i="20"/>
  <c r="M266" i="20"/>
  <c r="P266" i="20" s="1"/>
  <c r="P335" i="20"/>
  <c r="M333" i="20"/>
  <c r="P333" i="20" s="1"/>
  <c r="L333" i="20"/>
  <c r="O333" i="20" s="1"/>
  <c r="L266" i="20"/>
  <c r="O266" i="20" s="1"/>
  <c r="S18" i="20"/>
  <c r="I412" i="20"/>
  <c r="K412" i="20" s="1"/>
  <c r="K423" i="20"/>
  <c r="O336" i="19"/>
  <c r="U763" i="19"/>
  <c r="P46" i="20"/>
  <c r="Q157" i="20"/>
  <c r="T157" i="20" s="1"/>
  <c r="Q266" i="20"/>
  <c r="T266" i="20" s="1"/>
  <c r="T268" i="20"/>
  <c r="S642" i="20"/>
  <c r="T642" i="20" s="1"/>
  <c r="Q728" i="20"/>
  <c r="T728" i="20" s="1"/>
  <c r="T189" i="14"/>
  <c r="L94" i="15"/>
  <c r="O94" i="15" s="1"/>
  <c r="K374" i="16"/>
  <c r="T303" i="17"/>
  <c r="U690" i="17"/>
  <c r="R157" i="18"/>
  <c r="U157" i="18" s="1"/>
  <c r="I70" i="18"/>
  <c r="K70" i="18" s="1"/>
  <c r="U120" i="19"/>
  <c r="O176" i="19"/>
  <c r="L139" i="20"/>
  <c r="O139" i="20" s="1"/>
  <c r="O141" i="20"/>
  <c r="M21" i="20"/>
  <c r="P21" i="20" s="1"/>
  <c r="L282" i="20"/>
  <c r="O282" i="20" s="1"/>
  <c r="O284" i="20"/>
  <c r="M186" i="20"/>
  <c r="P186" i="20" s="1"/>
  <c r="R642" i="20"/>
  <c r="U644" i="20"/>
  <c r="I71" i="12"/>
  <c r="K71" i="12" s="1"/>
  <c r="O159" i="17"/>
  <c r="T97" i="17"/>
  <c r="T188" i="17"/>
  <c r="T644" i="17"/>
  <c r="O74" i="18"/>
  <c r="P358" i="18"/>
  <c r="L117" i="19"/>
  <c r="O117" i="19" s="1"/>
  <c r="U117" i="19"/>
  <c r="L320" i="19"/>
  <c r="O320" i="19" s="1"/>
  <c r="M94" i="19"/>
  <c r="P94" i="19" s="1"/>
  <c r="O333" i="18"/>
  <c r="M72" i="19"/>
  <c r="P72" i="19" s="1"/>
  <c r="R642" i="18"/>
  <c r="U642" i="18" s="1"/>
  <c r="S728" i="19"/>
  <c r="U728" i="19" s="1"/>
  <c r="R94" i="19"/>
  <c r="U94" i="19" s="1"/>
  <c r="U96" i="19"/>
  <c r="P59" i="19"/>
  <c r="O335" i="19"/>
  <c r="U117" i="18"/>
  <c r="R493" i="19"/>
  <c r="U493" i="19" s="1"/>
  <c r="Q173" i="17"/>
  <c r="T173" i="17" s="1"/>
  <c r="U72" i="18"/>
  <c r="O61" i="18"/>
  <c r="U618" i="18"/>
  <c r="S21" i="19"/>
  <c r="U21" i="19" s="1"/>
  <c r="P336" i="19"/>
  <c r="Q413" i="19"/>
  <c r="T413" i="19" s="1"/>
  <c r="M513" i="19"/>
  <c r="P513" i="19" s="1"/>
  <c r="T72" i="18"/>
  <c r="Q760" i="18"/>
  <c r="T760" i="18" s="1"/>
  <c r="P141" i="19"/>
  <c r="M282" i="19"/>
  <c r="P282" i="19" s="1"/>
  <c r="P46" i="19"/>
  <c r="U188" i="19"/>
  <c r="T303" i="19"/>
  <c r="M266" i="19"/>
  <c r="P266" i="19" s="1"/>
  <c r="M139" i="19"/>
  <c r="P139" i="19" s="1"/>
  <c r="N356" i="19"/>
  <c r="P356" i="19" s="1"/>
  <c r="U730" i="19"/>
  <c r="I70" i="14"/>
  <c r="K70" i="14" s="1"/>
  <c r="U760" i="15"/>
  <c r="Q413" i="17"/>
  <c r="T413" i="17" s="1"/>
  <c r="U120" i="18"/>
  <c r="L94" i="18"/>
  <c r="O94" i="18" s="1"/>
  <c r="Q20" i="19"/>
  <c r="T20" i="19" s="1"/>
  <c r="T23" i="19"/>
  <c r="Q21" i="19"/>
  <c r="L24" i="19"/>
  <c r="O24" i="19" s="1"/>
  <c r="L186" i="19"/>
  <c r="O186" i="19" s="1"/>
  <c r="S266" i="19"/>
  <c r="U266" i="19" s="1"/>
  <c r="U189" i="19"/>
  <c r="U305" i="19"/>
  <c r="Q186" i="19"/>
  <c r="T186" i="19" s="1"/>
  <c r="L282" i="19"/>
  <c r="O282" i="19" s="1"/>
  <c r="O284" i="19"/>
  <c r="K83" i="19"/>
  <c r="I71" i="19"/>
  <c r="K71" i="19" s="1"/>
  <c r="O141" i="19"/>
  <c r="L232" i="19"/>
  <c r="R20" i="19"/>
  <c r="U20" i="19" s="1"/>
  <c r="U23" i="19"/>
  <c r="L266" i="19"/>
  <c r="O266" i="19" s="1"/>
  <c r="P358" i="16"/>
  <c r="T19" i="19"/>
  <c r="O139" i="19"/>
  <c r="N21" i="19"/>
  <c r="O21" i="19" s="1"/>
  <c r="N20" i="19"/>
  <c r="N18" i="19" s="1"/>
  <c r="K82" i="19"/>
  <c r="I70" i="19"/>
  <c r="K70" i="19" s="1"/>
  <c r="O142" i="19"/>
  <c r="U19" i="19"/>
  <c r="P335" i="17"/>
  <c r="P23" i="19"/>
  <c r="M20" i="19"/>
  <c r="M21" i="19"/>
  <c r="Q157" i="19"/>
  <c r="T157" i="19" s="1"/>
  <c r="T159" i="19"/>
  <c r="R413" i="19"/>
  <c r="U413" i="19" s="1"/>
  <c r="U415" i="19"/>
  <c r="U303" i="19"/>
  <c r="L513" i="19"/>
  <c r="O513" i="19" s="1"/>
  <c r="I412" i="19"/>
  <c r="K412" i="19" s="1"/>
  <c r="K423" i="19"/>
  <c r="T305" i="19"/>
  <c r="U97" i="11"/>
  <c r="U619" i="18"/>
  <c r="L59" i="19"/>
  <c r="O59" i="19" s="1"/>
  <c r="O61" i="19"/>
  <c r="L20" i="19"/>
  <c r="O23" i="19"/>
  <c r="M320" i="19"/>
  <c r="P320" i="19" s="1"/>
  <c r="P322" i="19"/>
  <c r="L356" i="19"/>
  <c r="O358" i="19"/>
  <c r="P61" i="19"/>
  <c r="M24" i="17"/>
  <c r="P24" i="17" s="1"/>
  <c r="S21" i="18"/>
  <c r="S18" i="18"/>
  <c r="T728" i="18"/>
  <c r="S760" i="17"/>
  <c r="T760" i="17" s="1"/>
  <c r="M24" i="19"/>
  <c r="P24" i="19" s="1"/>
  <c r="O62" i="19"/>
  <c r="P62" i="19"/>
  <c r="Q94" i="19"/>
  <c r="T94" i="19" s="1"/>
  <c r="T96" i="19"/>
  <c r="P335" i="19"/>
  <c r="M333" i="19"/>
  <c r="P333" i="19" s="1"/>
  <c r="M173" i="19"/>
  <c r="P173" i="19" s="1"/>
  <c r="O96" i="19"/>
  <c r="L94" i="19"/>
  <c r="O94" i="19" s="1"/>
  <c r="I231" i="19"/>
  <c r="U692" i="12"/>
  <c r="L282" i="15"/>
  <c r="O282" i="15" s="1"/>
  <c r="U618" i="15"/>
  <c r="P175" i="16"/>
  <c r="O96" i="16"/>
  <c r="U644" i="16"/>
  <c r="R157" i="17"/>
  <c r="U157" i="17" s="1"/>
  <c r="O305" i="17"/>
  <c r="Q728" i="17"/>
  <c r="T728" i="17" s="1"/>
  <c r="O175" i="18"/>
  <c r="M356" i="18"/>
  <c r="P356" i="18" s="1"/>
  <c r="P359" i="18"/>
  <c r="T619" i="18"/>
  <c r="R493" i="15"/>
  <c r="U493" i="15" s="1"/>
  <c r="O305" i="16"/>
  <c r="U377" i="17"/>
  <c r="L266" i="17"/>
  <c r="O266" i="17" s="1"/>
  <c r="U730" i="18"/>
  <c r="K492" i="18"/>
  <c r="O21" i="17"/>
  <c r="T306" i="17"/>
  <c r="O46" i="18"/>
  <c r="U74" i="18"/>
  <c r="T120" i="18"/>
  <c r="U188" i="18"/>
  <c r="O322" i="18"/>
  <c r="L186" i="18"/>
  <c r="O186" i="18" s="1"/>
  <c r="M303" i="18"/>
  <c r="P303" i="18" s="1"/>
  <c r="U616" i="18"/>
  <c r="U119" i="18"/>
  <c r="R690" i="18"/>
  <c r="U690" i="18" s="1"/>
  <c r="T618" i="18"/>
  <c r="U616" i="15"/>
  <c r="M186" i="18"/>
  <c r="P186" i="18" s="1"/>
  <c r="T117" i="18"/>
  <c r="T616" i="18"/>
  <c r="L157" i="18"/>
  <c r="O157" i="18" s="1"/>
  <c r="L21" i="18"/>
  <c r="L20" i="18"/>
  <c r="O23" i="18"/>
  <c r="N72" i="18"/>
  <c r="O72" i="18" s="1"/>
  <c r="T305" i="18"/>
  <c r="Q303" i="18"/>
  <c r="T303" i="18" s="1"/>
  <c r="O320" i="18"/>
  <c r="P322" i="18"/>
  <c r="M320" i="18"/>
  <c r="P320" i="18" s="1"/>
  <c r="P119" i="13"/>
  <c r="R375" i="14"/>
  <c r="U375" i="14" s="1"/>
  <c r="T72" i="17"/>
  <c r="T186" i="17"/>
  <c r="R303" i="17"/>
  <c r="U303" i="17" s="1"/>
  <c r="R760" i="17"/>
  <c r="R21" i="18"/>
  <c r="R20" i="18"/>
  <c r="U23" i="18"/>
  <c r="T19" i="18"/>
  <c r="N21" i="18"/>
  <c r="P21" i="18" s="1"/>
  <c r="N20" i="18"/>
  <c r="N18" i="18" s="1"/>
  <c r="L139" i="18"/>
  <c r="O139" i="18" s="1"/>
  <c r="O141" i="18"/>
  <c r="P141" i="18"/>
  <c r="M139" i="18"/>
  <c r="P139" i="18" s="1"/>
  <c r="L303" i="18"/>
  <c r="O303" i="18" s="1"/>
  <c r="O305" i="18"/>
  <c r="L282" i="18"/>
  <c r="O282" i="18" s="1"/>
  <c r="O284" i="18"/>
  <c r="T692" i="18"/>
  <c r="Q690" i="18"/>
  <c r="T690" i="18" s="1"/>
  <c r="T496" i="18"/>
  <c r="U189" i="14"/>
  <c r="P358" i="15"/>
  <c r="M282" i="15"/>
  <c r="P282" i="15" s="1"/>
  <c r="U269" i="15"/>
  <c r="M72" i="16"/>
  <c r="P72" i="16" s="1"/>
  <c r="P268" i="16"/>
  <c r="T644" i="16"/>
  <c r="R760" i="16"/>
  <c r="U760" i="16" s="1"/>
  <c r="O175" i="17"/>
  <c r="S18" i="17"/>
  <c r="U188" i="17"/>
  <c r="T619" i="17"/>
  <c r="T269" i="17"/>
  <c r="M44" i="18"/>
  <c r="P46" i="18"/>
  <c r="P23" i="18"/>
  <c r="M20" i="18"/>
  <c r="M18" i="18" s="1"/>
  <c r="M24" i="18"/>
  <c r="P24" i="18" s="1"/>
  <c r="L173" i="18"/>
  <c r="O173" i="18" s="1"/>
  <c r="L24" i="18"/>
  <c r="O24" i="18" s="1"/>
  <c r="O26" i="18"/>
  <c r="T188" i="18"/>
  <c r="U728" i="18"/>
  <c r="S356" i="1"/>
  <c r="M157" i="12"/>
  <c r="P157" i="12" s="1"/>
  <c r="P359" i="15"/>
  <c r="I71" i="17"/>
  <c r="K71" i="17" s="1"/>
  <c r="U692" i="17"/>
  <c r="O46" i="17"/>
  <c r="R139" i="17"/>
  <c r="U139" i="17" s="1"/>
  <c r="U97" i="17"/>
  <c r="M59" i="18"/>
  <c r="P61" i="18"/>
  <c r="T74" i="18"/>
  <c r="P159" i="18"/>
  <c r="M157" i="18"/>
  <c r="P157" i="18" s="1"/>
  <c r="T141" i="18"/>
  <c r="Q139" i="18"/>
  <c r="T139" i="18" s="1"/>
  <c r="N44" i="18"/>
  <c r="T186" i="18"/>
  <c r="L232" i="18"/>
  <c r="O243" i="18"/>
  <c r="P266" i="18"/>
  <c r="R375" i="18"/>
  <c r="U375" i="18" s="1"/>
  <c r="T730" i="18"/>
  <c r="S534" i="1"/>
  <c r="U693" i="14"/>
  <c r="O358" i="15"/>
  <c r="L117" i="17"/>
  <c r="O117" i="17" s="1"/>
  <c r="U731" i="17"/>
  <c r="P303" i="17"/>
  <c r="M72" i="18"/>
  <c r="P74" i="18"/>
  <c r="P19" i="18"/>
  <c r="T96" i="18"/>
  <c r="Q94" i="18"/>
  <c r="T94" i="18" s="1"/>
  <c r="N232" i="18"/>
  <c r="P268" i="18"/>
  <c r="M333" i="18"/>
  <c r="P333" i="18" s="1"/>
  <c r="P335" i="18"/>
  <c r="U186" i="18"/>
  <c r="T495" i="18"/>
  <c r="M139" i="15"/>
  <c r="P139" i="15" s="1"/>
  <c r="O336" i="15"/>
  <c r="O47" i="15"/>
  <c r="M282" i="17"/>
  <c r="P282" i="17" s="1"/>
  <c r="Q20" i="18"/>
  <c r="T20" i="18" s="1"/>
  <c r="T23" i="18"/>
  <c r="Q21" i="18"/>
  <c r="N59" i="18"/>
  <c r="O59" i="18" s="1"/>
  <c r="T159" i="18"/>
  <c r="Q157" i="18"/>
  <c r="T157" i="18" s="1"/>
  <c r="P175" i="18"/>
  <c r="M173" i="18"/>
  <c r="P173" i="18" s="1"/>
  <c r="R139" i="18"/>
  <c r="U139" i="18" s="1"/>
  <c r="U141" i="18"/>
  <c r="P141" i="17"/>
  <c r="M139" i="17"/>
  <c r="P139" i="17" s="1"/>
  <c r="L356" i="18"/>
  <c r="O356" i="18" s="1"/>
  <c r="S493" i="18"/>
  <c r="U493" i="18" s="1"/>
  <c r="O72" i="17"/>
  <c r="U642" i="17"/>
  <c r="Q642" i="15"/>
  <c r="T642" i="15" s="1"/>
  <c r="L266" i="16"/>
  <c r="O266" i="16" s="1"/>
  <c r="S18" i="16"/>
  <c r="Q139" i="15"/>
  <c r="T139" i="15" s="1"/>
  <c r="O335" i="16"/>
  <c r="O188" i="16"/>
  <c r="I412" i="16"/>
  <c r="K412" i="16" s="1"/>
  <c r="L139" i="17"/>
  <c r="O139" i="17" s="1"/>
  <c r="P72" i="17"/>
  <c r="P159" i="17"/>
  <c r="R173" i="17"/>
  <c r="U173" i="17" s="1"/>
  <c r="M513" i="17"/>
  <c r="P513" i="17" s="1"/>
  <c r="L44" i="17"/>
  <c r="O44" i="17" s="1"/>
  <c r="P268" i="17"/>
  <c r="P61" i="11"/>
  <c r="R616" i="14"/>
  <c r="U616" i="14" s="1"/>
  <c r="P359" i="16"/>
  <c r="U75" i="17"/>
  <c r="U269" i="17"/>
  <c r="K701" i="15"/>
  <c r="P141" i="16"/>
  <c r="R728" i="17"/>
  <c r="U728" i="17" s="1"/>
  <c r="T75" i="17"/>
  <c r="P47" i="5"/>
  <c r="K82" i="11"/>
  <c r="L320" i="13"/>
  <c r="O320" i="13" s="1"/>
  <c r="M356" i="16"/>
  <c r="P356" i="16" s="1"/>
  <c r="U117" i="17"/>
  <c r="U378" i="17"/>
  <c r="Q642" i="17"/>
  <c r="T642" i="17" s="1"/>
  <c r="P305" i="17"/>
  <c r="M94" i="17"/>
  <c r="P94" i="17" s="1"/>
  <c r="T188" i="11"/>
  <c r="T693" i="13"/>
  <c r="P61" i="15"/>
  <c r="T762" i="15"/>
  <c r="R157" i="16"/>
  <c r="U157" i="16" s="1"/>
  <c r="O359" i="16"/>
  <c r="O358" i="17"/>
  <c r="O188" i="17"/>
  <c r="L94" i="17"/>
  <c r="O94" i="17" s="1"/>
  <c r="O96" i="17"/>
  <c r="U644" i="17"/>
  <c r="N40" i="17"/>
  <c r="R20" i="17"/>
  <c r="U20" i="17" s="1"/>
  <c r="U23" i="17"/>
  <c r="L59" i="17"/>
  <c r="O59" i="17" s="1"/>
  <c r="O61" i="17"/>
  <c r="I231" i="17"/>
  <c r="P141" i="14"/>
  <c r="L320" i="14"/>
  <c r="O320" i="14" s="1"/>
  <c r="U730" i="14"/>
  <c r="Q493" i="15"/>
  <c r="T493" i="15" s="1"/>
  <c r="T730" i="15"/>
  <c r="U728" i="15"/>
  <c r="P159" i="16"/>
  <c r="R173" i="16"/>
  <c r="U173" i="16" s="1"/>
  <c r="R375" i="16"/>
  <c r="U375" i="16" s="1"/>
  <c r="R728" i="16"/>
  <c r="U728" i="16" s="1"/>
  <c r="P21" i="17"/>
  <c r="U72" i="17"/>
  <c r="N20" i="17"/>
  <c r="N18" i="17" s="1"/>
  <c r="O160" i="17"/>
  <c r="O62" i="17"/>
  <c r="U266" i="17"/>
  <c r="P23" i="17"/>
  <c r="M20" i="17"/>
  <c r="S21" i="17"/>
  <c r="P266" i="17"/>
  <c r="M356" i="17"/>
  <c r="P356" i="17" s="1"/>
  <c r="Q616" i="17"/>
  <c r="T616" i="17" s="1"/>
  <c r="M513" i="12"/>
  <c r="P513" i="12" s="1"/>
  <c r="T269" i="15"/>
  <c r="R642" i="15"/>
  <c r="U642" i="15" s="1"/>
  <c r="U730" i="15"/>
  <c r="I71" i="16"/>
  <c r="K71" i="16" s="1"/>
  <c r="O159" i="16"/>
  <c r="L24" i="17"/>
  <c r="O24" i="17" s="1"/>
  <c r="L157" i="17"/>
  <c r="O157" i="17" s="1"/>
  <c r="T120" i="17"/>
  <c r="O284" i="17"/>
  <c r="L282" i="17"/>
  <c r="O282" i="17" s="1"/>
  <c r="U19" i="17"/>
  <c r="R375" i="17"/>
  <c r="R616" i="17"/>
  <c r="U616" i="17" s="1"/>
  <c r="Q157" i="16"/>
  <c r="T157" i="16" s="1"/>
  <c r="M303" i="16"/>
  <c r="P303" i="16" s="1"/>
  <c r="Q20" i="17"/>
  <c r="T20" i="17" s="1"/>
  <c r="T23" i="17"/>
  <c r="Q21" i="17"/>
  <c r="T19" i="17"/>
  <c r="I70" i="17"/>
  <c r="K70" i="17" s="1"/>
  <c r="K82" i="17"/>
  <c r="O335" i="17"/>
  <c r="L72" i="11"/>
  <c r="O72" i="11" s="1"/>
  <c r="U74" i="13"/>
  <c r="R139" i="13"/>
  <c r="U139" i="13" s="1"/>
  <c r="Q728" i="16"/>
  <c r="T728" i="16" s="1"/>
  <c r="U645" i="14"/>
  <c r="U618" i="16"/>
  <c r="P44" i="17"/>
  <c r="P46" i="17"/>
  <c r="L186" i="17"/>
  <c r="O186" i="17" s="1"/>
  <c r="R21" i="17"/>
  <c r="O303" i="17"/>
  <c r="M333" i="17"/>
  <c r="P333" i="17" s="1"/>
  <c r="Q690" i="17"/>
  <c r="T690" i="17" s="1"/>
  <c r="S375" i="17"/>
  <c r="T375" i="17" s="1"/>
  <c r="T377" i="17"/>
  <c r="Q157" i="13"/>
  <c r="T157" i="13" s="1"/>
  <c r="O141" i="13"/>
  <c r="P96" i="14"/>
  <c r="O186" i="14"/>
  <c r="T96" i="14"/>
  <c r="L513" i="14"/>
  <c r="O513" i="14" s="1"/>
  <c r="T730" i="14"/>
  <c r="T728" i="15"/>
  <c r="P335" i="15"/>
  <c r="P46" i="16"/>
  <c r="L20" i="17"/>
  <c r="O23" i="17"/>
  <c r="L173" i="17"/>
  <c r="O173" i="17" s="1"/>
  <c r="P59" i="17"/>
  <c r="T96" i="17"/>
  <c r="Q94" i="17"/>
  <c r="T94" i="17" s="1"/>
  <c r="M157" i="17"/>
  <c r="P157" i="17" s="1"/>
  <c r="M117" i="17"/>
  <c r="P117" i="17" s="1"/>
  <c r="P186" i="17"/>
  <c r="P175" i="17"/>
  <c r="M173" i="17"/>
  <c r="P173" i="17" s="1"/>
  <c r="T117" i="17"/>
  <c r="L232" i="17"/>
  <c r="O243" i="17"/>
  <c r="M320" i="17"/>
  <c r="P320" i="17" s="1"/>
  <c r="K423" i="17"/>
  <c r="I412" i="17"/>
  <c r="K412" i="17" s="1"/>
  <c r="L333" i="17"/>
  <c r="O333" i="17" s="1"/>
  <c r="U186" i="17"/>
  <c r="P61" i="17"/>
  <c r="P188" i="17"/>
  <c r="Q493" i="17"/>
  <c r="T493" i="17" s="1"/>
  <c r="T495" i="17"/>
  <c r="P74" i="17"/>
  <c r="O74" i="17"/>
  <c r="U642" i="16"/>
  <c r="L72" i="16"/>
  <c r="O72" i="16" s="1"/>
  <c r="O74" i="16"/>
  <c r="U305" i="16"/>
  <c r="T305" i="16"/>
  <c r="O141" i="6"/>
  <c r="O333" i="16"/>
  <c r="U189" i="16"/>
  <c r="L513" i="16"/>
  <c r="O513" i="16" s="1"/>
  <c r="P74" i="13"/>
  <c r="O335" i="15"/>
  <c r="P61" i="16"/>
  <c r="Q139" i="16"/>
  <c r="T139" i="16" s="1"/>
  <c r="Q493" i="16"/>
  <c r="T493" i="16" s="1"/>
  <c r="L186" i="16"/>
  <c r="O186" i="16" s="1"/>
  <c r="M320" i="14"/>
  <c r="P320" i="14" s="1"/>
  <c r="K83" i="15"/>
  <c r="M117" i="15"/>
  <c r="P117" i="15" s="1"/>
  <c r="M139" i="16"/>
  <c r="P139" i="16" s="1"/>
  <c r="O175" i="16"/>
  <c r="S186" i="16"/>
  <c r="U186" i="16" s="1"/>
  <c r="U731" i="15"/>
  <c r="Q642" i="16"/>
  <c r="T642" i="16" s="1"/>
  <c r="U268" i="16"/>
  <c r="I412" i="12"/>
  <c r="K412" i="12" s="1"/>
  <c r="L94" i="14"/>
  <c r="O94" i="14" s="1"/>
  <c r="T645" i="14"/>
  <c r="P46" i="15"/>
  <c r="T305" i="15"/>
  <c r="U120" i="15"/>
  <c r="N40" i="16"/>
  <c r="M513" i="16"/>
  <c r="P513" i="16" s="1"/>
  <c r="T692" i="16"/>
  <c r="M94" i="16"/>
  <c r="P94" i="16" s="1"/>
  <c r="P96" i="16"/>
  <c r="U269" i="16"/>
  <c r="L320" i="12"/>
  <c r="O320" i="12" s="1"/>
  <c r="O142" i="14"/>
  <c r="T619" i="14"/>
  <c r="U189" i="15"/>
  <c r="U762" i="15"/>
  <c r="T618" i="15"/>
  <c r="P266" i="16"/>
  <c r="T119" i="16"/>
  <c r="S303" i="16"/>
  <c r="T189" i="16"/>
  <c r="Q173" i="14"/>
  <c r="T173" i="14" s="1"/>
  <c r="P23" i="16"/>
  <c r="M20" i="16"/>
  <c r="U141" i="16"/>
  <c r="R139" i="16"/>
  <c r="U139" i="16" s="1"/>
  <c r="P188" i="16"/>
  <c r="M186" i="16"/>
  <c r="P186" i="16" s="1"/>
  <c r="U159" i="15"/>
  <c r="R157" i="15"/>
  <c r="U157" i="15" s="1"/>
  <c r="O175" i="15"/>
  <c r="T120" i="15"/>
  <c r="L333" i="15"/>
  <c r="O333" i="15" s="1"/>
  <c r="L266" i="15"/>
  <c r="O266" i="15" s="1"/>
  <c r="L44" i="16"/>
  <c r="O46" i="16"/>
  <c r="L157" i="16"/>
  <c r="O157" i="16" s="1"/>
  <c r="L24" i="16"/>
  <c r="O24" i="16" s="1"/>
  <c r="L117" i="16"/>
  <c r="O117" i="16" s="1"/>
  <c r="L173" i="16"/>
  <c r="O173" i="16" s="1"/>
  <c r="P269" i="16"/>
  <c r="T268" i="16"/>
  <c r="Q266" i="16"/>
  <c r="T266" i="16" s="1"/>
  <c r="S21" i="16"/>
  <c r="U21" i="16" s="1"/>
  <c r="O322" i="16"/>
  <c r="L320" i="16"/>
  <c r="O320" i="16" s="1"/>
  <c r="M59" i="16"/>
  <c r="P59" i="16" s="1"/>
  <c r="I71" i="11"/>
  <c r="K71" i="11" s="1"/>
  <c r="I71" i="14"/>
  <c r="K71" i="14" s="1"/>
  <c r="P266" i="15"/>
  <c r="M333" i="15"/>
  <c r="P333" i="15" s="1"/>
  <c r="R266" i="15"/>
  <c r="U266" i="15" s="1"/>
  <c r="I412" i="15"/>
  <c r="K412" i="15" s="1"/>
  <c r="Q20" i="16"/>
  <c r="T23" i="16"/>
  <c r="Q21" i="16"/>
  <c r="M157" i="16"/>
  <c r="P157" i="16" s="1"/>
  <c r="M44" i="16"/>
  <c r="Q94" i="16"/>
  <c r="T94" i="16" s="1"/>
  <c r="O176" i="16"/>
  <c r="M94" i="15"/>
  <c r="P94" i="15" s="1"/>
  <c r="P96" i="15"/>
  <c r="T188" i="16"/>
  <c r="Q186" i="16"/>
  <c r="Q375" i="16"/>
  <c r="T375" i="16" s="1"/>
  <c r="T377" i="16"/>
  <c r="O160" i="16"/>
  <c r="M282" i="16"/>
  <c r="P282" i="16" s="1"/>
  <c r="Q690" i="16"/>
  <c r="T690" i="16" s="1"/>
  <c r="R413" i="16"/>
  <c r="U413" i="16" s="1"/>
  <c r="T618" i="12"/>
  <c r="U269" i="14"/>
  <c r="K332" i="15"/>
  <c r="N303" i="15"/>
  <c r="P303" i="15" s="1"/>
  <c r="L20" i="16"/>
  <c r="O23" i="16"/>
  <c r="T117" i="16"/>
  <c r="L232" i="16"/>
  <c r="O243" i="16"/>
  <c r="U690" i="16"/>
  <c r="P335" i="16"/>
  <c r="M333" i="16"/>
  <c r="P333" i="16" s="1"/>
  <c r="L157" i="15"/>
  <c r="O157" i="15" s="1"/>
  <c r="L117" i="15"/>
  <c r="O117" i="15" s="1"/>
  <c r="U763" i="15"/>
  <c r="T760" i="15"/>
  <c r="R20" i="16"/>
  <c r="U20" i="16" s="1"/>
  <c r="U23" i="16"/>
  <c r="M21" i="16"/>
  <c r="M173" i="16"/>
  <c r="P173" i="16" s="1"/>
  <c r="U19" i="16"/>
  <c r="I231" i="16"/>
  <c r="K242" i="16"/>
  <c r="O141" i="16"/>
  <c r="L139" i="16"/>
  <c r="O139" i="16" s="1"/>
  <c r="U616" i="16"/>
  <c r="Q413" i="16"/>
  <c r="T413" i="16" s="1"/>
  <c r="U120" i="9"/>
  <c r="O160" i="14"/>
  <c r="Q72" i="15"/>
  <c r="T72" i="15" s="1"/>
  <c r="O189" i="15"/>
  <c r="T731" i="15"/>
  <c r="P269" i="15"/>
  <c r="U119" i="16"/>
  <c r="N21" i="16"/>
  <c r="O21" i="16" s="1"/>
  <c r="N20" i="16"/>
  <c r="N18" i="16" s="1"/>
  <c r="L59" i="16"/>
  <c r="O59" i="16" s="1"/>
  <c r="O61" i="16"/>
  <c r="R117" i="16"/>
  <c r="U117" i="16" s="1"/>
  <c r="M24" i="16"/>
  <c r="P24" i="16" s="1"/>
  <c r="M117" i="16"/>
  <c r="P117" i="16" s="1"/>
  <c r="M157" i="15"/>
  <c r="P157" i="15" s="1"/>
  <c r="P159" i="15"/>
  <c r="M320" i="16"/>
  <c r="P320" i="16" s="1"/>
  <c r="P322" i="16"/>
  <c r="L356" i="16"/>
  <c r="O356" i="16" s="1"/>
  <c r="T618" i="16"/>
  <c r="Q616" i="16"/>
  <c r="T616" i="16" s="1"/>
  <c r="O333" i="12"/>
  <c r="P46" i="14"/>
  <c r="U119" i="14"/>
  <c r="S690" i="15"/>
  <c r="U690" i="15" s="1"/>
  <c r="Q413" i="15"/>
  <c r="T413" i="15" s="1"/>
  <c r="O322" i="15"/>
  <c r="L320" i="15"/>
  <c r="O320" i="15" s="1"/>
  <c r="P47" i="15"/>
  <c r="Q375" i="15"/>
  <c r="T375" i="15" s="1"/>
  <c r="O74" i="15"/>
  <c r="L72" i="15"/>
  <c r="O72" i="15" s="1"/>
  <c r="O335" i="14"/>
  <c r="T306" i="12"/>
  <c r="T188" i="15"/>
  <c r="U97" i="14"/>
  <c r="M513" i="15"/>
  <c r="P513" i="15" s="1"/>
  <c r="L356" i="15"/>
  <c r="O356" i="15" s="1"/>
  <c r="U692" i="15"/>
  <c r="P322" i="15"/>
  <c r="M320" i="15"/>
  <c r="P320" i="15" s="1"/>
  <c r="L59" i="15"/>
  <c r="O59" i="15" s="1"/>
  <c r="O61" i="15"/>
  <c r="Q94" i="15"/>
  <c r="T94" i="15" s="1"/>
  <c r="T268" i="15"/>
  <c r="Q266" i="15"/>
  <c r="T266" i="15" s="1"/>
  <c r="P359" i="6"/>
  <c r="T692" i="13"/>
  <c r="Q94" i="14"/>
  <c r="T94" i="14" s="1"/>
  <c r="T97" i="14"/>
  <c r="Q20" i="15"/>
  <c r="T23" i="15"/>
  <c r="Q21" i="15"/>
  <c r="O186" i="15"/>
  <c r="R139" i="15"/>
  <c r="U139" i="15" s="1"/>
  <c r="P44" i="15"/>
  <c r="Q186" i="15"/>
  <c r="T186" i="15" s="1"/>
  <c r="M186" i="15"/>
  <c r="P186" i="15" s="1"/>
  <c r="P188" i="15"/>
  <c r="T97" i="6"/>
  <c r="L513" i="6"/>
  <c r="O513" i="6" s="1"/>
  <c r="Q690" i="6"/>
  <c r="T690" i="6" s="1"/>
  <c r="P61" i="10"/>
  <c r="Q413" i="12"/>
  <c r="T413" i="12" s="1"/>
  <c r="Q173" i="13"/>
  <c r="T173" i="13" s="1"/>
  <c r="R728" i="13"/>
  <c r="U728" i="13" s="1"/>
  <c r="P175" i="13"/>
  <c r="O159" i="14"/>
  <c r="P335" i="14"/>
  <c r="P189" i="14"/>
  <c r="U731" i="14"/>
  <c r="L20" i="15"/>
  <c r="O23" i="15"/>
  <c r="T189" i="15"/>
  <c r="U188" i="15"/>
  <c r="M59" i="15"/>
  <c r="P59" i="15" s="1"/>
  <c r="O188" i="15"/>
  <c r="P189" i="15"/>
  <c r="L232" i="15"/>
  <c r="K374" i="4"/>
  <c r="U97" i="6"/>
  <c r="U189" i="11"/>
  <c r="U306" i="13"/>
  <c r="Q728" i="13"/>
  <c r="T728" i="13" s="1"/>
  <c r="L232" i="13"/>
  <c r="T269" i="14"/>
  <c r="P358" i="14"/>
  <c r="O189" i="14"/>
  <c r="R20" i="15"/>
  <c r="U20" i="15" s="1"/>
  <c r="U23" i="15"/>
  <c r="M356" i="15"/>
  <c r="P356" i="15" s="1"/>
  <c r="S21" i="15"/>
  <c r="U21" i="15" s="1"/>
  <c r="N21" i="15"/>
  <c r="P21" i="15" s="1"/>
  <c r="N20" i="15"/>
  <c r="N18" i="15" s="1"/>
  <c r="Q303" i="15"/>
  <c r="T378" i="15"/>
  <c r="Q616" i="15"/>
  <c r="T616" i="15" s="1"/>
  <c r="O515" i="15"/>
  <c r="L513" i="15"/>
  <c r="O513" i="15" s="1"/>
  <c r="P61" i="7"/>
  <c r="P176" i="14"/>
  <c r="U96" i="14"/>
  <c r="M282" i="14"/>
  <c r="P282" i="14" s="1"/>
  <c r="I231" i="14"/>
  <c r="K231" i="14" s="1"/>
  <c r="T616" i="14"/>
  <c r="N173" i="15"/>
  <c r="P173" i="15" s="1"/>
  <c r="L24" i="15"/>
  <c r="O24" i="15" s="1"/>
  <c r="Q117" i="15"/>
  <c r="T117" i="15" s="1"/>
  <c r="M24" i="15"/>
  <c r="P24" i="15" s="1"/>
  <c r="M72" i="15"/>
  <c r="P72" i="15" s="1"/>
  <c r="L139" i="15"/>
  <c r="O139" i="15" s="1"/>
  <c r="U19" i="15"/>
  <c r="S18" i="15"/>
  <c r="I231" i="15"/>
  <c r="S303" i="15"/>
  <c r="U303" i="15" s="1"/>
  <c r="O305" i="15"/>
  <c r="L303" i="15"/>
  <c r="K701" i="12"/>
  <c r="P47" i="12"/>
  <c r="P188" i="14"/>
  <c r="P23" i="15"/>
  <c r="M20" i="15"/>
  <c r="L44" i="15"/>
  <c r="O46" i="15"/>
  <c r="K82" i="15"/>
  <c r="I70" i="15"/>
  <c r="K70" i="15" s="1"/>
  <c r="Q173" i="15"/>
  <c r="T173" i="15" s="1"/>
  <c r="U186" i="15"/>
  <c r="K701" i="7"/>
  <c r="O96" i="12"/>
  <c r="M333" i="14"/>
  <c r="P333" i="14" s="1"/>
  <c r="P333" i="11"/>
  <c r="L282" i="12"/>
  <c r="O282" i="12" s="1"/>
  <c r="O305" i="13"/>
  <c r="Q303" i="13"/>
  <c r="T303" i="13" s="1"/>
  <c r="R413" i="13"/>
  <c r="U413" i="13" s="1"/>
  <c r="P159" i="14"/>
  <c r="P142" i="14"/>
  <c r="O188" i="14"/>
  <c r="L266" i="14"/>
  <c r="O266" i="14" s="1"/>
  <c r="M303" i="14"/>
  <c r="P303" i="14" s="1"/>
  <c r="K242" i="14"/>
  <c r="K701" i="14"/>
  <c r="O74" i="14"/>
  <c r="L72" i="14"/>
  <c r="O72" i="14" s="1"/>
  <c r="U94" i="14"/>
  <c r="Q303" i="14"/>
  <c r="T303" i="14" s="1"/>
  <c r="T305" i="14"/>
  <c r="T731" i="14"/>
  <c r="O356" i="10"/>
  <c r="L303" i="10"/>
  <c r="O303" i="10" s="1"/>
  <c r="U188" i="11"/>
  <c r="K701" i="11"/>
  <c r="P46" i="12"/>
  <c r="M117" i="12"/>
  <c r="P117" i="12" s="1"/>
  <c r="L513" i="13"/>
  <c r="O513" i="13" s="1"/>
  <c r="M513" i="13"/>
  <c r="P513" i="13" s="1"/>
  <c r="Q493" i="13"/>
  <c r="T493" i="13" s="1"/>
  <c r="R173" i="13"/>
  <c r="U173" i="13" s="1"/>
  <c r="T117" i="14"/>
  <c r="P268" i="14"/>
  <c r="M24" i="14"/>
  <c r="P24" i="14" s="1"/>
  <c r="P186" i="14"/>
  <c r="R728" i="14"/>
  <c r="U728" i="14" s="1"/>
  <c r="O188" i="11"/>
  <c r="P61" i="13"/>
  <c r="O176" i="13"/>
  <c r="U186" i="13"/>
  <c r="L157" i="14"/>
  <c r="O157" i="14" s="1"/>
  <c r="O139" i="14"/>
  <c r="U642" i="14"/>
  <c r="M513" i="14"/>
  <c r="P513" i="14" s="1"/>
  <c r="M139" i="10"/>
  <c r="P139" i="10" s="1"/>
  <c r="U377" i="12"/>
  <c r="O141" i="14"/>
  <c r="S21" i="14"/>
  <c r="U619" i="14"/>
  <c r="U690" i="14"/>
  <c r="O303" i="13"/>
  <c r="R20" i="14"/>
  <c r="U20" i="14" s="1"/>
  <c r="U23" i="14"/>
  <c r="P23" i="14"/>
  <c r="M20" i="14"/>
  <c r="O46" i="14"/>
  <c r="L44" i="14"/>
  <c r="R157" i="14"/>
  <c r="U157" i="14" s="1"/>
  <c r="O173" i="14"/>
  <c r="L320" i="10"/>
  <c r="O320" i="10" s="1"/>
  <c r="I70" i="10"/>
  <c r="K70" i="10" s="1"/>
  <c r="P359" i="11"/>
  <c r="P175" i="12"/>
  <c r="U305" i="12"/>
  <c r="L513" i="12"/>
  <c r="O513" i="12" s="1"/>
  <c r="U189" i="13"/>
  <c r="P305" i="13"/>
  <c r="U97" i="12"/>
  <c r="N173" i="13"/>
  <c r="P173" i="13" s="1"/>
  <c r="O19" i="14"/>
  <c r="M117" i="14"/>
  <c r="P117" i="14" s="1"/>
  <c r="P59" i="14"/>
  <c r="L117" i="14"/>
  <c r="O117" i="14" s="1"/>
  <c r="Q642" i="14"/>
  <c r="T642" i="14" s="1"/>
  <c r="T645" i="9"/>
  <c r="M282" i="11"/>
  <c r="P282" i="11" s="1"/>
  <c r="U618" i="12"/>
  <c r="O62" i="13"/>
  <c r="U616" i="13"/>
  <c r="L94" i="13"/>
  <c r="O94" i="13" s="1"/>
  <c r="Q20" i="14"/>
  <c r="T23" i="14"/>
  <c r="Q21" i="14"/>
  <c r="P160" i="14"/>
  <c r="P61" i="14"/>
  <c r="U19" i="14"/>
  <c r="P173" i="14"/>
  <c r="R117" i="14"/>
  <c r="U117" i="14" s="1"/>
  <c r="R186" i="14"/>
  <c r="U186" i="14" s="1"/>
  <c r="P336" i="14"/>
  <c r="Q690" i="14"/>
  <c r="T690" i="14" s="1"/>
  <c r="N21" i="14"/>
  <c r="O21" i="14" s="1"/>
  <c r="N20" i="14"/>
  <c r="N18" i="14" s="1"/>
  <c r="P19" i="14"/>
  <c r="M157" i="14"/>
  <c r="P157" i="14" s="1"/>
  <c r="N40" i="14"/>
  <c r="P266" i="14"/>
  <c r="L282" i="14"/>
  <c r="O282" i="14" s="1"/>
  <c r="U269" i="7"/>
  <c r="U306" i="8"/>
  <c r="O358" i="9"/>
  <c r="K332" i="10"/>
  <c r="P266" i="11"/>
  <c r="T377" i="12"/>
  <c r="Q616" i="12"/>
  <c r="T616" i="12" s="1"/>
  <c r="P335" i="12"/>
  <c r="M139" i="13"/>
  <c r="P139" i="13" s="1"/>
  <c r="T306" i="13"/>
  <c r="R375" i="13"/>
  <c r="U375" i="13" s="1"/>
  <c r="U618" i="13"/>
  <c r="M94" i="13"/>
  <c r="P94" i="13" s="1"/>
  <c r="O175" i="14"/>
  <c r="Q139" i="14"/>
  <c r="T139" i="14" s="1"/>
  <c r="M44" i="14"/>
  <c r="M139" i="14"/>
  <c r="P139" i="14" s="1"/>
  <c r="R21" i="14"/>
  <c r="O61" i="14"/>
  <c r="L59" i="14"/>
  <c r="O59" i="14" s="1"/>
  <c r="T119" i="14"/>
  <c r="L232" i="14"/>
  <c r="L303" i="14"/>
  <c r="O303" i="14" s="1"/>
  <c r="O333" i="14"/>
  <c r="O359" i="14"/>
  <c r="R303" i="14"/>
  <c r="U303" i="14" s="1"/>
  <c r="U266" i="14"/>
  <c r="P356" i="14"/>
  <c r="M117" i="7"/>
  <c r="P117" i="7" s="1"/>
  <c r="P46" i="9"/>
  <c r="L94" i="9"/>
  <c r="O94" i="9" s="1"/>
  <c r="P46" i="10"/>
  <c r="L266" i="11"/>
  <c r="O266" i="11" s="1"/>
  <c r="P268" i="11"/>
  <c r="O188" i="12"/>
  <c r="M320" i="12"/>
  <c r="P320" i="12" s="1"/>
  <c r="T692" i="12"/>
  <c r="P303" i="13"/>
  <c r="U120" i="13"/>
  <c r="P268" i="13"/>
  <c r="L20" i="14"/>
  <c r="O23" i="14"/>
  <c r="P175" i="14"/>
  <c r="M21" i="14"/>
  <c r="M72" i="14"/>
  <c r="P72" i="14" s="1"/>
  <c r="R173" i="14"/>
  <c r="U173" i="14" s="1"/>
  <c r="L24" i="14"/>
  <c r="O24" i="14" s="1"/>
  <c r="S18" i="14"/>
  <c r="Q186" i="14"/>
  <c r="T186" i="14" s="1"/>
  <c r="Q266" i="14"/>
  <c r="T266" i="14" s="1"/>
  <c r="O358" i="14"/>
  <c r="L356" i="14"/>
  <c r="O356" i="14" s="1"/>
  <c r="R413" i="14"/>
  <c r="U413" i="14" s="1"/>
  <c r="P139" i="12"/>
  <c r="T690" i="13"/>
  <c r="M24" i="12"/>
  <c r="P24" i="12" s="1"/>
  <c r="U268" i="12"/>
  <c r="R413" i="12"/>
  <c r="U413" i="12" s="1"/>
  <c r="M72" i="13"/>
  <c r="P72" i="13" s="1"/>
  <c r="P335" i="13"/>
  <c r="U305" i="11"/>
  <c r="L320" i="11"/>
  <c r="O320" i="11" s="1"/>
  <c r="P61" i="12"/>
  <c r="S303" i="12"/>
  <c r="T303" i="12" s="1"/>
  <c r="U644" i="12"/>
  <c r="L282" i="13"/>
  <c r="O282" i="13" s="1"/>
  <c r="Q94" i="13"/>
  <c r="T94" i="13" s="1"/>
  <c r="T120" i="13"/>
  <c r="Q413" i="13"/>
  <c r="T413" i="13" s="1"/>
  <c r="P358" i="13"/>
  <c r="R690" i="13"/>
  <c r="U690" i="13" s="1"/>
  <c r="O75" i="13"/>
  <c r="L72" i="13"/>
  <c r="O72" i="13" s="1"/>
  <c r="O74" i="13"/>
  <c r="L117" i="13"/>
  <c r="O117" i="13" s="1"/>
  <c r="P96" i="10"/>
  <c r="L24" i="12"/>
  <c r="O24" i="12" s="1"/>
  <c r="P141" i="12"/>
  <c r="T731" i="12"/>
  <c r="P46" i="13"/>
  <c r="S21" i="13"/>
  <c r="R642" i="13"/>
  <c r="U642" i="13" s="1"/>
  <c r="T645" i="13"/>
  <c r="P188" i="13"/>
  <c r="R493" i="13"/>
  <c r="U493" i="13" s="1"/>
  <c r="P266" i="13"/>
  <c r="Q186" i="9"/>
  <c r="T186" i="9" s="1"/>
  <c r="L157" i="9"/>
  <c r="O157" i="9" s="1"/>
  <c r="K701" i="10"/>
  <c r="T97" i="12"/>
  <c r="P269" i="12"/>
  <c r="R616" i="12"/>
  <c r="U616" i="12" s="1"/>
  <c r="P189" i="13"/>
  <c r="M320" i="13"/>
  <c r="P320" i="13" s="1"/>
  <c r="Q375" i="13"/>
  <c r="T375" i="13" s="1"/>
  <c r="T377" i="13"/>
  <c r="Q20" i="13"/>
  <c r="T23" i="13"/>
  <c r="Q21" i="13"/>
  <c r="T21" i="13" s="1"/>
  <c r="U19" i="13"/>
  <c r="N21" i="13"/>
  <c r="N20" i="13"/>
  <c r="N18" i="13" s="1"/>
  <c r="O335" i="13"/>
  <c r="L333" i="13"/>
  <c r="O333" i="13" s="1"/>
  <c r="Q616" i="13"/>
  <c r="T616" i="13" s="1"/>
  <c r="T618" i="13"/>
  <c r="T189" i="13"/>
  <c r="O157" i="13"/>
  <c r="P284" i="13"/>
  <c r="M282" i="13"/>
  <c r="P282" i="13" s="1"/>
  <c r="U618" i="9"/>
  <c r="L266" i="10"/>
  <c r="O266" i="10" s="1"/>
  <c r="P46" i="11"/>
  <c r="M72" i="12"/>
  <c r="P72" i="12" s="1"/>
  <c r="O189" i="12"/>
  <c r="P189" i="12"/>
  <c r="T690" i="12"/>
  <c r="T762" i="12"/>
  <c r="L20" i="13"/>
  <c r="O23" i="13"/>
  <c r="P23" i="13"/>
  <c r="M20" i="13"/>
  <c r="M18" i="13" s="1"/>
  <c r="O188" i="13"/>
  <c r="L186" i="13"/>
  <c r="O186" i="13" s="1"/>
  <c r="L44" i="13"/>
  <c r="O46" i="13"/>
  <c r="S72" i="13"/>
  <c r="R760" i="13"/>
  <c r="U760" i="13" s="1"/>
  <c r="T644" i="13"/>
  <c r="Q642" i="13"/>
  <c r="T642" i="13" s="1"/>
  <c r="K374" i="11"/>
  <c r="P336" i="12"/>
  <c r="U730" i="12"/>
  <c r="U762" i="12"/>
  <c r="R20" i="13"/>
  <c r="U20" i="13" s="1"/>
  <c r="U23" i="13"/>
  <c r="R21" i="13"/>
  <c r="K82" i="13"/>
  <c r="I70" i="13"/>
  <c r="K70" i="13" s="1"/>
  <c r="M157" i="13"/>
  <c r="P157" i="13" s="1"/>
  <c r="P159" i="13"/>
  <c r="S266" i="13"/>
  <c r="T266" i="13" s="1"/>
  <c r="K242" i="13"/>
  <c r="I231" i="13"/>
  <c r="O19" i="13"/>
  <c r="P356" i="13"/>
  <c r="T186" i="13"/>
  <c r="S117" i="13"/>
  <c r="U117" i="13" s="1"/>
  <c r="T119" i="13"/>
  <c r="K701" i="13"/>
  <c r="U268" i="13"/>
  <c r="R266" i="13"/>
  <c r="P19" i="13"/>
  <c r="O268" i="13"/>
  <c r="L266" i="13"/>
  <c r="O266" i="13" s="1"/>
  <c r="O175" i="13"/>
  <c r="L173" i="13"/>
  <c r="I71" i="13"/>
  <c r="K71" i="13" s="1"/>
  <c r="K83" i="13"/>
  <c r="U731" i="7"/>
  <c r="L157" i="12"/>
  <c r="O157" i="12" s="1"/>
  <c r="U269" i="12"/>
  <c r="U728" i="12"/>
  <c r="T730" i="12"/>
  <c r="O335" i="12"/>
  <c r="L21" i="13"/>
  <c r="T74" i="13"/>
  <c r="U159" i="13"/>
  <c r="R157" i="13"/>
  <c r="U157" i="13" s="1"/>
  <c r="M59" i="13"/>
  <c r="P59" i="13" s="1"/>
  <c r="P186" i="13"/>
  <c r="L24" i="13"/>
  <c r="O24" i="13" s="1"/>
  <c r="Q760" i="13"/>
  <c r="T760" i="13" s="1"/>
  <c r="T760" i="12"/>
  <c r="L59" i="13"/>
  <c r="O59" i="13" s="1"/>
  <c r="O61" i="13"/>
  <c r="M24" i="13"/>
  <c r="P24" i="13" s="1"/>
  <c r="M21" i="13"/>
  <c r="O159" i="13"/>
  <c r="M44" i="13"/>
  <c r="S18" i="13"/>
  <c r="O358" i="13"/>
  <c r="L356" i="13"/>
  <c r="O356" i="13" s="1"/>
  <c r="M333" i="13"/>
  <c r="P333" i="13" s="1"/>
  <c r="T644" i="8"/>
  <c r="P175" i="10"/>
  <c r="U762" i="10"/>
  <c r="L117" i="11"/>
  <c r="O117" i="11" s="1"/>
  <c r="P176" i="12"/>
  <c r="P268" i="12"/>
  <c r="P306" i="12"/>
  <c r="K374" i="12"/>
  <c r="K231" i="12"/>
  <c r="U375" i="12"/>
  <c r="T644" i="12"/>
  <c r="R642" i="12"/>
  <c r="U642" i="12" s="1"/>
  <c r="R760" i="12"/>
  <c r="U760" i="12" s="1"/>
  <c r="M282" i="12"/>
  <c r="P282" i="12" s="1"/>
  <c r="Q493" i="12"/>
  <c r="T493" i="12" s="1"/>
  <c r="Q728" i="12"/>
  <c r="T728" i="12" s="1"/>
  <c r="L117" i="12"/>
  <c r="O117" i="12" s="1"/>
  <c r="S21" i="12"/>
  <c r="O358" i="11"/>
  <c r="O175" i="11"/>
  <c r="O175" i="12"/>
  <c r="O336" i="12"/>
  <c r="M333" i="12"/>
  <c r="P333" i="12" s="1"/>
  <c r="Q375" i="12"/>
  <c r="T375" i="12" s="1"/>
  <c r="L266" i="12"/>
  <c r="O266" i="12" s="1"/>
  <c r="R690" i="12"/>
  <c r="U690" i="12" s="1"/>
  <c r="T120" i="12"/>
  <c r="L72" i="12"/>
  <c r="O72" i="12" s="1"/>
  <c r="T268" i="6"/>
  <c r="Q728" i="10"/>
  <c r="T728" i="10" s="1"/>
  <c r="U97" i="10"/>
  <c r="M303" i="11"/>
  <c r="P303" i="11" s="1"/>
  <c r="L333" i="11"/>
  <c r="O333" i="11" s="1"/>
  <c r="M44" i="12"/>
  <c r="I70" i="12"/>
  <c r="K70" i="12" s="1"/>
  <c r="K82" i="12"/>
  <c r="L59" i="12"/>
  <c r="O59" i="12" s="1"/>
  <c r="O61" i="12"/>
  <c r="O305" i="12"/>
  <c r="L232" i="12"/>
  <c r="O243" i="12"/>
  <c r="P356" i="12"/>
  <c r="Q20" i="12"/>
  <c r="T23" i="12"/>
  <c r="Q21" i="12"/>
  <c r="U19" i="12"/>
  <c r="L303" i="12"/>
  <c r="O303" i="12" s="1"/>
  <c r="U21" i="12"/>
  <c r="M266" i="12"/>
  <c r="P266" i="12" s="1"/>
  <c r="U495" i="12"/>
  <c r="R493" i="12"/>
  <c r="U493" i="12" s="1"/>
  <c r="R117" i="12"/>
  <c r="U117" i="12" s="1"/>
  <c r="N94" i="12"/>
  <c r="P94" i="12" s="1"/>
  <c r="L117" i="8"/>
  <c r="O117" i="8" s="1"/>
  <c r="O359" i="8"/>
  <c r="T97" i="10"/>
  <c r="N186" i="11"/>
  <c r="N40" i="11" s="1"/>
  <c r="U268" i="11"/>
  <c r="Q493" i="11"/>
  <c r="T493" i="11" s="1"/>
  <c r="U619" i="11"/>
  <c r="L44" i="12"/>
  <c r="O46" i="12"/>
  <c r="P96" i="12"/>
  <c r="T268" i="12"/>
  <c r="L186" i="12"/>
  <c r="O186" i="12" s="1"/>
  <c r="R157" i="12"/>
  <c r="U157" i="12" s="1"/>
  <c r="P305" i="12"/>
  <c r="O141" i="12"/>
  <c r="L139" i="12"/>
  <c r="O139" i="12" s="1"/>
  <c r="M173" i="12"/>
  <c r="P173" i="12" s="1"/>
  <c r="Q266" i="12"/>
  <c r="T266" i="12" s="1"/>
  <c r="S18" i="12"/>
  <c r="R303" i="12"/>
  <c r="U189" i="12"/>
  <c r="Q642" i="12"/>
  <c r="T642" i="12" s="1"/>
  <c r="L513" i="11"/>
  <c r="O513" i="11" s="1"/>
  <c r="P23" i="12"/>
  <c r="M20" i="12"/>
  <c r="P188" i="12"/>
  <c r="M186" i="12"/>
  <c r="P186" i="12" s="1"/>
  <c r="L513" i="7"/>
  <c r="O513" i="7" s="1"/>
  <c r="U618" i="7"/>
  <c r="T268" i="11"/>
  <c r="P335" i="11"/>
  <c r="L20" i="12"/>
  <c r="O23" i="12"/>
  <c r="M21" i="12"/>
  <c r="O176" i="12"/>
  <c r="L173" i="12"/>
  <c r="O173" i="12" s="1"/>
  <c r="Q186" i="12"/>
  <c r="T186" i="12" s="1"/>
  <c r="P358" i="12"/>
  <c r="R266" i="12"/>
  <c r="U266" i="12" s="1"/>
  <c r="T189" i="2"/>
  <c r="T760" i="8"/>
  <c r="L72" i="10"/>
  <c r="O72" i="10" s="1"/>
  <c r="T645" i="10"/>
  <c r="O46" i="10"/>
  <c r="U120" i="11"/>
  <c r="R157" i="11"/>
  <c r="U157" i="11" s="1"/>
  <c r="U730" i="11"/>
  <c r="R20" i="12"/>
  <c r="U20" i="12" s="1"/>
  <c r="U23" i="12"/>
  <c r="N21" i="12"/>
  <c r="O21" i="12" s="1"/>
  <c r="N20" i="12"/>
  <c r="N18" i="12" s="1"/>
  <c r="R173" i="12"/>
  <c r="U173" i="12" s="1"/>
  <c r="M59" i="12"/>
  <c r="P59" i="12" s="1"/>
  <c r="P303" i="12"/>
  <c r="O358" i="12"/>
  <c r="L356" i="12"/>
  <c r="O356" i="12" s="1"/>
  <c r="L44" i="10"/>
  <c r="O44" i="10" s="1"/>
  <c r="P335" i="10"/>
  <c r="L282" i="11"/>
  <c r="O282" i="11" s="1"/>
  <c r="O336" i="11"/>
  <c r="L303" i="7"/>
  <c r="O303" i="7" s="1"/>
  <c r="Q690" i="10"/>
  <c r="T690" i="10" s="1"/>
  <c r="U618" i="11"/>
  <c r="T375" i="11"/>
  <c r="R303" i="8"/>
  <c r="U303" i="8" s="1"/>
  <c r="R493" i="9"/>
  <c r="U493" i="9" s="1"/>
  <c r="L320" i="9"/>
  <c r="O320" i="9" s="1"/>
  <c r="O284" i="10"/>
  <c r="O173" i="11"/>
  <c r="R493" i="11"/>
  <c r="U493" i="11" s="1"/>
  <c r="T644" i="11"/>
  <c r="U305" i="9"/>
  <c r="O188" i="10"/>
  <c r="T306" i="10"/>
  <c r="M139" i="11"/>
  <c r="P139" i="11" s="1"/>
  <c r="Q139" i="11"/>
  <c r="T139" i="11" s="1"/>
  <c r="R173" i="11"/>
  <c r="U173" i="11" s="1"/>
  <c r="T120" i="4"/>
  <c r="O305" i="8"/>
  <c r="L117" i="9"/>
  <c r="O117" i="9" s="1"/>
  <c r="T762" i="10"/>
  <c r="O515" i="10"/>
  <c r="M72" i="11"/>
  <c r="P72" i="11" s="1"/>
  <c r="O47" i="10"/>
  <c r="O61" i="8"/>
  <c r="P157" i="11"/>
  <c r="T97" i="11"/>
  <c r="S728" i="11"/>
  <c r="U728" i="11" s="1"/>
  <c r="I231" i="11"/>
  <c r="K231" i="11" s="1"/>
  <c r="U378" i="11"/>
  <c r="U377" i="11"/>
  <c r="T305" i="11"/>
  <c r="R157" i="9"/>
  <c r="U157" i="9" s="1"/>
  <c r="T692" i="3"/>
  <c r="U375" i="11"/>
  <c r="M59" i="11"/>
  <c r="P59" i="11" s="1"/>
  <c r="O96" i="11"/>
  <c r="L94" i="11"/>
  <c r="O94" i="11" s="1"/>
  <c r="O61" i="6"/>
  <c r="O359" i="9"/>
  <c r="U619" i="9"/>
  <c r="R690" i="9"/>
  <c r="U690" i="9" s="1"/>
  <c r="U119" i="10"/>
  <c r="L157" i="10"/>
  <c r="O157" i="10" s="1"/>
  <c r="R266" i="11"/>
  <c r="U266" i="11" s="1"/>
  <c r="Q173" i="11"/>
  <c r="T173" i="11" s="1"/>
  <c r="T175" i="11"/>
  <c r="Q413" i="9"/>
  <c r="T413" i="9" s="1"/>
  <c r="O356" i="9"/>
  <c r="T730" i="11"/>
  <c r="L139" i="11"/>
  <c r="O139" i="11" s="1"/>
  <c r="O141" i="11"/>
  <c r="O173" i="9"/>
  <c r="M333" i="10"/>
  <c r="P333" i="10" s="1"/>
  <c r="Q642" i="10"/>
  <c r="T642" i="10" s="1"/>
  <c r="O157" i="11"/>
  <c r="N20" i="11"/>
  <c r="N18" i="11" s="1"/>
  <c r="O359" i="11"/>
  <c r="M513" i="11"/>
  <c r="P513" i="11" s="1"/>
  <c r="P23" i="11"/>
  <c r="M20" i="11"/>
  <c r="M21" i="11"/>
  <c r="P21" i="11" s="1"/>
  <c r="R139" i="11"/>
  <c r="U139" i="11" s="1"/>
  <c r="U141" i="11"/>
  <c r="I412" i="11"/>
  <c r="K412" i="11" s="1"/>
  <c r="K423" i="11"/>
  <c r="R728" i="10"/>
  <c r="U728" i="10" s="1"/>
  <c r="L20" i="11"/>
  <c r="O23" i="11"/>
  <c r="L21" i="11"/>
  <c r="O21" i="11" s="1"/>
  <c r="U693" i="11"/>
  <c r="P322" i="11"/>
  <c r="M320" i="11"/>
  <c r="P320" i="11" s="1"/>
  <c r="P188" i="1"/>
  <c r="S21" i="11"/>
  <c r="U21" i="11" s="1"/>
  <c r="T159" i="11"/>
  <c r="Q157" i="11"/>
  <c r="T157" i="11" s="1"/>
  <c r="P358" i="11"/>
  <c r="U415" i="11"/>
  <c r="R413" i="11"/>
  <c r="U413" i="11" s="1"/>
  <c r="U268" i="6"/>
  <c r="O333" i="9"/>
  <c r="U618" i="10"/>
  <c r="R20" i="11"/>
  <c r="U20" i="11" s="1"/>
  <c r="U23" i="11"/>
  <c r="L24" i="11"/>
  <c r="O24" i="11" s="1"/>
  <c r="T119" i="11"/>
  <c r="Q117" i="11"/>
  <c r="T117" i="11" s="1"/>
  <c r="S303" i="11"/>
  <c r="U303" i="11" s="1"/>
  <c r="Q266" i="11"/>
  <c r="T266" i="11" s="1"/>
  <c r="O305" i="11"/>
  <c r="L303" i="11"/>
  <c r="O303" i="11" s="1"/>
  <c r="P188" i="11"/>
  <c r="M117" i="11"/>
  <c r="P117" i="11" s="1"/>
  <c r="T692" i="11"/>
  <c r="Q690" i="11"/>
  <c r="T690" i="11" s="1"/>
  <c r="T377" i="11"/>
  <c r="S616" i="11"/>
  <c r="L94" i="8"/>
  <c r="O94" i="8" s="1"/>
  <c r="O335" i="9"/>
  <c r="U303" i="10"/>
  <c r="Q413" i="10"/>
  <c r="T413" i="10" s="1"/>
  <c r="P175" i="11"/>
  <c r="M173" i="11"/>
  <c r="P173" i="11" s="1"/>
  <c r="U19" i="11"/>
  <c r="M24" i="11"/>
  <c r="P24" i="11" s="1"/>
  <c r="T762" i="11"/>
  <c r="Q760" i="11"/>
  <c r="T760" i="11" s="1"/>
  <c r="P46" i="5"/>
  <c r="I412" i="5"/>
  <c r="K412" i="5" s="1"/>
  <c r="P358" i="9"/>
  <c r="T266" i="9"/>
  <c r="R728" i="9"/>
  <c r="U728" i="9" s="1"/>
  <c r="I231" i="10"/>
  <c r="K231" i="10" s="1"/>
  <c r="M303" i="10"/>
  <c r="P303" i="10" s="1"/>
  <c r="O335" i="10"/>
  <c r="O159" i="11"/>
  <c r="O46" i="11"/>
  <c r="L44" i="11"/>
  <c r="L232" i="11"/>
  <c r="O243" i="11"/>
  <c r="T618" i="11"/>
  <c r="Q728" i="11"/>
  <c r="P356" i="11"/>
  <c r="O336" i="1"/>
  <c r="P188" i="4"/>
  <c r="O268" i="4"/>
  <c r="I71" i="2"/>
  <c r="K71" i="2" s="1"/>
  <c r="R157" i="6"/>
  <c r="U157" i="6" s="1"/>
  <c r="T730" i="7"/>
  <c r="M139" i="9"/>
  <c r="P139" i="9" s="1"/>
  <c r="R760" i="9"/>
  <c r="U760" i="9" s="1"/>
  <c r="R173" i="10"/>
  <c r="U173" i="10" s="1"/>
  <c r="M320" i="10"/>
  <c r="P320" i="10" s="1"/>
  <c r="Q20" i="11"/>
  <c r="T23" i="11"/>
  <c r="Q21" i="11"/>
  <c r="P159" i="11"/>
  <c r="L59" i="11"/>
  <c r="O59" i="11" s="1"/>
  <c r="O61" i="11"/>
  <c r="M44" i="11"/>
  <c r="R117" i="11"/>
  <c r="U117" i="11" s="1"/>
  <c r="T189" i="11"/>
  <c r="M94" i="11"/>
  <c r="P94" i="11" s="1"/>
  <c r="P96" i="11"/>
  <c r="U762" i="11"/>
  <c r="R760" i="11"/>
  <c r="U760" i="11" s="1"/>
  <c r="T186" i="11"/>
  <c r="L356" i="11"/>
  <c r="O356" i="11" s="1"/>
  <c r="O47" i="9"/>
  <c r="U75" i="6"/>
  <c r="U119" i="8"/>
  <c r="R117" i="9"/>
  <c r="U117" i="9" s="1"/>
  <c r="O96" i="10"/>
  <c r="L94" i="10"/>
  <c r="O94" i="10" s="1"/>
  <c r="O203" i="1"/>
  <c r="R303" i="5"/>
  <c r="U303" i="5" s="1"/>
  <c r="P96" i="7"/>
  <c r="T117" i="8"/>
  <c r="U645" i="9"/>
  <c r="P176" i="10"/>
  <c r="Q173" i="10"/>
  <c r="T173" i="10" s="1"/>
  <c r="S266" i="10"/>
  <c r="T266" i="10" s="1"/>
  <c r="U616" i="10"/>
  <c r="O75" i="6"/>
  <c r="Q303" i="8"/>
  <c r="T303" i="8" s="1"/>
  <c r="K701" i="8"/>
  <c r="L266" i="9"/>
  <c r="O266" i="9" s="1"/>
  <c r="O305" i="9"/>
  <c r="P335" i="9"/>
  <c r="T269" i="9"/>
  <c r="N173" i="10"/>
  <c r="P173" i="10" s="1"/>
  <c r="L117" i="10"/>
  <c r="O117" i="10" s="1"/>
  <c r="T693" i="10"/>
  <c r="S760" i="10"/>
  <c r="U760" i="10" s="1"/>
  <c r="T762" i="4"/>
  <c r="T120" i="5"/>
  <c r="P333" i="9"/>
  <c r="M44" i="10"/>
  <c r="P44" i="10" s="1"/>
  <c r="O175" i="10"/>
  <c r="M59" i="10"/>
  <c r="P59" i="10" s="1"/>
  <c r="S186" i="10"/>
  <c r="U186" i="10" s="1"/>
  <c r="T760" i="4"/>
  <c r="O159" i="6"/>
  <c r="Q173" i="7"/>
  <c r="T173" i="7" s="1"/>
  <c r="N59" i="8"/>
  <c r="O59" i="8" s="1"/>
  <c r="Q760" i="9"/>
  <c r="T760" i="9" s="1"/>
  <c r="P268" i="7"/>
  <c r="P21" i="10"/>
  <c r="O176" i="10"/>
  <c r="O333" i="10"/>
  <c r="P268" i="10"/>
  <c r="T119" i="10"/>
  <c r="L392" i="1"/>
  <c r="O392" i="1" s="1"/>
  <c r="P515" i="4"/>
  <c r="L320" i="7"/>
  <c r="O320" i="7" s="1"/>
  <c r="R413" i="10"/>
  <c r="U413" i="10" s="1"/>
  <c r="U415" i="10"/>
  <c r="I412" i="10"/>
  <c r="K412" i="10" s="1"/>
  <c r="K423" i="10"/>
  <c r="O358" i="7"/>
  <c r="T692" i="7"/>
  <c r="R493" i="7"/>
  <c r="U493" i="7" s="1"/>
  <c r="O74" i="9"/>
  <c r="P23" i="10"/>
  <c r="M20" i="10"/>
  <c r="P159" i="10"/>
  <c r="M117" i="10"/>
  <c r="P117" i="10" s="1"/>
  <c r="N20" i="10"/>
  <c r="N18" i="10" s="1"/>
  <c r="S21" i="10"/>
  <c r="U21" i="10" s="1"/>
  <c r="T268" i="10"/>
  <c r="P515" i="10"/>
  <c r="M513" i="10"/>
  <c r="P513" i="10" s="1"/>
  <c r="U96" i="9"/>
  <c r="R94" i="9"/>
  <c r="U94" i="9" s="1"/>
  <c r="Q20" i="10"/>
  <c r="Q21" i="10"/>
  <c r="T23" i="10"/>
  <c r="L20" i="10"/>
  <c r="O23" i="10"/>
  <c r="O61" i="10"/>
  <c r="L59" i="10"/>
  <c r="O59" i="10" s="1"/>
  <c r="P157" i="10"/>
  <c r="Q616" i="10"/>
  <c r="T616" i="10" s="1"/>
  <c r="T618" i="10"/>
  <c r="T377" i="10"/>
  <c r="Q375" i="10"/>
  <c r="T375" i="10" s="1"/>
  <c r="P188" i="10"/>
  <c r="Q375" i="9"/>
  <c r="T375" i="9" s="1"/>
  <c r="R20" i="10"/>
  <c r="U23" i="10"/>
  <c r="Q139" i="10"/>
  <c r="T139" i="10" s="1"/>
  <c r="L24" i="10"/>
  <c r="O24" i="10" s="1"/>
  <c r="K83" i="10"/>
  <c r="I71" i="10"/>
  <c r="K71" i="10" s="1"/>
  <c r="M72" i="10"/>
  <c r="P72" i="10" s="1"/>
  <c r="O358" i="10"/>
  <c r="P159" i="3"/>
  <c r="U731" i="4"/>
  <c r="Q303" i="5"/>
  <c r="T303" i="5" s="1"/>
  <c r="M266" i="7"/>
  <c r="P266" i="7" s="1"/>
  <c r="U619" i="7"/>
  <c r="M24" i="8"/>
  <c r="P24" i="8" s="1"/>
  <c r="T692" i="8"/>
  <c r="T120" i="9"/>
  <c r="P359" i="9"/>
  <c r="P268" i="9"/>
  <c r="O188" i="9"/>
  <c r="T644" i="9"/>
  <c r="L21" i="10"/>
  <c r="O21" i="10" s="1"/>
  <c r="R117" i="10"/>
  <c r="U117" i="10" s="1"/>
  <c r="L173" i="10"/>
  <c r="L232" i="10"/>
  <c r="O243" i="10"/>
  <c r="M282" i="10"/>
  <c r="P282" i="10" s="1"/>
  <c r="R690" i="10"/>
  <c r="U690" i="10" s="1"/>
  <c r="Q760" i="10"/>
  <c r="U618" i="1"/>
  <c r="M157" i="7"/>
  <c r="P157" i="7" s="1"/>
  <c r="P359" i="7"/>
  <c r="P335" i="7"/>
  <c r="P268" i="8"/>
  <c r="P335" i="8"/>
  <c r="P61" i="9"/>
  <c r="Q117" i="9"/>
  <c r="T117" i="9" s="1"/>
  <c r="R266" i="9"/>
  <c r="U266" i="9" s="1"/>
  <c r="I70" i="9"/>
  <c r="K70" i="9" s="1"/>
  <c r="U644" i="9"/>
  <c r="M24" i="10"/>
  <c r="P24" i="10" s="1"/>
  <c r="P358" i="10"/>
  <c r="M356" i="10"/>
  <c r="P356" i="10" s="1"/>
  <c r="N186" i="10"/>
  <c r="P186" i="10" s="1"/>
  <c r="U377" i="10"/>
  <c r="R375" i="10"/>
  <c r="U375" i="10" s="1"/>
  <c r="R157" i="10"/>
  <c r="U157" i="10" s="1"/>
  <c r="Q493" i="10"/>
  <c r="T493" i="10" s="1"/>
  <c r="M266" i="10"/>
  <c r="P266" i="10" s="1"/>
  <c r="R642" i="10"/>
  <c r="U642" i="10" s="1"/>
  <c r="O284" i="9"/>
  <c r="L282" i="9"/>
  <c r="O282" i="9" s="1"/>
  <c r="O141" i="10"/>
  <c r="L139" i="10"/>
  <c r="O139" i="10" s="1"/>
  <c r="M157" i="9"/>
  <c r="P157" i="9" s="1"/>
  <c r="P159" i="9"/>
  <c r="M94" i="9"/>
  <c r="P94" i="9" s="1"/>
  <c r="P96" i="9"/>
  <c r="J458" i="1"/>
  <c r="O175" i="1"/>
  <c r="O188" i="7"/>
  <c r="U117" i="8"/>
  <c r="P305" i="8"/>
  <c r="T119" i="8"/>
  <c r="U619" i="8"/>
  <c r="P175" i="9"/>
  <c r="K626" i="9"/>
  <c r="M392" i="1"/>
  <c r="P392" i="1" s="1"/>
  <c r="L72" i="3"/>
  <c r="O72" i="3" s="1"/>
  <c r="Q493" i="8"/>
  <c r="T493" i="8" s="1"/>
  <c r="M266" i="9"/>
  <c r="P266" i="9" s="1"/>
  <c r="O44" i="8"/>
  <c r="L24" i="9"/>
  <c r="O24" i="9" s="1"/>
  <c r="R642" i="9"/>
  <c r="U642" i="9" s="1"/>
  <c r="O333" i="6"/>
  <c r="R413" i="6"/>
  <c r="U413" i="6" s="1"/>
  <c r="T189" i="7"/>
  <c r="L266" i="7"/>
  <c r="O266" i="7" s="1"/>
  <c r="P303" i="8"/>
  <c r="M59" i="9"/>
  <c r="P59" i="9" s="1"/>
  <c r="I71" i="9"/>
  <c r="K71" i="9" s="1"/>
  <c r="M117" i="9"/>
  <c r="P117" i="9" s="1"/>
  <c r="P119" i="9"/>
  <c r="T642" i="9"/>
  <c r="T730" i="9"/>
  <c r="Q728" i="9"/>
  <c r="T728" i="9" s="1"/>
  <c r="S513" i="1"/>
  <c r="P159" i="6"/>
  <c r="M139" i="7"/>
  <c r="P139" i="7" s="1"/>
  <c r="P47" i="8"/>
  <c r="O303" i="8"/>
  <c r="O358" i="8"/>
  <c r="M139" i="8"/>
  <c r="P139" i="8" s="1"/>
  <c r="P322" i="9"/>
  <c r="M320" i="9"/>
  <c r="P320" i="9" s="1"/>
  <c r="Q139" i="8"/>
  <c r="T139" i="8" s="1"/>
  <c r="Q690" i="9"/>
  <c r="T690" i="9" s="1"/>
  <c r="O46" i="8"/>
  <c r="T762" i="8"/>
  <c r="R20" i="9"/>
  <c r="U20" i="9" s="1"/>
  <c r="U23" i="9"/>
  <c r="T305" i="9"/>
  <c r="Q303" i="9"/>
  <c r="T303" i="9" s="1"/>
  <c r="I231" i="9"/>
  <c r="O515" i="9"/>
  <c r="L513" i="9"/>
  <c r="O513" i="9" s="1"/>
  <c r="O96" i="5"/>
  <c r="L157" i="6"/>
  <c r="O157" i="6" s="1"/>
  <c r="T645" i="6"/>
  <c r="U269" i="6"/>
  <c r="M72" i="7"/>
  <c r="P72" i="7" s="1"/>
  <c r="P269" i="7"/>
  <c r="O189" i="7"/>
  <c r="K83" i="8"/>
  <c r="Q94" i="8"/>
  <c r="T94" i="8" s="1"/>
  <c r="T269" i="8"/>
  <c r="L266" i="8"/>
  <c r="O266" i="8" s="1"/>
  <c r="U269" i="8"/>
  <c r="M282" i="8"/>
  <c r="P282" i="8" s="1"/>
  <c r="P19" i="9"/>
  <c r="P173" i="9"/>
  <c r="M44" i="9"/>
  <c r="L139" i="9"/>
  <c r="O139" i="9" s="1"/>
  <c r="O186" i="9"/>
  <c r="M356" i="9"/>
  <c r="P356" i="9" s="1"/>
  <c r="Q616" i="9"/>
  <c r="T618" i="9"/>
  <c r="S616" i="9"/>
  <c r="U616" i="9" s="1"/>
  <c r="L232" i="9"/>
  <c r="M94" i="6"/>
  <c r="P94" i="6" s="1"/>
  <c r="T618" i="6"/>
  <c r="P189" i="1"/>
  <c r="U97" i="3"/>
  <c r="T269" i="6"/>
  <c r="T306" i="6"/>
  <c r="K374" i="7"/>
  <c r="L513" i="8"/>
  <c r="O513" i="8" s="1"/>
  <c r="P23" i="9"/>
  <c r="M20" i="9"/>
  <c r="U19" i="9"/>
  <c r="M282" i="9"/>
  <c r="P282" i="9" s="1"/>
  <c r="N21" i="9"/>
  <c r="O21" i="9" s="1"/>
  <c r="N20" i="9"/>
  <c r="N18" i="9" s="1"/>
  <c r="R413" i="9"/>
  <c r="U413" i="9" s="1"/>
  <c r="M24" i="9"/>
  <c r="P24" i="9" s="1"/>
  <c r="O19" i="9"/>
  <c r="M72" i="9"/>
  <c r="P72" i="9" s="1"/>
  <c r="M513" i="9"/>
  <c r="P513" i="9" s="1"/>
  <c r="P515" i="9"/>
  <c r="P188" i="9"/>
  <c r="M186" i="9"/>
  <c r="P186" i="9" s="1"/>
  <c r="I231" i="4"/>
  <c r="I185" i="4" s="1"/>
  <c r="K185" i="4" s="1"/>
  <c r="T730" i="4"/>
  <c r="R303" i="4"/>
  <c r="U303" i="4" s="1"/>
  <c r="T731" i="5"/>
  <c r="Q173" i="6"/>
  <c r="T173" i="6" s="1"/>
  <c r="L94" i="7"/>
  <c r="O94" i="7" s="1"/>
  <c r="M320" i="7"/>
  <c r="P320" i="7" s="1"/>
  <c r="P188" i="7"/>
  <c r="O141" i="8"/>
  <c r="Q20" i="9"/>
  <c r="T23" i="9"/>
  <c r="Q21" i="9"/>
  <c r="N40" i="9"/>
  <c r="R21" i="9"/>
  <c r="L44" i="9"/>
  <c r="O46" i="9"/>
  <c r="O175" i="9"/>
  <c r="M303" i="9"/>
  <c r="P303" i="9" s="1"/>
  <c r="S21" i="9"/>
  <c r="S18" i="9"/>
  <c r="M117" i="2"/>
  <c r="P117" i="2" s="1"/>
  <c r="U189" i="5"/>
  <c r="T763" i="5"/>
  <c r="P189" i="7"/>
  <c r="P175" i="7"/>
  <c r="U306" i="6"/>
  <c r="M513" i="8"/>
  <c r="P513" i="8" s="1"/>
  <c r="L20" i="9"/>
  <c r="O23" i="9"/>
  <c r="R139" i="9"/>
  <c r="U139" i="9" s="1"/>
  <c r="L59" i="9"/>
  <c r="O59" i="9" s="1"/>
  <c r="O61" i="9"/>
  <c r="P336" i="9"/>
  <c r="O336" i="9"/>
  <c r="Q493" i="9"/>
  <c r="T493" i="9" s="1"/>
  <c r="I412" i="9"/>
  <c r="K412" i="9" s="1"/>
  <c r="K423" i="9"/>
  <c r="P189" i="9"/>
  <c r="L282" i="5"/>
  <c r="O282" i="5" s="1"/>
  <c r="M186" i="6"/>
  <c r="P186" i="6" s="1"/>
  <c r="P333" i="6"/>
  <c r="O358" i="6"/>
  <c r="T616" i="6"/>
  <c r="K332" i="7"/>
  <c r="O359" i="7"/>
  <c r="L186" i="7"/>
  <c r="O186" i="7" s="1"/>
  <c r="T269" i="7"/>
  <c r="O62" i="8"/>
  <c r="R728" i="8"/>
  <c r="U728" i="8" s="1"/>
  <c r="T618" i="1"/>
  <c r="P306" i="1"/>
  <c r="S18" i="2"/>
  <c r="I70" i="3"/>
  <c r="K70" i="3" s="1"/>
  <c r="U692" i="8"/>
  <c r="S21" i="2"/>
  <c r="U21" i="2" s="1"/>
  <c r="P175" i="1"/>
  <c r="M303" i="7"/>
  <c r="P303" i="7" s="1"/>
  <c r="Q728" i="8"/>
  <c r="T728" i="8" s="1"/>
  <c r="O335" i="8"/>
  <c r="U644" i="8"/>
  <c r="O175" i="2"/>
  <c r="K374" i="5"/>
  <c r="O188" i="8"/>
  <c r="P188" i="8"/>
  <c r="U642" i="8"/>
  <c r="U690" i="8"/>
  <c r="S690" i="5"/>
  <c r="U690" i="5" s="1"/>
  <c r="O335" i="5"/>
  <c r="U495" i="5"/>
  <c r="U189" i="6"/>
  <c r="K82" i="7"/>
  <c r="U120" i="7"/>
  <c r="S21" i="8"/>
  <c r="R616" i="8"/>
  <c r="U616" i="8" s="1"/>
  <c r="R760" i="8"/>
  <c r="U760" i="8" s="1"/>
  <c r="Q690" i="8"/>
  <c r="T690" i="8" s="1"/>
  <c r="R413" i="8"/>
  <c r="U413" i="8" s="1"/>
  <c r="R493" i="8"/>
  <c r="U493" i="8" s="1"/>
  <c r="N599" i="1"/>
  <c r="P176" i="1"/>
  <c r="O119" i="3"/>
  <c r="O306" i="4"/>
  <c r="O176" i="6"/>
  <c r="I70" i="6"/>
  <c r="K70" i="6" s="1"/>
  <c r="T642" i="6"/>
  <c r="R375" i="7"/>
  <c r="U375" i="7" s="1"/>
  <c r="R760" i="7"/>
  <c r="U760" i="7" s="1"/>
  <c r="M186" i="8"/>
  <c r="P186" i="8" s="1"/>
  <c r="R157" i="8"/>
  <c r="U157" i="8" s="1"/>
  <c r="L24" i="8"/>
  <c r="O24" i="8" s="1"/>
  <c r="O26" i="8"/>
  <c r="N266" i="8"/>
  <c r="P266" i="8" s="1"/>
  <c r="T188" i="8"/>
  <c r="Q186" i="8"/>
  <c r="P359" i="8"/>
  <c r="R21" i="8"/>
  <c r="R20" i="8"/>
  <c r="U23" i="8"/>
  <c r="P175" i="6"/>
  <c r="I71" i="6"/>
  <c r="K71" i="6" s="1"/>
  <c r="U266" i="7"/>
  <c r="Q493" i="7"/>
  <c r="T493" i="7" s="1"/>
  <c r="Q20" i="8"/>
  <c r="T23" i="8"/>
  <c r="Q21" i="8"/>
  <c r="N20" i="8"/>
  <c r="N18" i="8" s="1"/>
  <c r="N21" i="8"/>
  <c r="M44" i="8"/>
  <c r="P46" i="8"/>
  <c r="P159" i="8"/>
  <c r="M157" i="8"/>
  <c r="P157" i="8" s="1"/>
  <c r="S186" i="8"/>
  <c r="U186" i="8" s="1"/>
  <c r="U188" i="8"/>
  <c r="L173" i="8"/>
  <c r="O173" i="8" s="1"/>
  <c r="I231" i="8"/>
  <c r="K242" i="8"/>
  <c r="L21" i="8"/>
  <c r="L20" i="8"/>
  <c r="O23" i="8"/>
  <c r="K82" i="8"/>
  <c r="I70" i="8"/>
  <c r="K70" i="8" s="1"/>
  <c r="P358" i="8"/>
  <c r="M356" i="8"/>
  <c r="P356" i="8" s="1"/>
  <c r="N333" i="8"/>
  <c r="M72" i="8"/>
  <c r="P72" i="8" s="1"/>
  <c r="P74" i="8"/>
  <c r="O322" i="8"/>
  <c r="L320" i="8"/>
  <c r="O320" i="8" s="1"/>
  <c r="P119" i="8"/>
  <c r="M117" i="8"/>
  <c r="P117" i="8" s="1"/>
  <c r="P266" i="3"/>
  <c r="T120" i="7"/>
  <c r="P23" i="8"/>
  <c r="M20" i="8"/>
  <c r="L232" i="8"/>
  <c r="O243" i="8"/>
  <c r="P96" i="8"/>
  <c r="M94" i="8"/>
  <c r="P94" i="8" s="1"/>
  <c r="R375" i="8"/>
  <c r="U375" i="8" s="1"/>
  <c r="U377" i="8"/>
  <c r="T378" i="1"/>
  <c r="T94" i="3"/>
  <c r="L94" i="6"/>
  <c r="O94" i="6" s="1"/>
  <c r="K701" i="6"/>
  <c r="M24" i="7"/>
  <c r="P24" i="7" s="1"/>
  <c r="L282" i="7"/>
  <c r="O282" i="7" s="1"/>
  <c r="M21" i="8"/>
  <c r="R139" i="8"/>
  <c r="U139" i="8" s="1"/>
  <c r="U141" i="8"/>
  <c r="P175" i="8"/>
  <c r="M173" i="8"/>
  <c r="P173" i="8" s="1"/>
  <c r="O74" i="8"/>
  <c r="L72" i="8"/>
  <c r="R173" i="8"/>
  <c r="U173" i="8" s="1"/>
  <c r="S21" i="3"/>
  <c r="U94" i="3"/>
  <c r="L303" i="3"/>
  <c r="O303" i="3" s="1"/>
  <c r="T75" i="6"/>
  <c r="R413" i="7"/>
  <c r="U413" i="7" s="1"/>
  <c r="U692" i="7"/>
  <c r="L139" i="7"/>
  <c r="O139" i="7" s="1"/>
  <c r="M59" i="8"/>
  <c r="P61" i="8"/>
  <c r="P176" i="8"/>
  <c r="L186" i="8"/>
  <c r="O186" i="8" s="1"/>
  <c r="L157" i="8"/>
  <c r="O157" i="8" s="1"/>
  <c r="M320" i="8"/>
  <c r="P320" i="8" s="1"/>
  <c r="L356" i="8"/>
  <c r="O356" i="8" s="1"/>
  <c r="Q616" i="8"/>
  <c r="T616" i="8" s="1"/>
  <c r="T618" i="8"/>
  <c r="L282" i="8"/>
  <c r="O282" i="8" s="1"/>
  <c r="Q642" i="8"/>
  <c r="T642" i="8" s="1"/>
  <c r="U692" i="3"/>
  <c r="U690" i="7"/>
  <c r="Q760" i="7"/>
  <c r="T760" i="7" s="1"/>
  <c r="M303" i="5"/>
  <c r="P303" i="5" s="1"/>
  <c r="O189" i="4"/>
  <c r="Q375" i="6"/>
  <c r="T375" i="6" s="1"/>
  <c r="U303" i="6"/>
  <c r="Q642" i="7"/>
  <c r="T642" i="7" s="1"/>
  <c r="I412" i="7"/>
  <c r="K412" i="7" s="1"/>
  <c r="K423" i="7"/>
  <c r="O335" i="7"/>
  <c r="R690" i="1"/>
  <c r="T415" i="4"/>
  <c r="U728" i="5"/>
  <c r="N59" i="6"/>
  <c r="O59" i="6" s="1"/>
  <c r="M173" i="7"/>
  <c r="P173" i="7" s="1"/>
  <c r="N333" i="7"/>
  <c r="O333" i="7" s="1"/>
  <c r="Q493" i="3"/>
  <c r="T493" i="3" s="1"/>
  <c r="M282" i="5"/>
  <c r="P282" i="5" s="1"/>
  <c r="T728" i="5"/>
  <c r="M320" i="6"/>
  <c r="P320" i="6" s="1"/>
  <c r="N59" i="7"/>
  <c r="P59" i="7" s="1"/>
  <c r="U189" i="7"/>
  <c r="N20" i="7"/>
  <c r="N18" i="7" s="1"/>
  <c r="L24" i="7"/>
  <c r="O24" i="7" s="1"/>
  <c r="Q413" i="7"/>
  <c r="T413" i="7" s="1"/>
  <c r="K626" i="1"/>
  <c r="S72" i="1"/>
  <c r="P173" i="2"/>
  <c r="U306" i="4"/>
  <c r="L72" i="7"/>
  <c r="O72" i="7" s="1"/>
  <c r="R728" i="7"/>
  <c r="U728" i="7" s="1"/>
  <c r="K632" i="1"/>
  <c r="T305" i="2"/>
  <c r="M513" i="2"/>
  <c r="P513" i="2" s="1"/>
  <c r="O232" i="1"/>
  <c r="U306" i="5"/>
  <c r="S21" i="6"/>
  <c r="O74" i="6"/>
  <c r="P160" i="6"/>
  <c r="P21" i="7"/>
  <c r="O119" i="7"/>
  <c r="L117" i="7"/>
  <c r="O117" i="7" s="1"/>
  <c r="S18" i="7"/>
  <c r="S21" i="7"/>
  <c r="L232" i="7"/>
  <c r="O243" i="7"/>
  <c r="Q690" i="7"/>
  <c r="T690" i="7" s="1"/>
  <c r="N303" i="1"/>
  <c r="S616" i="1"/>
  <c r="K701" i="2"/>
  <c r="T377" i="3"/>
  <c r="T188" i="4"/>
  <c r="U645" i="4"/>
  <c r="O358" i="4"/>
  <c r="U266" i="6"/>
  <c r="I231" i="6"/>
  <c r="T72" i="6"/>
  <c r="R728" i="6"/>
  <c r="U728" i="6" s="1"/>
  <c r="T619" i="6"/>
  <c r="L20" i="7"/>
  <c r="O23" i="7"/>
  <c r="P46" i="7"/>
  <c r="U175" i="7"/>
  <c r="R173" i="7"/>
  <c r="U173" i="7" s="1"/>
  <c r="M186" i="7"/>
  <c r="P186" i="7" s="1"/>
  <c r="R616" i="7"/>
  <c r="U616" i="7" s="1"/>
  <c r="U377" i="3"/>
  <c r="T119" i="5"/>
  <c r="T763" i="4"/>
  <c r="S117" i="5"/>
  <c r="U117" i="5" s="1"/>
  <c r="U731" i="6"/>
  <c r="R20" i="7"/>
  <c r="U20" i="7" s="1"/>
  <c r="U23" i="7"/>
  <c r="L44" i="7"/>
  <c r="O46" i="7"/>
  <c r="K83" i="7"/>
  <c r="I71" i="7"/>
  <c r="K71" i="7" s="1"/>
  <c r="T159" i="7"/>
  <c r="Q157" i="7"/>
  <c r="T157" i="7" s="1"/>
  <c r="K253" i="7"/>
  <c r="I231" i="7"/>
  <c r="P44" i="7"/>
  <c r="O61" i="7"/>
  <c r="P336" i="1"/>
  <c r="T618" i="3"/>
  <c r="P268" i="6"/>
  <c r="U19" i="7"/>
  <c r="S186" i="7"/>
  <c r="T186" i="7" s="1"/>
  <c r="O19" i="7"/>
  <c r="P515" i="7"/>
  <c r="M513" i="7"/>
  <c r="P513" i="7" s="1"/>
  <c r="M282" i="7"/>
  <c r="P282" i="7" s="1"/>
  <c r="U266" i="4"/>
  <c r="U120" i="4"/>
  <c r="M513" i="6"/>
  <c r="P513" i="6" s="1"/>
  <c r="U693" i="6"/>
  <c r="U72" i="6"/>
  <c r="T19" i="7"/>
  <c r="R157" i="7"/>
  <c r="U157" i="7" s="1"/>
  <c r="U159" i="7"/>
  <c r="L356" i="7"/>
  <c r="O356" i="7" s="1"/>
  <c r="L157" i="7"/>
  <c r="O157" i="7" s="1"/>
  <c r="O159" i="7"/>
  <c r="U188" i="7"/>
  <c r="O23" i="1"/>
  <c r="P159" i="4"/>
  <c r="P266" i="5"/>
  <c r="U120" i="5"/>
  <c r="T644" i="6"/>
  <c r="Q20" i="7"/>
  <c r="T20" i="7" s="1"/>
  <c r="T23" i="7"/>
  <c r="Q21" i="7"/>
  <c r="P23" i="7"/>
  <c r="M20" i="7"/>
  <c r="R21" i="7"/>
  <c r="Q375" i="7"/>
  <c r="T375" i="7" s="1"/>
  <c r="T377" i="7"/>
  <c r="O21" i="7"/>
  <c r="L173" i="7"/>
  <c r="O173" i="7" s="1"/>
  <c r="O175" i="7"/>
  <c r="M356" i="7"/>
  <c r="P356" i="7" s="1"/>
  <c r="P358" i="7"/>
  <c r="T618" i="7"/>
  <c r="Q616" i="7"/>
  <c r="T616" i="7" s="1"/>
  <c r="S303" i="3"/>
  <c r="T303" i="3" s="1"/>
  <c r="L282" i="4"/>
  <c r="O282" i="4" s="1"/>
  <c r="P359" i="4"/>
  <c r="T495" i="5"/>
  <c r="P75" i="6"/>
  <c r="P305" i="6"/>
  <c r="N117" i="1"/>
  <c r="U189" i="1"/>
  <c r="M186" i="1"/>
  <c r="I71" i="3"/>
  <c r="K71" i="3" s="1"/>
  <c r="P188" i="3"/>
  <c r="T306" i="5"/>
  <c r="L232" i="5"/>
  <c r="O336" i="6"/>
  <c r="P303" i="6"/>
  <c r="T189" i="6"/>
  <c r="Q413" i="6"/>
  <c r="T413" i="6" s="1"/>
  <c r="T415" i="6"/>
  <c r="P269" i="1"/>
  <c r="R303" i="1"/>
  <c r="U303" i="1" s="1"/>
  <c r="N282" i="1"/>
  <c r="T119" i="6"/>
  <c r="M117" i="6"/>
  <c r="P117" i="6" s="1"/>
  <c r="U619" i="6"/>
  <c r="T97" i="3"/>
  <c r="T117" i="6"/>
  <c r="P74" i="1"/>
  <c r="Q157" i="3"/>
  <c r="T157" i="3" s="1"/>
  <c r="T305" i="3"/>
  <c r="I412" i="3"/>
  <c r="K412" i="3" s="1"/>
  <c r="Q413" i="5"/>
  <c r="T413" i="5" s="1"/>
  <c r="S493" i="5"/>
  <c r="T493" i="5" s="1"/>
  <c r="R642" i="6"/>
  <c r="U642" i="6" s="1"/>
  <c r="L266" i="6"/>
  <c r="O266" i="6" s="1"/>
  <c r="O268" i="6"/>
  <c r="P159" i="5"/>
  <c r="L117" i="5"/>
  <c r="O117" i="5" s="1"/>
  <c r="M24" i="6"/>
  <c r="P24" i="6" s="1"/>
  <c r="O62" i="6"/>
  <c r="L320" i="6"/>
  <c r="O320" i="6" s="1"/>
  <c r="U645" i="6"/>
  <c r="Q728" i="6"/>
  <c r="T728" i="6" s="1"/>
  <c r="P306" i="6"/>
  <c r="Q157" i="6"/>
  <c r="T157" i="6" s="1"/>
  <c r="Q20" i="6"/>
  <c r="T20" i="6" s="1"/>
  <c r="T23" i="6"/>
  <c r="Q21" i="6"/>
  <c r="Q94" i="6"/>
  <c r="T94" i="6" s="1"/>
  <c r="T96" i="6"/>
  <c r="P141" i="6"/>
  <c r="M139" i="6"/>
  <c r="P139" i="6" s="1"/>
  <c r="U496" i="1"/>
  <c r="O305" i="4"/>
  <c r="L21" i="6"/>
  <c r="L20" i="6"/>
  <c r="O23" i="6"/>
  <c r="N21" i="6"/>
  <c r="N20" i="6"/>
  <c r="N18" i="6" s="1"/>
  <c r="T188" i="6"/>
  <c r="M72" i="6"/>
  <c r="P72" i="6" s="1"/>
  <c r="P74" i="6"/>
  <c r="R616" i="6"/>
  <c r="U616" i="6" s="1"/>
  <c r="U618" i="6"/>
  <c r="L232" i="6"/>
  <c r="O243" i="6"/>
  <c r="L117" i="6"/>
  <c r="O117" i="6" s="1"/>
  <c r="O119" i="6"/>
  <c r="U378" i="1"/>
  <c r="O323" i="1"/>
  <c r="P305" i="1"/>
  <c r="I71" i="4"/>
  <c r="K71" i="4" s="1"/>
  <c r="T760" i="5"/>
  <c r="P139" i="5"/>
  <c r="R21" i="6"/>
  <c r="R20" i="6"/>
  <c r="U23" i="6"/>
  <c r="R117" i="6"/>
  <c r="U117" i="6" s="1"/>
  <c r="U119" i="6"/>
  <c r="S186" i="6"/>
  <c r="U186" i="6" s="1"/>
  <c r="L173" i="6"/>
  <c r="O173" i="6" s="1"/>
  <c r="O175" i="6"/>
  <c r="L356" i="6"/>
  <c r="O356" i="6" s="1"/>
  <c r="I412" i="6"/>
  <c r="K412" i="6" s="1"/>
  <c r="K423" i="6"/>
  <c r="Q157" i="5"/>
  <c r="T157" i="5" s="1"/>
  <c r="M513" i="5"/>
  <c r="P513" i="5" s="1"/>
  <c r="T762" i="5"/>
  <c r="P335" i="5"/>
  <c r="M44" i="6"/>
  <c r="P46" i="6"/>
  <c r="O44" i="6"/>
  <c r="P19" i="6"/>
  <c r="M59" i="6"/>
  <c r="P61" i="6"/>
  <c r="M157" i="6"/>
  <c r="P157" i="6" s="1"/>
  <c r="M173" i="6"/>
  <c r="P173" i="6" s="1"/>
  <c r="O72" i="6"/>
  <c r="N266" i="6"/>
  <c r="P266" i="6" s="1"/>
  <c r="O335" i="6"/>
  <c r="Q266" i="6"/>
  <c r="T266" i="6" s="1"/>
  <c r="T495" i="6"/>
  <c r="Q493" i="6"/>
  <c r="T493" i="6" s="1"/>
  <c r="S616" i="2"/>
  <c r="T616" i="2" s="1"/>
  <c r="T496" i="2"/>
  <c r="T644" i="1"/>
  <c r="R44" i="1"/>
  <c r="U44" i="1" s="1"/>
  <c r="Q760" i="3"/>
  <c r="T760" i="3" s="1"/>
  <c r="N375" i="1"/>
  <c r="P139" i="4"/>
  <c r="P305" i="4"/>
  <c r="T645" i="4"/>
  <c r="U186" i="5"/>
  <c r="P142" i="5"/>
  <c r="U762" i="5"/>
  <c r="T19" i="6"/>
  <c r="O46" i="6"/>
  <c r="Q303" i="6"/>
  <c r="T303" i="6" s="1"/>
  <c r="T305" i="6"/>
  <c r="P335" i="6"/>
  <c r="S18" i="6"/>
  <c r="O284" i="6"/>
  <c r="L282" i="6"/>
  <c r="O282" i="6" s="1"/>
  <c r="R375" i="6"/>
  <c r="U375" i="6" s="1"/>
  <c r="P141" i="4"/>
  <c r="T618" i="4"/>
  <c r="P322" i="5"/>
  <c r="O333" i="5"/>
  <c r="U730" i="5"/>
  <c r="O359" i="5"/>
  <c r="P23" i="6"/>
  <c r="M20" i="6"/>
  <c r="M21" i="6"/>
  <c r="L24" i="6"/>
  <c r="O24" i="6" s="1"/>
  <c r="O26" i="6"/>
  <c r="R173" i="6"/>
  <c r="U173" i="6" s="1"/>
  <c r="U175" i="6"/>
  <c r="M282" i="6"/>
  <c r="P282" i="6" s="1"/>
  <c r="P284" i="6"/>
  <c r="O305" i="6"/>
  <c r="L303" i="6"/>
  <c r="O303" i="6" s="1"/>
  <c r="L186" i="6"/>
  <c r="O186" i="6" s="1"/>
  <c r="O188" i="6"/>
  <c r="P358" i="6"/>
  <c r="M356" i="6"/>
  <c r="P356" i="6" s="1"/>
  <c r="R690" i="6"/>
  <c r="U690" i="6" s="1"/>
  <c r="I412" i="2"/>
  <c r="K412" i="2" s="1"/>
  <c r="U159" i="3"/>
  <c r="K374" i="3"/>
  <c r="L117" i="4"/>
  <c r="O117" i="4" s="1"/>
  <c r="O359" i="4"/>
  <c r="M24" i="5"/>
  <c r="P24" i="5" s="1"/>
  <c r="T269" i="5"/>
  <c r="O188" i="5"/>
  <c r="O175" i="5"/>
  <c r="L173" i="5"/>
  <c r="O173" i="5" s="1"/>
  <c r="M714" i="1"/>
  <c r="P714" i="1" s="1"/>
  <c r="S21" i="1"/>
  <c r="O61" i="2"/>
  <c r="L356" i="4"/>
  <c r="O356" i="4" s="1"/>
  <c r="L157" i="5"/>
  <c r="O157" i="5" s="1"/>
  <c r="P333" i="5"/>
  <c r="U377" i="5"/>
  <c r="U117" i="4"/>
  <c r="P175" i="5"/>
  <c r="M173" i="5"/>
  <c r="P173" i="5" s="1"/>
  <c r="U269" i="5"/>
  <c r="P359" i="5"/>
  <c r="T496" i="5"/>
  <c r="M157" i="1"/>
  <c r="P157" i="1" s="1"/>
  <c r="S690" i="1"/>
  <c r="R375" i="3"/>
  <c r="U375" i="3" s="1"/>
  <c r="P61" i="5"/>
  <c r="T186" i="5"/>
  <c r="S21" i="5"/>
  <c r="P320" i="5"/>
  <c r="O268" i="5"/>
  <c r="L266" i="5"/>
  <c r="O266" i="5" s="1"/>
  <c r="U159" i="5"/>
  <c r="R157" i="5"/>
  <c r="U157" i="5" s="1"/>
  <c r="Q413" i="2"/>
  <c r="T413" i="2" s="1"/>
  <c r="S94" i="1"/>
  <c r="O175" i="4"/>
  <c r="U730" i="4"/>
  <c r="I71" i="5"/>
  <c r="K71" i="5" s="1"/>
  <c r="M117" i="5"/>
  <c r="P117" i="5" s="1"/>
  <c r="P119" i="5"/>
  <c r="O74" i="5"/>
  <c r="L72" i="5"/>
  <c r="O72" i="5" s="1"/>
  <c r="O358" i="5"/>
  <c r="L356" i="5"/>
  <c r="O356" i="5" s="1"/>
  <c r="P268" i="5"/>
  <c r="R375" i="4"/>
  <c r="U375" i="4" s="1"/>
  <c r="P61" i="2"/>
  <c r="U618" i="2"/>
  <c r="T692" i="1"/>
  <c r="O176" i="1"/>
  <c r="R493" i="3"/>
  <c r="U493" i="3" s="1"/>
  <c r="L303" i="5"/>
  <c r="O303" i="5" s="1"/>
  <c r="M94" i="5"/>
  <c r="P94" i="5" s="1"/>
  <c r="P96" i="5"/>
  <c r="Q20" i="5"/>
  <c r="T23" i="5"/>
  <c r="Q21" i="5"/>
  <c r="O139" i="5"/>
  <c r="U19" i="5"/>
  <c r="T644" i="5"/>
  <c r="Q642" i="5"/>
  <c r="T642" i="5" s="1"/>
  <c r="T618" i="5"/>
  <c r="U690" i="3"/>
  <c r="L20" i="5"/>
  <c r="O23" i="5"/>
  <c r="N157" i="5"/>
  <c r="P157" i="5" s="1"/>
  <c r="O189" i="5"/>
  <c r="P189" i="5"/>
  <c r="R375" i="5"/>
  <c r="U375" i="5" s="1"/>
  <c r="U616" i="5"/>
  <c r="L599" i="1"/>
  <c r="O599" i="1" s="1"/>
  <c r="T762" i="1"/>
  <c r="T762" i="2"/>
  <c r="R413" i="2"/>
  <c r="U413" i="2" s="1"/>
  <c r="P284" i="1"/>
  <c r="P176" i="3"/>
  <c r="T306" i="4"/>
  <c r="L513" i="4"/>
  <c r="O513" i="4" s="1"/>
  <c r="U269" i="4"/>
  <c r="R20" i="5"/>
  <c r="U20" i="5" s="1"/>
  <c r="U23" i="5"/>
  <c r="Q117" i="5"/>
  <c r="N186" i="5"/>
  <c r="O186" i="5" s="1"/>
  <c r="O142" i="5"/>
  <c r="Q266" i="5"/>
  <c r="T266" i="5" s="1"/>
  <c r="J492" i="5"/>
  <c r="K492" i="5" s="1"/>
  <c r="K503" i="5"/>
  <c r="I231" i="5"/>
  <c r="K242" i="5"/>
  <c r="N21" i="5"/>
  <c r="P21" i="5" s="1"/>
  <c r="N20" i="5"/>
  <c r="N18" i="5" s="1"/>
  <c r="R21" i="5"/>
  <c r="O243" i="5"/>
  <c r="T616" i="5"/>
  <c r="L513" i="2"/>
  <c r="O513" i="2" s="1"/>
  <c r="U731" i="1"/>
  <c r="R157" i="1"/>
  <c r="U157" i="1" s="1"/>
  <c r="R94" i="1"/>
  <c r="T644" i="2"/>
  <c r="L94" i="3"/>
  <c r="O94" i="3" s="1"/>
  <c r="M139" i="3"/>
  <c r="P139" i="3" s="1"/>
  <c r="U268" i="3"/>
  <c r="P46" i="4"/>
  <c r="O141" i="4"/>
  <c r="Q186" i="4"/>
  <c r="T186" i="4" s="1"/>
  <c r="L24" i="5"/>
  <c r="O24" i="5" s="1"/>
  <c r="L59" i="5"/>
  <c r="O59" i="5" s="1"/>
  <c r="O61" i="5"/>
  <c r="P358" i="5"/>
  <c r="M356" i="5"/>
  <c r="P356" i="5" s="1"/>
  <c r="M59" i="5"/>
  <c r="P59" i="5" s="1"/>
  <c r="L513" i="5"/>
  <c r="O513" i="5" s="1"/>
  <c r="O515" i="5"/>
  <c r="M44" i="5"/>
  <c r="P141" i="5"/>
  <c r="S18" i="5"/>
  <c r="T188" i="5"/>
  <c r="T619" i="5"/>
  <c r="L513" i="1"/>
  <c r="O513" i="1" s="1"/>
  <c r="N690" i="1"/>
  <c r="N186" i="1"/>
  <c r="O186" i="1" s="1"/>
  <c r="Q117" i="1"/>
  <c r="T117" i="1" s="1"/>
  <c r="O96" i="2"/>
  <c r="Q19" i="1"/>
  <c r="T19" i="1" s="1"/>
  <c r="M94" i="2"/>
  <c r="P94" i="2" s="1"/>
  <c r="O141" i="2"/>
  <c r="Q599" i="1"/>
  <c r="T599" i="1" s="1"/>
  <c r="N616" i="1"/>
  <c r="U266" i="3"/>
  <c r="M186" i="3"/>
  <c r="P186" i="3" s="1"/>
  <c r="U618" i="3"/>
  <c r="R139" i="4"/>
  <c r="U139" i="4" s="1"/>
  <c r="O141" i="5"/>
  <c r="P23" i="5"/>
  <c r="M20" i="5"/>
  <c r="M18" i="5" s="1"/>
  <c r="L44" i="5"/>
  <c r="O46" i="5"/>
  <c r="I70" i="5"/>
  <c r="K70" i="5" s="1"/>
  <c r="K82" i="5"/>
  <c r="P188" i="5"/>
  <c r="R413" i="5"/>
  <c r="U413" i="5" s="1"/>
  <c r="T189" i="5"/>
  <c r="U618" i="5"/>
  <c r="T692" i="5"/>
  <c r="Q690" i="5"/>
  <c r="P323" i="1"/>
  <c r="S186" i="1"/>
  <c r="O284" i="1"/>
  <c r="U642" i="2"/>
  <c r="T117" i="3"/>
  <c r="M94" i="3"/>
  <c r="P94" i="3" s="1"/>
  <c r="M303" i="3"/>
  <c r="P303" i="3" s="1"/>
  <c r="T117" i="4"/>
  <c r="P175" i="4"/>
  <c r="N303" i="4"/>
  <c r="P303" i="4" s="1"/>
  <c r="U619" i="4"/>
  <c r="L21" i="5"/>
  <c r="R139" i="5"/>
  <c r="U139" i="5" s="1"/>
  <c r="Q173" i="5"/>
  <c r="T173" i="5" s="1"/>
  <c r="U188" i="5"/>
  <c r="P19" i="5"/>
  <c r="O322" i="5"/>
  <c r="L320" i="5"/>
  <c r="O320" i="5" s="1"/>
  <c r="Q375" i="5"/>
  <c r="T375" i="5" s="1"/>
  <c r="T377" i="5"/>
  <c r="M72" i="5"/>
  <c r="P72" i="5" s="1"/>
  <c r="U763" i="5"/>
  <c r="P268" i="3"/>
  <c r="O335" i="3"/>
  <c r="U728" i="3"/>
  <c r="U188" i="4"/>
  <c r="S642" i="4"/>
  <c r="T642" i="4" s="1"/>
  <c r="O59" i="3"/>
  <c r="U731" i="2"/>
  <c r="O359" i="1"/>
  <c r="L72" i="4"/>
  <c r="O72" i="4" s="1"/>
  <c r="O74" i="4"/>
  <c r="P119" i="4"/>
  <c r="M117" i="4"/>
  <c r="P117" i="4" s="1"/>
  <c r="R728" i="4"/>
  <c r="U728" i="4" s="1"/>
  <c r="T693" i="1"/>
  <c r="O96" i="4"/>
  <c r="L94" i="4"/>
  <c r="O94" i="4" s="1"/>
  <c r="P96" i="4"/>
  <c r="M94" i="4"/>
  <c r="P94" i="4" s="1"/>
  <c r="M139" i="1"/>
  <c r="P139" i="1" s="1"/>
  <c r="T644" i="3"/>
  <c r="R760" i="3"/>
  <c r="U760" i="3" s="1"/>
  <c r="U644" i="3"/>
  <c r="P142" i="4"/>
  <c r="T269" i="4"/>
  <c r="M282" i="2"/>
  <c r="P282" i="2" s="1"/>
  <c r="U616" i="3"/>
  <c r="L320" i="4"/>
  <c r="O320" i="4" s="1"/>
  <c r="P59" i="4"/>
  <c r="P333" i="4"/>
  <c r="R20" i="4"/>
  <c r="U20" i="4" s="1"/>
  <c r="U23" i="4"/>
  <c r="R375" i="1"/>
  <c r="U375" i="1" s="1"/>
  <c r="O61" i="4"/>
  <c r="L59" i="4"/>
  <c r="O59" i="4" s="1"/>
  <c r="N186" i="4"/>
  <c r="P186" i="4" s="1"/>
  <c r="U19" i="4"/>
  <c r="U186" i="4"/>
  <c r="O142" i="4"/>
  <c r="P266" i="4"/>
  <c r="M320" i="4"/>
  <c r="P320" i="4" s="1"/>
  <c r="M72" i="4"/>
  <c r="P72" i="4" s="1"/>
  <c r="Q493" i="4"/>
  <c r="T493" i="4" s="1"/>
  <c r="T495" i="4"/>
  <c r="R493" i="4"/>
  <c r="U493" i="4" s="1"/>
  <c r="U692" i="4"/>
  <c r="T266" i="4"/>
  <c r="L576" i="1"/>
  <c r="O576" i="1" s="1"/>
  <c r="O44" i="1"/>
  <c r="O61" i="3"/>
  <c r="T189" i="3"/>
  <c r="P333" i="3"/>
  <c r="Q20" i="4"/>
  <c r="T23" i="4"/>
  <c r="Q21" i="4"/>
  <c r="N173" i="4"/>
  <c r="P173" i="4" s="1"/>
  <c r="L24" i="4"/>
  <c r="O24" i="4" s="1"/>
  <c r="N157" i="4"/>
  <c r="L139" i="4"/>
  <c r="O139" i="4" s="1"/>
  <c r="T377" i="4"/>
  <c r="Q375" i="4"/>
  <c r="T375" i="4" s="1"/>
  <c r="L232" i="4"/>
  <c r="O243" i="4"/>
  <c r="P358" i="4"/>
  <c r="M356" i="4"/>
  <c r="P356" i="4" s="1"/>
  <c r="R642" i="4"/>
  <c r="U644" i="4"/>
  <c r="P268" i="4"/>
  <c r="P23" i="4"/>
  <c r="M20" i="4"/>
  <c r="L266" i="1"/>
  <c r="O266" i="1" s="1"/>
  <c r="T269" i="2"/>
  <c r="N513" i="1"/>
  <c r="U268" i="1"/>
  <c r="L266" i="3"/>
  <c r="O266" i="3" s="1"/>
  <c r="M282" i="3"/>
  <c r="P282" i="3" s="1"/>
  <c r="L20" i="4"/>
  <c r="O23" i="4"/>
  <c r="L44" i="4"/>
  <c r="O46" i="4"/>
  <c r="M44" i="4"/>
  <c r="Q173" i="4"/>
  <c r="T173" i="4" s="1"/>
  <c r="M282" i="4"/>
  <c r="P282" i="4" s="1"/>
  <c r="P284" i="4"/>
  <c r="P335" i="4"/>
  <c r="T692" i="4"/>
  <c r="Q690" i="4"/>
  <c r="T690" i="4" s="1"/>
  <c r="I412" i="4"/>
  <c r="K412" i="4" s="1"/>
  <c r="K423" i="4"/>
  <c r="R760" i="4"/>
  <c r="U760" i="4" s="1"/>
  <c r="Q728" i="4"/>
  <c r="T728" i="4" s="1"/>
  <c r="N72" i="1"/>
  <c r="P266" i="2"/>
  <c r="M21" i="4"/>
  <c r="I70" i="4"/>
  <c r="K70" i="4" s="1"/>
  <c r="K82" i="4"/>
  <c r="O159" i="4"/>
  <c r="S18" i="4"/>
  <c r="S21" i="4"/>
  <c r="L333" i="4"/>
  <c r="O333" i="4" s="1"/>
  <c r="O335" i="4"/>
  <c r="N642" i="1"/>
  <c r="R642" i="3"/>
  <c r="U642" i="3" s="1"/>
  <c r="L320" i="1"/>
  <c r="O320" i="1" s="1"/>
  <c r="P61" i="4"/>
  <c r="N21" i="4"/>
  <c r="O21" i="4" s="1"/>
  <c r="N20" i="4"/>
  <c r="N18" i="4" s="1"/>
  <c r="O188" i="4"/>
  <c r="M24" i="4"/>
  <c r="P24" i="4" s="1"/>
  <c r="R21" i="4"/>
  <c r="U690" i="4"/>
  <c r="U496" i="2"/>
  <c r="R173" i="1"/>
  <c r="U173" i="1" s="1"/>
  <c r="P268" i="2"/>
  <c r="Q173" i="3"/>
  <c r="T173" i="3" s="1"/>
  <c r="P75" i="1"/>
  <c r="L117" i="1"/>
  <c r="O117" i="1" s="1"/>
  <c r="P46" i="1"/>
  <c r="L59" i="2"/>
  <c r="O59" i="2" s="1"/>
  <c r="U692" i="2"/>
  <c r="P44" i="1"/>
  <c r="T97" i="1"/>
  <c r="T96" i="1"/>
  <c r="O46" i="3"/>
  <c r="U730" i="3"/>
  <c r="I231" i="3"/>
  <c r="T728" i="3"/>
  <c r="Q72" i="3"/>
  <c r="T72" i="3" s="1"/>
  <c r="L139" i="3"/>
  <c r="O139" i="3" s="1"/>
  <c r="O141" i="3"/>
  <c r="R599" i="1"/>
  <c r="U599" i="1" s="1"/>
  <c r="Q642" i="2"/>
  <c r="T642" i="2" s="1"/>
  <c r="P186" i="2"/>
  <c r="T730" i="3"/>
  <c r="P335" i="3"/>
  <c r="M642" i="1"/>
  <c r="P642" i="1" s="1"/>
  <c r="O189" i="1"/>
  <c r="O142" i="2"/>
  <c r="U693" i="1"/>
  <c r="Q59" i="1"/>
  <c r="T59" i="1" s="1"/>
  <c r="O46" i="1"/>
  <c r="P175" i="2"/>
  <c r="T119" i="3"/>
  <c r="T188" i="3"/>
  <c r="T642" i="3"/>
  <c r="K701" i="3"/>
  <c r="P333" i="2"/>
  <c r="O188" i="3"/>
  <c r="L186" i="3"/>
  <c r="O186" i="3" s="1"/>
  <c r="M534" i="1"/>
  <c r="P534" i="1" s="1"/>
  <c r="N20" i="1"/>
  <c r="P335" i="2"/>
  <c r="T19" i="3"/>
  <c r="M59" i="3"/>
  <c r="P59" i="3" s="1"/>
  <c r="P61" i="3"/>
  <c r="U189" i="3"/>
  <c r="L21" i="3"/>
  <c r="L20" i="3"/>
  <c r="O23" i="3"/>
  <c r="Q728" i="1"/>
  <c r="T728" i="1" s="1"/>
  <c r="U693" i="2"/>
  <c r="N555" i="1"/>
  <c r="P269" i="2"/>
  <c r="M44" i="3"/>
  <c r="P46" i="3"/>
  <c r="T141" i="3"/>
  <c r="Q139" i="3"/>
  <c r="T139" i="3" s="1"/>
  <c r="R21" i="3"/>
  <c r="U23" i="3"/>
  <c r="R20" i="3"/>
  <c r="L282" i="3"/>
  <c r="O282" i="3" s="1"/>
  <c r="L24" i="3"/>
  <c r="O24" i="3" s="1"/>
  <c r="O26" i="3"/>
  <c r="P175" i="3"/>
  <c r="M173" i="3"/>
  <c r="P173" i="3" s="1"/>
  <c r="L173" i="3"/>
  <c r="O173" i="3" s="1"/>
  <c r="O175" i="3"/>
  <c r="L333" i="3"/>
  <c r="O333" i="3" s="1"/>
  <c r="O189" i="3"/>
  <c r="O335" i="2"/>
  <c r="M24" i="3"/>
  <c r="P24" i="3" s="1"/>
  <c r="N40" i="3"/>
  <c r="L232" i="3"/>
  <c r="O243" i="3"/>
  <c r="N714" i="1"/>
  <c r="Q139" i="1"/>
  <c r="T139" i="1" s="1"/>
  <c r="Q139" i="2"/>
  <c r="T139" i="2" s="1"/>
  <c r="J457" i="1"/>
  <c r="J456" i="1" s="1"/>
  <c r="T731" i="2"/>
  <c r="T496" i="1"/>
  <c r="T693" i="2"/>
  <c r="O74" i="1"/>
  <c r="U188" i="1"/>
  <c r="P23" i="3"/>
  <c r="M20" i="3"/>
  <c r="M72" i="3"/>
  <c r="P72" i="3" s="1"/>
  <c r="P74" i="3"/>
  <c r="R173" i="3"/>
  <c r="U173" i="3" s="1"/>
  <c r="U175" i="3"/>
  <c r="P269" i="3"/>
  <c r="Q375" i="3"/>
  <c r="T375" i="3" s="1"/>
  <c r="P322" i="3"/>
  <c r="M320" i="3"/>
  <c r="P320" i="3" s="1"/>
  <c r="Q616" i="3"/>
  <c r="T616" i="3" s="1"/>
  <c r="M513" i="3"/>
  <c r="P513" i="3" s="1"/>
  <c r="L513" i="3"/>
  <c r="O513" i="3" s="1"/>
  <c r="O515" i="3"/>
  <c r="S186" i="3"/>
  <c r="T186" i="3" s="1"/>
  <c r="P119" i="3"/>
  <c r="M117" i="3"/>
  <c r="P117" i="3" s="1"/>
  <c r="O322" i="3"/>
  <c r="L320" i="3"/>
  <c r="O320" i="3" s="1"/>
  <c r="L72" i="2"/>
  <c r="O72" i="2" s="1"/>
  <c r="Q20" i="3"/>
  <c r="T20" i="3" s="1"/>
  <c r="T23" i="3"/>
  <c r="Q21" i="3"/>
  <c r="P358" i="3"/>
  <c r="M356" i="3"/>
  <c r="P356" i="3" s="1"/>
  <c r="T268" i="3"/>
  <c r="Q266" i="3"/>
  <c r="T266" i="3" s="1"/>
  <c r="U731" i="3"/>
  <c r="Q375" i="1"/>
  <c r="T375" i="1" s="1"/>
  <c r="T188" i="1"/>
  <c r="M599" i="1"/>
  <c r="P599" i="1" s="1"/>
  <c r="P188" i="2"/>
  <c r="O222" i="1"/>
  <c r="P322" i="2"/>
  <c r="U96" i="1"/>
  <c r="L139" i="1"/>
  <c r="O139" i="1" s="1"/>
  <c r="K701" i="1"/>
  <c r="N20" i="3"/>
  <c r="N18" i="3" s="1"/>
  <c r="N21" i="3"/>
  <c r="P21" i="3" s="1"/>
  <c r="R117" i="3"/>
  <c r="U117" i="3" s="1"/>
  <c r="U119" i="3"/>
  <c r="R186" i="3"/>
  <c r="U188" i="3"/>
  <c r="O44" i="3"/>
  <c r="L157" i="3"/>
  <c r="O157" i="3" s="1"/>
  <c r="O159" i="3"/>
  <c r="O358" i="3"/>
  <c r="L356" i="3"/>
  <c r="O356" i="3" s="1"/>
  <c r="Q413" i="3"/>
  <c r="T413" i="3" s="1"/>
  <c r="T690" i="3"/>
  <c r="R413" i="1"/>
  <c r="U413" i="1" s="1"/>
  <c r="P359" i="1"/>
  <c r="S157" i="1"/>
  <c r="S117" i="2"/>
  <c r="U117" i="2" s="1"/>
  <c r="L117" i="2"/>
  <c r="O117" i="2" s="1"/>
  <c r="U644" i="2"/>
  <c r="O186" i="2"/>
  <c r="T493" i="2"/>
  <c r="M21" i="1"/>
  <c r="R20" i="1"/>
  <c r="N413" i="1"/>
  <c r="Q157" i="1"/>
  <c r="T157" i="1" s="1"/>
  <c r="U690" i="2"/>
  <c r="R94" i="2"/>
  <c r="U94" i="2" s="1"/>
  <c r="U96" i="2"/>
  <c r="M303" i="2"/>
  <c r="P303" i="2" s="1"/>
  <c r="U645" i="1"/>
  <c r="R534" i="1"/>
  <c r="U534" i="1" s="1"/>
  <c r="P139" i="2"/>
  <c r="T495" i="2"/>
  <c r="O62" i="1"/>
  <c r="R356" i="1"/>
  <c r="U356" i="1" s="1"/>
  <c r="L157" i="1"/>
  <c r="O157" i="1" s="1"/>
  <c r="L94" i="1"/>
  <c r="O94" i="1" s="1"/>
  <c r="U493" i="2"/>
  <c r="S760" i="1"/>
  <c r="U730" i="2"/>
  <c r="P142" i="1"/>
  <c r="O188" i="1"/>
  <c r="R642" i="1"/>
  <c r="Q555" i="1"/>
  <c r="T555" i="1" s="1"/>
  <c r="T97" i="2"/>
  <c r="N40" i="2"/>
  <c r="Q94" i="2"/>
  <c r="T94" i="2" s="1"/>
  <c r="P141" i="2"/>
  <c r="T730" i="1"/>
  <c r="R760" i="1"/>
  <c r="U762" i="1"/>
  <c r="L333" i="1"/>
  <c r="O333" i="1" s="1"/>
  <c r="R320" i="1"/>
  <c r="U320" i="1" s="1"/>
  <c r="O214" i="1"/>
  <c r="T189" i="1"/>
  <c r="O139" i="2"/>
  <c r="O188" i="2"/>
  <c r="L173" i="2"/>
  <c r="O173" i="2" s="1"/>
  <c r="L333" i="2"/>
  <c r="O333" i="2" s="1"/>
  <c r="U692" i="1"/>
  <c r="P23" i="1"/>
  <c r="S173" i="1"/>
  <c r="Q72" i="2"/>
  <c r="T72" i="2" s="1"/>
  <c r="P23" i="2"/>
  <c r="M20" i="2"/>
  <c r="O157" i="2"/>
  <c r="R714" i="1"/>
  <c r="U714" i="1" s="1"/>
  <c r="U716" i="1"/>
  <c r="L616" i="1"/>
  <c r="O616" i="1" s="1"/>
  <c r="O617" i="1"/>
  <c r="Q690" i="1"/>
  <c r="T691" i="1"/>
  <c r="U187" i="1"/>
  <c r="R186" i="1"/>
  <c r="U556" i="1"/>
  <c r="R555" i="1"/>
  <c r="U555" i="1" s="1"/>
  <c r="T763" i="2"/>
  <c r="U763" i="2"/>
  <c r="O284" i="2"/>
  <c r="L282" i="2"/>
  <c r="O282" i="2" s="1"/>
  <c r="U730" i="1"/>
  <c r="R728" i="1"/>
  <c r="U728" i="1" s="1"/>
  <c r="P376" i="1"/>
  <c r="M375" i="1"/>
  <c r="P375" i="1" s="1"/>
  <c r="L760" i="1"/>
  <c r="O760" i="1" s="1"/>
  <c r="L534" i="1"/>
  <c r="O534" i="1" s="1"/>
  <c r="Q333" i="1"/>
  <c r="T333" i="1" s="1"/>
  <c r="Q186" i="1"/>
  <c r="L20" i="2"/>
  <c r="O23" i="2"/>
  <c r="O46" i="2"/>
  <c r="L44" i="2"/>
  <c r="P157" i="2"/>
  <c r="L24" i="2"/>
  <c r="O24" i="2" s="1"/>
  <c r="L320" i="2"/>
  <c r="O320" i="2" s="1"/>
  <c r="O322" i="2"/>
  <c r="P356" i="2"/>
  <c r="Q94" i="1"/>
  <c r="T95" i="1"/>
  <c r="P60" i="1"/>
  <c r="M59" i="1"/>
  <c r="P59" i="1" s="1"/>
  <c r="L20" i="1"/>
  <c r="M690" i="1"/>
  <c r="P690" i="1" s="1"/>
  <c r="U619" i="1"/>
  <c r="Q616" i="1"/>
  <c r="U23" i="1"/>
  <c r="P22" i="1"/>
  <c r="R20" i="2"/>
  <c r="U20" i="2" s="1"/>
  <c r="U23" i="2"/>
  <c r="M24" i="2"/>
  <c r="P24" i="2" s="1"/>
  <c r="M21" i="2"/>
  <c r="P21" i="2" s="1"/>
  <c r="T19" i="2"/>
  <c r="J492" i="2"/>
  <c r="K492" i="2" s="1"/>
  <c r="K503" i="2"/>
  <c r="R186" i="2"/>
  <c r="U186" i="2" s="1"/>
  <c r="I231" i="2"/>
  <c r="K242" i="2"/>
  <c r="O358" i="2"/>
  <c r="P358" i="2"/>
  <c r="P159" i="2"/>
  <c r="Q266" i="2"/>
  <c r="T266" i="2" s="1"/>
  <c r="T268" i="2"/>
  <c r="U141" i="2"/>
  <c r="R139" i="2"/>
  <c r="U139" i="2" s="1"/>
  <c r="L356" i="1"/>
  <c r="O356" i="1" s="1"/>
  <c r="O357" i="1"/>
  <c r="O729" i="1"/>
  <c r="L728" i="1"/>
  <c r="O728" i="1" s="1"/>
  <c r="O691" i="1"/>
  <c r="L690" i="1"/>
  <c r="O690" i="1" s="1"/>
  <c r="M320" i="1"/>
  <c r="P320" i="1" s="1"/>
  <c r="P556" i="1"/>
  <c r="M555" i="1"/>
  <c r="P555" i="1" s="1"/>
  <c r="L555" i="1"/>
  <c r="O555" i="1" s="1"/>
  <c r="O556" i="1"/>
  <c r="O304" i="1"/>
  <c r="L303" i="1"/>
  <c r="S303" i="2"/>
  <c r="T303" i="2" s="1"/>
  <c r="T643" i="1"/>
  <c r="Q642" i="1"/>
  <c r="M173" i="1"/>
  <c r="P173" i="1" s="1"/>
  <c r="U306" i="2"/>
  <c r="T715" i="1"/>
  <c r="Q714" i="1"/>
  <c r="T714" i="1" s="1"/>
  <c r="R493" i="1"/>
  <c r="U493" i="1" s="1"/>
  <c r="U494" i="1"/>
  <c r="M94" i="1"/>
  <c r="P94" i="1" s="1"/>
  <c r="Q413" i="1"/>
  <c r="T413" i="1" s="1"/>
  <c r="N20" i="2"/>
  <c r="N18" i="2" s="1"/>
  <c r="O305" i="2"/>
  <c r="L303" i="2"/>
  <c r="O303" i="2" s="1"/>
  <c r="Q375" i="2"/>
  <c r="T375" i="2" s="1"/>
  <c r="T377" i="2"/>
  <c r="M320" i="2"/>
  <c r="P320" i="2" s="1"/>
  <c r="T731" i="1"/>
  <c r="O494" i="1"/>
  <c r="L493" i="1"/>
  <c r="O493" i="1" s="1"/>
  <c r="Q356" i="1"/>
  <c r="T356" i="1" s="1"/>
  <c r="Q493" i="1"/>
  <c r="T493" i="1" s="1"/>
  <c r="T494" i="1"/>
  <c r="L714" i="1"/>
  <c r="O714" i="1" s="1"/>
  <c r="L642" i="1"/>
  <c r="O642" i="1" s="1"/>
  <c r="R513" i="1"/>
  <c r="U513" i="1" s="1"/>
  <c r="Q513" i="1"/>
  <c r="T513" i="1" s="1"/>
  <c r="S266" i="1"/>
  <c r="P62" i="1"/>
  <c r="M20" i="1"/>
  <c r="P46" i="2"/>
  <c r="U119" i="2"/>
  <c r="R173" i="2"/>
  <c r="U173" i="2" s="1"/>
  <c r="R266" i="2"/>
  <c r="U266" i="2" s="1"/>
  <c r="P160" i="2"/>
  <c r="U305" i="2"/>
  <c r="R303" i="2"/>
  <c r="K332" i="2"/>
  <c r="O356" i="2"/>
  <c r="T283" i="1"/>
  <c r="Q282" i="1"/>
  <c r="T282" i="1" s="1"/>
  <c r="U495" i="2"/>
  <c r="T645" i="1"/>
  <c r="U97" i="1"/>
  <c r="Q20" i="2"/>
  <c r="T20" i="2" s="1"/>
  <c r="T23" i="2"/>
  <c r="Q21" i="2"/>
  <c r="Q186" i="2"/>
  <c r="T186" i="2" s="1"/>
  <c r="T188" i="2"/>
  <c r="Q728" i="2"/>
  <c r="T728" i="2" s="1"/>
  <c r="T730" i="2"/>
  <c r="R282" i="1"/>
  <c r="U282" i="1" s="1"/>
  <c r="T619" i="1"/>
  <c r="M513" i="1"/>
  <c r="P513" i="1" s="1"/>
  <c r="S642" i="1"/>
  <c r="Q320" i="1"/>
  <c r="T320" i="1" s="1"/>
  <c r="Q173" i="1"/>
  <c r="T173" i="1" s="1"/>
  <c r="R333" i="1"/>
  <c r="U333" i="1" s="1"/>
  <c r="O159" i="2"/>
  <c r="M59" i="2"/>
  <c r="P59" i="2" s="1"/>
  <c r="L21" i="2"/>
  <c r="O21" i="2" s="1"/>
  <c r="M72" i="2"/>
  <c r="P72" i="2" s="1"/>
  <c r="M44" i="2"/>
  <c r="I70" i="2"/>
  <c r="K70" i="2" s="1"/>
  <c r="K82" i="2"/>
  <c r="U19" i="2"/>
  <c r="O47" i="2"/>
  <c r="R157" i="2"/>
  <c r="U157" i="2" s="1"/>
  <c r="U377" i="2"/>
  <c r="R375" i="2"/>
  <c r="U375" i="2" s="1"/>
  <c r="L266" i="2"/>
  <c r="O266" i="2" s="1"/>
  <c r="Q690" i="2"/>
  <c r="T690" i="2" s="1"/>
  <c r="L232" i="2"/>
  <c r="O243" i="2"/>
  <c r="M493" i="1"/>
  <c r="P493" i="1" s="1"/>
  <c r="P729" i="1"/>
  <c r="M728" i="1"/>
  <c r="P728" i="1" s="1"/>
  <c r="U728" i="2"/>
  <c r="U644" i="1"/>
  <c r="P323" i="2"/>
  <c r="M303" i="1"/>
  <c r="P304" i="1"/>
  <c r="S19" i="1"/>
  <c r="R139" i="1"/>
  <c r="U139" i="1" s="1"/>
  <c r="R72" i="1"/>
  <c r="U73" i="1"/>
  <c r="Q44" i="1"/>
  <c r="T44" i="1" s="1"/>
  <c r="T46" i="1"/>
  <c r="T577" i="1"/>
  <c r="Q576" i="1"/>
  <c r="T576" i="1" s="1"/>
  <c r="T268" i="1"/>
  <c r="Q266" i="1"/>
  <c r="K168" i="1"/>
  <c r="I169" i="1"/>
  <c r="K169" i="1" s="1"/>
  <c r="P73" i="1"/>
  <c r="M72" i="1"/>
  <c r="L21" i="1"/>
  <c r="L19" i="1"/>
  <c r="O22" i="1"/>
  <c r="M24" i="1"/>
  <c r="P24" i="1" s="1"/>
  <c r="P25" i="1"/>
  <c r="R21" i="1"/>
  <c r="U22" i="1"/>
  <c r="R19" i="1"/>
  <c r="U267" i="1"/>
  <c r="R266" i="1"/>
  <c r="M760" i="1"/>
  <c r="P760" i="1" s="1"/>
  <c r="K423" i="1"/>
  <c r="I412" i="1"/>
  <c r="K412" i="1" s="1"/>
  <c r="M413" i="1"/>
  <c r="P413" i="1" s="1"/>
  <c r="Q303" i="1"/>
  <c r="T303" i="1" s="1"/>
  <c r="M117" i="1"/>
  <c r="P117" i="1" s="1"/>
  <c r="L173" i="1"/>
  <c r="O173" i="1" s="1"/>
  <c r="O306" i="1"/>
  <c r="U118" i="1"/>
  <c r="R117" i="1"/>
  <c r="U117" i="1" s="1"/>
  <c r="M333" i="1"/>
  <c r="P333" i="1" s="1"/>
  <c r="P335" i="1"/>
  <c r="O75" i="1"/>
  <c r="U577" i="1"/>
  <c r="R576" i="1"/>
  <c r="U576" i="1" s="1"/>
  <c r="Q20" i="1"/>
  <c r="Q21" i="1"/>
  <c r="T23" i="1"/>
  <c r="I71" i="1"/>
  <c r="K71" i="1" s="1"/>
  <c r="K83" i="1"/>
  <c r="P283" i="1"/>
  <c r="M282" i="1"/>
  <c r="N24" i="1"/>
  <c r="S282" i="1"/>
  <c r="L72" i="1"/>
  <c r="O73" i="1"/>
  <c r="U393" i="1"/>
  <c r="R392" i="1"/>
  <c r="U392" i="1" s="1"/>
  <c r="P617" i="1"/>
  <c r="M616" i="1"/>
  <c r="P616" i="1" s="1"/>
  <c r="P577" i="1"/>
  <c r="M576" i="1"/>
  <c r="P576" i="1" s="1"/>
  <c r="T535" i="1"/>
  <c r="Q534" i="1"/>
  <c r="T534" i="1" s="1"/>
  <c r="L282" i="1"/>
  <c r="O283" i="1"/>
  <c r="P267" i="1"/>
  <c r="M266" i="1"/>
  <c r="P266" i="1" s="1"/>
  <c r="O414" i="1"/>
  <c r="L413" i="1"/>
  <c r="O413" i="1" s="1"/>
  <c r="L59" i="1"/>
  <c r="O59" i="1" s="1"/>
  <c r="O60" i="1"/>
  <c r="N19" i="1"/>
  <c r="N21" i="1"/>
  <c r="T761" i="1"/>
  <c r="Q760" i="1"/>
  <c r="T26" i="1"/>
  <c r="Q24" i="1"/>
  <c r="T24" i="1" s="1"/>
  <c r="R616" i="1"/>
  <c r="T393" i="1"/>
  <c r="Q392" i="1"/>
  <c r="T392" i="1" s="1"/>
  <c r="L375" i="1"/>
  <c r="O375" i="1" s="1"/>
  <c r="K82" i="1"/>
  <c r="I70" i="1"/>
  <c r="K70" i="1" s="1"/>
  <c r="P357" i="1"/>
  <c r="M356" i="1"/>
  <c r="P356" i="1" s="1"/>
  <c r="Q72" i="1"/>
  <c r="T74" i="1"/>
  <c r="L24" i="1"/>
  <c r="O24" i="1" s="1"/>
  <c r="O25" i="1"/>
  <c r="R24" i="1"/>
  <c r="U24" i="1" s="1"/>
  <c r="U25" i="1"/>
  <c r="S24" i="1"/>
  <c r="S20" i="1"/>
  <c r="R59" i="1"/>
  <c r="U59" i="1" s="1"/>
  <c r="U60" i="1"/>
  <c r="M19" i="1"/>
  <c r="O20" i="9" l="1"/>
  <c r="T21" i="16"/>
  <c r="O173" i="22"/>
  <c r="N40" i="22"/>
  <c r="U642" i="20"/>
  <c r="T642" i="22"/>
  <c r="I185" i="18"/>
  <c r="K185" i="18" s="1"/>
  <c r="T21" i="22"/>
  <c r="O44" i="19"/>
  <c r="N40" i="21"/>
  <c r="R18" i="22"/>
  <c r="U18" i="22" s="1"/>
  <c r="P20" i="21"/>
  <c r="Q18" i="22"/>
  <c r="T18" i="22" s="1"/>
  <c r="T20" i="22"/>
  <c r="O21" i="22"/>
  <c r="K231" i="22"/>
  <c r="I185" i="22"/>
  <c r="K185" i="22" s="1"/>
  <c r="L40" i="22"/>
  <c r="O44" i="22"/>
  <c r="P20" i="22"/>
  <c r="M18" i="22"/>
  <c r="P18" i="22" s="1"/>
  <c r="O20" i="22"/>
  <c r="L18" i="22"/>
  <c r="O18" i="22" s="1"/>
  <c r="P72" i="21"/>
  <c r="M40" i="22"/>
  <c r="O303" i="15"/>
  <c r="T266" i="19"/>
  <c r="T21" i="21"/>
  <c r="Q18" i="21"/>
  <c r="T18" i="21" s="1"/>
  <c r="U21" i="21"/>
  <c r="O157" i="21"/>
  <c r="P18" i="20"/>
  <c r="U20" i="21"/>
  <c r="R18" i="21"/>
  <c r="U18" i="21" s="1"/>
  <c r="L40" i="21"/>
  <c r="M18" i="21"/>
  <c r="P18" i="21" s="1"/>
  <c r="M40" i="21"/>
  <c r="P44" i="21"/>
  <c r="O20" i="21"/>
  <c r="L18" i="21"/>
  <c r="O18" i="21" s="1"/>
  <c r="O21" i="21"/>
  <c r="O21" i="20"/>
  <c r="N40" i="19"/>
  <c r="P173" i="20"/>
  <c r="O59" i="20"/>
  <c r="P18" i="18"/>
  <c r="P20" i="20"/>
  <c r="N40" i="20"/>
  <c r="I185" i="14"/>
  <c r="K185" i="14" s="1"/>
  <c r="R18" i="19"/>
  <c r="U18" i="19" s="1"/>
  <c r="T21" i="19"/>
  <c r="M40" i="20"/>
  <c r="O356" i="19"/>
  <c r="U760" i="17"/>
  <c r="T728" i="19"/>
  <c r="U20" i="20"/>
  <c r="R18" i="20"/>
  <c r="U18" i="20" s="1"/>
  <c r="U616" i="20"/>
  <c r="T616" i="20"/>
  <c r="L40" i="20"/>
  <c r="U21" i="20"/>
  <c r="Q18" i="20"/>
  <c r="T18" i="20" s="1"/>
  <c r="O20" i="20"/>
  <c r="L18" i="20"/>
  <c r="O18" i="20" s="1"/>
  <c r="K231" i="20"/>
  <c r="I185" i="20"/>
  <c r="K185" i="20" s="1"/>
  <c r="T21" i="20"/>
  <c r="T21" i="18"/>
  <c r="O173" i="13"/>
  <c r="L40" i="19"/>
  <c r="P21" i="19"/>
  <c r="N40" i="13"/>
  <c r="T186" i="16"/>
  <c r="Q18" i="19"/>
  <c r="T18" i="19" s="1"/>
  <c r="P20" i="18"/>
  <c r="M40" i="19"/>
  <c r="O20" i="19"/>
  <c r="L18" i="19"/>
  <c r="O18" i="19" s="1"/>
  <c r="P20" i="19"/>
  <c r="M18" i="19"/>
  <c r="P18" i="19" s="1"/>
  <c r="T493" i="18"/>
  <c r="U21" i="18"/>
  <c r="K231" i="19"/>
  <c r="I185" i="19"/>
  <c r="K185" i="19" s="1"/>
  <c r="P72" i="18"/>
  <c r="N40" i="15"/>
  <c r="M40" i="18"/>
  <c r="P44" i="18"/>
  <c r="U20" i="18"/>
  <c r="R18" i="18"/>
  <c r="U18" i="18" s="1"/>
  <c r="N40" i="18"/>
  <c r="O44" i="18"/>
  <c r="L40" i="18"/>
  <c r="Q18" i="18"/>
  <c r="T18" i="18" s="1"/>
  <c r="R18" i="17"/>
  <c r="U18" i="17" s="1"/>
  <c r="O20" i="18"/>
  <c r="L18" i="18"/>
  <c r="O18" i="18" s="1"/>
  <c r="P59" i="18"/>
  <c r="O21" i="18"/>
  <c r="U21" i="17"/>
  <c r="Q18" i="17"/>
  <c r="T18" i="17" s="1"/>
  <c r="T303" i="11"/>
  <c r="T21" i="17"/>
  <c r="U375" i="17"/>
  <c r="R18" i="14"/>
  <c r="U18" i="14" s="1"/>
  <c r="M40" i="17"/>
  <c r="P40" i="17" s="1"/>
  <c r="P20" i="17"/>
  <c r="M18" i="17"/>
  <c r="P18" i="17" s="1"/>
  <c r="K231" i="17"/>
  <c r="I185" i="17"/>
  <c r="K185" i="17" s="1"/>
  <c r="L40" i="17"/>
  <c r="O40" i="17" s="1"/>
  <c r="O20" i="17"/>
  <c r="L18" i="17"/>
  <c r="O18" i="17" s="1"/>
  <c r="R18" i="16"/>
  <c r="U18" i="16" s="1"/>
  <c r="U303" i="16"/>
  <c r="T303" i="16"/>
  <c r="P21" i="16"/>
  <c r="T20" i="16"/>
  <c r="Q18" i="16"/>
  <c r="T18" i="16" s="1"/>
  <c r="L40" i="16"/>
  <c r="O40" i="16" s="1"/>
  <c r="O44" i="16"/>
  <c r="M40" i="16"/>
  <c r="P40" i="16" s="1"/>
  <c r="P44" i="16"/>
  <c r="P20" i="16"/>
  <c r="M18" i="16"/>
  <c r="P18" i="16" s="1"/>
  <c r="K231" i="16"/>
  <c r="I185" i="16"/>
  <c r="K185" i="16" s="1"/>
  <c r="O20" i="16"/>
  <c r="L18" i="16"/>
  <c r="O18" i="16" s="1"/>
  <c r="T690" i="1"/>
  <c r="O20" i="14"/>
  <c r="T690" i="15"/>
  <c r="R18" i="15"/>
  <c r="U18" i="15" s="1"/>
  <c r="U21" i="14"/>
  <c r="O173" i="15"/>
  <c r="M40" i="15"/>
  <c r="L40" i="15"/>
  <c r="O44" i="15"/>
  <c r="T303" i="15"/>
  <c r="O20" i="15"/>
  <c r="L18" i="15"/>
  <c r="O18" i="15" s="1"/>
  <c r="P20" i="15"/>
  <c r="M18" i="15"/>
  <c r="P18" i="15" s="1"/>
  <c r="T21" i="15"/>
  <c r="K231" i="15"/>
  <c r="I185" i="15"/>
  <c r="K185" i="15" s="1"/>
  <c r="O21" i="15"/>
  <c r="Q18" i="15"/>
  <c r="T18" i="15" s="1"/>
  <c r="T20" i="15"/>
  <c r="N40" i="12"/>
  <c r="U21" i="13"/>
  <c r="T21" i="14"/>
  <c r="P20" i="14"/>
  <c r="M40" i="14"/>
  <c r="P40" i="14" s="1"/>
  <c r="P44" i="14"/>
  <c r="P186" i="11"/>
  <c r="O186" i="11"/>
  <c r="T20" i="14"/>
  <c r="Q18" i="14"/>
  <c r="T18" i="14" s="1"/>
  <c r="U303" i="12"/>
  <c r="P21" i="14"/>
  <c r="L18" i="14"/>
  <c r="O18" i="14" s="1"/>
  <c r="I185" i="11"/>
  <c r="K185" i="11" s="1"/>
  <c r="M18" i="14"/>
  <c r="P18" i="14" s="1"/>
  <c r="P21" i="13"/>
  <c r="L40" i="14"/>
  <c r="O40" i="14" s="1"/>
  <c r="O44" i="14"/>
  <c r="T21" i="2"/>
  <c r="O20" i="13"/>
  <c r="P18" i="13"/>
  <c r="P20" i="13"/>
  <c r="L18" i="13"/>
  <c r="O18" i="13" s="1"/>
  <c r="M40" i="13"/>
  <c r="P44" i="13"/>
  <c r="T72" i="1"/>
  <c r="U266" i="13"/>
  <c r="R18" i="13"/>
  <c r="U18" i="13" s="1"/>
  <c r="T117" i="13"/>
  <c r="T72" i="13"/>
  <c r="U72" i="13"/>
  <c r="T728" i="11"/>
  <c r="O21" i="13"/>
  <c r="K231" i="13"/>
  <c r="I185" i="13"/>
  <c r="K185" i="13" s="1"/>
  <c r="O94" i="12"/>
  <c r="T21" i="12"/>
  <c r="L40" i="13"/>
  <c r="O44" i="13"/>
  <c r="Q18" i="13"/>
  <c r="T18" i="13" s="1"/>
  <c r="T20" i="13"/>
  <c r="P21" i="12"/>
  <c r="T760" i="10"/>
  <c r="O20" i="12"/>
  <c r="L18" i="12"/>
  <c r="O18" i="12" s="1"/>
  <c r="L40" i="12"/>
  <c r="O44" i="12"/>
  <c r="M40" i="12"/>
  <c r="P44" i="12"/>
  <c r="T21" i="11"/>
  <c r="P20" i="12"/>
  <c r="M18" i="12"/>
  <c r="P18" i="12" s="1"/>
  <c r="T20" i="12"/>
  <c r="Q18" i="12"/>
  <c r="T18" i="12" s="1"/>
  <c r="R18" i="11"/>
  <c r="U18" i="11" s="1"/>
  <c r="R18" i="12"/>
  <c r="U18" i="12" s="1"/>
  <c r="I185" i="10"/>
  <c r="K185" i="10" s="1"/>
  <c r="T186" i="1"/>
  <c r="U186" i="1"/>
  <c r="U266" i="10"/>
  <c r="O173" i="10"/>
  <c r="T21" i="10"/>
  <c r="P59" i="8"/>
  <c r="O20" i="11"/>
  <c r="L18" i="11"/>
  <c r="O18" i="11" s="1"/>
  <c r="L40" i="11"/>
  <c r="O40" i="11" s="1"/>
  <c r="O44" i="11"/>
  <c r="P20" i="11"/>
  <c r="M18" i="11"/>
  <c r="P18" i="11" s="1"/>
  <c r="O282" i="1"/>
  <c r="T94" i="1"/>
  <c r="M40" i="11"/>
  <c r="P40" i="11" s="1"/>
  <c r="P44" i="11"/>
  <c r="Q18" i="11"/>
  <c r="T18" i="11" s="1"/>
  <c r="T20" i="11"/>
  <c r="T616" i="11"/>
  <c r="U616" i="11"/>
  <c r="U690" i="1"/>
  <c r="P282" i="1"/>
  <c r="P186" i="1"/>
  <c r="P21" i="9"/>
  <c r="N40" i="10"/>
  <c r="P20" i="9"/>
  <c r="U616" i="1"/>
  <c r="T21" i="5"/>
  <c r="P20" i="10"/>
  <c r="M18" i="10"/>
  <c r="P18" i="10" s="1"/>
  <c r="U72" i="1"/>
  <c r="R18" i="9"/>
  <c r="U18" i="9" s="1"/>
  <c r="O186" i="10"/>
  <c r="U20" i="10"/>
  <c r="R18" i="10"/>
  <c r="U18" i="10" s="1"/>
  <c r="O20" i="10"/>
  <c r="L18" i="10"/>
  <c r="O18" i="10" s="1"/>
  <c r="L40" i="10"/>
  <c r="M40" i="10"/>
  <c r="Q18" i="6"/>
  <c r="T18" i="6" s="1"/>
  <c r="T20" i="10"/>
  <c r="Q18" i="10"/>
  <c r="T18" i="10" s="1"/>
  <c r="T690" i="5"/>
  <c r="U21" i="8"/>
  <c r="P303" i="1"/>
  <c r="U303" i="3"/>
  <c r="U616" i="2"/>
  <c r="O303" i="1"/>
  <c r="M18" i="9"/>
  <c r="P18" i="9" s="1"/>
  <c r="T616" i="1"/>
  <c r="U493" i="5"/>
  <c r="T21" i="9"/>
  <c r="T21" i="3"/>
  <c r="K231" i="4"/>
  <c r="P59" i="6"/>
  <c r="L18" i="9"/>
  <c r="O18" i="9" s="1"/>
  <c r="Q18" i="9"/>
  <c r="T18" i="9" s="1"/>
  <c r="T20" i="9"/>
  <c r="M40" i="9"/>
  <c r="P40" i="9" s="1"/>
  <c r="P44" i="9"/>
  <c r="L40" i="9"/>
  <c r="O40" i="9" s="1"/>
  <c r="O44" i="9"/>
  <c r="K231" i="9"/>
  <c r="I185" i="9"/>
  <c r="K185" i="9" s="1"/>
  <c r="U21" i="9"/>
  <c r="T616" i="9"/>
  <c r="U760" i="1"/>
  <c r="T21" i="8"/>
  <c r="O333" i="8"/>
  <c r="P333" i="8"/>
  <c r="O20" i="8"/>
  <c r="L18" i="8"/>
  <c r="O18" i="8" s="1"/>
  <c r="T186" i="8"/>
  <c r="N40" i="6"/>
  <c r="O72" i="8"/>
  <c r="L40" i="8"/>
  <c r="P21" i="8"/>
  <c r="O21" i="8"/>
  <c r="P20" i="8"/>
  <c r="M18" i="8"/>
  <c r="P18" i="8" s="1"/>
  <c r="O20" i="7"/>
  <c r="K231" i="8"/>
  <c r="I185" i="8"/>
  <c r="K185" i="8" s="1"/>
  <c r="T20" i="8"/>
  <c r="Q18" i="8"/>
  <c r="T18" i="8" s="1"/>
  <c r="U20" i="8"/>
  <c r="R18" i="8"/>
  <c r="U18" i="8" s="1"/>
  <c r="T21" i="1"/>
  <c r="U21" i="1"/>
  <c r="U21" i="3"/>
  <c r="O186" i="4"/>
  <c r="O303" i="4"/>
  <c r="T117" i="5"/>
  <c r="M40" i="8"/>
  <c r="P44" i="8"/>
  <c r="N40" i="8"/>
  <c r="R18" i="4"/>
  <c r="U18" i="4" s="1"/>
  <c r="P21" i="6"/>
  <c r="U21" i="6"/>
  <c r="R18" i="7"/>
  <c r="U18" i="7" s="1"/>
  <c r="P333" i="7"/>
  <c r="U21" i="7"/>
  <c r="N40" i="7"/>
  <c r="O59" i="7"/>
  <c r="U94" i="1"/>
  <c r="T21" i="6"/>
  <c r="T21" i="7"/>
  <c r="P72" i="1"/>
  <c r="T186" i="6"/>
  <c r="P20" i="7"/>
  <c r="M18" i="7"/>
  <c r="P18" i="7" s="1"/>
  <c r="K231" i="6"/>
  <c r="I185" i="6"/>
  <c r="K185" i="6" s="1"/>
  <c r="M40" i="7"/>
  <c r="U186" i="7"/>
  <c r="L18" i="7"/>
  <c r="O18" i="7" s="1"/>
  <c r="K231" i="7"/>
  <c r="I185" i="7"/>
  <c r="K185" i="7" s="1"/>
  <c r="Q18" i="7"/>
  <c r="T18" i="7" s="1"/>
  <c r="L40" i="7"/>
  <c r="O44" i="7"/>
  <c r="P20" i="6"/>
  <c r="O21" i="6"/>
  <c r="U21" i="5"/>
  <c r="M40" i="6"/>
  <c r="P44" i="6"/>
  <c r="P20" i="5"/>
  <c r="M18" i="6"/>
  <c r="P18" i="6" s="1"/>
  <c r="U20" i="6"/>
  <c r="R18" i="6"/>
  <c r="U18" i="6" s="1"/>
  <c r="P18" i="5"/>
  <c r="L40" i="6"/>
  <c r="O20" i="6"/>
  <c r="L18" i="6"/>
  <c r="O18" i="6" s="1"/>
  <c r="O21" i="5"/>
  <c r="P186" i="5"/>
  <c r="R18" i="5"/>
  <c r="U18" i="5" s="1"/>
  <c r="N18" i="1"/>
  <c r="M40" i="5"/>
  <c r="P44" i="5"/>
  <c r="O20" i="5"/>
  <c r="L18" i="5"/>
  <c r="O18" i="5" s="1"/>
  <c r="L40" i="5"/>
  <c r="O44" i="5"/>
  <c r="N40" i="5"/>
  <c r="U21" i="4"/>
  <c r="U642" i="4"/>
  <c r="K231" i="5"/>
  <c r="I185" i="5"/>
  <c r="K185" i="5" s="1"/>
  <c r="Q18" i="5"/>
  <c r="T18" i="5" s="1"/>
  <c r="T20" i="5"/>
  <c r="T21" i="4"/>
  <c r="O20" i="4"/>
  <c r="L18" i="4"/>
  <c r="O18" i="4" s="1"/>
  <c r="P21" i="1"/>
  <c r="M40" i="4"/>
  <c r="P44" i="4"/>
  <c r="P20" i="4"/>
  <c r="M18" i="4"/>
  <c r="P18" i="4" s="1"/>
  <c r="P157" i="4"/>
  <c r="O157" i="4"/>
  <c r="T20" i="4"/>
  <c r="Q18" i="4"/>
  <c r="T18" i="4" s="1"/>
  <c r="O72" i="1"/>
  <c r="O20" i="1"/>
  <c r="O173" i="4"/>
  <c r="L40" i="4"/>
  <c r="O44" i="4"/>
  <c r="N40" i="4"/>
  <c r="P21" i="4"/>
  <c r="K231" i="3"/>
  <c r="I185" i="3"/>
  <c r="K185" i="3" s="1"/>
  <c r="P20" i="1"/>
  <c r="O21" i="3"/>
  <c r="U186" i="3"/>
  <c r="U642" i="1"/>
  <c r="L40" i="3"/>
  <c r="O40" i="3" s="1"/>
  <c r="P20" i="3"/>
  <c r="M18" i="3"/>
  <c r="P18" i="3" s="1"/>
  <c r="T117" i="2"/>
  <c r="T760" i="1"/>
  <c r="Q18" i="3"/>
  <c r="T18" i="3" s="1"/>
  <c r="U20" i="3"/>
  <c r="R18" i="3"/>
  <c r="U18" i="3" s="1"/>
  <c r="M40" i="3"/>
  <c r="P40" i="3" s="1"/>
  <c r="P44" i="3"/>
  <c r="O20" i="3"/>
  <c r="L18" i="3"/>
  <c r="O18" i="3" s="1"/>
  <c r="T642" i="1"/>
  <c r="Q18" i="2"/>
  <c r="T18" i="2" s="1"/>
  <c r="T266" i="1"/>
  <c r="R18" i="2"/>
  <c r="U18" i="2" s="1"/>
  <c r="U266" i="1"/>
  <c r="M40" i="2"/>
  <c r="P40" i="2" s="1"/>
  <c r="P44" i="2"/>
  <c r="O20" i="2"/>
  <c r="L18" i="2"/>
  <c r="O18" i="2" s="1"/>
  <c r="L40" i="2"/>
  <c r="O40" i="2" s="1"/>
  <c r="O44" i="2"/>
  <c r="P20" i="2"/>
  <c r="M18" i="2"/>
  <c r="P18" i="2" s="1"/>
  <c r="O21" i="1"/>
  <c r="U303" i="2"/>
  <c r="K231" i="2"/>
  <c r="I185" i="2"/>
  <c r="K185" i="2" s="1"/>
  <c r="T20" i="1"/>
  <c r="P19" i="1"/>
  <c r="M18" i="1"/>
  <c r="Q18" i="1"/>
  <c r="R18" i="1"/>
  <c r="U19" i="1"/>
  <c r="L18" i="1"/>
  <c r="O19" i="1"/>
  <c r="S18" i="1"/>
  <c r="U20" i="1"/>
  <c r="O40" i="20" l="1"/>
  <c r="P40" i="22"/>
  <c r="O40" i="22"/>
  <c r="P40" i="19"/>
  <c r="O40" i="19"/>
  <c r="O40" i="7"/>
  <c r="P40" i="7"/>
  <c r="O40" i="21"/>
  <c r="P40" i="21"/>
  <c r="O40" i="15"/>
  <c r="P40" i="20"/>
  <c r="P40" i="12"/>
  <c r="P40" i="15"/>
  <c r="P40" i="13"/>
  <c r="O40" i="13"/>
  <c r="O40" i="18"/>
  <c r="P40" i="18"/>
  <c r="O40" i="12"/>
  <c r="O40" i="10"/>
  <c r="P40" i="10"/>
  <c r="P40" i="6"/>
  <c r="O40" i="6"/>
  <c r="P40" i="8"/>
  <c r="O40" i="8"/>
  <c r="O40" i="5"/>
  <c r="P18" i="1"/>
  <c r="O18" i="1"/>
  <c r="P40" i="5"/>
  <c r="P40" i="4"/>
  <c r="O40" i="4"/>
  <c r="U18" i="1"/>
  <c r="T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98" authorId="0" shapeId="0" xr:uid="{00000000-0006-0000-0000-000001000000}">
      <text>
        <r>
          <rPr>
            <sz val="10"/>
            <color rgb="FF000000"/>
            <rFont val="Arial"/>
            <scheme val="minor"/>
          </rPr>
          <t>840
	-สุดารัตน์ ชนะกุล</t>
        </r>
      </text>
    </comment>
  </commentList>
</comments>
</file>

<file path=xl/sharedStrings.xml><?xml version="1.0" encoding="utf-8"?>
<sst xmlns="http://schemas.openxmlformats.org/spreadsheetml/2006/main" count="28921" uniqueCount="362">
  <si>
    <t>รายละเอียดแผนงาน/โครงการ ผลผลิต/กิจกรรม ปีงบประมาณ พ.ศ. 2567</t>
  </si>
  <si>
    <t>รวมกลาง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</si>
  <si>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</si>
  <si>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</si>
  <si>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</si>
  <si>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</si>
  <si>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</si>
  <si>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</si>
  <si>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</si>
  <si>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</si>
  <si>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</si>
  <si>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</si>
  <si>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</si>
  <si>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</si>
  <si>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</si>
  <si>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</si>
  <si>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</si>
  <si>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</si>
  <si>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</si>
  <si>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</si>
  <si>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</si>
  <si>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</si>
  <si>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</si>
  <si>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</si>
  <si>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</si>
  <si>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</si>
  <si>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</si>
  <si>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</si>
  <si>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</si>
  <si>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</si>
  <si>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</si>
  <si>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</si>
  <si>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</si>
  <si>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</si>
  <si>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</si>
  <si>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</si>
  <si>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</si>
  <si>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</si>
  <si>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</si>
  <si>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</si>
  <si>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</si>
  <si>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</si>
  <si>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</si>
  <si>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</si>
  <si>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</si>
  <si>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</si>
  <si>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</si>
  <si>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</si>
  <si>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</si>
  <si>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</si>
  <si>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</si>
  <si>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</si>
  <si>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</si>
  <si>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</si>
  <si>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</si>
  <si>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</si>
  <si>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</si>
  <si>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</si>
  <si>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</si>
  <si>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</si>
  <si>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</si>
  <si>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</si>
  <si>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</si>
  <si>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</si>
  <si>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</si>
  <si>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</si>
  <si>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</si>
  <si>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</si>
  <si>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</si>
  <si>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</si>
  <si>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</si>
  <si>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</si>
  <si>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</si>
  <si>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</si>
  <si>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</si>
  <si>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</si>
  <si>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</si>
  <si>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</si>
  <si>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</si>
  <si>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</si>
  <si>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</si>
  <si>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</si>
  <si>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</si>
  <si>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</si>
  <si>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</si>
  <si>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</si>
  <si>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</si>
  <si>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</si>
  <si>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</si>
  <si>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</si>
  <si>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</si>
  <si>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</si>
  <si>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</si>
  <si>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</si>
  <si>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</si>
  <si>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</si>
  <si>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</si>
  <si>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</si>
  <si>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</si>
  <si>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</si>
  <si>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</si>
  <si>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</si>
  <si>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</si>
  <si>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</si>
  <si>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</si>
  <si>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</si>
  <si>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</si>
  <si>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</si>
  <si>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</si>
  <si>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</si>
  <si>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</si>
  <si>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</si>
  <si>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</si>
  <si>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</si>
  <si>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</si>
  <si>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</si>
  <si>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</si>
  <si>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</si>
  <si>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</si>
  <si>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</si>
  <si>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</si>
  <si>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</si>
  <si>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</si>
  <si>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</si>
  <si>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</si>
  <si>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</si>
  <si>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</si>
  <si>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</si>
  <si>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</si>
  <si>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</si>
  <si>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</si>
  <si>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</si>
  <si>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</si>
  <si>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</si>
  <si>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</si>
  <si>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</si>
  <si>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</si>
  <si>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</si>
  <si>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</si>
  <si>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</si>
  <si>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</si>
  <si>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</si>
  <si>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</si>
  <si>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</si>
  <si>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</si>
  <si>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</si>
  <si>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</si>
  <si>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</si>
  <si>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</si>
  <si>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</si>
  <si>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</si>
  <si>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</si>
  <si>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</si>
  <si>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</si>
  <si>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</si>
  <si>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</si>
  <si>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</si>
  <si>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</si>
  <si>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</si>
  <si>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</si>
  <si>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</si>
  <si>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</si>
  <si>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</si>
  <si>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</si>
  <si>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</si>
  <si>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</si>
  <si>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</si>
  <si>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</si>
  <si>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</si>
  <si>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</si>
  <si>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</si>
  <si>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</si>
  <si>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</si>
  <si>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</si>
  <si>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</si>
  <si>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</si>
  <si>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</si>
  <si>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</si>
  <si>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</si>
  <si>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</si>
  <si>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</si>
  <si>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</si>
  <si>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</si>
  <si>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</si>
  <si>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</si>
  <si>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</si>
  <si>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</si>
  <si>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</si>
  <si>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</si>
  <si>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</si>
  <si>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</si>
  <si>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</si>
  <si>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</si>
  <si>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</si>
  <si>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</si>
  <si>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</si>
  <si>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</si>
  <si>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</si>
  <si>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</si>
  <si>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</si>
  <si>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</si>
  <si>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</si>
  <si>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</si>
  <si>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</si>
  <si>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</si>
  <si>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</si>
  <si>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</si>
  <si>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</si>
  <si>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</si>
  <si>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</si>
  <si>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</si>
  <si>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</si>
  <si>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</si>
  <si>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</si>
  <si>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</si>
  <si>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</si>
  <si>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</si>
  <si>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</si>
  <si>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</si>
  <si>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</si>
  <si>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</si>
  <si>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</si>
  <si>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</si>
  <si>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</si>
  <si>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</si>
  <si>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</si>
  <si>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</si>
  <si>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</si>
  <si>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</si>
  <si>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</si>
  <si>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</si>
  <si>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</si>
  <si>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</si>
  <si>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</si>
  <si>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</si>
  <si>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</si>
  <si>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</si>
  <si>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</si>
  <si>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</si>
  <si>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</si>
  <si>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</si>
  <si>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</si>
  <si>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</si>
  <si>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</si>
  <si>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</si>
  <si>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</si>
  <si>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</si>
  <si>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</si>
  <si>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</si>
  <si>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</si>
  <si>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</si>
  <si>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</si>
  <si>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</si>
  <si>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</si>
  <si>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</si>
  <si>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</si>
  <si>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</si>
  <si>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</si>
  <si>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</si>
  <si>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</si>
  <si>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</si>
  <si>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</si>
  <si>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</si>
  <si>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</si>
  <si>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</si>
  <si>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</si>
  <si>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</si>
  <si>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</si>
  <si>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</si>
  <si>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</si>
  <si>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</si>
  <si>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</si>
  <si>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</si>
  <si>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</si>
  <si>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</si>
  <si>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</si>
  <si>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</si>
  <si>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</si>
  <si>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</si>
  <si>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</si>
  <si>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</si>
  <si>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</si>
  <si>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</si>
  <si>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</si>
  <si>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</si>
  <si>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</si>
  <si>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</si>
  <si>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</si>
  <si>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</si>
  <si>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</si>
  <si>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</si>
  <si>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</si>
  <si>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</si>
  <si>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</si>
  <si>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</si>
  <si>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</si>
  <si>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</si>
  <si>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</si>
  <si>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</si>
  <si>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</si>
  <si>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</si>
  <si>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</si>
  <si>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</si>
  <si>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</si>
  <si>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</si>
  <si>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</si>
  <si>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</si>
  <si>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</si>
  <si>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3. โครงการตรวจสอบมาตรฐานการสำรวจรังวัดและจัดทำระวางแผนที่</t>
  </si>
  <si>
    <t>24. กิจกรรมส่งเสริมและขยายพันธุ์พืชในเขตปฏิรูปที่ดิน</t>
  </si>
  <si>
    <t>23. กิจกรรมฝายชะลอน้ำแบบชั่วคราวสำหรับการเพิ่มประสิทธิภาพของแหล่งน้ำ</t>
  </si>
  <si>
    <t>22. กิจกรรมพัฒนาแหล่งน้ำและระบบกระจายน้ำ</t>
  </si>
  <si>
    <t>21. กิจกรรมขุดสระเก็บน้ำสาธารณะ</t>
  </si>
  <si>
    <t>18. โครงการตรวจสอบที่ดิน</t>
  </si>
  <si>
    <t>17. กิจกรรมสำรวจและออกแบบโครงสร้างพื้นฐานในเขตปฏิรูปที่ดิน</t>
  </si>
  <si>
    <t>16. กิจกรรมแผนที่แปลงที่ดินตามมาตรฐาน RTK GNSS Network</t>
  </si>
  <si>
    <t>- งบบริหารโครงการ</t>
  </si>
  <si>
    <t>- ค่าจ้างเหมาบริการ</t>
  </si>
  <si>
    <t>(5) โครงการพัฒนาพื้นที่สูงแบบโครงการหลวงห้วยเขย่ง</t>
  </si>
  <si>
    <t>- ค่าใช้จ่ายในการบริหารงาน</t>
  </si>
  <si>
    <t>3. กิจกรรมส่งเสริมการเกษตรแบบแปลงใหญ่</t>
  </si>
  <si>
    <t>รวม งบประมาณ</t>
  </si>
  <si>
    <t>สำนักงานการปฏิรูปที่ดินจังหวัด กาญจนบุรี</t>
  </si>
  <si>
    <t>5. โครงการส่งเสริมเกษตรอินทรีย์ในเขตปฏิรูปที่ดิน</t>
  </si>
  <si>
    <t>19. กิจกรรมยกระดับรายได้เกษตรกรในเขตปฏิรูปที่ดินเพื่อลดความเหลื่อมล้ำ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</si>
  <si>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</si>
  <si>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</si>
  <si>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</si>
  <si>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(5) โครงการพัชรสุธาคชานุรักษ์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</si>
  <si>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</si>
  <si>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</si>
  <si>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จันทบุรี</t>
  </si>
  <si>
    <t>4. โครงการส่งเสริมระบบวนเกษตรในเขตปฏิรูปที่ดิน</t>
  </si>
  <si>
    <t>2. โครงการจัดที่ดินชุมชนในเขตปฏิรูปที่ดิน</t>
  </si>
  <si>
    <t>1. โครงการบริหารจัดการที่ดินเอกชน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</si>
  <si>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</si>
  <si>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</si>
  <si>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</si>
  <si>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</si>
  <si>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 xml:space="preserve">กิจกรรมพัฒนาธุรกิจชุมชนในเขตปฏิรูปที่ดิน 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</si>
  <si>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</si>
  <si>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</si>
  <si>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</si>
  <si>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</si>
  <si>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</si>
  <si>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</si>
  <si>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</si>
  <si>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</si>
  <si>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(5) โครงการพัฒนาพื้นที่ที่ราบเชิงเขาจังหวัดสระแก้ว-ปราจีนบุรี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</si>
  <si>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</si>
  <si>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</si>
  <si>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</si>
  <si>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</si>
  <si>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</si>
  <si>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</si>
  <si>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(6) โครงการพัฒนาพื้นที่ที่ราบเชิงเขา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</si>
  <si>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</si>
  <si>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</si>
  <si>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</si>
  <si>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</si>
  <si>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</si>
  <si>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30 เม.ย.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</si>
</sst>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63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0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sz val="10"/>
      <color theme="1"/>
      <name val="Arial"/>
    </font>
    <font>
      <u/>
      <sz val="15"/>
      <color rgb="FFFF0000"/>
      <name val="Arial"/>
    </font>
    <font>
      <sz val="14"/>
      <color rgb="FF000000"/>
      <name val="Arial"/>
    </font>
    <font>
      <sz val="14"/>
      <color rgb="FFFF0000"/>
      <name val="Arial"/>
    </font>
    <font>
      <sz val="15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</font>
    <font>
      <i/>
      <sz val="13"/>
      <color theme="1"/>
      <name val="Arial"/>
      <scheme val="minor"/>
    </font>
    <font>
      <sz val="11"/>
      <color theme="1"/>
      <name val="Arial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78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5" fontId="1" fillId="6" borderId="12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 wrapText="1"/>
    </xf>
    <xf numFmtId="165" fontId="1" fillId="7" borderId="12" xfId="0" applyNumberFormat="1" applyFont="1" applyFill="1" applyBorder="1" applyAlignment="1">
      <alignment horizontal="center" wrapText="1"/>
    </xf>
    <xf numFmtId="165" fontId="1" fillId="9" borderId="12" xfId="0" applyNumberFormat="1" applyFont="1" applyFill="1" applyBorder="1" applyAlignment="1">
      <alignment horizontal="center" wrapText="1"/>
    </xf>
    <xf numFmtId="165" fontId="1" fillId="8" borderId="12" xfId="0" applyNumberFormat="1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9" borderId="12" xfId="0" applyNumberFormat="1" applyFont="1" applyFill="1" applyBorder="1" applyAlignment="1">
      <alignment horizontal="center"/>
    </xf>
    <xf numFmtId="165" fontId="5" fillId="7" borderId="11" xfId="0" applyNumberFormat="1" applyFont="1" applyFill="1" applyBorder="1" applyAlignment="1">
      <alignment horizontal="center" wrapText="1"/>
    </xf>
    <xf numFmtId="165" fontId="5" fillId="9" borderId="9" xfId="0" applyNumberFormat="1" applyFont="1" applyFill="1" applyBorder="1" applyAlignment="1">
      <alignment horizontal="center" wrapText="1"/>
    </xf>
    <xf numFmtId="165" fontId="5" fillId="8" borderId="9" xfId="0" applyNumberFormat="1" applyFont="1" applyFill="1" applyBorder="1" applyAlignment="1">
      <alignment horizontal="center"/>
    </xf>
    <xf numFmtId="165" fontId="5" fillId="7" borderId="9" xfId="0" applyNumberFormat="1" applyFont="1" applyFill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0" fontId="2" fillId="10" borderId="12" xfId="0" applyFont="1" applyFill="1" applyBorder="1"/>
    <xf numFmtId="166" fontId="2" fillId="10" borderId="12" xfId="0" applyNumberFormat="1" applyFont="1" applyFill="1" applyBorder="1"/>
    <xf numFmtId="165" fontId="2" fillId="10" borderId="12" xfId="0" applyNumberFormat="1" applyFont="1" applyFill="1" applyBorder="1"/>
    <xf numFmtId="165" fontId="6" fillId="10" borderId="11" xfId="0" applyNumberFormat="1" applyFont="1" applyFill="1" applyBorder="1"/>
    <xf numFmtId="165" fontId="6" fillId="10" borderId="9" xfId="0" applyNumberFormat="1" applyFont="1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1" fillId="10" borderId="14" xfId="0" applyFont="1" applyFill="1" applyBorder="1"/>
    <xf numFmtId="0" fontId="7" fillId="10" borderId="14" xfId="0" applyFont="1" applyFill="1" applyBorder="1"/>
    <xf numFmtId="0" fontId="2" fillId="10" borderId="15" xfId="0" applyFont="1" applyFill="1" applyBorder="1"/>
    <xf numFmtId="0" fontId="1" fillId="10" borderId="15" xfId="0" applyFont="1" applyFill="1" applyBorder="1" applyAlignment="1">
      <alignment horizontal="center"/>
    </xf>
    <xf numFmtId="166" fontId="2" fillId="10" borderId="15" xfId="0" applyNumberFormat="1" applyFont="1" applyFill="1" applyBorder="1"/>
    <xf numFmtId="165" fontId="2" fillId="10" borderId="15" xfId="0" applyNumberFormat="1" applyFont="1" applyFill="1" applyBorder="1"/>
    <xf numFmtId="165" fontId="1" fillId="10" borderId="15" xfId="0" applyNumberFormat="1" applyFont="1" applyFill="1" applyBorder="1" applyAlignment="1">
      <alignment horizontal="right"/>
    </xf>
    <xf numFmtId="165" fontId="6" fillId="10" borderId="16" xfId="0" applyNumberFormat="1" applyFont="1" applyFill="1" applyBorder="1"/>
    <xf numFmtId="165" fontId="6" fillId="10" borderId="15" xfId="0" applyNumberFormat="1" applyFont="1" applyFill="1" applyBorder="1"/>
    <xf numFmtId="0" fontId="8" fillId="10" borderId="14" xfId="0" applyFont="1" applyFill="1" applyBorder="1"/>
    <xf numFmtId="0" fontId="8" fillId="10" borderId="15" xfId="0" applyFont="1" applyFill="1" applyBorder="1" applyAlignment="1">
      <alignment horizontal="center"/>
    </xf>
    <xf numFmtId="165" fontId="8" fillId="10" borderId="15" xfId="0" applyNumberFormat="1" applyFont="1" applyFill="1" applyBorder="1" applyAlignment="1">
      <alignment horizontal="right"/>
    </xf>
    <xf numFmtId="0" fontId="9" fillId="10" borderId="14" xfId="0" applyFont="1" applyFill="1" applyBorder="1"/>
    <xf numFmtId="0" fontId="2" fillId="10" borderId="8" xfId="0" applyFont="1" applyFill="1" applyBorder="1"/>
    <xf numFmtId="0" fontId="2" fillId="10" borderId="10" xfId="0" applyFont="1" applyFill="1" applyBorder="1"/>
    <xf numFmtId="0" fontId="8" fillId="10" borderId="10" xfId="0" applyFont="1" applyFill="1" applyBorder="1"/>
    <xf numFmtId="0" fontId="2" fillId="10" borderId="9" xfId="0" applyFont="1" applyFill="1" applyBorder="1"/>
    <xf numFmtId="0" fontId="8" fillId="10" borderId="9" xfId="0" applyFont="1" applyFill="1" applyBorder="1" applyAlignment="1">
      <alignment horizontal="center"/>
    </xf>
    <xf numFmtId="166" fontId="2" fillId="10" borderId="9" xfId="0" applyNumberFormat="1" applyFont="1" applyFill="1" applyBorder="1"/>
    <xf numFmtId="165" fontId="2" fillId="10" borderId="9" xfId="0" applyNumberFormat="1" applyFont="1" applyFill="1" applyBorder="1"/>
    <xf numFmtId="165" fontId="8" fillId="10" borderId="9" xfId="0" applyNumberFormat="1" applyFont="1" applyFill="1" applyBorder="1" applyAlignment="1">
      <alignment horizontal="right"/>
    </xf>
    <xf numFmtId="0" fontId="2" fillId="11" borderId="9" xfId="0" applyFont="1" applyFill="1" applyBorder="1"/>
    <xf numFmtId="166" fontId="2" fillId="11" borderId="9" xfId="0" applyNumberFormat="1" applyFont="1" applyFill="1" applyBorder="1"/>
    <xf numFmtId="165" fontId="2" fillId="11" borderId="9" xfId="0" applyNumberFormat="1" applyFont="1" applyFill="1" applyBorder="1"/>
    <xf numFmtId="165" fontId="6" fillId="11" borderId="11" xfId="0" applyNumberFormat="1" applyFont="1" applyFill="1" applyBorder="1"/>
    <xf numFmtId="165" fontId="6" fillId="11" borderId="9" xfId="0" applyNumberFormat="1" applyFont="1" applyFill="1" applyBorder="1"/>
    <xf numFmtId="0" fontId="2" fillId="12" borderId="13" xfId="0" applyFont="1" applyFill="1" applyBorder="1"/>
    <xf numFmtId="0" fontId="2" fillId="12" borderId="14" xfId="0" applyFont="1" applyFill="1" applyBorder="1"/>
    <xf numFmtId="0" fontId="1" fillId="12" borderId="14" xfId="0" applyFont="1" applyFill="1" applyBorder="1"/>
    <xf numFmtId="0" fontId="10" fillId="12" borderId="14" xfId="0" applyFont="1" applyFill="1" applyBorder="1"/>
    <xf numFmtId="0" fontId="2" fillId="12" borderId="15" xfId="0" applyFont="1" applyFill="1" applyBorder="1"/>
    <xf numFmtId="0" fontId="1" fillId="12" borderId="15" xfId="0" applyFont="1" applyFill="1" applyBorder="1" applyAlignment="1">
      <alignment horizontal="center"/>
    </xf>
    <xf numFmtId="166" fontId="2" fillId="12" borderId="15" xfId="0" applyNumberFormat="1" applyFont="1" applyFill="1" applyBorder="1"/>
    <xf numFmtId="165" fontId="2" fillId="12" borderId="15" xfId="0" applyNumberFormat="1" applyFont="1" applyFill="1" applyBorder="1"/>
    <xf numFmtId="165" fontId="5" fillId="12" borderId="17" xfId="0" applyNumberFormat="1" applyFont="1" applyFill="1" applyBorder="1" applyAlignment="1">
      <alignment horizontal="right"/>
    </xf>
    <xf numFmtId="165" fontId="5" fillId="12" borderId="18" xfId="0" applyNumberFormat="1" applyFont="1" applyFill="1" applyBorder="1" applyAlignment="1">
      <alignment horizontal="right"/>
    </xf>
    <xf numFmtId="165" fontId="5" fillId="12" borderId="16" xfId="0" applyNumberFormat="1" applyFont="1" applyFill="1" applyBorder="1" applyAlignment="1">
      <alignment horizontal="right"/>
    </xf>
    <xf numFmtId="165" fontId="5" fillId="12" borderId="15" xfId="0" applyNumberFormat="1" applyFont="1" applyFill="1" applyBorder="1" applyAlignment="1">
      <alignment horizontal="right"/>
    </xf>
    <xf numFmtId="0" fontId="8" fillId="12" borderId="14" xfId="0" applyFont="1" applyFill="1" applyBorder="1"/>
    <xf numFmtId="0" fontId="8" fillId="12" borderId="15" xfId="0" applyFont="1" applyFill="1" applyBorder="1" applyAlignment="1">
      <alignment horizontal="center"/>
    </xf>
    <xf numFmtId="165" fontId="11" fillId="12" borderId="16" xfId="0" applyNumberFormat="1" applyFont="1" applyFill="1" applyBorder="1" applyAlignment="1">
      <alignment horizontal="right"/>
    </xf>
    <xf numFmtId="165" fontId="11" fillId="12" borderId="15" xfId="0" applyNumberFormat="1" applyFont="1" applyFill="1" applyBorder="1" applyAlignment="1">
      <alignment horizontal="right"/>
    </xf>
    <xf numFmtId="165" fontId="12" fillId="12" borderId="16" xfId="0" applyNumberFormat="1" applyFont="1" applyFill="1" applyBorder="1" applyAlignment="1">
      <alignment horizontal="right"/>
    </xf>
    <xf numFmtId="165" fontId="12" fillId="12" borderId="15" xfId="0" applyNumberFormat="1" applyFont="1" applyFill="1" applyBorder="1" applyAlignment="1">
      <alignment horizontal="right"/>
    </xf>
    <xf numFmtId="0" fontId="2" fillId="2" borderId="13" xfId="0" applyFont="1" applyFill="1" applyBorder="1"/>
    <xf numFmtId="0" fontId="2" fillId="2" borderId="14" xfId="0" applyFont="1" applyFill="1" applyBorder="1"/>
    <xf numFmtId="0" fontId="13" fillId="2" borderId="14" xfId="0" applyFont="1" applyFill="1" applyBorder="1"/>
    <xf numFmtId="0" fontId="2" fillId="2" borderId="15" xfId="0" applyFont="1" applyFill="1" applyBorder="1"/>
    <xf numFmtId="0" fontId="8" fillId="2" borderId="15" xfId="0" applyFont="1" applyFill="1" applyBorder="1" applyAlignment="1">
      <alignment horizontal="center"/>
    </xf>
    <xf numFmtId="166" fontId="2" fillId="2" borderId="15" xfId="0" applyNumberFormat="1" applyFont="1" applyFill="1" applyBorder="1"/>
    <xf numFmtId="165" fontId="2" fillId="2" borderId="15" xfId="0" applyNumberFormat="1" applyFont="1" applyFill="1" applyBorder="1"/>
    <xf numFmtId="165" fontId="12" fillId="2" borderId="16" xfId="0" applyNumberFormat="1" applyFont="1" applyFill="1" applyBorder="1" applyAlignment="1">
      <alignment horizontal="right"/>
    </xf>
    <xf numFmtId="165" fontId="12" fillId="2" borderId="15" xfId="0" applyNumberFormat="1" applyFont="1" applyFill="1" applyBorder="1" applyAlignment="1">
      <alignment horizontal="right"/>
    </xf>
    <xf numFmtId="0" fontId="8" fillId="2" borderId="14" xfId="0" applyFont="1" applyFill="1" applyBorder="1"/>
    <xf numFmtId="165" fontId="11" fillId="2" borderId="16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0" fontId="14" fillId="2" borderId="20" xfId="0" applyFont="1" applyFill="1" applyBorder="1"/>
    <xf numFmtId="0" fontId="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166" fontId="2" fillId="2" borderId="21" xfId="0" applyNumberFormat="1" applyFont="1" applyFill="1" applyBorder="1"/>
    <xf numFmtId="165" fontId="2" fillId="2" borderId="21" xfId="0" applyNumberFormat="1" applyFont="1" applyFill="1" applyBorder="1"/>
    <xf numFmtId="165" fontId="8" fillId="2" borderId="21" xfId="0" applyNumberFormat="1" applyFont="1" applyFill="1" applyBorder="1" applyAlignment="1">
      <alignment horizontal="right"/>
    </xf>
    <xf numFmtId="165" fontId="6" fillId="2" borderId="16" xfId="0" applyNumberFormat="1" applyFont="1" applyFill="1" applyBorder="1"/>
    <xf numFmtId="165" fontId="6" fillId="2" borderId="15" xfId="0" applyNumberFormat="1" applyFont="1" applyFill="1" applyBorder="1"/>
    <xf numFmtId="165" fontId="8" fillId="2" borderId="15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10" xfId="0" applyFont="1" applyFill="1" applyBorder="1"/>
    <xf numFmtId="0" fontId="8" fillId="2" borderId="10" xfId="0" applyFont="1" applyFill="1" applyBorder="1"/>
    <xf numFmtId="0" fontId="2" fillId="2" borderId="9" xfId="0" applyFont="1" applyFill="1" applyBorder="1"/>
    <xf numFmtId="0" fontId="8" fillId="2" borderId="9" xfId="0" applyFont="1" applyFill="1" applyBorder="1" applyAlignment="1">
      <alignment horizontal="center"/>
    </xf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5" fontId="8" fillId="2" borderId="9" xfId="0" applyNumberFormat="1" applyFont="1" applyFill="1" applyBorder="1" applyAlignment="1">
      <alignment horizontal="right"/>
    </xf>
    <xf numFmtId="165" fontId="6" fillId="2" borderId="11" xfId="0" applyNumberFormat="1" applyFont="1" applyFill="1" applyBorder="1"/>
    <xf numFmtId="165" fontId="6" fillId="2" borderId="9" xfId="0" applyNumberFormat="1" applyFont="1" applyFill="1" applyBorder="1"/>
    <xf numFmtId="0" fontId="1" fillId="13" borderId="22" xfId="0" applyFont="1" applyFill="1" applyBorder="1"/>
    <xf numFmtId="0" fontId="2" fillId="13" borderId="0" xfId="0" applyFont="1" applyFill="1"/>
    <xf numFmtId="0" fontId="2" fillId="13" borderId="23" xfId="0" applyFont="1" applyFill="1" applyBorder="1"/>
    <xf numFmtId="166" fontId="2" fillId="13" borderId="23" xfId="0" applyNumberFormat="1" applyFont="1" applyFill="1" applyBorder="1"/>
    <xf numFmtId="165" fontId="2" fillId="13" borderId="23" xfId="0" applyNumberFormat="1" applyFont="1" applyFill="1" applyBorder="1"/>
    <xf numFmtId="165" fontId="1" fillId="13" borderId="23" xfId="0" applyNumberFormat="1" applyFont="1" applyFill="1" applyBorder="1" applyAlignment="1">
      <alignment horizontal="right"/>
    </xf>
    <xf numFmtId="0" fontId="1" fillId="14" borderId="1" xfId="0" applyFont="1" applyFill="1" applyBorder="1"/>
    <xf numFmtId="0" fontId="2" fillId="14" borderId="2" xfId="0" applyFont="1" applyFill="1" applyBorder="1"/>
    <xf numFmtId="166" fontId="2" fillId="14" borderId="2" xfId="0" applyNumberFormat="1" applyFont="1" applyFill="1" applyBorder="1"/>
    <xf numFmtId="165" fontId="2" fillId="14" borderId="2" xfId="0" applyNumberFormat="1" applyFont="1" applyFill="1" applyBorder="1"/>
    <xf numFmtId="165" fontId="2" fillId="14" borderId="3" xfId="0" applyNumberFormat="1" applyFont="1" applyFill="1" applyBorder="1"/>
    <xf numFmtId="0" fontId="2" fillId="15" borderId="14" xfId="0" applyFont="1" applyFill="1" applyBorder="1"/>
    <xf numFmtId="0" fontId="1" fillId="15" borderId="14" xfId="0" applyFont="1" applyFill="1" applyBorder="1"/>
    <xf numFmtId="0" fontId="2" fillId="15" borderId="16" xfId="0" applyFont="1" applyFill="1" applyBorder="1"/>
    <xf numFmtId="166" fontId="2" fillId="15" borderId="16" xfId="0" applyNumberFormat="1" applyFont="1" applyFill="1" applyBorder="1"/>
    <xf numFmtId="165" fontId="2" fillId="15" borderId="16" xfId="0" applyNumberFormat="1" applyFont="1" applyFill="1" applyBorder="1"/>
    <xf numFmtId="0" fontId="2" fillId="16" borderId="13" xfId="0" applyFont="1" applyFill="1" applyBorder="1"/>
    <xf numFmtId="0" fontId="2" fillId="16" borderId="14" xfId="0" applyFont="1" applyFill="1" applyBorder="1"/>
    <xf numFmtId="0" fontId="1" fillId="16" borderId="14" xfId="0" applyFont="1" applyFill="1" applyBorder="1"/>
    <xf numFmtId="0" fontId="15" fillId="16" borderId="14" xfId="0" applyFont="1" applyFill="1" applyBorder="1"/>
    <xf numFmtId="0" fontId="2" fillId="16" borderId="15" xfId="0" applyFont="1" applyFill="1" applyBorder="1"/>
    <xf numFmtId="0" fontId="1" fillId="16" borderId="15" xfId="0" applyFont="1" applyFill="1" applyBorder="1" applyAlignment="1">
      <alignment horizontal="center"/>
    </xf>
    <xf numFmtId="166" fontId="2" fillId="16" borderId="15" xfId="0" applyNumberFormat="1" applyFont="1" applyFill="1" applyBorder="1"/>
    <xf numFmtId="165" fontId="2" fillId="16" borderId="15" xfId="0" applyNumberFormat="1" applyFont="1" applyFill="1" applyBorder="1"/>
    <xf numFmtId="165" fontId="5" fillId="16" borderId="24" xfId="0" applyNumberFormat="1" applyFont="1" applyFill="1" applyBorder="1"/>
    <xf numFmtId="165" fontId="5" fillId="16" borderId="21" xfId="0" applyNumberFormat="1" applyFont="1" applyFill="1" applyBorder="1"/>
    <xf numFmtId="0" fontId="8" fillId="16" borderId="14" xfId="0" applyFont="1" applyFill="1" applyBorder="1"/>
    <xf numFmtId="0" fontId="8" fillId="16" borderId="15" xfId="0" applyFont="1" applyFill="1" applyBorder="1" applyAlignment="1">
      <alignment horizontal="center"/>
    </xf>
    <xf numFmtId="165" fontId="11" fillId="16" borderId="16" xfId="0" applyNumberFormat="1" applyFont="1" applyFill="1" applyBorder="1"/>
    <xf numFmtId="165" fontId="11" fillId="16" borderId="15" xfId="0" applyNumberFormat="1" applyFont="1" applyFill="1" applyBorder="1"/>
    <xf numFmtId="165" fontId="12" fillId="16" borderId="16" xfId="0" applyNumberFormat="1" applyFont="1" applyFill="1" applyBorder="1"/>
    <xf numFmtId="165" fontId="12" fillId="16" borderId="15" xfId="0" applyNumberFormat="1" applyFont="1" applyFill="1" applyBorder="1"/>
    <xf numFmtId="165" fontId="12" fillId="2" borderId="16" xfId="0" applyNumberFormat="1" applyFont="1" applyFill="1" applyBorder="1"/>
    <xf numFmtId="165" fontId="12" fillId="2" borderId="15" xfId="0" applyNumberFormat="1" applyFont="1" applyFill="1" applyBorder="1"/>
    <xf numFmtId="165" fontId="11" fillId="2" borderId="15" xfId="0" applyNumberFormat="1" applyFont="1" applyFill="1" applyBorder="1"/>
    <xf numFmtId="0" fontId="16" fillId="2" borderId="14" xfId="0" applyFont="1" applyFill="1" applyBorder="1"/>
    <xf numFmtId="0" fontId="2" fillId="17" borderId="2" xfId="0" applyFont="1" applyFill="1" applyBorder="1"/>
    <xf numFmtId="166" fontId="2" fillId="17" borderId="2" xfId="0" applyNumberFormat="1" applyFont="1" applyFill="1" applyBorder="1"/>
    <xf numFmtId="165" fontId="2" fillId="17" borderId="2" xfId="0" applyNumberFormat="1" applyFont="1" applyFill="1" applyBorder="1"/>
    <xf numFmtId="165" fontId="2" fillId="17" borderId="3" xfId="0" applyNumberFormat="1" applyFont="1" applyFill="1" applyBorder="1"/>
    <xf numFmtId="165" fontId="6" fillId="17" borderId="1" xfId="0" applyNumberFormat="1" applyFont="1" applyFill="1" applyBorder="1"/>
    <xf numFmtId="165" fontId="6" fillId="17" borderId="2" xfId="0" applyNumberFormat="1" applyFont="1" applyFill="1" applyBorder="1"/>
    <xf numFmtId="165" fontId="6" fillId="17" borderId="3" xfId="0" applyNumberFormat="1" applyFont="1" applyFill="1" applyBorder="1"/>
    <xf numFmtId="0" fontId="2" fillId="18" borderId="13" xfId="0" applyFont="1" applyFill="1" applyBorder="1"/>
    <xf numFmtId="0" fontId="2" fillId="18" borderId="15" xfId="0" applyFont="1" applyFill="1" applyBorder="1"/>
    <xf numFmtId="166" fontId="2" fillId="18" borderId="15" xfId="0" applyNumberFormat="1" applyFont="1" applyFill="1" applyBorder="1"/>
    <xf numFmtId="165" fontId="2" fillId="18" borderId="15" xfId="0" applyNumberFormat="1" applyFont="1" applyFill="1" applyBorder="1"/>
    <xf numFmtId="165" fontId="6" fillId="18" borderId="16" xfId="0" applyNumberFormat="1" applyFont="1" applyFill="1" applyBorder="1"/>
    <xf numFmtId="165" fontId="6" fillId="18" borderId="15" xfId="0" applyNumberFormat="1" applyFont="1" applyFill="1" applyBorder="1"/>
    <xf numFmtId="0" fontId="2" fillId="19" borderId="13" xfId="0" applyFont="1" applyFill="1" applyBorder="1"/>
    <xf numFmtId="0" fontId="1" fillId="19" borderId="14" xfId="0" applyFont="1" applyFill="1" applyBorder="1"/>
    <xf numFmtId="0" fontId="2" fillId="19" borderId="14" xfId="0" applyFont="1" applyFill="1" applyBorder="1"/>
    <xf numFmtId="0" fontId="2" fillId="19" borderId="15" xfId="0" applyFont="1" applyFill="1" applyBorder="1"/>
    <xf numFmtId="166" fontId="2" fillId="19" borderId="15" xfId="0" applyNumberFormat="1" applyFont="1" applyFill="1" applyBorder="1"/>
    <xf numFmtId="165" fontId="2" fillId="19" borderId="15" xfId="0" applyNumberFormat="1" applyFont="1" applyFill="1" applyBorder="1"/>
    <xf numFmtId="165" fontId="6" fillId="19" borderId="16" xfId="0" applyNumberFormat="1" applyFont="1" applyFill="1" applyBorder="1"/>
    <xf numFmtId="165" fontId="6" fillId="19" borderId="15" xfId="0" applyNumberFormat="1" applyFont="1" applyFill="1" applyBorder="1"/>
    <xf numFmtId="0" fontId="2" fillId="20" borderId="13" xfId="0" applyFont="1" applyFill="1" applyBorder="1"/>
    <xf numFmtId="0" fontId="2" fillId="20" borderId="14" xfId="0" applyFont="1" applyFill="1" applyBorder="1"/>
    <xf numFmtId="0" fontId="1" fillId="20" borderId="14" xfId="0" applyFont="1" applyFill="1" applyBorder="1"/>
    <xf numFmtId="0" fontId="17" fillId="20" borderId="14" xfId="0" applyFont="1" applyFill="1" applyBorder="1"/>
    <xf numFmtId="0" fontId="2" fillId="20" borderId="15" xfId="0" applyFont="1" applyFill="1" applyBorder="1"/>
    <xf numFmtId="0" fontId="1" fillId="20" borderId="15" xfId="0" applyFont="1" applyFill="1" applyBorder="1" applyAlignment="1">
      <alignment horizontal="center"/>
    </xf>
    <xf numFmtId="166" fontId="2" fillId="20" borderId="15" xfId="0" applyNumberFormat="1" applyFont="1" applyFill="1" applyBorder="1"/>
    <xf numFmtId="165" fontId="2" fillId="20" borderId="15" xfId="0" applyNumberFormat="1" applyFont="1" applyFill="1" applyBorder="1"/>
    <xf numFmtId="165" fontId="1" fillId="20" borderId="15" xfId="0" applyNumberFormat="1" applyFont="1" applyFill="1" applyBorder="1" applyAlignment="1">
      <alignment horizontal="right"/>
    </xf>
    <xf numFmtId="165" fontId="5" fillId="20" borderId="16" xfId="0" applyNumberFormat="1" applyFont="1" applyFill="1" applyBorder="1"/>
    <xf numFmtId="165" fontId="5" fillId="20" borderId="15" xfId="0" applyNumberFormat="1" applyFont="1" applyFill="1" applyBorder="1"/>
    <xf numFmtId="0" fontId="8" fillId="20" borderId="14" xfId="0" applyFont="1" applyFill="1" applyBorder="1"/>
    <xf numFmtId="0" fontId="8" fillId="20" borderId="15" xfId="0" applyFont="1" applyFill="1" applyBorder="1" applyAlignment="1">
      <alignment horizontal="center"/>
    </xf>
    <xf numFmtId="165" fontId="8" fillId="20" borderId="15" xfId="0" applyNumberFormat="1" applyFont="1" applyFill="1" applyBorder="1" applyAlignment="1">
      <alignment horizontal="right"/>
    </xf>
    <xf numFmtId="165" fontId="11" fillId="20" borderId="16" xfId="0" applyNumberFormat="1" applyFont="1" applyFill="1" applyBorder="1"/>
    <xf numFmtId="165" fontId="11" fillId="20" borderId="15" xfId="0" applyNumberFormat="1" applyFont="1" applyFill="1" applyBorder="1"/>
    <xf numFmtId="165" fontId="12" fillId="20" borderId="16" xfId="0" applyNumberFormat="1" applyFont="1" applyFill="1" applyBorder="1"/>
    <xf numFmtId="165" fontId="12" fillId="20" borderId="15" xfId="0" applyNumberFormat="1" applyFont="1" applyFill="1" applyBorder="1"/>
    <xf numFmtId="0" fontId="2" fillId="2" borderId="22" xfId="0" applyFont="1" applyFill="1" applyBorder="1"/>
    <xf numFmtId="0" fontId="8" fillId="2" borderId="0" xfId="0" applyFont="1" applyFill="1"/>
    <xf numFmtId="0" fontId="2" fillId="2" borderId="23" xfId="0" applyFont="1" applyFill="1" applyBorder="1"/>
    <xf numFmtId="0" fontId="8" fillId="2" borderId="23" xfId="0" applyFont="1" applyFill="1" applyBorder="1" applyAlignment="1">
      <alignment horizontal="center"/>
    </xf>
    <xf numFmtId="166" fontId="2" fillId="2" borderId="23" xfId="0" applyNumberFormat="1" applyFont="1" applyFill="1" applyBorder="1"/>
    <xf numFmtId="165" fontId="2" fillId="2" borderId="23" xfId="0" applyNumberFormat="1" applyFont="1" applyFill="1" applyBorder="1"/>
    <xf numFmtId="165" fontId="8" fillId="2" borderId="23" xfId="0" applyNumberFormat="1" applyFont="1" applyFill="1" applyBorder="1" applyAlignment="1">
      <alignment horizontal="right"/>
    </xf>
    <xf numFmtId="165" fontId="12" fillId="2" borderId="11" xfId="0" applyNumberFormat="1" applyFont="1" applyFill="1" applyBorder="1" applyAlignment="1">
      <alignment horizontal="right"/>
    </xf>
    <xf numFmtId="165" fontId="12" fillId="2" borderId="9" xfId="0" applyNumberFormat="1" applyFont="1" applyFill="1" applyBorder="1" applyAlignment="1">
      <alignment horizontal="right"/>
    </xf>
    <xf numFmtId="165" fontId="12" fillId="2" borderId="9" xfId="0" applyNumberFormat="1" applyFont="1" applyFill="1" applyBorder="1"/>
    <xf numFmtId="164" fontId="1" fillId="21" borderId="1" xfId="0" applyNumberFormat="1" applyFont="1" applyFill="1" applyBorder="1"/>
    <xf numFmtId="164" fontId="2" fillId="21" borderId="2" xfId="0" applyNumberFormat="1" applyFont="1" applyFill="1" applyBorder="1"/>
    <xf numFmtId="0" fontId="2" fillId="21" borderId="2" xfId="0" applyFont="1" applyFill="1" applyBorder="1"/>
    <xf numFmtId="166" fontId="2" fillId="21" borderId="2" xfId="0" applyNumberFormat="1" applyFont="1" applyFill="1" applyBorder="1"/>
    <xf numFmtId="165" fontId="2" fillId="21" borderId="2" xfId="0" applyNumberFormat="1" applyFont="1" applyFill="1" applyBorder="1"/>
    <xf numFmtId="165" fontId="2" fillId="21" borderId="3" xfId="0" applyNumberFormat="1" applyFont="1" applyFill="1" applyBorder="1"/>
    <xf numFmtId="165" fontId="6" fillId="21" borderId="8" xfId="0" applyNumberFormat="1" applyFont="1" applyFill="1" applyBorder="1"/>
    <xf numFmtId="165" fontId="6" fillId="21" borderId="10" xfId="0" applyNumberFormat="1" applyFont="1" applyFill="1" applyBorder="1"/>
    <xf numFmtId="165" fontId="6" fillId="21" borderId="9" xfId="0" applyNumberFormat="1" applyFont="1" applyFill="1" applyBorder="1"/>
    <xf numFmtId="164" fontId="1" fillId="22" borderId="13" xfId="0" applyNumberFormat="1" applyFont="1" applyFill="1" applyBorder="1"/>
    <xf numFmtId="0" fontId="2" fillId="22" borderId="14" xfId="0" applyFont="1" applyFill="1" applyBorder="1"/>
    <xf numFmtId="164" fontId="2" fillId="22" borderId="14" xfId="0" applyNumberFormat="1" applyFont="1" applyFill="1" applyBorder="1"/>
    <xf numFmtId="0" fontId="2" fillId="22" borderId="15" xfId="0" applyFont="1" applyFill="1" applyBorder="1"/>
    <xf numFmtId="166" fontId="2" fillId="22" borderId="15" xfId="0" applyNumberFormat="1" applyFont="1" applyFill="1" applyBorder="1"/>
    <xf numFmtId="165" fontId="2" fillId="22" borderId="15" xfId="0" applyNumberFormat="1" applyFont="1" applyFill="1" applyBorder="1"/>
    <xf numFmtId="165" fontId="6" fillId="22" borderId="16" xfId="0" applyNumberFormat="1" applyFont="1" applyFill="1" applyBorder="1"/>
    <xf numFmtId="165" fontId="6" fillId="22" borderId="15" xfId="0" applyNumberFormat="1" applyFont="1" applyFill="1" applyBorder="1"/>
    <xf numFmtId="167" fontId="2" fillId="12" borderId="13" xfId="0" applyNumberFormat="1" applyFont="1" applyFill="1" applyBorder="1"/>
    <xf numFmtId="164" fontId="2" fillId="12" borderId="14" xfId="0" applyNumberFormat="1" applyFont="1" applyFill="1" applyBorder="1"/>
    <xf numFmtId="0" fontId="1" fillId="12" borderId="15" xfId="0" applyFont="1" applyFill="1" applyBorder="1" applyAlignment="1">
      <alignment horizontal="center" wrapText="1"/>
    </xf>
    <xf numFmtId="166" fontId="1" fillId="12" borderId="15" xfId="0" applyNumberFormat="1" applyFont="1" applyFill="1" applyBorder="1" applyAlignment="1">
      <alignment horizontal="right"/>
    </xf>
    <xf numFmtId="165" fontId="1" fillId="12" borderId="15" xfId="0" applyNumberFormat="1" applyFont="1" applyFill="1" applyBorder="1" applyAlignment="1">
      <alignment horizontal="right"/>
    </xf>
    <xf numFmtId="165" fontId="6" fillId="12" borderId="16" xfId="0" applyNumberFormat="1" applyFont="1" applyFill="1" applyBorder="1"/>
    <xf numFmtId="165" fontId="6" fillId="12" borderId="15" xfId="0" applyNumberFormat="1" applyFont="1" applyFill="1" applyBorder="1"/>
    <xf numFmtId="167" fontId="2" fillId="2" borderId="13" xfId="0" applyNumberFormat="1" applyFont="1" applyFill="1" applyBorder="1"/>
    <xf numFmtId="0" fontId="1" fillId="2" borderId="14" xfId="0" applyFont="1" applyFill="1" applyBorder="1"/>
    <xf numFmtId="0" fontId="18" fillId="2" borderId="14" xfId="0" applyFont="1" applyFill="1" applyBorder="1"/>
    <xf numFmtId="164" fontId="1" fillId="2" borderId="15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right"/>
    </xf>
    <xf numFmtId="165" fontId="5" fillId="2" borderId="16" xfId="0" applyNumberFormat="1" applyFont="1" applyFill="1" applyBorder="1"/>
    <xf numFmtId="165" fontId="5" fillId="2" borderId="15" xfId="0" applyNumberFormat="1" applyFont="1" applyFill="1" applyBorder="1"/>
    <xf numFmtId="164" fontId="8" fillId="2" borderId="15" xfId="0" applyNumberFormat="1" applyFont="1" applyFill="1" applyBorder="1" applyAlignment="1">
      <alignment horizontal="center"/>
    </xf>
    <xf numFmtId="165" fontId="11" fillId="2" borderId="16" xfId="0" applyNumberFormat="1" applyFont="1" applyFill="1" applyBorder="1"/>
    <xf numFmtId="164" fontId="8" fillId="0" borderId="15" xfId="0" applyNumberFormat="1" applyFont="1" applyBorder="1" applyAlignment="1">
      <alignment horizontal="center" wrapText="1"/>
    </xf>
    <xf numFmtId="166" fontId="2" fillId="0" borderId="15" xfId="0" applyNumberFormat="1" applyFont="1" applyBorder="1"/>
    <xf numFmtId="165" fontId="2" fillId="0" borderId="15" xfId="0" applyNumberFormat="1" applyFont="1" applyBorder="1"/>
    <xf numFmtId="164" fontId="8" fillId="0" borderId="15" xfId="0" applyNumberFormat="1" applyFont="1" applyBorder="1" applyAlignment="1">
      <alignment horizontal="center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9" fillId="23" borderId="14" xfId="0" quotePrefix="1" applyFont="1" applyFill="1" applyBorder="1"/>
    <xf numFmtId="0" fontId="2" fillId="23" borderId="14" xfId="0" applyFont="1" applyFill="1" applyBorder="1"/>
    <xf numFmtId="0" fontId="2" fillId="23" borderId="15" xfId="0" applyFont="1" applyFill="1" applyBorder="1"/>
    <xf numFmtId="0" fontId="2" fillId="0" borderId="15" xfId="0" applyFont="1" applyBorder="1"/>
    <xf numFmtId="165" fontId="6" fillId="0" borderId="16" xfId="0" applyNumberFormat="1" applyFont="1" applyBorder="1"/>
    <xf numFmtId="165" fontId="6" fillId="0" borderId="15" xfId="0" applyNumberFormat="1" applyFont="1" applyBorder="1"/>
    <xf numFmtId="0" fontId="8" fillId="0" borderId="14" xfId="0" quotePrefix="1" applyFont="1" applyBorder="1"/>
    <xf numFmtId="0" fontId="2" fillId="0" borderId="14" xfId="0" applyFont="1" applyBorder="1"/>
    <xf numFmtId="0" fontId="1" fillId="0" borderId="15" xfId="0" applyFont="1" applyBorder="1" applyAlignment="1">
      <alignment horizontal="center" wrapText="1"/>
    </xf>
    <xf numFmtId="166" fontId="1" fillId="2" borderId="15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6" fontId="1" fillId="2" borderId="23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166" fontId="20" fillId="0" borderId="21" xfId="0" applyNumberFormat="1" applyFont="1" applyBorder="1" applyAlignment="1">
      <alignment horizontal="left"/>
    </xf>
    <xf numFmtId="166" fontId="8" fillId="2" borderId="15" xfId="0" applyNumberFormat="1" applyFont="1" applyFill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6" fontId="8" fillId="0" borderId="15" xfId="0" applyNumberFormat="1" applyFont="1" applyBorder="1" applyAlignment="1">
      <alignment horizontal="right"/>
    </xf>
    <xf numFmtId="0" fontId="8" fillId="0" borderId="15" xfId="0" applyFont="1" applyBorder="1" applyAlignment="1">
      <alignment horizontal="center" wrapText="1"/>
    </xf>
    <xf numFmtId="164" fontId="5" fillId="22" borderId="19" xfId="0" applyNumberFormat="1" applyFont="1" applyFill="1" applyBorder="1"/>
    <xf numFmtId="0" fontId="6" fillId="22" borderId="20" xfId="0" applyFont="1" applyFill="1" applyBorder="1"/>
    <xf numFmtId="164" fontId="6" fillId="22" borderId="20" xfId="0" applyNumberFormat="1" applyFont="1" applyFill="1" applyBorder="1"/>
    <xf numFmtId="0" fontId="6" fillId="22" borderId="21" xfId="0" applyFont="1" applyFill="1" applyBorder="1"/>
    <xf numFmtId="164" fontId="6" fillId="22" borderId="21" xfId="0" applyNumberFormat="1" applyFont="1" applyFill="1" applyBorder="1"/>
    <xf numFmtId="166" fontId="6" fillId="22" borderId="21" xfId="0" applyNumberFormat="1" applyFont="1" applyFill="1" applyBorder="1"/>
    <xf numFmtId="165" fontId="6" fillId="22" borderId="21" xfId="0" applyNumberFormat="1" applyFont="1" applyFill="1" applyBorder="1"/>
    <xf numFmtId="167" fontId="6" fillId="12" borderId="13" xfId="0" applyNumberFormat="1" applyFont="1" applyFill="1" applyBorder="1"/>
    <xf numFmtId="0" fontId="5" fillId="12" borderId="14" xfId="0" applyFont="1" applyFill="1" applyBorder="1"/>
    <xf numFmtId="0" fontId="6" fillId="12" borderId="14" xfId="0" applyFont="1" applyFill="1" applyBorder="1"/>
    <xf numFmtId="164" fontId="6" fillId="12" borderId="14" xfId="0" applyNumberFormat="1" applyFont="1" applyFill="1" applyBorder="1"/>
    <xf numFmtId="0" fontId="6" fillId="12" borderId="15" xfId="0" applyFont="1" applyFill="1" applyBorder="1"/>
    <xf numFmtId="164" fontId="5" fillId="12" borderId="15" xfId="0" applyNumberFormat="1" applyFont="1" applyFill="1" applyBorder="1" applyAlignment="1">
      <alignment horizontal="center" wrapText="1"/>
    </xf>
    <xf numFmtId="166" fontId="5" fillId="12" borderId="15" xfId="0" applyNumberFormat="1" applyFont="1" applyFill="1" applyBorder="1" applyAlignment="1">
      <alignment horizontal="right"/>
    </xf>
    <xf numFmtId="167" fontId="6" fillId="2" borderId="13" xfId="0" applyNumberFormat="1" applyFont="1" applyFill="1" applyBorder="1"/>
    <xf numFmtId="0" fontId="6" fillId="2" borderId="14" xfId="0" applyFont="1" applyFill="1" applyBorder="1"/>
    <xf numFmtId="0" fontId="5" fillId="2" borderId="14" xfId="0" applyFont="1" applyFill="1" applyBorder="1"/>
    <xf numFmtId="0" fontId="21" fillId="2" borderId="14" xfId="0" applyFont="1" applyFill="1" applyBorder="1"/>
    <xf numFmtId="0" fontId="6" fillId="2" borderId="15" xfId="0" applyFont="1" applyFill="1" applyBorder="1"/>
    <xf numFmtId="164" fontId="5" fillId="2" borderId="15" xfId="0" applyNumberFormat="1" applyFont="1" applyFill="1" applyBorder="1" applyAlignment="1">
      <alignment horizontal="center"/>
    </xf>
    <xf numFmtId="166" fontId="6" fillId="2" borderId="15" xfId="0" applyNumberFormat="1" applyFont="1" applyFill="1" applyBorder="1"/>
    <xf numFmtId="165" fontId="5" fillId="2" borderId="15" xfId="0" applyNumberFormat="1" applyFont="1" applyFill="1" applyBorder="1" applyAlignment="1">
      <alignment horizontal="right"/>
    </xf>
    <xf numFmtId="0" fontId="11" fillId="2" borderId="14" xfId="0" applyFont="1" applyFill="1" applyBorder="1"/>
    <xf numFmtId="164" fontId="11" fillId="2" borderId="15" xfId="0" applyNumberFormat="1" applyFont="1" applyFill="1" applyBorder="1" applyAlignment="1">
      <alignment horizontal="center"/>
    </xf>
    <xf numFmtId="0" fontId="12" fillId="2" borderId="14" xfId="0" applyFont="1" applyFill="1" applyBorder="1"/>
    <xf numFmtId="164" fontId="12" fillId="2" borderId="15" xfId="0" applyNumberFormat="1" applyFont="1" applyFill="1" applyBorder="1" applyAlignment="1">
      <alignment horizontal="center"/>
    </xf>
    <xf numFmtId="164" fontId="6" fillId="2" borderId="14" xfId="0" applyNumberFormat="1" applyFont="1" applyFill="1" applyBorder="1"/>
    <xf numFmtId="0" fontId="22" fillId="2" borderId="14" xfId="0" applyFont="1" applyFill="1" applyBorder="1"/>
    <xf numFmtId="164" fontId="12" fillId="0" borderId="15" xfId="0" applyNumberFormat="1" applyFont="1" applyBorder="1" applyAlignment="1">
      <alignment horizontal="center" wrapText="1"/>
    </xf>
    <xf numFmtId="166" fontId="6" fillId="0" borderId="15" xfId="0" applyNumberFormat="1" applyFont="1" applyBorder="1"/>
    <xf numFmtId="164" fontId="11" fillId="0" borderId="15" xfId="0" applyNumberFormat="1" applyFont="1" applyBorder="1" applyAlignment="1">
      <alignment horizontal="center" wrapText="1"/>
    </xf>
    <xf numFmtId="164" fontId="23" fillId="2" borderId="14" xfId="0" applyNumberFormat="1" applyFont="1" applyFill="1" applyBorder="1"/>
    <xf numFmtId="164" fontId="12" fillId="0" borderId="15" xfId="0" applyNumberFormat="1" applyFont="1" applyBorder="1" applyAlignment="1">
      <alignment horizontal="center"/>
    </xf>
    <xf numFmtId="164" fontId="6" fillId="0" borderId="13" xfId="0" applyNumberFormat="1" applyFont="1" applyBorder="1"/>
    <xf numFmtId="164" fontId="6" fillId="0" borderId="14" xfId="0" applyNumberFormat="1" applyFont="1" applyBorder="1"/>
    <xf numFmtId="164" fontId="5" fillId="2" borderId="14" xfId="0" applyNumberFormat="1" applyFont="1" applyFill="1" applyBorder="1"/>
    <xf numFmtId="0" fontId="24" fillId="23" borderId="14" xfId="0" quotePrefix="1" applyFont="1" applyFill="1" applyBorder="1"/>
    <xf numFmtId="0" fontId="6" fillId="23" borderId="14" xfId="0" applyFont="1" applyFill="1" applyBorder="1"/>
    <xf numFmtId="0" fontId="6" fillId="23" borderId="15" xfId="0" applyFont="1" applyFill="1" applyBorder="1"/>
    <xf numFmtId="0" fontId="6" fillId="0" borderId="15" xfId="0" applyFont="1" applyBorder="1"/>
    <xf numFmtId="164" fontId="6" fillId="10" borderId="13" xfId="0" applyNumberFormat="1" applyFont="1" applyFill="1" applyBorder="1"/>
    <xf numFmtId="164" fontId="6" fillId="10" borderId="14" xfId="0" applyNumberFormat="1" applyFont="1" applyFill="1" applyBorder="1"/>
    <xf numFmtId="0" fontId="6" fillId="10" borderId="14" xfId="0" applyFont="1" applyFill="1" applyBorder="1"/>
    <xf numFmtId="0" fontId="6" fillId="10" borderId="15" xfId="0" applyFont="1" applyFill="1" applyBorder="1"/>
    <xf numFmtId="166" fontId="6" fillId="10" borderId="15" xfId="0" applyNumberFormat="1" applyFont="1" applyFill="1" applyBorder="1"/>
    <xf numFmtId="0" fontId="5" fillId="0" borderId="14" xfId="0" applyFont="1" applyBorder="1"/>
    <xf numFmtId="0" fontId="6" fillId="0" borderId="0" xfId="0" applyFont="1"/>
    <xf numFmtId="0" fontId="6" fillId="0" borderId="14" xfId="0" applyFont="1" applyBorder="1"/>
    <xf numFmtId="0" fontId="12" fillId="0" borderId="14" xfId="0" applyFont="1" applyBorder="1"/>
    <xf numFmtId="0" fontId="12" fillId="2" borderId="15" xfId="0" applyFont="1" applyFill="1" applyBorder="1" applyAlignment="1">
      <alignment horizontal="center"/>
    </xf>
    <xf numFmtId="166" fontId="12" fillId="2" borderId="15" xfId="0" applyNumberFormat="1" applyFont="1" applyFill="1" applyBorder="1" applyAlignment="1">
      <alignment horizontal="right"/>
    </xf>
    <xf numFmtId="166" fontId="12" fillId="24" borderId="15" xfId="0" applyNumberFormat="1" applyFont="1" applyFill="1" applyBorder="1" applyAlignment="1">
      <alignment horizontal="right"/>
    </xf>
    <xf numFmtId="0" fontId="12" fillId="0" borderId="15" xfId="0" applyFont="1" applyBorder="1" applyAlignment="1">
      <alignment horizontal="center"/>
    </xf>
    <xf numFmtId="166" fontId="12" fillId="0" borderId="15" xfId="0" applyNumberFormat="1" applyFont="1" applyBorder="1" applyAlignment="1">
      <alignment horizontal="right"/>
    </xf>
    <xf numFmtId="167" fontId="6" fillId="22" borderId="20" xfId="0" applyNumberFormat="1" applyFont="1" applyFill="1" applyBorder="1"/>
    <xf numFmtId="166" fontId="6" fillId="22" borderId="20" xfId="0" applyNumberFormat="1" applyFont="1" applyFill="1" applyBorder="1"/>
    <xf numFmtId="165" fontId="6" fillId="22" borderId="20" xfId="0" applyNumberFormat="1" applyFont="1" applyFill="1" applyBorder="1"/>
    <xf numFmtId="164" fontId="5" fillId="12" borderId="14" xfId="0" applyNumberFormat="1" applyFont="1" applyFill="1" applyBorder="1"/>
    <xf numFmtId="167" fontId="6" fillId="12" borderId="14" xfId="0" applyNumberFormat="1" applyFont="1" applyFill="1" applyBorder="1"/>
    <xf numFmtId="164" fontId="5" fillId="12" borderId="15" xfId="0" applyNumberFormat="1" applyFont="1" applyFill="1" applyBorder="1" applyAlignment="1">
      <alignment horizontal="center"/>
    </xf>
    <xf numFmtId="167" fontId="6" fillId="2" borderId="14" xfId="0" applyNumberFormat="1" applyFont="1" applyFill="1" applyBorder="1"/>
    <xf numFmtId="164" fontId="12" fillId="2" borderId="15" xfId="0" applyNumberFormat="1" applyFont="1" applyFill="1" applyBorder="1" applyAlignment="1">
      <alignment horizontal="center" wrapText="1"/>
    </xf>
    <xf numFmtId="164" fontId="11" fillId="2" borderId="15" xfId="0" applyNumberFormat="1" applyFont="1" applyFill="1" applyBorder="1" applyAlignment="1">
      <alignment horizontal="center" wrapText="1"/>
    </xf>
    <xf numFmtId="164" fontId="25" fillId="2" borderId="14" xfId="0" applyNumberFormat="1" applyFont="1" applyFill="1" applyBorder="1" applyAlignment="1">
      <alignment horizontal="center"/>
    </xf>
    <xf numFmtId="164" fontId="6" fillId="0" borderId="15" xfId="0" applyNumberFormat="1" applyFont="1" applyBorder="1"/>
    <xf numFmtId="0" fontId="11" fillId="0" borderId="14" xfId="0" applyFont="1" applyBorder="1"/>
    <xf numFmtId="164" fontId="6" fillId="2" borderId="15" xfId="0" applyNumberFormat="1" applyFont="1" applyFill="1" applyBorder="1"/>
    <xf numFmtId="164" fontId="6" fillId="10" borderId="15" xfId="0" applyNumberFormat="1" applyFont="1" applyFill="1" applyBorder="1"/>
    <xf numFmtId="167" fontId="2" fillId="22" borderId="14" xfId="0" applyNumberFormat="1" applyFont="1" applyFill="1" applyBorder="1"/>
    <xf numFmtId="166" fontId="2" fillId="22" borderId="14" xfId="0" applyNumberFormat="1" applyFont="1" applyFill="1" applyBorder="1"/>
    <xf numFmtId="165" fontId="2" fillId="22" borderId="14" xfId="0" applyNumberFormat="1" applyFont="1" applyFill="1" applyBorder="1"/>
    <xf numFmtId="167" fontId="2" fillId="12" borderId="14" xfId="0" applyNumberFormat="1" applyFont="1" applyFill="1" applyBorder="1"/>
    <xf numFmtId="167" fontId="1" fillId="12" borderId="14" xfId="0" applyNumberFormat="1" applyFont="1" applyFill="1" applyBorder="1"/>
    <xf numFmtId="164" fontId="2" fillId="0" borderId="15" xfId="0" applyNumberFormat="1" applyFont="1" applyBorder="1"/>
    <xf numFmtId="167" fontId="2" fillId="2" borderId="19" xfId="0" applyNumberFormat="1" applyFont="1" applyFill="1" applyBorder="1"/>
    <xf numFmtId="0" fontId="2" fillId="0" borderId="20" xfId="0" applyFont="1" applyBorder="1"/>
    <xf numFmtId="0" fontId="8" fillId="2" borderId="20" xfId="0" applyFont="1" applyFill="1" applyBorder="1"/>
    <xf numFmtId="164" fontId="8" fillId="0" borderId="21" xfId="0" applyNumberFormat="1" applyFont="1" applyBorder="1" applyAlignment="1">
      <alignment horizontal="center"/>
    </xf>
    <xf numFmtId="166" fontId="8" fillId="2" borderId="21" xfId="0" applyNumberFormat="1" applyFont="1" applyFill="1" applyBorder="1" applyAlignment="1">
      <alignment horizontal="right"/>
    </xf>
    <xf numFmtId="0" fontId="26" fillId="2" borderId="20" xfId="0" applyFont="1" applyFill="1" applyBorder="1"/>
    <xf numFmtId="167" fontId="2" fillId="2" borderId="25" xfId="0" applyNumberFormat="1" applyFont="1" applyFill="1" applyBorder="1"/>
    <xf numFmtId="0" fontId="2" fillId="2" borderId="26" xfId="0" applyFont="1" applyFill="1" applyBorder="1"/>
    <xf numFmtId="0" fontId="8" fillId="2" borderId="26" xfId="0" applyFont="1" applyFill="1" applyBorder="1"/>
    <xf numFmtId="0" fontId="2" fillId="2" borderId="27" xfId="0" applyFont="1" applyFill="1" applyBorder="1"/>
    <xf numFmtId="164" fontId="8" fillId="0" borderId="27" xfId="0" applyNumberFormat="1" applyFont="1" applyBorder="1" applyAlignment="1">
      <alignment horizontal="center"/>
    </xf>
    <xf numFmtId="166" fontId="8" fillId="2" borderId="27" xfId="0" applyNumberFormat="1" applyFont="1" applyFill="1" applyBorder="1" applyAlignment="1">
      <alignment horizontal="right"/>
    </xf>
    <xf numFmtId="165" fontId="2" fillId="2" borderId="27" xfId="0" applyNumberFormat="1" applyFont="1" applyFill="1" applyBorder="1"/>
    <xf numFmtId="164" fontId="1" fillId="22" borderId="19" xfId="0" applyNumberFormat="1" applyFont="1" applyFill="1" applyBorder="1"/>
    <xf numFmtId="0" fontId="2" fillId="22" borderId="20" xfId="0" applyFont="1" applyFill="1" applyBorder="1"/>
    <xf numFmtId="167" fontId="2" fillId="22" borderId="20" xfId="0" applyNumberFormat="1" applyFont="1" applyFill="1" applyBorder="1"/>
    <xf numFmtId="166" fontId="2" fillId="22" borderId="20" xfId="0" applyNumberFormat="1" applyFont="1" applyFill="1" applyBorder="1"/>
    <xf numFmtId="165" fontId="2" fillId="22" borderId="20" xfId="0" applyNumberFormat="1" applyFont="1" applyFill="1" applyBorder="1"/>
    <xf numFmtId="165" fontId="2" fillId="22" borderId="21" xfId="0" applyNumberFormat="1" applyFont="1" applyFill="1" applyBorder="1"/>
    <xf numFmtId="164" fontId="1" fillId="12" borderId="15" xfId="0" applyNumberFormat="1" applyFont="1" applyFill="1" applyBorder="1" applyAlignment="1">
      <alignment horizontal="center"/>
    </xf>
    <xf numFmtId="167" fontId="2" fillId="2" borderId="22" xfId="0" applyNumberFormat="1" applyFont="1" applyFill="1" applyBorder="1"/>
    <xf numFmtId="164" fontId="8" fillId="0" borderId="23" xfId="0" applyNumberFormat="1" applyFont="1" applyBorder="1" applyAlignment="1">
      <alignment horizontal="center"/>
    </xf>
    <xf numFmtId="166" fontId="8" fillId="2" borderId="23" xfId="0" applyNumberFormat="1" applyFont="1" applyFill="1" applyBorder="1" applyAlignment="1">
      <alignment horizontal="right"/>
    </xf>
    <xf numFmtId="164" fontId="1" fillId="9" borderId="1" xfId="0" applyNumberFormat="1" applyFont="1" applyFill="1" applyBorder="1"/>
    <xf numFmtId="164" fontId="2" fillId="9" borderId="2" xfId="0" applyNumberFormat="1" applyFont="1" applyFill="1" applyBorder="1"/>
    <xf numFmtId="0" fontId="2" fillId="9" borderId="2" xfId="0" applyFont="1" applyFill="1" applyBorder="1"/>
    <xf numFmtId="166" fontId="2" fillId="9" borderId="2" xfId="0" applyNumberFormat="1" applyFont="1" applyFill="1" applyBorder="1"/>
    <xf numFmtId="165" fontId="2" fillId="9" borderId="2" xfId="0" applyNumberFormat="1" applyFont="1" applyFill="1" applyBorder="1"/>
    <xf numFmtId="165" fontId="2" fillId="9" borderId="3" xfId="0" applyNumberFormat="1" applyFont="1" applyFill="1" applyBorder="1"/>
    <xf numFmtId="165" fontId="6" fillId="9" borderId="8" xfId="0" applyNumberFormat="1" applyFont="1" applyFill="1" applyBorder="1"/>
    <xf numFmtId="165" fontId="6" fillId="9" borderId="10" xfId="0" applyNumberFormat="1" applyFont="1" applyFill="1" applyBorder="1"/>
    <xf numFmtId="165" fontId="6" fillId="9" borderId="9" xfId="0" applyNumberFormat="1" applyFont="1" applyFill="1" applyBorder="1"/>
    <xf numFmtId="164" fontId="1" fillId="25" borderId="13" xfId="0" applyNumberFormat="1" applyFont="1" applyFill="1" applyBorder="1"/>
    <xf numFmtId="164" fontId="2" fillId="25" borderId="14" xfId="0" applyNumberFormat="1" applyFont="1" applyFill="1" applyBorder="1"/>
    <xf numFmtId="0" fontId="2" fillId="25" borderId="14" xfId="0" applyFont="1" applyFill="1" applyBorder="1"/>
    <xf numFmtId="0" fontId="2" fillId="25" borderId="15" xfId="0" applyFont="1" applyFill="1" applyBorder="1"/>
    <xf numFmtId="166" fontId="2" fillId="25" borderId="15" xfId="0" applyNumberFormat="1" applyFont="1" applyFill="1" applyBorder="1"/>
    <xf numFmtId="165" fontId="2" fillId="25" borderId="15" xfId="0" applyNumberFormat="1" applyFont="1" applyFill="1" applyBorder="1"/>
    <xf numFmtId="165" fontId="6" fillId="25" borderId="16" xfId="0" applyNumberFormat="1" applyFont="1" applyFill="1" applyBorder="1"/>
    <xf numFmtId="165" fontId="6" fillId="25" borderId="15" xfId="0" applyNumberFormat="1" applyFont="1" applyFill="1" applyBorder="1"/>
    <xf numFmtId="164" fontId="2" fillId="23" borderId="13" xfId="0" applyNumberFormat="1" applyFont="1" applyFill="1" applyBorder="1"/>
    <xf numFmtId="0" fontId="1" fillId="23" borderId="14" xfId="0" applyFont="1" applyFill="1" applyBorder="1"/>
    <xf numFmtId="164" fontId="2" fillId="23" borderId="14" xfId="0" applyNumberFormat="1" applyFont="1" applyFill="1" applyBorder="1"/>
    <xf numFmtId="0" fontId="1" fillId="23" borderId="15" xfId="0" applyFont="1" applyFill="1" applyBorder="1" applyAlignment="1">
      <alignment horizontal="center" wrapText="1"/>
    </xf>
    <xf numFmtId="166" fontId="1" fillId="23" borderId="15" xfId="0" applyNumberFormat="1" applyFont="1" applyFill="1" applyBorder="1" applyAlignment="1">
      <alignment horizontal="right"/>
    </xf>
    <xf numFmtId="165" fontId="1" fillId="23" borderId="15" xfId="0" applyNumberFormat="1" applyFont="1" applyFill="1" applyBorder="1" applyAlignment="1">
      <alignment horizontal="right"/>
    </xf>
    <xf numFmtId="165" fontId="2" fillId="23" borderId="15" xfId="0" applyNumberFormat="1" applyFont="1" applyFill="1" applyBorder="1"/>
    <xf numFmtId="165" fontId="6" fillId="23" borderId="16" xfId="0" applyNumberFormat="1" applyFont="1" applyFill="1" applyBorder="1"/>
    <xf numFmtId="165" fontId="6" fillId="23" borderId="15" xfId="0" applyNumberFormat="1" applyFont="1" applyFill="1" applyBorder="1"/>
    <xf numFmtId="164" fontId="2" fillId="2" borderId="13" xfId="0" applyNumberFormat="1" applyFont="1" applyFill="1" applyBorder="1"/>
    <xf numFmtId="164" fontId="8" fillId="2" borderId="14" xfId="0" applyNumberFormat="1" applyFont="1" applyFill="1" applyBorder="1"/>
    <xf numFmtId="0" fontId="8" fillId="2" borderId="15" xfId="0" applyFont="1" applyFill="1" applyBorder="1" applyAlignment="1">
      <alignment horizontal="center" wrapText="1"/>
    </xf>
    <xf numFmtId="164" fontId="2" fillId="2" borderId="14" xfId="0" applyNumberFormat="1" applyFont="1" applyFill="1" applyBorder="1"/>
    <xf numFmtId="164" fontId="2" fillId="26" borderId="13" xfId="0" applyNumberFormat="1" applyFont="1" applyFill="1" applyBorder="1"/>
    <xf numFmtId="164" fontId="2" fillId="26" borderId="14" xfId="0" applyNumberFormat="1" applyFont="1" applyFill="1" applyBorder="1"/>
    <xf numFmtId="0" fontId="1" fillId="26" borderId="14" xfId="0" applyFont="1" applyFill="1" applyBorder="1"/>
    <xf numFmtId="0" fontId="2" fillId="26" borderId="14" xfId="0" applyFont="1" applyFill="1" applyBorder="1"/>
    <xf numFmtId="0" fontId="2" fillId="26" borderId="15" xfId="0" applyFont="1" applyFill="1" applyBorder="1"/>
    <xf numFmtId="0" fontId="1" fillId="26" borderId="15" xfId="0" applyFont="1" applyFill="1" applyBorder="1" applyAlignment="1">
      <alignment horizontal="center" wrapText="1"/>
    </xf>
    <xf numFmtId="166" fontId="1" fillId="26" borderId="15" xfId="0" applyNumberFormat="1" applyFont="1" applyFill="1" applyBorder="1" applyAlignment="1">
      <alignment horizontal="right"/>
    </xf>
    <xf numFmtId="165" fontId="1" fillId="26" borderId="15" xfId="0" applyNumberFormat="1" applyFont="1" applyFill="1" applyBorder="1" applyAlignment="1">
      <alignment horizontal="right"/>
    </xf>
    <xf numFmtId="165" fontId="2" fillId="26" borderId="15" xfId="0" applyNumberFormat="1" applyFont="1" applyFill="1" applyBorder="1"/>
    <xf numFmtId="165" fontId="6" fillId="26" borderId="16" xfId="0" applyNumberFormat="1" applyFont="1" applyFill="1" applyBorder="1"/>
    <xf numFmtId="165" fontId="6" fillId="26" borderId="15" xfId="0" applyNumberFormat="1" applyFont="1" applyFill="1" applyBorder="1"/>
    <xf numFmtId="0" fontId="27" fillId="2" borderId="14" xfId="0" quotePrefix="1" applyFont="1" applyFill="1" applyBorder="1"/>
    <xf numFmtId="164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6" borderId="15" xfId="0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right"/>
    </xf>
    <xf numFmtId="165" fontId="6" fillId="2" borderId="21" xfId="0" applyNumberFormat="1" applyFont="1" applyFill="1" applyBorder="1"/>
    <xf numFmtId="165" fontId="5" fillId="2" borderId="21" xfId="0" applyNumberFormat="1" applyFont="1" applyFill="1" applyBorder="1" applyAlignment="1">
      <alignment horizontal="right"/>
    </xf>
    <xf numFmtId="0" fontId="12" fillId="2" borderId="20" xfId="0" applyFont="1" applyFill="1" applyBorder="1"/>
    <xf numFmtId="165" fontId="12" fillId="24" borderId="15" xfId="0" applyNumberFormat="1" applyFont="1" applyFill="1" applyBorder="1" applyAlignment="1">
      <alignment horizontal="right"/>
    </xf>
    <xf numFmtId="0" fontId="8" fillId="0" borderId="15" xfId="0" applyFont="1" applyBorder="1"/>
    <xf numFmtId="165" fontId="5" fillId="2" borderId="16" xfId="0" applyNumberFormat="1" applyFont="1" applyFill="1" applyBorder="1" applyAlignment="1">
      <alignment horizontal="right"/>
    </xf>
    <xf numFmtId="164" fontId="1" fillId="2" borderId="14" xfId="0" applyNumberFormat="1" applyFont="1" applyFill="1" applyBorder="1"/>
    <xf numFmtId="164" fontId="2" fillId="27" borderId="13" xfId="0" applyNumberFormat="1" applyFont="1" applyFill="1" applyBorder="1"/>
    <xf numFmtId="164" fontId="2" fillId="27" borderId="14" xfId="0" applyNumberFormat="1" applyFont="1" applyFill="1" applyBorder="1"/>
    <xf numFmtId="0" fontId="8" fillId="27" borderId="14" xfId="0" applyFont="1" applyFill="1" applyBorder="1"/>
    <xf numFmtId="0" fontId="2" fillId="27" borderId="14" xfId="0" applyFont="1" applyFill="1" applyBorder="1"/>
    <xf numFmtId="0" fontId="2" fillId="27" borderId="15" xfId="0" applyFont="1" applyFill="1" applyBorder="1"/>
    <xf numFmtId="164" fontId="8" fillId="27" borderId="15" xfId="0" applyNumberFormat="1" applyFont="1" applyFill="1" applyBorder="1" applyAlignment="1">
      <alignment horizontal="center" wrapText="1"/>
    </xf>
    <xf numFmtId="166" fontId="2" fillId="27" borderId="15" xfId="0" applyNumberFormat="1" applyFont="1" applyFill="1" applyBorder="1"/>
    <xf numFmtId="165" fontId="2" fillId="27" borderId="15" xfId="0" applyNumberFormat="1" applyFont="1" applyFill="1" applyBorder="1"/>
    <xf numFmtId="165" fontId="8" fillId="27" borderId="15" xfId="0" applyNumberFormat="1" applyFont="1" applyFill="1" applyBorder="1" applyAlignment="1">
      <alignment horizontal="right"/>
    </xf>
    <xf numFmtId="164" fontId="8" fillId="0" borderId="14" xfId="0" quotePrefix="1" applyNumberFormat="1" applyFont="1" applyBorder="1"/>
    <xf numFmtId="164" fontId="28" fillId="27" borderId="13" xfId="0" applyNumberFormat="1" applyFont="1" applyFill="1" applyBorder="1"/>
    <xf numFmtId="164" fontId="28" fillId="27" borderId="14" xfId="0" applyNumberFormat="1" applyFont="1" applyFill="1" applyBorder="1"/>
    <xf numFmtId="0" fontId="25" fillId="27" borderId="14" xfId="0" applyFont="1" applyFill="1" applyBorder="1"/>
    <xf numFmtId="0" fontId="28" fillId="27" borderId="14" xfId="0" applyFont="1" applyFill="1" applyBorder="1"/>
    <xf numFmtId="0" fontId="28" fillId="27" borderId="15" xfId="0" applyFont="1" applyFill="1" applyBorder="1"/>
    <xf numFmtId="0" fontId="25" fillId="27" borderId="15" xfId="0" applyFont="1" applyFill="1" applyBorder="1" applyAlignment="1">
      <alignment horizontal="center" wrapText="1"/>
    </xf>
    <xf numFmtId="166" fontId="25" fillId="27" borderId="15" xfId="0" applyNumberFormat="1" applyFont="1" applyFill="1" applyBorder="1" applyAlignment="1">
      <alignment horizontal="right"/>
    </xf>
    <xf numFmtId="165" fontId="25" fillId="27" borderId="15" xfId="0" applyNumberFormat="1" applyFont="1" applyFill="1" applyBorder="1" applyAlignment="1">
      <alignment horizontal="right"/>
    </xf>
    <xf numFmtId="167" fontId="28" fillId="27" borderId="13" xfId="0" applyNumberFormat="1" applyFont="1" applyFill="1" applyBorder="1"/>
    <xf numFmtId="0" fontId="29" fillId="27" borderId="14" xfId="0" applyFont="1" applyFill="1" applyBorder="1"/>
    <xf numFmtId="164" fontId="25" fillId="27" borderId="15" xfId="0" applyNumberFormat="1" applyFont="1" applyFill="1" applyBorder="1" applyAlignment="1">
      <alignment horizontal="center" wrapText="1"/>
    </xf>
    <xf numFmtId="166" fontId="28" fillId="27" borderId="15" xfId="0" applyNumberFormat="1" applyFont="1" applyFill="1" applyBorder="1"/>
    <xf numFmtId="165" fontId="28" fillId="27" borderId="15" xfId="0" applyNumberFormat="1" applyFont="1" applyFill="1" applyBorder="1"/>
    <xf numFmtId="165" fontId="1" fillId="27" borderId="15" xfId="0" applyNumberFormat="1" applyFont="1" applyFill="1" applyBorder="1" applyAlignment="1">
      <alignment horizontal="right"/>
    </xf>
    <xf numFmtId="0" fontId="11" fillId="27" borderId="14" xfId="0" applyFont="1" applyFill="1" applyBorder="1"/>
    <xf numFmtId="164" fontId="11" fillId="27" borderId="15" xfId="0" applyNumberFormat="1" applyFont="1" applyFill="1" applyBorder="1" applyAlignment="1">
      <alignment horizontal="center" wrapText="1"/>
    </xf>
    <xf numFmtId="164" fontId="25" fillId="27" borderId="14" xfId="0" applyNumberFormat="1" applyFont="1" applyFill="1" applyBorder="1"/>
    <xf numFmtId="0" fontId="30" fillId="27" borderId="14" xfId="0" quotePrefix="1" applyFont="1" applyFill="1" applyBorder="1"/>
    <xf numFmtId="0" fontId="11" fillId="27" borderId="15" xfId="0" applyFont="1" applyFill="1" applyBorder="1" applyAlignment="1">
      <alignment horizontal="center"/>
    </xf>
    <xf numFmtId="166" fontId="11" fillId="27" borderId="15" xfId="0" applyNumberFormat="1" applyFont="1" applyFill="1" applyBorder="1" applyAlignment="1">
      <alignment horizontal="right"/>
    </xf>
    <xf numFmtId="165" fontId="11" fillId="27" borderId="15" xfId="0" applyNumberFormat="1" applyFont="1" applyFill="1" applyBorder="1" applyAlignment="1">
      <alignment horizontal="right"/>
    </xf>
    <xf numFmtId="164" fontId="11" fillId="27" borderId="14" xfId="0" quotePrefix="1" applyNumberFormat="1" applyFont="1" applyFill="1" applyBorder="1"/>
    <xf numFmtId="0" fontId="11" fillId="27" borderId="14" xfId="0" quotePrefix="1" applyFont="1" applyFill="1" applyBorder="1"/>
    <xf numFmtId="46" fontId="6" fillId="2" borderId="19" xfId="0" applyNumberFormat="1" applyFont="1" applyFill="1" applyBorder="1"/>
    <xf numFmtId="164" fontId="6" fillId="2" borderId="20" xfId="0" applyNumberFormat="1" applyFont="1" applyFill="1" applyBorder="1"/>
    <xf numFmtId="0" fontId="12" fillId="2" borderId="20" xfId="0" quotePrefix="1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164" fontId="12" fillId="2" borderId="21" xfId="0" applyNumberFormat="1" applyFont="1" applyFill="1" applyBorder="1" applyAlignment="1">
      <alignment horizontal="center"/>
    </xf>
    <xf numFmtId="166" fontId="12" fillId="2" borderId="21" xfId="0" applyNumberFormat="1" applyFont="1" applyFill="1" applyBorder="1"/>
    <xf numFmtId="166" fontId="12" fillId="2" borderId="21" xfId="0" applyNumberFormat="1" applyFont="1" applyFill="1" applyBorder="1" applyAlignment="1">
      <alignment horizontal="right"/>
    </xf>
    <xf numFmtId="165" fontId="12" fillId="2" borderId="21" xfId="0" applyNumberFormat="1" applyFont="1" applyFill="1" applyBorder="1"/>
    <xf numFmtId="164" fontId="2" fillId="0" borderId="22" xfId="0" applyNumberFormat="1" applyFont="1" applyBorder="1"/>
    <xf numFmtId="164" fontId="2" fillId="0" borderId="0" xfId="0" applyNumberFormat="1" applyFont="1"/>
    <xf numFmtId="0" fontId="8" fillId="0" borderId="0" xfId="0" quotePrefix="1" applyFont="1"/>
    <xf numFmtId="0" fontId="2" fillId="0" borderId="0" xfId="0" applyFont="1"/>
    <xf numFmtId="0" fontId="2" fillId="0" borderId="23" xfId="0" applyFont="1" applyBorder="1"/>
    <xf numFmtId="165" fontId="8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64" fontId="3" fillId="28" borderId="1" xfId="0" applyNumberFormat="1" applyFont="1" applyFill="1" applyBorder="1"/>
    <xf numFmtId="164" fontId="31" fillId="28" borderId="2" xfId="0" applyNumberFormat="1" applyFont="1" applyFill="1" applyBorder="1"/>
    <xf numFmtId="0" fontId="31" fillId="28" borderId="2" xfId="0" applyFont="1" applyFill="1" applyBorder="1"/>
    <xf numFmtId="166" fontId="31" fillId="28" borderId="2" xfId="0" applyNumberFormat="1" applyFont="1" applyFill="1" applyBorder="1"/>
    <xf numFmtId="165" fontId="31" fillId="28" borderId="2" xfId="0" applyNumberFormat="1" applyFont="1" applyFill="1" applyBorder="1"/>
    <xf numFmtId="165" fontId="2" fillId="28" borderId="2" xfId="0" applyNumberFormat="1" applyFont="1" applyFill="1" applyBorder="1"/>
    <xf numFmtId="165" fontId="2" fillId="28" borderId="3" xfId="0" applyNumberFormat="1" applyFont="1" applyFill="1" applyBorder="1"/>
    <xf numFmtId="165" fontId="6" fillId="28" borderId="8" xfId="0" applyNumberFormat="1" applyFont="1" applyFill="1" applyBorder="1"/>
    <xf numFmtId="165" fontId="6" fillId="28" borderId="10" xfId="0" applyNumberFormat="1" applyFont="1" applyFill="1" applyBorder="1"/>
    <xf numFmtId="165" fontId="6" fillId="28" borderId="9" xfId="0" applyNumberFormat="1" applyFont="1" applyFill="1" applyBorder="1"/>
    <xf numFmtId="164" fontId="1" fillId="29" borderId="13" xfId="0" applyNumberFormat="1" applyFont="1" applyFill="1" applyBorder="1"/>
    <xf numFmtId="0" fontId="2" fillId="29" borderId="14" xfId="0" applyFont="1" applyFill="1" applyBorder="1"/>
    <xf numFmtId="164" fontId="2" fillId="29" borderId="14" xfId="0" applyNumberFormat="1" applyFont="1" applyFill="1" applyBorder="1"/>
    <xf numFmtId="166" fontId="2" fillId="29" borderId="14" xfId="0" applyNumberFormat="1" applyFont="1" applyFill="1" applyBorder="1"/>
    <xf numFmtId="166" fontId="2" fillId="29" borderId="15" xfId="0" applyNumberFormat="1" applyFont="1" applyFill="1" applyBorder="1"/>
    <xf numFmtId="165" fontId="2" fillId="29" borderId="15" xfId="0" applyNumberFormat="1" applyFont="1" applyFill="1" applyBorder="1"/>
    <xf numFmtId="165" fontId="6" fillId="29" borderId="16" xfId="0" applyNumberFormat="1" applyFont="1" applyFill="1" applyBorder="1"/>
    <xf numFmtId="165" fontId="6" fillId="29" borderId="15" xfId="0" applyNumberFormat="1" applyFont="1" applyFill="1" applyBorder="1"/>
    <xf numFmtId="167" fontId="2" fillId="30" borderId="13" xfId="0" applyNumberFormat="1" applyFont="1" applyFill="1" applyBorder="1"/>
    <xf numFmtId="0" fontId="1" fillId="30" borderId="14" xfId="0" applyFont="1" applyFill="1" applyBorder="1"/>
    <xf numFmtId="0" fontId="2" fillId="30" borderId="14" xfId="0" applyFont="1" applyFill="1" applyBorder="1"/>
    <xf numFmtId="164" fontId="2" fillId="30" borderId="14" xfId="0" applyNumberFormat="1" applyFont="1" applyFill="1" applyBorder="1"/>
    <xf numFmtId="0" fontId="2" fillId="30" borderId="15" xfId="0" applyFont="1" applyFill="1" applyBorder="1"/>
    <xf numFmtId="0" fontId="1" fillId="30" borderId="15" xfId="0" applyFont="1" applyFill="1" applyBorder="1" applyAlignment="1">
      <alignment horizontal="center" wrapText="1"/>
    </xf>
    <xf numFmtId="166" fontId="1" fillId="30" borderId="15" xfId="0" applyNumberFormat="1" applyFont="1" applyFill="1" applyBorder="1" applyAlignment="1">
      <alignment horizontal="right"/>
    </xf>
    <xf numFmtId="165" fontId="1" fillId="30" borderId="15" xfId="0" applyNumberFormat="1" applyFont="1" applyFill="1" applyBorder="1" applyAlignment="1">
      <alignment horizontal="right"/>
    </xf>
    <xf numFmtId="165" fontId="2" fillId="30" borderId="15" xfId="0" applyNumberFormat="1" applyFont="1" applyFill="1" applyBorder="1"/>
    <xf numFmtId="165" fontId="6" fillId="30" borderId="16" xfId="0" applyNumberFormat="1" applyFont="1" applyFill="1" applyBorder="1"/>
    <xf numFmtId="165" fontId="6" fillId="30" borderId="15" xfId="0" applyNumberFormat="1" applyFont="1" applyFill="1" applyBorder="1"/>
    <xf numFmtId="0" fontId="1" fillId="0" borderId="14" xfId="0" applyFont="1" applyBorder="1"/>
    <xf numFmtId="164" fontId="2" fillId="10" borderId="13" xfId="0" applyNumberFormat="1" applyFont="1" applyFill="1" applyBorder="1"/>
    <xf numFmtId="164" fontId="2" fillId="10" borderId="14" xfId="0" applyNumberFormat="1" applyFont="1" applyFill="1" applyBorder="1"/>
    <xf numFmtId="166" fontId="8" fillId="10" borderId="15" xfId="0" applyNumberFormat="1" applyFont="1" applyFill="1" applyBorder="1" applyAlignment="1">
      <alignment horizontal="right"/>
    </xf>
    <xf numFmtId="164" fontId="2" fillId="10" borderId="22" xfId="0" applyNumberFormat="1" applyFont="1" applyFill="1" applyBorder="1"/>
    <xf numFmtId="164" fontId="2" fillId="10" borderId="0" xfId="0" applyNumberFormat="1" applyFont="1" applyFill="1"/>
    <xf numFmtId="0" fontId="2" fillId="10" borderId="0" xfId="0" applyFont="1" applyFill="1"/>
    <xf numFmtId="0" fontId="8" fillId="10" borderId="0" xfId="0" applyFont="1" applyFill="1"/>
    <xf numFmtId="0" fontId="2" fillId="10" borderId="23" xfId="0" applyFont="1" applyFill="1" applyBorder="1"/>
    <xf numFmtId="0" fontId="8" fillId="10" borderId="23" xfId="0" applyFont="1" applyFill="1" applyBorder="1" applyAlignment="1">
      <alignment horizontal="center"/>
    </xf>
    <xf numFmtId="166" fontId="8" fillId="10" borderId="23" xfId="0" applyNumberFormat="1" applyFont="1" applyFill="1" applyBorder="1" applyAlignment="1">
      <alignment horizontal="right"/>
    </xf>
    <xf numFmtId="165" fontId="8" fillId="10" borderId="23" xfId="0" applyNumberFormat="1" applyFont="1" applyFill="1" applyBorder="1" applyAlignment="1">
      <alignment horizontal="right"/>
    </xf>
    <xf numFmtId="165" fontId="2" fillId="10" borderId="23" xfId="0" applyNumberFormat="1" applyFont="1" applyFill="1" applyBorder="1"/>
    <xf numFmtId="164" fontId="1" fillId="31" borderId="1" xfId="0" applyNumberFormat="1" applyFont="1" applyFill="1" applyBorder="1"/>
    <xf numFmtId="164" fontId="2" fillId="31" borderId="2" xfId="0" applyNumberFormat="1" applyFont="1" applyFill="1" applyBorder="1"/>
    <xf numFmtId="0" fontId="2" fillId="31" borderId="2" xfId="0" applyFont="1" applyFill="1" applyBorder="1"/>
    <xf numFmtId="166" fontId="2" fillId="31" borderId="2" xfId="0" applyNumberFormat="1" applyFont="1" applyFill="1" applyBorder="1"/>
    <xf numFmtId="165" fontId="2" fillId="31" borderId="2" xfId="0" applyNumberFormat="1" applyFont="1" applyFill="1" applyBorder="1"/>
    <xf numFmtId="165" fontId="2" fillId="31" borderId="3" xfId="0" applyNumberFormat="1" applyFont="1" applyFill="1" applyBorder="1"/>
    <xf numFmtId="165" fontId="6" fillId="31" borderId="8" xfId="0" applyNumberFormat="1" applyFont="1" applyFill="1" applyBorder="1"/>
    <xf numFmtId="165" fontId="6" fillId="31" borderId="10" xfId="0" applyNumberFormat="1" applyFont="1" applyFill="1" applyBorder="1"/>
    <xf numFmtId="165" fontId="6" fillId="31" borderId="9" xfId="0" applyNumberFormat="1" applyFont="1" applyFill="1" applyBorder="1"/>
    <xf numFmtId="164" fontId="1" fillId="32" borderId="13" xfId="0" applyNumberFormat="1" applyFont="1" applyFill="1" applyBorder="1"/>
    <xf numFmtId="164" fontId="2" fillId="32" borderId="14" xfId="0" applyNumberFormat="1" applyFont="1" applyFill="1" applyBorder="1"/>
    <xf numFmtId="0" fontId="2" fillId="32" borderId="14" xfId="0" applyFont="1" applyFill="1" applyBorder="1"/>
    <xf numFmtId="0" fontId="2" fillId="32" borderId="15" xfId="0" applyFont="1" applyFill="1" applyBorder="1"/>
    <xf numFmtId="166" fontId="2" fillId="32" borderId="15" xfId="0" applyNumberFormat="1" applyFont="1" applyFill="1" applyBorder="1"/>
    <xf numFmtId="165" fontId="2" fillId="32" borderId="15" xfId="0" applyNumberFormat="1" applyFont="1" applyFill="1" applyBorder="1"/>
    <xf numFmtId="165" fontId="6" fillId="32" borderId="16" xfId="0" applyNumberFormat="1" applyFont="1" applyFill="1" applyBorder="1"/>
    <xf numFmtId="165" fontId="6" fillId="32" borderId="15" xfId="0" applyNumberFormat="1" applyFont="1" applyFill="1" applyBorder="1"/>
    <xf numFmtId="164" fontId="2" fillId="33" borderId="13" xfId="0" applyNumberFormat="1" applyFont="1" applyFill="1" applyBorder="1"/>
    <xf numFmtId="0" fontId="1" fillId="33" borderId="14" xfId="0" applyFont="1" applyFill="1" applyBorder="1"/>
    <xf numFmtId="0" fontId="2" fillId="33" borderId="14" xfId="0" applyFont="1" applyFill="1" applyBorder="1"/>
    <xf numFmtId="0" fontId="2" fillId="33" borderId="15" xfId="0" applyFont="1" applyFill="1" applyBorder="1"/>
    <xf numFmtId="0" fontId="1" fillId="33" borderId="15" xfId="0" applyFont="1" applyFill="1" applyBorder="1" applyAlignment="1">
      <alignment horizontal="center" wrapText="1"/>
    </xf>
    <xf numFmtId="166" fontId="1" fillId="33" borderId="15" xfId="0" applyNumberFormat="1" applyFont="1" applyFill="1" applyBorder="1" applyAlignment="1">
      <alignment horizontal="right"/>
    </xf>
    <xf numFmtId="165" fontId="1" fillId="33" borderId="15" xfId="0" applyNumberFormat="1" applyFont="1" applyFill="1" applyBorder="1" applyAlignment="1">
      <alignment horizontal="right"/>
    </xf>
    <xf numFmtId="165" fontId="2" fillId="33" borderId="15" xfId="0" applyNumberFormat="1" applyFont="1" applyFill="1" applyBorder="1"/>
    <xf numFmtId="165" fontId="6" fillId="33" borderId="16" xfId="0" applyNumberFormat="1" applyFont="1" applyFill="1" applyBorder="1"/>
    <xf numFmtId="165" fontId="6" fillId="33" borderId="15" xfId="0" applyNumberFormat="1" applyFont="1" applyFill="1" applyBorder="1"/>
    <xf numFmtId="167" fontId="2" fillId="33" borderId="13" xfId="0" applyNumberFormat="1" applyFont="1" applyFill="1" applyBorder="1"/>
    <xf numFmtId="167" fontId="2" fillId="33" borderId="14" xfId="0" applyNumberFormat="1" applyFont="1" applyFill="1" applyBorder="1"/>
    <xf numFmtId="164" fontId="2" fillId="33" borderId="14" xfId="0" applyNumberFormat="1" applyFont="1" applyFill="1" applyBorder="1"/>
    <xf numFmtId="166" fontId="5" fillId="33" borderId="24" xfId="0" applyNumberFormat="1" applyFont="1" applyFill="1" applyBorder="1" applyAlignment="1">
      <alignment horizontal="right"/>
    </xf>
    <xf numFmtId="166" fontId="5" fillId="33" borderId="21" xfId="0" applyNumberFormat="1" applyFont="1" applyFill="1" applyBorder="1" applyAlignment="1">
      <alignment horizontal="right"/>
    </xf>
    <xf numFmtId="165" fontId="5" fillId="33" borderId="21" xfId="0" applyNumberFormat="1" applyFont="1" applyFill="1" applyBorder="1" applyAlignment="1">
      <alignment horizontal="right"/>
    </xf>
    <xf numFmtId="0" fontId="2" fillId="2" borderId="16" xfId="0" applyFont="1" applyFill="1" applyBorder="1"/>
    <xf numFmtId="166" fontId="2" fillId="2" borderId="16" xfId="0" applyNumberFormat="1" applyFont="1" applyFill="1" applyBorder="1"/>
    <xf numFmtId="165" fontId="2" fillId="2" borderId="16" xfId="0" applyNumberFormat="1" applyFont="1" applyFill="1" applyBorder="1"/>
    <xf numFmtId="164" fontId="6" fillId="26" borderId="19" xfId="0" applyNumberFormat="1" applyFont="1" applyFill="1" applyBorder="1"/>
    <xf numFmtId="0" fontId="6" fillId="26" borderId="20" xfId="0" applyFont="1" applyFill="1" applyBorder="1"/>
    <xf numFmtId="164" fontId="6" fillId="26" borderId="20" xfId="0" applyNumberFormat="1" applyFont="1" applyFill="1" applyBorder="1"/>
    <xf numFmtId="164" fontId="32" fillId="26" borderId="20" xfId="0" applyNumberFormat="1" applyFont="1" applyFill="1" applyBorder="1"/>
    <xf numFmtId="0" fontId="6" fillId="26" borderId="21" xfId="0" applyFont="1" applyFill="1" applyBorder="1"/>
    <xf numFmtId="0" fontId="5" fillId="26" borderId="21" xfId="0" applyFont="1" applyFill="1" applyBorder="1" applyAlignment="1">
      <alignment horizontal="center" wrapText="1"/>
    </xf>
    <xf numFmtId="166" fontId="5" fillId="26" borderId="21" xfId="0" applyNumberFormat="1" applyFont="1" applyFill="1" applyBorder="1" applyAlignment="1">
      <alignment horizontal="right"/>
    </xf>
    <xf numFmtId="165" fontId="5" fillId="26" borderId="21" xfId="0" applyNumberFormat="1" applyFont="1" applyFill="1" applyBorder="1" applyAlignment="1">
      <alignment horizontal="right"/>
    </xf>
    <xf numFmtId="165" fontId="2" fillId="26" borderId="21" xfId="0" applyNumberFormat="1" applyFont="1" applyFill="1" applyBorder="1"/>
    <xf numFmtId="164" fontId="6" fillId="2" borderId="13" xfId="0" applyNumberFormat="1" applyFont="1" applyFill="1" applyBorder="1"/>
    <xf numFmtId="0" fontId="12" fillId="2" borderId="15" xfId="0" applyFont="1" applyFill="1" applyBorder="1" applyAlignment="1">
      <alignment horizontal="center" wrapText="1"/>
    </xf>
    <xf numFmtId="164" fontId="33" fillId="2" borderId="14" xfId="0" applyNumberFormat="1" applyFont="1" applyFill="1" applyBorder="1"/>
    <xf numFmtId="164" fontId="6" fillId="26" borderId="13" xfId="0" applyNumberFormat="1" applyFont="1" applyFill="1" applyBorder="1"/>
    <xf numFmtId="0" fontId="6" fillId="26" borderId="14" xfId="0" applyFont="1" applyFill="1" applyBorder="1"/>
    <xf numFmtId="164" fontId="6" fillId="26" borderId="14" xfId="0" applyNumberFormat="1" applyFont="1" applyFill="1" applyBorder="1"/>
    <xf numFmtId="0" fontId="34" fillId="26" borderId="14" xfId="0" applyFont="1" applyFill="1" applyBorder="1"/>
    <xf numFmtId="0" fontId="6" fillId="26" borderId="15" xfId="0" applyFont="1" applyFill="1" applyBorder="1"/>
    <xf numFmtId="0" fontId="5" fillId="26" borderId="15" xfId="0" applyFont="1" applyFill="1" applyBorder="1" applyAlignment="1">
      <alignment horizontal="center" wrapText="1"/>
    </xf>
    <xf numFmtId="166" fontId="5" fillId="26" borderId="15" xfId="0" applyNumberFormat="1" applyFont="1" applyFill="1" applyBorder="1" applyAlignment="1">
      <alignment horizontal="right"/>
    </xf>
    <xf numFmtId="165" fontId="5" fillId="26" borderId="15" xfId="0" applyNumberFormat="1" applyFont="1" applyFill="1" applyBorder="1" applyAlignment="1">
      <alignment horizontal="right"/>
    </xf>
    <xf numFmtId="0" fontId="12" fillId="0" borderId="20" xfId="0" applyFont="1" applyBorder="1"/>
    <xf numFmtId="166" fontId="6" fillId="2" borderId="21" xfId="0" applyNumberFormat="1" applyFont="1" applyFill="1" applyBorder="1"/>
    <xf numFmtId="166" fontId="2" fillId="33" borderId="15" xfId="0" applyNumberFormat="1" applyFont="1" applyFill="1" applyBorder="1"/>
    <xf numFmtId="0" fontId="35" fillId="26" borderId="14" xfId="0" applyFont="1" applyFill="1" applyBorder="1"/>
    <xf numFmtId="166" fontId="1" fillId="26" borderId="15" xfId="0" applyNumberFormat="1" applyFont="1" applyFill="1" applyBorder="1"/>
    <xf numFmtId="165" fontId="1" fillId="26" borderId="15" xfId="0" applyNumberFormat="1" applyFont="1" applyFill="1" applyBorder="1"/>
    <xf numFmtId="164" fontId="36" fillId="0" borderId="22" xfId="0" applyNumberFormat="1" applyFont="1" applyBorder="1"/>
    <xf numFmtId="0" fontId="8" fillId="0" borderId="23" xfId="0" applyFont="1" applyBorder="1" applyAlignment="1">
      <alignment horizontal="center"/>
    </xf>
    <xf numFmtId="164" fontId="37" fillId="2" borderId="28" xfId="0" applyNumberFormat="1" applyFont="1" applyFill="1" applyBorder="1"/>
    <xf numFmtId="0" fontId="1" fillId="2" borderId="28" xfId="0" applyFont="1" applyFill="1" applyBorder="1"/>
    <xf numFmtId="164" fontId="2" fillId="2" borderId="28" xfId="0" applyNumberFormat="1" applyFont="1" applyFill="1" applyBorder="1"/>
    <xf numFmtId="164" fontId="38" fillId="2" borderId="28" xfId="0" applyNumberFormat="1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166" fontId="2" fillId="2" borderId="30" xfId="0" applyNumberFormat="1" applyFont="1" applyFill="1" applyBorder="1"/>
    <xf numFmtId="165" fontId="2" fillId="2" borderId="30" xfId="0" applyNumberFormat="1" applyFont="1" applyFill="1" applyBorder="1"/>
    <xf numFmtId="167" fontId="6" fillId="33" borderId="31" xfId="0" applyNumberFormat="1" applyFont="1" applyFill="1" applyBorder="1"/>
    <xf numFmtId="164" fontId="5" fillId="33" borderId="32" xfId="0" applyNumberFormat="1" applyFont="1" applyFill="1" applyBorder="1"/>
    <xf numFmtId="167" fontId="6" fillId="33" borderId="32" xfId="0" applyNumberFormat="1" applyFont="1" applyFill="1" applyBorder="1"/>
    <xf numFmtId="164" fontId="6" fillId="33" borderId="32" xfId="0" applyNumberFormat="1" applyFont="1" applyFill="1" applyBorder="1"/>
    <xf numFmtId="0" fontId="6" fillId="33" borderId="32" xfId="0" applyFont="1" applyFill="1" applyBorder="1"/>
    <xf numFmtId="0" fontId="6" fillId="33" borderId="18" xfId="0" applyFont="1" applyFill="1" applyBorder="1"/>
    <xf numFmtId="164" fontId="5" fillId="33" borderId="18" xfId="0" applyNumberFormat="1" applyFont="1" applyFill="1" applyBorder="1" applyAlignment="1">
      <alignment horizontal="center" wrapText="1"/>
    </xf>
    <xf numFmtId="166" fontId="5" fillId="33" borderId="18" xfId="0" applyNumberFormat="1" applyFont="1" applyFill="1" applyBorder="1" applyAlignment="1">
      <alignment horizontal="right"/>
    </xf>
    <xf numFmtId="165" fontId="5" fillId="33" borderId="18" xfId="0" applyNumberFormat="1" applyFont="1" applyFill="1" applyBorder="1" applyAlignment="1">
      <alignment horizontal="right"/>
    </xf>
    <xf numFmtId="165" fontId="6" fillId="33" borderId="18" xfId="0" applyNumberFormat="1" applyFont="1" applyFill="1" applyBorder="1"/>
    <xf numFmtId="164" fontId="39" fillId="2" borderId="14" xfId="0" applyNumberFormat="1" applyFont="1" applyFill="1" applyBorder="1"/>
    <xf numFmtId="164" fontId="12" fillId="2" borderId="14" xfId="0" applyNumberFormat="1" applyFont="1" applyFill="1" applyBorder="1"/>
    <xf numFmtId="164" fontId="40" fillId="23" borderId="14" xfId="0" quotePrefix="1" applyNumberFormat="1" applyFont="1" applyFill="1" applyBorder="1"/>
    <xf numFmtId="164" fontId="11" fillId="2" borderId="14" xfId="0" applyNumberFormat="1" applyFont="1" applyFill="1" applyBorder="1"/>
    <xf numFmtId="166" fontId="11" fillId="2" borderId="15" xfId="0" applyNumberFormat="1" applyFont="1" applyFill="1" applyBorder="1" applyAlignment="1">
      <alignment horizontal="right"/>
    </xf>
    <xf numFmtId="164" fontId="6" fillId="27" borderId="14" xfId="0" applyNumberFormat="1" applyFont="1" applyFill="1" applyBorder="1"/>
    <xf numFmtId="164" fontId="6" fillId="27" borderId="15" xfId="0" applyNumberFormat="1" applyFont="1" applyFill="1" applyBorder="1"/>
    <xf numFmtId="166" fontId="6" fillId="27" borderId="15" xfId="0" applyNumberFormat="1" applyFont="1" applyFill="1" applyBorder="1"/>
    <xf numFmtId="165" fontId="6" fillId="27" borderId="15" xfId="0" applyNumberFormat="1" applyFont="1" applyFill="1" applyBorder="1"/>
    <xf numFmtId="165" fontId="6" fillId="27" borderId="16" xfId="0" applyNumberFormat="1" applyFont="1" applyFill="1" applyBorder="1"/>
    <xf numFmtId="164" fontId="6" fillId="27" borderId="10" xfId="0" applyNumberFormat="1" applyFont="1" applyFill="1" applyBorder="1"/>
    <xf numFmtId="164" fontId="6" fillId="27" borderId="9" xfId="0" applyNumberFormat="1" applyFont="1" applyFill="1" applyBorder="1"/>
    <xf numFmtId="166" fontId="6" fillId="27" borderId="9" xfId="0" applyNumberFormat="1" applyFont="1" applyFill="1" applyBorder="1"/>
    <xf numFmtId="165" fontId="6" fillId="27" borderId="9" xfId="0" applyNumberFormat="1" applyFont="1" applyFill="1" applyBorder="1"/>
    <xf numFmtId="165" fontId="6" fillId="27" borderId="11" xfId="0" applyNumberFormat="1" applyFont="1" applyFill="1" applyBorder="1"/>
    <xf numFmtId="167" fontId="6" fillId="33" borderId="13" xfId="0" applyNumberFormat="1" applyFont="1" applyFill="1" applyBorder="1"/>
    <xf numFmtId="164" fontId="5" fillId="33" borderId="14" xfId="0" applyNumberFormat="1" applyFont="1" applyFill="1" applyBorder="1"/>
    <xf numFmtId="167" fontId="6" fillId="33" borderId="14" xfId="0" applyNumberFormat="1" applyFont="1" applyFill="1" applyBorder="1"/>
    <xf numFmtId="164" fontId="6" fillId="33" borderId="14" xfId="0" applyNumberFormat="1" applyFont="1" applyFill="1" applyBorder="1"/>
    <xf numFmtId="0" fontId="6" fillId="33" borderId="14" xfId="0" applyFont="1" applyFill="1" applyBorder="1"/>
    <xf numFmtId="0" fontId="6" fillId="33" borderId="15" xfId="0" applyFont="1" applyFill="1" applyBorder="1"/>
    <xf numFmtId="164" fontId="5" fillId="33" borderId="15" xfId="0" applyNumberFormat="1" applyFont="1" applyFill="1" applyBorder="1" applyAlignment="1">
      <alignment horizontal="center" wrapText="1"/>
    </xf>
    <xf numFmtId="166" fontId="5" fillId="33" borderId="15" xfId="0" applyNumberFormat="1" applyFont="1" applyFill="1" applyBorder="1"/>
    <xf numFmtId="165" fontId="5" fillId="33" borderId="15" xfId="0" applyNumberFormat="1" applyFont="1" applyFill="1" applyBorder="1" applyAlignment="1">
      <alignment horizontal="right"/>
    </xf>
    <xf numFmtId="164" fontId="6" fillId="27" borderId="13" xfId="0" applyNumberFormat="1" applyFont="1" applyFill="1" applyBorder="1"/>
    <xf numFmtId="0" fontId="6" fillId="27" borderId="14" xfId="0" applyFont="1" applyFill="1" applyBorder="1"/>
    <xf numFmtId="0" fontId="6" fillId="27" borderId="15" xfId="0" applyFont="1" applyFill="1" applyBorder="1"/>
    <xf numFmtId="164" fontId="6" fillId="33" borderId="15" xfId="0" applyNumberFormat="1" applyFont="1" applyFill="1" applyBorder="1"/>
    <xf numFmtId="164" fontId="5" fillId="33" borderId="15" xfId="0" applyNumberFormat="1" applyFont="1" applyFill="1" applyBorder="1" applyAlignment="1">
      <alignment horizontal="center"/>
    </xf>
    <xf numFmtId="166" fontId="5" fillId="33" borderId="15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 wrapText="1"/>
    </xf>
    <xf numFmtId="164" fontId="42" fillId="2" borderId="14" xfId="0" quotePrefix="1" applyNumberFormat="1" applyFont="1" applyFill="1" applyBorder="1"/>
    <xf numFmtId="166" fontId="5" fillId="2" borderId="15" xfId="0" applyNumberFormat="1" applyFont="1" applyFill="1" applyBorder="1" applyAlignment="1">
      <alignment horizontal="right"/>
    </xf>
    <xf numFmtId="166" fontId="12" fillId="2" borderId="15" xfId="0" applyNumberFormat="1" applyFont="1" applyFill="1" applyBorder="1"/>
    <xf numFmtId="168" fontId="12" fillId="2" borderId="15" xfId="0" applyNumberFormat="1" applyFont="1" applyFill="1" applyBorder="1"/>
    <xf numFmtId="164" fontId="12" fillId="2" borderId="14" xfId="0" quotePrefix="1" applyNumberFormat="1" applyFont="1" applyFill="1" applyBorder="1"/>
    <xf numFmtId="164" fontId="43" fillId="2" borderId="14" xfId="0" applyNumberFormat="1" applyFont="1" applyFill="1" applyBorder="1"/>
    <xf numFmtId="164" fontId="6" fillId="2" borderId="8" xfId="0" applyNumberFormat="1" applyFont="1" applyFill="1" applyBorder="1"/>
    <xf numFmtId="164" fontId="6" fillId="2" borderId="10" xfId="0" applyNumberFormat="1" applyFont="1" applyFill="1" applyBorder="1"/>
    <xf numFmtId="164" fontId="6" fillId="2" borderId="9" xfId="0" applyNumberFormat="1" applyFont="1" applyFill="1" applyBorder="1"/>
    <xf numFmtId="164" fontId="12" fillId="2" borderId="9" xfId="0" applyNumberFormat="1" applyFont="1" applyFill="1" applyBorder="1" applyAlignment="1">
      <alignment horizontal="center"/>
    </xf>
    <xf numFmtId="166" fontId="6" fillId="2" borderId="9" xfId="0" applyNumberFormat="1" applyFont="1" applyFill="1" applyBorder="1"/>
    <xf numFmtId="166" fontId="12" fillId="2" borderId="9" xfId="0" applyNumberFormat="1" applyFont="1" applyFill="1" applyBorder="1"/>
    <xf numFmtId="164" fontId="5" fillId="0" borderId="15" xfId="0" applyNumberFormat="1" applyFont="1" applyBorder="1" applyAlignment="1">
      <alignment horizontal="center" wrapText="1"/>
    </xf>
    <xf numFmtId="0" fontId="44" fillId="2" borderId="14" xfId="0" applyFont="1" applyFill="1" applyBorder="1"/>
    <xf numFmtId="164" fontId="5" fillId="2" borderId="10" xfId="0" applyNumberFormat="1" applyFont="1" applyFill="1" applyBorder="1"/>
    <xf numFmtId="0" fontId="6" fillId="2" borderId="10" xfId="0" applyFont="1" applyFill="1" applyBorder="1"/>
    <xf numFmtId="0" fontId="6" fillId="2" borderId="9" xfId="0" applyFont="1" applyFill="1" applyBorder="1"/>
    <xf numFmtId="164" fontId="1" fillId="34" borderId="1" xfId="0" applyNumberFormat="1" applyFont="1" applyFill="1" applyBorder="1"/>
    <xf numFmtId="164" fontId="2" fillId="34" borderId="2" xfId="0" applyNumberFormat="1" applyFont="1" applyFill="1" applyBorder="1"/>
    <xf numFmtId="0" fontId="2" fillId="34" borderId="2" xfId="0" applyFont="1" applyFill="1" applyBorder="1"/>
    <xf numFmtId="166" fontId="2" fillId="34" borderId="2" xfId="0" applyNumberFormat="1" applyFont="1" applyFill="1" applyBorder="1"/>
    <xf numFmtId="165" fontId="2" fillId="34" borderId="2" xfId="0" applyNumberFormat="1" applyFont="1" applyFill="1" applyBorder="1"/>
    <xf numFmtId="165" fontId="2" fillId="34" borderId="3" xfId="0" applyNumberFormat="1" applyFont="1" applyFill="1" applyBorder="1"/>
    <xf numFmtId="165" fontId="6" fillId="35" borderId="11" xfId="0" applyNumberFormat="1" applyFont="1" applyFill="1" applyBorder="1"/>
    <xf numFmtId="165" fontId="6" fillId="35" borderId="9" xfId="0" applyNumberFormat="1" applyFont="1" applyFill="1" applyBorder="1"/>
    <xf numFmtId="164" fontId="1" fillId="36" borderId="13" xfId="0" applyNumberFormat="1" applyFont="1" applyFill="1" applyBorder="1"/>
    <xf numFmtId="164" fontId="2" fillId="36" borderId="14" xfId="0" applyNumberFormat="1" applyFont="1" applyFill="1" applyBorder="1"/>
    <xf numFmtId="0" fontId="2" fillId="36" borderId="14" xfId="0" applyFont="1" applyFill="1" applyBorder="1"/>
    <xf numFmtId="0" fontId="2" fillId="36" borderId="15" xfId="0" applyFont="1" applyFill="1" applyBorder="1"/>
    <xf numFmtId="166" fontId="2" fillId="36" borderId="15" xfId="0" applyNumberFormat="1" applyFont="1" applyFill="1" applyBorder="1"/>
    <xf numFmtId="165" fontId="2" fillId="36" borderId="15" xfId="0" applyNumberFormat="1" applyFont="1" applyFill="1" applyBorder="1"/>
    <xf numFmtId="165" fontId="6" fillId="36" borderId="33" xfId="0" applyNumberFormat="1" applyFont="1" applyFill="1" applyBorder="1"/>
    <xf numFmtId="165" fontId="6" fillId="36" borderId="23" xfId="0" applyNumberFormat="1" applyFont="1" applyFill="1" applyBorder="1"/>
    <xf numFmtId="164" fontId="2" fillId="37" borderId="13" xfId="0" applyNumberFormat="1" applyFont="1" applyFill="1" applyBorder="1"/>
    <xf numFmtId="0" fontId="1" fillId="37" borderId="14" xfId="0" applyFont="1" applyFill="1" applyBorder="1"/>
    <xf numFmtId="164" fontId="2" fillId="37" borderId="14" xfId="0" applyNumberFormat="1" applyFont="1" applyFill="1" applyBorder="1"/>
    <xf numFmtId="0" fontId="2" fillId="37" borderId="14" xfId="0" applyFont="1" applyFill="1" applyBorder="1"/>
    <xf numFmtId="0" fontId="2" fillId="37" borderId="15" xfId="0" applyFont="1" applyFill="1" applyBorder="1"/>
    <xf numFmtId="0" fontId="1" fillId="37" borderId="15" xfId="0" applyFont="1" applyFill="1" applyBorder="1" applyAlignment="1">
      <alignment horizontal="center" wrapText="1"/>
    </xf>
    <xf numFmtId="166" fontId="1" fillId="37" borderId="15" xfId="0" applyNumberFormat="1" applyFont="1" applyFill="1" applyBorder="1" applyAlignment="1">
      <alignment horizontal="right"/>
    </xf>
    <xf numFmtId="165" fontId="1" fillId="37" borderId="15" xfId="0" applyNumberFormat="1" applyFont="1" applyFill="1" applyBorder="1" applyAlignment="1">
      <alignment horizontal="right"/>
    </xf>
    <xf numFmtId="165" fontId="2" fillId="37" borderId="15" xfId="0" applyNumberFormat="1" applyFont="1" applyFill="1" applyBorder="1"/>
    <xf numFmtId="165" fontId="6" fillId="37" borderId="16" xfId="0" applyNumberFormat="1" applyFont="1" applyFill="1" applyBorder="1"/>
    <xf numFmtId="165" fontId="6" fillId="37" borderId="15" xfId="0" applyNumberFormat="1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8" fillId="0" borderId="10" xfId="0" applyFont="1" applyBorder="1"/>
    <xf numFmtId="164" fontId="2" fillId="0" borderId="10" xfId="0" applyNumberFormat="1" applyFont="1" applyBorder="1"/>
    <xf numFmtId="0" fontId="8" fillId="2" borderId="9" xfId="0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right"/>
    </xf>
    <xf numFmtId="164" fontId="6" fillId="27" borderId="19" xfId="0" applyNumberFormat="1" applyFont="1" applyFill="1" applyBorder="1"/>
    <xf numFmtId="164" fontId="6" fillId="27" borderId="20" xfId="0" applyNumberFormat="1" applyFont="1" applyFill="1" applyBorder="1"/>
    <xf numFmtId="0" fontId="6" fillId="27" borderId="20" xfId="0" applyFont="1" applyFill="1" applyBorder="1"/>
    <xf numFmtId="0" fontId="6" fillId="27" borderId="21" xfId="0" applyFont="1" applyFill="1" applyBorder="1"/>
    <xf numFmtId="164" fontId="6" fillId="27" borderId="21" xfId="0" applyNumberFormat="1" applyFont="1" applyFill="1" applyBorder="1"/>
    <xf numFmtId="166" fontId="6" fillId="27" borderId="21" xfId="0" applyNumberFormat="1" applyFont="1" applyFill="1" applyBorder="1"/>
    <xf numFmtId="165" fontId="6" fillId="27" borderId="21" xfId="0" applyNumberFormat="1" applyFont="1" applyFill="1" applyBorder="1"/>
    <xf numFmtId="164" fontId="6" fillId="27" borderId="8" xfId="0" applyNumberFormat="1" applyFont="1" applyFill="1" applyBorder="1"/>
    <xf numFmtId="0" fontId="6" fillId="27" borderId="10" xfId="0" applyFont="1" applyFill="1" applyBorder="1"/>
    <xf numFmtId="0" fontId="6" fillId="27" borderId="9" xfId="0" applyFont="1" applyFill="1" applyBorder="1"/>
    <xf numFmtId="164" fontId="6" fillId="37" borderId="13" xfId="0" applyNumberFormat="1" applyFont="1" applyFill="1" applyBorder="1"/>
    <xf numFmtId="0" fontId="5" fillId="37" borderId="14" xfId="0" applyFont="1" applyFill="1" applyBorder="1"/>
    <xf numFmtId="164" fontId="6" fillId="37" borderId="14" xfId="0" applyNumberFormat="1" applyFont="1" applyFill="1" applyBorder="1"/>
    <xf numFmtId="0" fontId="6" fillId="37" borderId="14" xfId="0" applyFont="1" applyFill="1" applyBorder="1"/>
    <xf numFmtId="0" fontId="6" fillId="37" borderId="15" xfId="0" applyFont="1" applyFill="1" applyBorder="1"/>
    <xf numFmtId="164" fontId="5" fillId="37" borderId="15" xfId="0" applyNumberFormat="1" applyFont="1" applyFill="1" applyBorder="1" applyAlignment="1">
      <alignment horizontal="center" wrapText="1"/>
    </xf>
    <xf numFmtId="166" fontId="5" fillId="37" borderId="15" xfId="0" applyNumberFormat="1" applyFont="1" applyFill="1" applyBorder="1"/>
    <xf numFmtId="165" fontId="5" fillId="37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164" fontId="25" fillId="22" borderId="13" xfId="0" applyNumberFormat="1" applyFont="1" applyFill="1" applyBorder="1"/>
    <xf numFmtId="0" fontId="6" fillId="22" borderId="14" xfId="0" applyFont="1" applyFill="1" applyBorder="1"/>
    <xf numFmtId="167" fontId="6" fillId="22" borderId="14" xfId="0" applyNumberFormat="1" applyFont="1" applyFill="1" applyBorder="1"/>
    <xf numFmtId="164" fontId="6" fillId="22" borderId="14" xfId="0" applyNumberFormat="1" applyFont="1" applyFill="1" applyBorder="1"/>
    <xf numFmtId="166" fontId="6" fillId="22" borderId="14" xfId="0" applyNumberFormat="1" applyFont="1" applyFill="1" applyBorder="1"/>
    <xf numFmtId="165" fontId="6" fillId="22" borderId="14" xfId="0" applyNumberFormat="1" applyFont="1" applyFill="1" applyBorder="1"/>
    <xf numFmtId="0" fontId="25" fillId="12" borderId="14" xfId="0" applyFont="1" applyFill="1" applyBorder="1"/>
    <xf numFmtId="164" fontId="25" fillId="12" borderId="14" xfId="0" applyNumberFormat="1" applyFont="1" applyFill="1" applyBorder="1" applyAlignment="1">
      <alignment horizontal="center"/>
    </xf>
    <xf numFmtId="166" fontId="6" fillId="12" borderId="14" xfId="0" applyNumberFormat="1" applyFont="1" applyFill="1" applyBorder="1"/>
    <xf numFmtId="166" fontId="6" fillId="12" borderId="15" xfId="0" applyNumberFormat="1" applyFont="1" applyFill="1" applyBorder="1"/>
    <xf numFmtId="164" fontId="6" fillId="12" borderId="13" xfId="0" applyNumberFormat="1" applyFont="1" applyFill="1" applyBorder="1"/>
    <xf numFmtId="164" fontId="11" fillId="12" borderId="14" xfId="0" applyNumberFormat="1" applyFont="1" applyFill="1" applyBorder="1"/>
    <xf numFmtId="164" fontId="25" fillId="12" borderId="15" xfId="0" applyNumberFormat="1" applyFont="1" applyFill="1" applyBorder="1" applyAlignment="1">
      <alignment horizontal="center"/>
    </xf>
    <xf numFmtId="164" fontId="25" fillId="0" borderId="15" xfId="0" applyNumberFormat="1" applyFont="1" applyBorder="1" applyAlignment="1">
      <alignment horizontal="center" wrapText="1"/>
    </xf>
    <xf numFmtId="0" fontId="46" fillId="2" borderId="14" xfId="0" applyFont="1" applyFill="1" applyBorder="1"/>
    <xf numFmtId="164" fontId="25" fillId="0" borderId="15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47" fillId="23" borderId="14" xfId="0" quotePrefix="1" applyFont="1" applyFill="1" applyBorder="1"/>
    <xf numFmtId="164" fontId="11" fillId="0" borderId="14" xfId="0" applyNumberFormat="1" applyFont="1" applyBorder="1"/>
    <xf numFmtId="164" fontId="6" fillId="0" borderId="34" xfId="0" applyNumberFormat="1" applyFont="1" applyBorder="1"/>
    <xf numFmtId="164" fontId="6" fillId="0" borderId="35" xfId="0" applyNumberFormat="1" applyFont="1" applyBorder="1"/>
    <xf numFmtId="164" fontId="11" fillId="0" borderId="35" xfId="0" applyNumberFormat="1" applyFont="1" applyBorder="1"/>
    <xf numFmtId="0" fontId="6" fillId="0" borderId="35" xfId="0" applyFont="1" applyBorder="1"/>
    <xf numFmtId="0" fontId="6" fillId="0" borderId="36" xfId="0" applyFont="1" applyBorder="1"/>
    <xf numFmtId="164" fontId="11" fillId="0" borderId="36" xfId="0" applyNumberFormat="1" applyFont="1" applyBorder="1" applyAlignment="1">
      <alignment horizontal="center" wrapText="1"/>
    </xf>
    <xf numFmtId="166" fontId="6" fillId="2" borderId="36" xfId="0" applyNumberFormat="1" applyFont="1" applyFill="1" applyBorder="1"/>
    <xf numFmtId="165" fontId="6" fillId="0" borderId="36" xfId="0" applyNumberFormat="1" applyFont="1" applyBorder="1"/>
    <xf numFmtId="165" fontId="6" fillId="2" borderId="36" xfId="0" applyNumberFormat="1" applyFont="1" applyFill="1" applyBorder="1"/>
    <xf numFmtId="165" fontId="6" fillId="2" borderId="37" xfId="0" applyNumberFormat="1" applyFont="1" applyFill="1" applyBorder="1"/>
    <xf numFmtId="164" fontId="3" fillId="38" borderId="8" xfId="0" applyNumberFormat="1" applyFont="1" applyFill="1" applyBorder="1"/>
    <xf numFmtId="164" fontId="6" fillId="38" borderId="10" xfId="0" applyNumberFormat="1" applyFont="1" applyFill="1" applyBorder="1"/>
    <xf numFmtId="0" fontId="6" fillId="38" borderId="10" xfId="0" applyFont="1" applyFill="1" applyBorder="1"/>
    <xf numFmtId="0" fontId="6" fillId="38" borderId="9" xfId="0" applyFont="1" applyFill="1" applyBorder="1"/>
    <xf numFmtId="164" fontId="6" fillId="38" borderId="9" xfId="0" applyNumberFormat="1" applyFont="1" applyFill="1" applyBorder="1"/>
    <xf numFmtId="166" fontId="6" fillId="38" borderId="9" xfId="0" applyNumberFormat="1" applyFont="1" applyFill="1" applyBorder="1"/>
    <xf numFmtId="165" fontId="6" fillId="38" borderId="9" xfId="0" applyNumberFormat="1" applyFont="1" applyFill="1" applyBorder="1"/>
    <xf numFmtId="165" fontId="6" fillId="38" borderId="11" xfId="0" applyNumberFormat="1" applyFont="1" applyFill="1" applyBorder="1"/>
    <xf numFmtId="164" fontId="6" fillId="39" borderId="14" xfId="0" applyNumberFormat="1" applyFont="1" applyFill="1" applyBorder="1"/>
    <xf numFmtId="164" fontId="5" fillId="39" borderId="14" xfId="0" applyNumberFormat="1" applyFont="1" applyFill="1" applyBorder="1"/>
    <xf numFmtId="0" fontId="6" fillId="39" borderId="14" xfId="0" applyFont="1" applyFill="1" applyBorder="1"/>
    <xf numFmtId="0" fontId="6" fillId="39" borderId="15" xfId="0" applyFont="1" applyFill="1" applyBorder="1"/>
    <xf numFmtId="164" fontId="6" fillId="39" borderId="15" xfId="0" applyNumberFormat="1" applyFont="1" applyFill="1" applyBorder="1"/>
    <xf numFmtId="166" fontId="6" fillId="39" borderId="15" xfId="0" applyNumberFormat="1" applyFont="1" applyFill="1" applyBorder="1"/>
    <xf numFmtId="165" fontId="6" fillId="39" borderId="15" xfId="0" applyNumberFormat="1" applyFont="1" applyFill="1" applyBorder="1"/>
    <xf numFmtId="165" fontId="6" fillId="39" borderId="16" xfId="0" applyNumberFormat="1" applyFont="1" applyFill="1" applyBorder="1"/>
    <xf numFmtId="164" fontId="6" fillId="40" borderId="14" xfId="0" applyNumberFormat="1" applyFont="1" applyFill="1" applyBorder="1"/>
    <xf numFmtId="164" fontId="5" fillId="40" borderId="14" xfId="0" applyNumberFormat="1" applyFont="1" applyFill="1" applyBorder="1"/>
    <xf numFmtId="0" fontId="6" fillId="40" borderId="14" xfId="0" applyFont="1" applyFill="1" applyBorder="1"/>
    <xf numFmtId="0" fontId="6" fillId="40" borderId="15" xfId="0" applyFont="1" applyFill="1" applyBorder="1"/>
    <xf numFmtId="164" fontId="5" fillId="40" borderId="15" xfId="0" applyNumberFormat="1" applyFont="1" applyFill="1" applyBorder="1" applyAlignment="1">
      <alignment horizontal="center"/>
    </xf>
    <xf numFmtId="166" fontId="5" fillId="40" borderId="15" xfId="0" applyNumberFormat="1" applyFont="1" applyFill="1" applyBorder="1" applyAlignment="1">
      <alignment horizontal="right"/>
    </xf>
    <xf numFmtId="165" fontId="5" fillId="40" borderId="15" xfId="0" applyNumberFormat="1" applyFont="1" applyFill="1" applyBorder="1" applyAlignment="1">
      <alignment horizontal="right"/>
    </xf>
    <xf numFmtId="165" fontId="6" fillId="40" borderId="15" xfId="0" applyNumberFormat="1" applyFont="1" applyFill="1" applyBorder="1"/>
    <xf numFmtId="165" fontId="6" fillId="40" borderId="16" xfId="0" applyNumberFormat="1" applyFont="1" applyFill="1" applyBorder="1"/>
    <xf numFmtId="164" fontId="49" fillId="23" borderId="14" xfId="0" applyNumberFormat="1" applyFont="1" applyFill="1" applyBorder="1"/>
    <xf numFmtId="164" fontId="12" fillId="0" borderId="14" xfId="0" applyNumberFormat="1" applyFont="1" applyBorder="1"/>
    <xf numFmtId="164" fontId="5" fillId="0" borderId="15" xfId="0" applyNumberFormat="1" applyFont="1" applyBorder="1" applyAlignment="1">
      <alignment horizontal="center"/>
    </xf>
    <xf numFmtId="164" fontId="6" fillId="40" borderId="15" xfId="0" applyNumberFormat="1" applyFont="1" applyFill="1" applyBorder="1"/>
    <xf numFmtId="166" fontId="6" fillId="40" borderId="15" xfId="0" applyNumberFormat="1" applyFont="1" applyFill="1" applyBorder="1"/>
    <xf numFmtId="0" fontId="50" fillId="23" borderId="14" xfId="0" applyFont="1" applyFill="1" applyBorder="1"/>
    <xf numFmtId="164" fontId="12" fillId="2" borderId="15" xfId="0" applyNumberFormat="1" applyFont="1" applyFill="1" applyBorder="1" applyAlignment="1">
      <alignment horizontal="right"/>
    </xf>
    <xf numFmtId="169" fontId="6" fillId="2" borderId="15" xfId="0" applyNumberFormat="1" applyFont="1" applyFill="1" applyBorder="1"/>
    <xf numFmtId="164" fontId="5" fillId="2" borderId="15" xfId="0" applyNumberFormat="1" applyFont="1" applyFill="1" applyBorder="1" applyAlignment="1">
      <alignment horizontal="right"/>
    </xf>
    <xf numFmtId="169" fontId="6" fillId="2" borderId="16" xfId="0" applyNumberFormat="1" applyFont="1" applyFill="1" applyBorder="1"/>
    <xf numFmtId="164" fontId="6" fillId="0" borderId="8" xfId="0" applyNumberFormat="1" applyFont="1" applyBorder="1"/>
    <xf numFmtId="164" fontId="51" fillId="0" borderId="10" xfId="0" applyNumberFormat="1" applyFont="1" applyBorder="1"/>
    <xf numFmtId="164" fontId="6" fillId="0" borderId="10" xfId="0" applyNumberFormat="1" applyFont="1" applyBorder="1"/>
    <xf numFmtId="0" fontId="6" fillId="0" borderId="10" xfId="0" applyFont="1" applyBorder="1"/>
    <xf numFmtId="0" fontId="6" fillId="0" borderId="9" xfId="0" applyFont="1" applyBorder="1"/>
    <xf numFmtId="164" fontId="12" fillId="0" borderId="9" xfId="0" applyNumberFormat="1" applyFont="1" applyBorder="1" applyAlignment="1">
      <alignment horizontal="center"/>
    </xf>
    <xf numFmtId="166" fontId="12" fillId="24" borderId="9" xfId="0" applyNumberFormat="1" applyFont="1" applyFill="1" applyBorder="1" applyAlignment="1">
      <alignment horizontal="right"/>
    </xf>
    <xf numFmtId="169" fontId="6" fillId="2" borderId="9" xfId="0" applyNumberFormat="1" applyFont="1" applyFill="1" applyBorder="1"/>
    <xf numFmtId="169" fontId="6" fillId="2" borderId="11" xfId="0" applyNumberFormat="1" applyFont="1" applyFill="1" applyBorder="1"/>
    <xf numFmtId="164" fontId="12" fillId="39" borderId="15" xfId="0" applyNumberFormat="1" applyFont="1" applyFill="1" applyBorder="1" applyAlignment="1">
      <alignment horizontal="center"/>
    </xf>
    <xf numFmtId="166" fontId="12" fillId="39" borderId="15" xfId="0" applyNumberFormat="1" applyFont="1" applyFill="1" applyBorder="1" applyAlignment="1">
      <alignment horizontal="right"/>
    </xf>
    <xf numFmtId="165" fontId="5" fillId="39" borderId="15" xfId="0" applyNumberFormat="1" applyFont="1" applyFill="1" applyBorder="1" applyAlignment="1">
      <alignment horizontal="right"/>
    </xf>
    <xf numFmtId="0" fontId="12" fillId="0" borderId="14" xfId="0" quotePrefix="1" applyFont="1" applyBorder="1"/>
    <xf numFmtId="165" fontId="12" fillId="0" borderId="15" xfId="0" applyNumberFormat="1" applyFont="1" applyBorder="1" applyAlignment="1">
      <alignment horizontal="right"/>
    </xf>
    <xf numFmtId="0" fontId="5" fillId="0" borderId="14" xfId="0" quotePrefix="1" applyFont="1" applyBorder="1"/>
    <xf numFmtId="0" fontId="52" fillId="0" borderId="14" xfId="0" applyFont="1" applyBorder="1"/>
    <xf numFmtId="164" fontId="25" fillId="39" borderId="14" xfId="0" applyNumberFormat="1" applyFont="1" applyFill="1" applyBorder="1"/>
    <xf numFmtId="164" fontId="25" fillId="39" borderId="15" xfId="0" applyNumberFormat="1" applyFont="1" applyFill="1" applyBorder="1" applyAlignment="1">
      <alignment horizontal="center"/>
    </xf>
    <xf numFmtId="166" fontId="25" fillId="39" borderId="15" xfId="0" applyNumberFormat="1" applyFont="1" applyFill="1" applyBorder="1"/>
    <xf numFmtId="165" fontId="25" fillId="39" borderId="15" xfId="0" applyNumberFormat="1" applyFont="1" applyFill="1" applyBorder="1" applyAlignment="1">
      <alignment horizontal="right"/>
    </xf>
    <xf numFmtId="0" fontId="53" fillId="23" borderId="14" xfId="0" applyFont="1" applyFill="1" applyBorder="1"/>
    <xf numFmtId="0" fontId="11" fillId="2" borderId="10" xfId="0" applyFont="1" applyFill="1" applyBorder="1"/>
    <xf numFmtId="164" fontId="11" fillId="0" borderId="9" xfId="0" applyNumberFormat="1" applyFont="1" applyBorder="1" applyAlignment="1">
      <alignment horizontal="center" wrapText="1"/>
    </xf>
    <xf numFmtId="166" fontId="11" fillId="2" borderId="9" xfId="0" applyNumberFormat="1" applyFont="1" applyFill="1" applyBorder="1" applyAlignment="1">
      <alignment horizontal="right"/>
    </xf>
    <xf numFmtId="164" fontId="5" fillId="39" borderId="15" xfId="0" applyNumberFormat="1" applyFont="1" applyFill="1" applyBorder="1" applyAlignment="1">
      <alignment horizontal="center"/>
    </xf>
    <xf numFmtId="166" fontId="5" fillId="39" borderId="15" xfId="0" applyNumberFormat="1" applyFont="1" applyFill="1" applyBorder="1" applyAlignment="1">
      <alignment horizontal="right"/>
    </xf>
    <xf numFmtId="164" fontId="6" fillId="39" borderId="13" xfId="0" applyNumberFormat="1" applyFont="1" applyFill="1" applyBorder="1"/>
    <xf numFmtId="164" fontId="6" fillId="23" borderId="14" xfId="0" applyNumberFormat="1" applyFont="1" applyFill="1" applyBorder="1"/>
    <xf numFmtId="164" fontId="5" fillId="0" borderId="14" xfId="0" applyNumberFormat="1" applyFont="1" applyBorder="1"/>
    <xf numFmtId="164" fontId="6" fillId="0" borderId="20" xfId="0" applyNumberFormat="1" applyFont="1" applyBorder="1"/>
    <xf numFmtId="0" fontId="6" fillId="0" borderId="20" xfId="0" applyFont="1" applyBorder="1"/>
    <xf numFmtId="164" fontId="12" fillId="0" borderId="20" xfId="0" applyNumberFormat="1" applyFont="1" applyBorder="1"/>
    <xf numFmtId="0" fontId="6" fillId="0" borderId="21" xfId="0" applyFont="1" applyBorder="1"/>
    <xf numFmtId="164" fontId="12" fillId="0" borderId="21" xfId="0" applyNumberFormat="1" applyFont="1" applyBorder="1" applyAlignment="1">
      <alignment horizontal="center"/>
    </xf>
    <xf numFmtId="166" fontId="6" fillId="0" borderId="21" xfId="0" applyNumberFormat="1" applyFont="1" applyBorder="1"/>
    <xf numFmtId="166" fontId="12" fillId="24" borderId="21" xfId="0" applyNumberFormat="1" applyFont="1" applyFill="1" applyBorder="1" applyAlignment="1">
      <alignment horizontal="right"/>
    </xf>
    <xf numFmtId="165" fontId="6" fillId="0" borderId="21" xfId="0" applyNumberFormat="1" applyFont="1" applyBorder="1"/>
    <xf numFmtId="167" fontId="25" fillId="2" borderId="14" xfId="0" applyNumberFormat="1" applyFont="1" applyFill="1" applyBorder="1" applyAlignment="1">
      <alignment horizontal="center"/>
    </xf>
    <xf numFmtId="166" fontId="12" fillId="2" borderId="9" xfId="0" applyNumberFormat="1" applyFont="1" applyFill="1" applyBorder="1" applyAlignment="1">
      <alignment horizontal="right"/>
    </xf>
    <xf numFmtId="164" fontId="5" fillId="13" borderId="31" xfId="0" applyNumberFormat="1" applyFont="1" applyFill="1" applyBorder="1"/>
    <xf numFmtId="164" fontId="6" fillId="13" borderId="32" xfId="0" applyNumberFormat="1" applyFont="1" applyFill="1" applyBorder="1"/>
    <xf numFmtId="0" fontId="6" fillId="13" borderId="32" xfId="0" applyFont="1" applyFill="1" applyBorder="1"/>
    <xf numFmtId="0" fontId="6" fillId="13" borderId="18" xfId="0" applyFont="1" applyFill="1" applyBorder="1"/>
    <xf numFmtId="164" fontId="5" fillId="13" borderId="32" xfId="0" applyNumberFormat="1" applyFont="1" applyFill="1" applyBorder="1"/>
    <xf numFmtId="166" fontId="6" fillId="13" borderId="32" xfId="0" applyNumberFormat="1" applyFont="1" applyFill="1" applyBorder="1"/>
    <xf numFmtId="166" fontId="6" fillId="13" borderId="18" xfId="0" applyNumberFormat="1" applyFont="1" applyFill="1" applyBorder="1"/>
    <xf numFmtId="165" fontId="6" fillId="13" borderId="18" xfId="0" applyNumberFormat="1" applyFont="1" applyFill="1" applyBorder="1"/>
    <xf numFmtId="164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33" fillId="0" borderId="0" xfId="0" applyNumberFormat="1" applyFont="1"/>
    <xf numFmtId="165" fontId="5" fillId="7" borderId="8" xfId="0" applyNumberFormat="1" applyFont="1" applyFill="1" applyBorder="1" applyAlignment="1">
      <alignment horizontal="center" wrapText="1"/>
    </xf>
    <xf numFmtId="0" fontId="4" fillId="0" borderId="9" xfId="0" applyFont="1" applyBorder="1"/>
    <xf numFmtId="165" fontId="5" fillId="8" borderId="10" xfId="0" applyNumberFormat="1" applyFont="1" applyFill="1" applyBorder="1" applyAlignment="1">
      <alignment horizontal="center"/>
    </xf>
    <xf numFmtId="0" fontId="4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/>
    <xf numFmtId="164" fontId="3" fillId="3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4" fontId="3" fillId="4" borderId="2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/>
    <xf numFmtId="164" fontId="41" fillId="2" borderId="10" xfId="0" applyNumberFormat="1" applyFont="1" applyFill="1" applyBorder="1"/>
    <xf numFmtId="0" fontId="45" fillId="2" borderId="14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48" fillId="2" borderId="14" xfId="0" applyFont="1" applyFill="1" applyBorder="1"/>
    <xf numFmtId="165" fontId="1" fillId="7" borderId="1" xfId="0" applyNumberFormat="1" applyFont="1" applyFill="1" applyBorder="1" applyAlignment="1">
      <alignment horizontal="center" wrapText="1"/>
    </xf>
    <xf numFmtId="165" fontId="1" fillId="8" borderId="1" xfId="0" applyNumberFormat="1" applyFont="1" applyFill="1" applyBorder="1" applyAlignment="1">
      <alignment horizontal="center"/>
    </xf>
    <xf numFmtId="0" fontId="1" fillId="11" borderId="8" xfId="0" applyFont="1" applyFill="1" applyBorder="1"/>
    <xf numFmtId="0" fontId="1" fillId="10" borderId="8" xfId="0" applyFont="1" applyFill="1" applyBorder="1"/>
    <xf numFmtId="0" fontId="1" fillId="17" borderId="1" xfId="0" applyFont="1" applyFill="1" applyBorder="1"/>
    <xf numFmtId="0" fontId="1" fillId="18" borderId="14" xfId="0" applyFont="1" applyFill="1" applyBorder="1"/>
    <xf numFmtId="164" fontId="21" fillId="23" borderId="14" xfId="0" applyNumberFormat="1" applyFont="1" applyFill="1" applyBorder="1"/>
    <xf numFmtId="0" fontId="21" fillId="2" borderId="14" xfId="0" applyFont="1" applyFill="1" applyBorder="1"/>
    <xf numFmtId="166" fontId="12" fillId="24" borderId="21" xfId="0" applyNumberFormat="1" applyFont="1" applyFill="1" applyBorder="1"/>
    <xf numFmtId="166" fontId="8" fillId="24" borderId="15" xfId="0" applyNumberFormat="1" applyFont="1" applyFill="1" applyBorder="1" applyAlignment="1">
      <alignment horizontal="right"/>
    </xf>
    <xf numFmtId="164" fontId="2" fillId="2" borderId="15" xfId="0" applyNumberFormat="1" applyFont="1" applyFill="1" applyBorder="1"/>
    <xf numFmtId="164" fontId="8" fillId="0" borderId="14" xfId="0" applyNumberFormat="1" applyFont="1" applyBorder="1"/>
    <xf numFmtId="164" fontId="1" fillId="0" borderId="14" xfId="0" applyNumberFormat="1" applyFont="1" applyBorder="1"/>
    <xf numFmtId="164" fontId="21" fillId="23" borderId="14" xfId="0" quotePrefix="1" applyNumberFormat="1" applyFont="1" applyFill="1" applyBorder="1"/>
    <xf numFmtId="0" fontId="29" fillId="23" borderId="14" xfId="0" applyFont="1" applyFill="1" applyBorder="1"/>
    <xf numFmtId="0" fontId="29" fillId="2" borderId="14" xfId="0" applyFont="1" applyFill="1" applyBorder="1"/>
    <xf numFmtId="0" fontId="29" fillId="2" borderId="14" xfId="0" applyFont="1" applyFill="1" applyBorder="1"/>
    <xf numFmtId="166" fontId="12" fillId="2" borderId="16" xfId="0" applyNumberFormat="1" applyFont="1" applyFill="1" applyBorder="1" applyAlignment="1">
      <alignment horizontal="right"/>
    </xf>
    <xf numFmtId="166" fontId="12" fillId="2" borderId="16" xfId="0" applyNumberFormat="1" applyFont="1" applyFill="1" applyBorder="1"/>
    <xf numFmtId="165" fontId="12" fillId="0" borderId="15" xfId="0" applyNumberFormat="1" applyFont="1" applyBorder="1"/>
    <xf numFmtId="168" fontId="5" fillId="2" borderId="15" xfId="0" applyNumberFormat="1" applyFont="1" applyFill="1" applyBorder="1"/>
    <xf numFmtId="166" fontId="5" fillId="2" borderId="16" xfId="0" applyNumberFormat="1" applyFont="1" applyFill="1" applyBorder="1" applyAlignment="1">
      <alignment horizontal="right"/>
    </xf>
    <xf numFmtId="0" fontId="54" fillId="0" borderId="15" xfId="0" applyFont="1" applyBorder="1"/>
    <xf numFmtId="0" fontId="54" fillId="0" borderId="14" xfId="0" applyFont="1" applyBorder="1"/>
    <xf numFmtId="164" fontId="54" fillId="2" borderId="14" xfId="0" applyNumberFormat="1" applyFont="1" applyFill="1" applyBorder="1"/>
    <xf numFmtId="164" fontId="54" fillId="2" borderId="13" xfId="0" applyNumberFormat="1" applyFont="1" applyFill="1" applyBorder="1"/>
    <xf numFmtId="166" fontId="5" fillId="2" borderId="15" xfId="0" applyNumberFormat="1" applyFont="1" applyFill="1" applyBorder="1"/>
    <xf numFmtId="166" fontId="5" fillId="2" borderId="16" xfId="0" applyNumberFormat="1" applyFont="1" applyFill="1" applyBorder="1"/>
    <xf numFmtId="165" fontId="12" fillId="0" borderId="21" xfId="0" applyNumberFormat="1" applyFont="1" applyBorder="1"/>
    <xf numFmtId="166" fontId="12" fillId="2" borderId="24" xfId="0" applyNumberFormat="1" applyFont="1" applyFill="1" applyBorder="1"/>
    <xf numFmtId="0" fontId="21" fillId="23" borderId="14" xfId="0" quotePrefix="1" applyFont="1" applyFill="1" applyBorder="1"/>
    <xf numFmtId="0" fontId="21" fillId="23" borderId="14" xfId="0" applyFont="1" applyFill="1" applyBorder="1"/>
    <xf numFmtId="166" fontId="6" fillId="2" borderId="16" xfId="0" applyNumberFormat="1" applyFont="1" applyFill="1" applyBorder="1"/>
    <xf numFmtId="166" fontId="5" fillId="2" borderId="21" xfId="0" applyNumberFormat="1" applyFont="1" applyFill="1" applyBorder="1" applyAlignment="1">
      <alignment horizontal="right"/>
    </xf>
    <xf numFmtId="166" fontId="5" fillId="2" borderId="24" xfId="0" applyNumberFormat="1" applyFont="1" applyFill="1" applyBorder="1" applyAlignment="1">
      <alignment horizontal="right"/>
    </xf>
    <xf numFmtId="166" fontId="11" fillId="2" borderId="36" xfId="0" applyNumberFormat="1" applyFont="1" applyFill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6" fontId="25" fillId="2" borderId="15" xfId="0" applyNumberFormat="1" applyFont="1" applyFill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0" fontId="29" fillId="23" borderId="14" xfId="0" quotePrefix="1" applyFont="1" applyFill="1" applyBorder="1"/>
    <xf numFmtId="165" fontId="25" fillId="12" borderId="15" xfId="0" applyNumberFormat="1" applyFont="1" applyFill="1" applyBorder="1" applyAlignment="1">
      <alignment horizontal="right"/>
    </xf>
    <xf numFmtId="166" fontId="25" fillId="12" borderId="15" xfId="0" applyNumberFormat="1" applyFont="1" applyFill="1" applyBorder="1" applyAlignment="1">
      <alignment horizontal="right"/>
    </xf>
    <xf numFmtId="166" fontId="25" fillId="12" borderId="14" xfId="0" applyNumberFormat="1" applyFont="1" applyFill="1" applyBorder="1" applyAlignment="1">
      <alignment horizontal="right"/>
    </xf>
    <xf numFmtId="0" fontId="25" fillId="2" borderId="14" xfId="0" applyFont="1" applyFill="1" applyBorder="1" applyAlignment="1">
      <alignment horizontal="center"/>
    </xf>
    <xf numFmtId="0" fontId="55" fillId="2" borderId="14" xfId="0" applyFont="1" applyFill="1" applyBorder="1"/>
    <xf numFmtId="164" fontId="25" fillId="2" borderId="15" xfId="0" applyNumberFormat="1" applyFont="1" applyFill="1" applyBorder="1" applyAlignment="1">
      <alignment horizontal="center"/>
    </xf>
    <xf numFmtId="0" fontId="25" fillId="2" borderId="14" xfId="0" applyFont="1" applyFill="1" applyBorder="1"/>
    <xf numFmtId="165" fontId="25" fillId="37" borderId="15" xfId="0" applyNumberFormat="1" applyFont="1" applyFill="1" applyBorder="1" applyAlignment="1">
      <alignment horizontal="right"/>
    </xf>
    <xf numFmtId="166" fontId="6" fillId="37" borderId="15" xfId="0" applyNumberFormat="1" applyFont="1" applyFill="1" applyBorder="1"/>
    <xf numFmtId="164" fontId="25" fillId="37" borderId="15" xfId="0" applyNumberFormat="1" applyFont="1" applyFill="1" applyBorder="1" applyAlignment="1">
      <alignment horizontal="center" wrapText="1"/>
    </xf>
    <xf numFmtId="0" fontId="25" fillId="37" borderId="14" xfId="0" applyFont="1" applyFill="1" applyBorder="1"/>
    <xf numFmtId="165" fontId="11" fillId="2" borderId="9" xfId="0" applyNumberFormat="1" applyFont="1" applyFill="1" applyBorder="1" applyAlignment="1">
      <alignment horizontal="right"/>
    </xf>
    <xf numFmtId="166" fontId="11" fillId="24" borderId="9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 wrapText="1"/>
    </xf>
    <xf numFmtId="0" fontId="28" fillId="2" borderId="9" xfId="0" applyFont="1" applyFill="1" applyBorder="1"/>
    <xf numFmtId="0" fontId="28" fillId="2" borderId="10" xfId="0" applyFont="1" applyFill="1" applyBorder="1"/>
    <xf numFmtId="164" fontId="28" fillId="0" borderId="10" xfId="0" applyNumberFormat="1" applyFont="1" applyBorder="1"/>
    <xf numFmtId="0" fontId="11" fillId="0" borderId="10" xfId="0" applyFont="1" applyBorder="1"/>
    <xf numFmtId="164" fontId="28" fillId="2" borderId="10" xfId="0" applyNumberFormat="1" applyFont="1" applyFill="1" applyBorder="1"/>
    <xf numFmtId="164" fontId="28" fillId="2" borderId="8" xfId="0" applyNumberFormat="1" applyFont="1" applyFill="1" applyBorder="1"/>
    <xf numFmtId="166" fontId="11" fillId="24" borderId="15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 wrapText="1"/>
    </xf>
    <xf numFmtId="0" fontId="28" fillId="2" borderId="15" xfId="0" applyFont="1" applyFill="1" applyBorder="1"/>
    <xf numFmtId="0" fontId="28" fillId="2" borderId="14" xfId="0" applyFont="1" applyFill="1" applyBorder="1"/>
    <xf numFmtId="164" fontId="28" fillId="0" borderId="14" xfId="0" applyNumberFormat="1" applyFont="1" applyBorder="1"/>
    <xf numFmtId="164" fontId="28" fillId="2" borderId="14" xfId="0" applyNumberFormat="1" applyFont="1" applyFill="1" applyBorder="1"/>
    <xf numFmtId="164" fontId="28" fillId="2" borderId="13" xfId="0" applyNumberFormat="1" applyFont="1" applyFill="1" applyBorder="1"/>
    <xf numFmtId="165" fontId="28" fillId="2" borderId="15" xfId="0" applyNumberFormat="1" applyFont="1" applyFill="1" applyBorder="1"/>
    <xf numFmtId="166" fontId="28" fillId="2" borderId="15" xfId="0" applyNumberFormat="1" applyFont="1" applyFill="1" applyBorder="1"/>
    <xf numFmtId="166" fontId="28" fillId="0" borderId="15" xfId="0" applyNumberFormat="1" applyFont="1" applyBorder="1"/>
    <xf numFmtId="0" fontId="28" fillId="0" borderId="15" xfId="0" applyFont="1" applyBorder="1"/>
    <xf numFmtId="0" fontId="28" fillId="23" borderId="15" xfId="0" applyFont="1" applyFill="1" applyBorder="1"/>
    <xf numFmtId="0" fontId="28" fillId="23" borderId="14" xfId="0" applyFont="1" applyFill="1" applyBorder="1"/>
    <xf numFmtId="164" fontId="28" fillId="0" borderId="13" xfId="0" applyNumberFormat="1" applyFont="1" applyBorder="1"/>
    <xf numFmtId="165" fontId="28" fillId="0" borderId="15" xfId="0" applyNumberFormat="1" applyFont="1" applyBorder="1"/>
    <xf numFmtId="167" fontId="28" fillId="2" borderId="13" xfId="0" applyNumberFormat="1" applyFont="1" applyFill="1" applyBorder="1"/>
    <xf numFmtId="166" fontId="25" fillId="37" borderId="15" xfId="0" applyNumberFormat="1" applyFont="1" applyFill="1" applyBorder="1" applyAlignment="1">
      <alignment horizontal="right"/>
    </xf>
    <xf numFmtId="0" fontId="25" fillId="37" borderId="15" xfId="0" applyFont="1" applyFill="1" applyBorder="1" applyAlignment="1">
      <alignment horizontal="center" wrapText="1"/>
    </xf>
    <xf numFmtId="0" fontId="28" fillId="37" borderId="15" xfId="0" applyFont="1" applyFill="1" applyBorder="1"/>
    <xf numFmtId="0" fontId="28" fillId="37" borderId="14" xfId="0" applyFont="1" applyFill="1" applyBorder="1"/>
    <xf numFmtId="164" fontId="28" fillId="37" borderId="14" xfId="0" applyNumberFormat="1" applyFont="1" applyFill="1" applyBorder="1"/>
    <xf numFmtId="164" fontId="28" fillId="37" borderId="13" xfId="0" applyNumberFormat="1" applyFont="1" applyFill="1" applyBorder="1"/>
    <xf numFmtId="165" fontId="28" fillId="36" borderId="15" xfId="0" applyNumberFormat="1" applyFont="1" applyFill="1" applyBorder="1"/>
    <xf numFmtId="166" fontId="28" fillId="36" borderId="15" xfId="0" applyNumberFormat="1" applyFont="1" applyFill="1" applyBorder="1"/>
    <xf numFmtId="0" fontId="28" fillId="36" borderId="15" xfId="0" applyFont="1" applyFill="1" applyBorder="1"/>
    <xf numFmtId="164" fontId="28" fillId="36" borderId="14" xfId="0" applyNumberFormat="1" applyFont="1" applyFill="1" applyBorder="1"/>
    <xf numFmtId="0" fontId="28" fillId="36" borderId="14" xfId="0" applyFont="1" applyFill="1" applyBorder="1"/>
    <xf numFmtId="164" fontId="25" fillId="36" borderId="13" xfId="0" applyNumberFormat="1" applyFont="1" applyFill="1" applyBorder="1"/>
    <xf numFmtId="165" fontId="28" fillId="34" borderId="2" xfId="0" applyNumberFormat="1" applyFont="1" applyFill="1" applyBorder="1"/>
    <xf numFmtId="166" fontId="28" fillId="34" borderId="2" xfId="0" applyNumberFormat="1" applyFont="1" applyFill="1" applyBorder="1"/>
    <xf numFmtId="0" fontId="28" fillId="34" borderId="2" xfId="0" applyFont="1" applyFill="1" applyBorder="1"/>
    <xf numFmtId="164" fontId="28" fillId="34" borderId="2" xfId="0" applyNumberFormat="1" applyFont="1" applyFill="1" applyBorder="1"/>
    <xf numFmtId="164" fontId="25" fillId="34" borderId="1" xfId="0" applyNumberFormat="1" applyFont="1" applyFill="1" applyBorder="1"/>
    <xf numFmtId="164" fontId="22" fillId="2" borderId="14" xfId="0" applyNumberFormat="1" applyFont="1" applyFill="1" applyBorder="1"/>
    <xf numFmtId="164" fontId="21" fillId="2" borderId="10" xfId="0" applyNumberFormat="1" applyFont="1" applyFill="1" applyBorder="1"/>
    <xf numFmtId="168" fontId="6" fillId="2" borderId="15" xfId="0" applyNumberFormat="1" applyFont="1" applyFill="1" applyBorder="1"/>
    <xf numFmtId="164" fontId="21" fillId="2" borderId="14" xfId="0" quotePrefix="1" applyNumberFormat="1" applyFont="1" applyFill="1" applyBorder="1"/>
    <xf numFmtId="164" fontId="21" fillId="2" borderId="14" xfId="0" applyNumberFormat="1" applyFont="1" applyFill="1" applyBorder="1"/>
    <xf numFmtId="164" fontId="21" fillId="2" borderId="14" xfId="0" applyNumberFormat="1" applyFont="1" applyFill="1" applyBorder="1"/>
    <xf numFmtId="166" fontId="5" fillId="33" borderId="18" xfId="0" applyNumberFormat="1" applyFont="1" applyFill="1" applyBorder="1"/>
    <xf numFmtId="170" fontId="8" fillId="2" borderId="23" xfId="0" applyNumberFormat="1" applyFont="1" applyFill="1" applyBorder="1" applyAlignment="1">
      <alignment horizontal="right"/>
    </xf>
    <xf numFmtId="170" fontId="8" fillId="2" borderId="15" xfId="0" applyNumberFormat="1" applyFont="1" applyFill="1" applyBorder="1" applyAlignment="1">
      <alignment horizontal="right"/>
    </xf>
    <xf numFmtId="0" fontId="7" fillId="23" borderId="14" xfId="0" quotePrefix="1" applyFont="1" applyFill="1" applyBorder="1"/>
    <xf numFmtId="0" fontId="7" fillId="26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/>
    <xf numFmtId="0" fontId="21" fillId="26" borderId="14" xfId="0" applyFont="1" applyFill="1" applyBorder="1"/>
    <xf numFmtId="164" fontId="21" fillId="26" borderId="20" xfId="0" applyNumberFormat="1" applyFont="1" applyFill="1" applyBorder="1"/>
    <xf numFmtId="165" fontId="11" fillId="10" borderId="15" xfId="0" applyNumberFormat="1" applyFont="1" applyFill="1" applyBorder="1" applyAlignment="1">
      <alignment horizontal="right"/>
    </xf>
    <xf numFmtId="166" fontId="11" fillId="10" borderId="15" xfId="0" applyNumberFormat="1" applyFont="1" applyFill="1" applyBorder="1" applyAlignment="1">
      <alignment horizontal="right"/>
    </xf>
    <xf numFmtId="0" fontId="11" fillId="10" borderId="15" xfId="0" applyFont="1" applyFill="1" applyBorder="1" applyAlignment="1">
      <alignment horizontal="center"/>
    </xf>
    <xf numFmtId="0" fontId="28" fillId="10" borderId="15" xfId="0" applyFont="1" applyFill="1" applyBorder="1"/>
    <xf numFmtId="0" fontId="28" fillId="10" borderId="14" xfId="0" applyFont="1" applyFill="1" applyBorder="1"/>
    <xf numFmtId="0" fontId="11" fillId="10" borderId="14" xfId="0" applyFont="1" applyFill="1" applyBorder="1"/>
    <xf numFmtId="164" fontId="28" fillId="10" borderId="14" xfId="0" applyNumberFormat="1" applyFont="1" applyFill="1" applyBorder="1"/>
    <xf numFmtId="164" fontId="28" fillId="10" borderId="13" xfId="0" applyNumberFormat="1" applyFont="1" applyFill="1" applyBorder="1"/>
    <xf numFmtId="165" fontId="11" fillId="0" borderId="23" xfId="0" applyNumberFormat="1" applyFont="1" applyBorder="1" applyAlignment="1">
      <alignment horizontal="right"/>
    </xf>
    <xf numFmtId="166" fontId="11" fillId="2" borderId="23" xfId="0" applyNumberFormat="1" applyFont="1" applyFill="1" applyBorder="1" applyAlignment="1">
      <alignment horizontal="right"/>
    </xf>
    <xf numFmtId="0" fontId="11" fillId="2" borderId="23" xfId="0" applyFont="1" applyFill="1" applyBorder="1" applyAlignment="1">
      <alignment horizontal="center"/>
    </xf>
    <xf numFmtId="0" fontId="28" fillId="0" borderId="23" xfId="0" applyFont="1" applyBorder="1"/>
    <xf numFmtId="0" fontId="28" fillId="0" borderId="0" xfId="0" applyFont="1"/>
    <xf numFmtId="0" fontId="11" fillId="0" borderId="0" xfId="0" quotePrefix="1" applyFont="1"/>
    <xf numFmtId="164" fontId="28" fillId="0" borderId="0" xfId="0" applyNumberFormat="1" applyFont="1"/>
    <xf numFmtId="164" fontId="28" fillId="0" borderId="22" xfId="0" applyNumberFormat="1" applyFont="1" applyBorder="1"/>
    <xf numFmtId="166" fontId="8" fillId="24" borderId="21" xfId="0" applyNumberFormat="1" applyFont="1" applyFill="1" applyBorder="1" applyAlignment="1">
      <alignment horizontal="right"/>
    </xf>
    <xf numFmtId="164" fontId="8" fillId="2" borderId="21" xfId="0" applyNumberFormat="1" applyFont="1" applyFill="1" applyBorder="1" applyAlignment="1">
      <alignment horizontal="center"/>
    </xf>
    <xf numFmtId="0" fontId="8" fillId="2" borderId="20" xfId="0" quotePrefix="1" applyFont="1" applyFill="1" applyBorder="1"/>
    <xf numFmtId="164" fontId="2" fillId="2" borderId="20" xfId="0" applyNumberFormat="1" applyFont="1" applyFill="1" applyBorder="1"/>
    <xf numFmtId="164" fontId="2" fillId="2" borderId="19" xfId="0" applyNumberFormat="1" applyFont="1" applyFill="1" applyBorder="1"/>
    <xf numFmtId="0" fontId="11" fillId="0" borderId="15" xfId="0" applyFont="1" applyBorder="1" applyAlignment="1">
      <alignment horizontal="center"/>
    </xf>
    <xf numFmtId="0" fontId="28" fillId="0" borderId="14" xfId="0" applyFont="1" applyBorder="1"/>
    <xf numFmtId="0" fontId="11" fillId="0" borderId="14" xfId="0" quotePrefix="1" applyFont="1" applyBorder="1"/>
    <xf numFmtId="164" fontId="11" fillId="0" borderId="14" xfId="0" quotePrefix="1" applyNumberFormat="1" applyFont="1" applyBorder="1"/>
    <xf numFmtId="164" fontId="25" fillId="2" borderId="14" xfId="0" applyNumberFormat="1" applyFont="1" applyFill="1" applyBorder="1"/>
    <xf numFmtId="0" fontId="29" fillId="2" borderId="14" xfId="0" quotePrefix="1" applyFont="1" applyFill="1" applyBorder="1"/>
    <xf numFmtId="165" fontId="25" fillId="26" borderId="15" xfId="0" applyNumberFormat="1" applyFont="1" applyFill="1" applyBorder="1" applyAlignment="1">
      <alignment horizontal="right"/>
    </xf>
    <xf numFmtId="166" fontId="25" fillId="26" borderId="15" xfId="0" applyNumberFormat="1" applyFont="1" applyFill="1" applyBorder="1" applyAlignment="1">
      <alignment horizontal="right"/>
    </xf>
    <xf numFmtId="0" fontId="25" fillId="26" borderId="15" xfId="0" applyFont="1" applyFill="1" applyBorder="1" applyAlignment="1">
      <alignment horizontal="center" wrapText="1"/>
    </xf>
    <xf numFmtId="0" fontId="28" fillId="26" borderId="15" xfId="0" applyFont="1" applyFill="1" applyBorder="1"/>
    <xf numFmtId="0" fontId="28" fillId="26" borderId="14" xfId="0" applyFont="1" applyFill="1" applyBorder="1"/>
    <xf numFmtId="0" fontId="25" fillId="26" borderId="14" xfId="0" applyFont="1" applyFill="1" applyBorder="1"/>
    <xf numFmtId="164" fontId="28" fillId="26" borderId="14" xfId="0" applyNumberFormat="1" applyFont="1" applyFill="1" applyBorder="1"/>
    <xf numFmtId="164" fontId="28" fillId="26" borderId="13" xfId="0" applyNumberFormat="1" applyFont="1" applyFill="1" applyBorder="1"/>
    <xf numFmtId="165" fontId="28" fillId="2" borderId="16" xfId="0" applyNumberFormat="1" applyFont="1" applyFill="1" applyBorder="1"/>
    <xf numFmtId="165" fontId="11" fillId="2" borderId="21" xfId="0" applyNumberFormat="1" applyFont="1" applyFill="1" applyBorder="1" applyAlignment="1">
      <alignment horizontal="right"/>
    </xf>
    <xf numFmtId="165" fontId="11" fillId="2" borderId="24" xfId="0" applyNumberFormat="1" applyFont="1" applyFill="1" applyBorder="1" applyAlignment="1">
      <alignment horizontal="right"/>
    </xf>
    <xf numFmtId="0" fontId="11" fillId="2" borderId="20" xfId="0" applyFont="1" applyFill="1" applyBorder="1"/>
    <xf numFmtId="165" fontId="25" fillId="2" borderId="15" xfId="0" applyNumberFormat="1" applyFont="1" applyFill="1" applyBorder="1"/>
    <xf numFmtId="165" fontId="25" fillId="2" borderId="16" xfId="0" applyNumberFormat="1" applyFont="1" applyFill="1" applyBorder="1"/>
    <xf numFmtId="165" fontId="28" fillId="26" borderId="15" xfId="0" applyNumberFormat="1" applyFont="1" applyFill="1" applyBorder="1"/>
    <xf numFmtId="165" fontId="28" fillId="26" borderId="16" xfId="0" applyNumberFormat="1" applyFont="1" applyFill="1" applyBorder="1"/>
    <xf numFmtId="0" fontId="7" fillId="2" borderId="14" xfId="0" quotePrefix="1" applyFont="1" applyFill="1" applyBorder="1"/>
    <xf numFmtId="165" fontId="5" fillId="24" borderId="15" xfId="0" applyNumberFormat="1" applyFont="1" applyFill="1" applyBorder="1" applyAlignment="1">
      <alignment horizontal="right"/>
    </xf>
    <xf numFmtId="165" fontId="11" fillId="2" borderId="23" xfId="0" applyNumberFormat="1" applyFont="1" applyFill="1" applyBorder="1" applyAlignment="1">
      <alignment horizontal="right"/>
    </xf>
    <xf numFmtId="166" fontId="11" fillId="24" borderId="23" xfId="0" applyNumberFormat="1" applyFont="1" applyFill="1" applyBorder="1" applyAlignment="1">
      <alignment horizontal="right"/>
    </xf>
    <xf numFmtId="164" fontId="11" fillId="0" borderId="23" xfId="0" applyNumberFormat="1" applyFont="1" applyBorder="1" applyAlignment="1">
      <alignment horizontal="center"/>
    </xf>
    <xf numFmtId="0" fontId="28" fillId="2" borderId="23" xfId="0" applyFont="1" applyFill="1" applyBorder="1"/>
    <xf numFmtId="0" fontId="28" fillId="2" borderId="0" xfId="0" applyFont="1" applyFill="1"/>
    <xf numFmtId="0" fontId="11" fillId="2" borderId="0" xfId="0" applyFont="1" applyFill="1"/>
    <xf numFmtId="167" fontId="28" fillId="2" borderId="22" xfId="0" applyNumberFormat="1" applyFont="1" applyFill="1" applyBorder="1"/>
    <xf numFmtId="166" fontId="56" fillId="24" borderId="15" xfId="0" applyNumberFormat="1" applyFont="1" applyFill="1" applyBorder="1" applyAlignment="1">
      <alignment horizontal="right"/>
    </xf>
    <xf numFmtId="166" fontId="8" fillId="24" borderId="27" xfId="0" applyNumberFormat="1" applyFont="1" applyFill="1" applyBorder="1" applyAlignment="1">
      <alignment horizontal="right"/>
    </xf>
    <xf numFmtId="164" fontId="6" fillId="2" borderId="21" xfId="0" applyNumberFormat="1" applyFont="1" applyFill="1" applyBorder="1"/>
    <xf numFmtId="0" fontId="21" fillId="2" borderId="20" xfId="0" quotePrefix="1" applyFont="1" applyFill="1" applyBorder="1"/>
    <xf numFmtId="164" fontId="25" fillId="2" borderId="20" xfId="0" applyNumberFormat="1" applyFont="1" applyFill="1" applyBorder="1" applyAlignment="1">
      <alignment horizontal="center"/>
    </xf>
    <xf numFmtId="164" fontId="6" fillId="2" borderId="19" xfId="0" applyNumberFormat="1" applyFont="1" applyFill="1" applyBorder="1"/>
    <xf numFmtId="164" fontId="8" fillId="2" borderId="15" xfId="0" applyNumberFormat="1" applyFont="1" applyFill="1" applyBorder="1" applyAlignment="1">
      <alignment horizontal="center" wrapText="1"/>
    </xf>
    <xf numFmtId="165" fontId="5" fillId="12" borderId="21" xfId="0" applyNumberFormat="1" applyFont="1" applyFill="1" applyBorder="1" applyAlignment="1">
      <alignment horizontal="right"/>
    </xf>
    <xf numFmtId="166" fontId="5" fillId="12" borderId="21" xfId="0" applyNumberFormat="1" applyFont="1" applyFill="1" applyBorder="1" applyAlignment="1">
      <alignment horizontal="right"/>
    </xf>
    <xf numFmtId="166" fontId="5" fillId="12" borderId="24" xfId="0" applyNumberFormat="1" applyFont="1" applyFill="1" applyBorder="1" applyAlignment="1">
      <alignment horizontal="right"/>
    </xf>
    <xf numFmtId="165" fontId="12" fillId="2" borderId="21" xfId="0" applyNumberFormat="1" applyFont="1" applyFill="1" applyBorder="1" applyAlignment="1">
      <alignment horizontal="right"/>
    </xf>
    <xf numFmtId="166" fontId="12" fillId="0" borderId="21" xfId="0" applyNumberFormat="1" applyFont="1" applyBorder="1" applyAlignment="1">
      <alignment horizontal="right"/>
    </xf>
    <xf numFmtId="0" fontId="12" fillId="0" borderId="21" xfId="0" applyFont="1" applyBorder="1" applyAlignment="1">
      <alignment horizontal="center"/>
    </xf>
    <xf numFmtId="164" fontId="6" fillId="0" borderId="19" xfId="0" applyNumberFormat="1" applyFont="1" applyBorder="1"/>
    <xf numFmtId="0" fontId="57" fillId="10" borderId="14" xfId="0" applyFont="1" applyFill="1" applyBorder="1"/>
    <xf numFmtId="165" fontId="28" fillId="10" borderId="15" xfId="0" applyNumberFormat="1" applyFont="1" applyFill="1" applyBorder="1"/>
    <xf numFmtId="166" fontId="28" fillId="10" borderId="15" xfId="0" applyNumberFormat="1" applyFont="1" applyFill="1" applyBorder="1"/>
    <xf numFmtId="0" fontId="25" fillId="10" borderId="14" xfId="0" applyFont="1" applyFill="1" applyBorder="1"/>
    <xf numFmtId="165" fontId="12" fillId="2" borderId="11" xfId="0" applyNumberFormat="1" applyFont="1" applyFill="1" applyBorder="1"/>
    <xf numFmtId="0" fontId="11" fillId="2" borderId="15" xfId="0" applyFont="1" applyFill="1" applyBorder="1" applyAlignment="1">
      <alignment horizontal="center"/>
    </xf>
    <xf numFmtId="0" fontId="28" fillId="2" borderId="13" xfId="0" applyFont="1" applyFill="1" applyBorder="1"/>
    <xf numFmtId="165" fontId="28" fillId="20" borderId="15" xfId="0" applyNumberFormat="1" applyFont="1" applyFill="1" applyBorder="1"/>
    <xf numFmtId="166" fontId="28" fillId="20" borderId="15" xfId="0" applyNumberFormat="1" applyFont="1" applyFill="1" applyBorder="1"/>
    <xf numFmtId="0" fontId="11" fillId="20" borderId="15" xfId="0" applyFont="1" applyFill="1" applyBorder="1" applyAlignment="1">
      <alignment horizontal="center"/>
    </xf>
    <xf numFmtId="0" fontId="28" fillId="20" borderId="15" xfId="0" applyFont="1" applyFill="1" applyBorder="1"/>
    <xf numFmtId="0" fontId="28" fillId="20" borderId="14" xfId="0" applyFont="1" applyFill="1" applyBorder="1"/>
    <xf numFmtId="0" fontId="11" fillId="20" borderId="14" xfId="0" applyFont="1" applyFill="1" applyBorder="1"/>
    <xf numFmtId="0" fontId="28" fillId="20" borderId="13" xfId="0" applyFont="1" applyFill="1" applyBorder="1"/>
    <xf numFmtId="0" fontId="7" fillId="20" borderId="14" xfId="0" applyFont="1" applyFill="1" applyBorder="1"/>
    <xf numFmtId="165" fontId="6" fillId="17" borderId="9" xfId="0" applyNumberFormat="1" applyFont="1" applyFill="1" applyBorder="1"/>
    <xf numFmtId="165" fontId="6" fillId="17" borderId="10" xfId="0" applyNumberFormat="1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0" fontId="12" fillId="2" borderId="21" xfId="0" applyFont="1" applyFill="1" applyBorder="1" applyAlignment="1">
      <alignment horizontal="center"/>
    </xf>
    <xf numFmtId="0" fontId="22" fillId="2" borderId="20" xfId="0" applyFont="1" applyFill="1" applyBorder="1"/>
    <xf numFmtId="0" fontId="6" fillId="2" borderId="19" xfId="0" applyFont="1" applyFill="1" applyBorder="1"/>
    <xf numFmtId="165" fontId="28" fillId="16" borderId="15" xfId="0" applyNumberFormat="1" applyFont="1" applyFill="1" applyBorder="1"/>
    <xf numFmtId="166" fontId="28" fillId="16" borderId="15" xfId="0" applyNumberFormat="1" applyFont="1" applyFill="1" applyBorder="1"/>
    <xf numFmtId="0" fontId="11" fillId="16" borderId="15" xfId="0" applyFont="1" applyFill="1" applyBorder="1" applyAlignment="1">
      <alignment horizontal="center"/>
    </xf>
    <xf numFmtId="0" fontId="28" fillId="16" borderId="15" xfId="0" applyFont="1" applyFill="1" applyBorder="1"/>
    <xf numFmtId="0" fontId="28" fillId="16" borderId="14" xfId="0" applyFont="1" applyFill="1" applyBorder="1"/>
    <xf numFmtId="0" fontId="11" fillId="16" borderId="14" xfId="0" applyFont="1" applyFill="1" applyBorder="1"/>
    <xf numFmtId="0" fontId="28" fillId="16" borderId="13" xfId="0" applyFont="1" applyFill="1" applyBorder="1"/>
    <xf numFmtId="165" fontId="5" fillId="16" borderId="15" xfId="0" applyNumberFormat="1" applyFont="1" applyFill="1" applyBorder="1"/>
    <xf numFmtId="165" fontId="5" fillId="16" borderId="16" xfId="0" applyNumberFormat="1" applyFont="1" applyFill="1" applyBorder="1"/>
    <xf numFmtId="0" fontId="7" fillId="16" borderId="14" xfId="0" applyFont="1" applyFill="1" applyBorder="1"/>
    <xf numFmtId="165" fontId="6" fillId="15" borderId="15" xfId="0" applyNumberFormat="1" applyFont="1" applyFill="1" applyBorder="1"/>
    <xf numFmtId="165" fontId="6" fillId="15" borderId="16" xfId="0" applyNumberFormat="1" applyFont="1" applyFill="1" applyBorder="1"/>
    <xf numFmtId="165" fontId="6" fillId="14" borderId="9" xfId="0" applyNumberFormat="1" applyFont="1" applyFill="1" applyBorder="1"/>
    <xf numFmtId="165" fontId="6" fillId="14" borderId="10" xfId="0" applyNumberFormat="1" applyFont="1" applyFill="1" applyBorder="1"/>
    <xf numFmtId="165" fontId="6" fillId="13" borderId="9" xfId="0" applyNumberFormat="1" applyFont="1" applyFill="1" applyBorder="1"/>
    <xf numFmtId="165" fontId="5" fillId="13" borderId="9" xfId="0" applyNumberFormat="1" applyFont="1" applyFill="1" applyBorder="1"/>
    <xf numFmtId="165" fontId="5" fillId="13" borderId="11" xfId="0" applyNumberFormat="1" applyFont="1" applyFill="1" applyBorder="1"/>
    <xf numFmtId="165" fontId="28" fillId="10" borderId="9" xfId="0" applyNumberFormat="1" applyFont="1" applyFill="1" applyBorder="1"/>
    <xf numFmtId="166" fontId="28" fillId="10" borderId="9" xfId="0" applyNumberFormat="1" applyFont="1" applyFill="1" applyBorder="1"/>
    <xf numFmtId="0" fontId="11" fillId="10" borderId="9" xfId="0" applyFont="1" applyFill="1" applyBorder="1" applyAlignment="1">
      <alignment horizontal="center"/>
    </xf>
    <xf numFmtId="0" fontId="28" fillId="10" borderId="9" xfId="0" applyFont="1" applyFill="1" applyBorder="1"/>
    <xf numFmtId="0" fontId="28" fillId="10" borderId="10" xfId="0" applyFont="1" applyFill="1" applyBorder="1"/>
    <xf numFmtId="0" fontId="11" fillId="10" borderId="10" xfId="0" applyFont="1" applyFill="1" applyBorder="1"/>
    <xf numFmtId="0" fontId="28" fillId="10" borderId="8" xfId="0" applyFont="1" applyFill="1" applyBorder="1"/>
    <xf numFmtId="0" fontId="28" fillId="10" borderId="13" xfId="0" applyFont="1" applyFill="1" applyBorder="1"/>
    <xf numFmtId="0" fontId="55" fillId="10" borderId="14" xfId="0" applyFont="1" applyFill="1" applyBorder="1"/>
    <xf numFmtId="0" fontId="25" fillId="10" borderId="15" xfId="0" applyFont="1" applyFill="1" applyBorder="1" applyAlignment="1">
      <alignment horizontal="center"/>
    </xf>
    <xf numFmtId="0" fontId="29" fillId="10" borderId="14" xfId="0" applyFont="1" applyFill="1" applyBorder="1"/>
    <xf numFmtId="0" fontId="25" fillId="10" borderId="8" xfId="0" applyFont="1" applyFill="1" applyBorder="1"/>
    <xf numFmtId="165" fontId="12" fillId="12" borderId="15" xfId="0" applyNumberFormat="1" applyFont="1" applyFill="1" applyBorder="1"/>
    <xf numFmtId="165" fontId="12" fillId="12" borderId="16" xfId="0" applyNumberFormat="1" applyFont="1" applyFill="1" applyBorder="1"/>
    <xf numFmtId="165" fontId="11" fillId="12" borderId="15" xfId="0" applyNumberFormat="1" applyFont="1" applyFill="1" applyBorder="1"/>
    <xf numFmtId="165" fontId="11" fillId="12" borderId="16" xfId="0" applyNumberFormat="1" applyFont="1" applyFill="1" applyBorder="1"/>
    <xf numFmtId="165" fontId="28" fillId="12" borderId="15" xfId="0" applyNumberFormat="1" applyFont="1" applyFill="1" applyBorder="1"/>
    <xf numFmtId="166" fontId="28" fillId="12" borderId="15" xfId="0" applyNumberFormat="1" applyFont="1" applyFill="1" applyBorder="1"/>
    <xf numFmtId="0" fontId="11" fillId="12" borderId="15" xfId="0" applyFont="1" applyFill="1" applyBorder="1" applyAlignment="1">
      <alignment horizontal="center"/>
    </xf>
    <xf numFmtId="0" fontId="28" fillId="12" borderId="15" xfId="0" applyFont="1" applyFill="1" applyBorder="1"/>
    <xf numFmtId="0" fontId="28" fillId="12" borderId="14" xfId="0" applyFont="1" applyFill="1" applyBorder="1"/>
    <xf numFmtId="0" fontId="11" fillId="12" borderId="14" xfId="0" applyFont="1" applyFill="1" applyBorder="1"/>
    <xf numFmtId="0" fontId="28" fillId="12" borderId="13" xfId="0" applyFont="1" applyFill="1" applyBorder="1"/>
    <xf numFmtId="165" fontId="5" fillId="12" borderId="15" xfId="0" applyNumberFormat="1" applyFont="1" applyFill="1" applyBorder="1"/>
    <xf numFmtId="165" fontId="5" fillId="12" borderId="16" xfId="0" applyNumberFormat="1" applyFont="1" applyFill="1" applyBorder="1"/>
    <xf numFmtId="0" fontId="7" fillId="12" borderId="14" xfId="0" applyFont="1" applyFill="1" applyBorder="1"/>
    <xf numFmtId="165" fontId="28" fillId="10" borderId="12" xfId="0" applyNumberFormat="1" applyFont="1" applyFill="1" applyBorder="1"/>
    <xf numFmtId="166" fontId="28" fillId="10" borderId="12" xfId="0" applyNumberFormat="1" applyFont="1" applyFill="1" applyBorder="1"/>
    <xf numFmtId="0" fontId="28" fillId="10" borderId="12" xfId="0" applyFont="1" applyFill="1" applyBorder="1"/>
    <xf numFmtId="0" fontId="25" fillId="10" borderId="1" xfId="0" applyFont="1" applyFill="1" applyBorder="1"/>
    <xf numFmtId="165" fontId="5" fillId="7" borderId="9" xfId="0" applyNumberFormat="1" applyFont="1" applyFill="1" applyBorder="1" applyAlignment="1">
      <alignment horizontal="center" wrapText="1"/>
    </xf>
    <xf numFmtId="165" fontId="5" fillId="7" borderId="10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top"/>
    </xf>
    <xf numFmtId="164" fontId="3" fillId="4" borderId="10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3" fillId="0" borderId="0" xfId="0" applyFont="1"/>
    <xf numFmtId="0" fontId="5" fillId="13" borderId="32" xfId="0" applyFont="1" applyFill="1" applyBorder="1"/>
    <xf numFmtId="0" fontId="5" fillId="13" borderId="31" xfId="0" applyFont="1" applyFill="1" applyBorder="1"/>
    <xf numFmtId="166" fontId="11" fillId="2" borderId="15" xfId="0" applyNumberFormat="1" applyFont="1" applyFill="1" applyBorder="1"/>
    <xf numFmtId="165" fontId="5" fillId="39" borderId="15" xfId="0" applyNumberFormat="1" applyFont="1" applyFill="1" applyBorder="1"/>
    <xf numFmtId="166" fontId="5" fillId="39" borderId="15" xfId="0" applyNumberFormat="1" applyFont="1" applyFill="1" applyBorder="1"/>
    <xf numFmtId="166" fontId="8" fillId="24" borderId="23" xfId="0" applyNumberFormat="1" applyFont="1" applyFill="1" applyBorder="1" applyAlignment="1">
      <alignment horizontal="right"/>
    </xf>
    <xf numFmtId="164" fontId="8" fillId="2" borderId="23" xfId="0" applyNumberFormat="1" applyFont="1" applyFill="1" applyBorder="1" applyAlignment="1">
      <alignment horizontal="center"/>
    </xf>
    <xf numFmtId="0" fontId="8" fillId="0" borderId="0" xfId="0" applyFont="1"/>
    <xf numFmtId="165" fontId="8" fillId="2" borderId="15" xfId="0" applyNumberFormat="1" applyFont="1" applyFill="1" applyBorder="1"/>
    <xf numFmtId="166" fontId="8" fillId="2" borderId="15" xfId="0" applyNumberFormat="1" applyFont="1" applyFill="1" applyBorder="1"/>
    <xf numFmtId="165" fontId="25" fillId="39" borderId="15" xfId="0" applyNumberFormat="1" applyFont="1" applyFill="1" applyBorder="1"/>
    <xf numFmtId="164" fontId="5" fillId="2" borderId="15" xfId="0" applyNumberFormat="1" applyFont="1" applyFill="1" applyBorder="1"/>
    <xf numFmtId="164" fontId="12" fillId="2" borderId="15" xfId="0" applyNumberFormat="1" applyFont="1" applyFill="1" applyBorder="1"/>
    <xf numFmtId="165" fontId="5" fillId="40" borderId="15" xfId="0" applyNumberFormat="1" applyFont="1" applyFill="1" applyBorder="1"/>
    <xf numFmtId="166" fontId="12" fillId="40" borderId="15" xfId="0" applyNumberFormat="1" applyFont="1" applyFill="1" applyBorder="1"/>
    <xf numFmtId="164" fontId="29" fillId="2" borderId="14" xfId="0" applyNumberFormat="1" applyFont="1" applyFill="1" applyBorder="1"/>
    <xf numFmtId="164" fontId="25" fillId="12" borderId="14" xfId="0" applyNumberFormat="1" applyFont="1" applyFill="1" applyBorder="1"/>
    <xf numFmtId="165" fontId="5" fillId="37" borderId="15" xfId="0" applyNumberFormat="1" applyFont="1" applyFill="1" applyBorder="1"/>
    <xf numFmtId="165" fontId="6" fillId="36" borderId="15" xfId="0" applyNumberFormat="1" applyFont="1" applyFill="1" applyBorder="1"/>
    <xf numFmtId="166" fontId="6" fillId="36" borderId="15" xfId="0" applyNumberFormat="1" applyFont="1" applyFill="1" applyBorder="1"/>
    <xf numFmtId="164" fontId="6" fillId="36" borderId="15" xfId="0" applyNumberFormat="1" applyFont="1" applyFill="1" applyBorder="1"/>
    <xf numFmtId="164" fontId="6" fillId="36" borderId="14" xfId="0" applyNumberFormat="1" applyFont="1" applyFill="1" applyBorder="1"/>
    <xf numFmtId="0" fontId="6" fillId="36" borderId="14" xfId="0" applyFont="1" applyFill="1" applyBorder="1"/>
    <xf numFmtId="165" fontId="6" fillId="34" borderId="10" xfId="0" applyNumberFormat="1" applyFont="1" applyFill="1" applyBorder="1"/>
    <xf numFmtId="166" fontId="6" fillId="34" borderId="10" xfId="0" applyNumberFormat="1" applyFont="1" applyFill="1" applyBorder="1"/>
    <xf numFmtId="164" fontId="6" fillId="34" borderId="10" xfId="0" applyNumberFormat="1" applyFont="1" applyFill="1" applyBorder="1"/>
    <xf numFmtId="0" fontId="6" fillId="34" borderId="10" xfId="0" applyFont="1" applyFill="1" applyBorder="1"/>
    <xf numFmtId="164" fontId="25" fillId="34" borderId="8" xfId="0" applyNumberFormat="1" applyFont="1" applyFill="1" applyBorder="1"/>
    <xf numFmtId="165" fontId="5" fillId="33" borderId="15" xfId="0" applyNumberFormat="1" applyFont="1" applyFill="1" applyBorder="1"/>
    <xf numFmtId="166" fontId="6" fillId="33" borderId="15" xfId="0" applyNumberFormat="1" applyFont="1" applyFill="1" applyBorder="1"/>
    <xf numFmtId="166" fontId="8" fillId="2" borderId="16" xfId="0" applyNumberFormat="1" applyFont="1" applyFill="1" applyBorder="1" applyAlignment="1">
      <alignment horizontal="right"/>
    </xf>
    <xf numFmtId="0" fontId="58" fillId="2" borderId="14" xfId="0" applyFont="1" applyFill="1" applyBorder="1"/>
    <xf numFmtId="166" fontId="8" fillId="2" borderId="24" xfId="0" applyNumberFormat="1" applyFont="1" applyFill="1" applyBorder="1" applyAlignment="1">
      <alignment horizontal="right"/>
    </xf>
    <xf numFmtId="165" fontId="5" fillId="33" borderId="18" xfId="0" applyNumberFormat="1" applyFont="1" applyFill="1" applyBorder="1"/>
    <xf numFmtId="164" fontId="33" fillId="2" borderId="10" xfId="0" applyNumberFormat="1" applyFont="1" applyFill="1" applyBorder="1"/>
    <xf numFmtId="170" fontId="12" fillId="2" borderId="15" xfId="0" applyNumberFormat="1" applyFont="1" applyFill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164" fontId="12" fillId="0" borderId="14" xfId="0" quotePrefix="1" applyNumberFormat="1" applyFont="1" applyBorder="1"/>
    <xf numFmtId="0" fontId="5" fillId="26" borderId="15" xfId="0" applyFont="1" applyFill="1" applyBorder="1" applyAlignment="1">
      <alignment horizontal="center"/>
    </xf>
    <xf numFmtId="0" fontId="5" fillId="33" borderId="14" xfId="0" applyFont="1" applyFill="1" applyBorder="1"/>
    <xf numFmtId="164" fontId="6" fillId="33" borderId="13" xfId="0" applyNumberFormat="1" applyFont="1" applyFill="1" applyBorder="1"/>
    <xf numFmtId="164" fontId="5" fillId="26" borderId="15" xfId="0" applyNumberFormat="1" applyFont="1" applyFill="1" applyBorder="1" applyAlignment="1">
      <alignment horizontal="center" wrapText="1"/>
    </xf>
    <xf numFmtId="0" fontId="5" fillId="23" borderId="14" xfId="0" applyFont="1" applyFill="1" applyBorder="1"/>
    <xf numFmtId="166" fontId="6" fillId="32" borderId="15" xfId="0" applyNumberFormat="1" applyFont="1" applyFill="1" applyBorder="1"/>
    <xf numFmtId="164" fontId="6" fillId="32" borderId="14" xfId="0" applyNumberFormat="1" applyFont="1" applyFill="1" applyBorder="1"/>
    <xf numFmtId="0" fontId="6" fillId="32" borderId="14" xfId="0" applyFont="1" applyFill="1" applyBorder="1"/>
    <xf numFmtId="164" fontId="5" fillId="32" borderId="13" xfId="0" applyNumberFormat="1" applyFont="1" applyFill="1" applyBorder="1"/>
    <xf numFmtId="164" fontId="11" fillId="27" borderId="15" xfId="0" applyNumberFormat="1" applyFont="1" applyFill="1" applyBorder="1" applyAlignment="1">
      <alignment horizontal="center"/>
    </xf>
    <xf numFmtId="165" fontId="12" fillId="27" borderId="15" xfId="0" applyNumberFormat="1" applyFont="1" applyFill="1" applyBorder="1" applyAlignment="1">
      <alignment horizontal="right"/>
    </xf>
    <xf numFmtId="166" fontId="12" fillId="27" borderId="15" xfId="0" applyNumberFormat="1" applyFont="1" applyFill="1" applyBorder="1" applyAlignment="1">
      <alignment horizontal="right"/>
    </xf>
    <xf numFmtId="164" fontId="12" fillId="27" borderId="15" xfId="0" applyNumberFormat="1" applyFont="1" applyFill="1" applyBorder="1" applyAlignment="1">
      <alignment horizontal="center"/>
    </xf>
    <xf numFmtId="0" fontId="12" fillId="27" borderId="14" xfId="0" applyFont="1" applyFill="1" applyBorder="1"/>
    <xf numFmtId="164" fontId="12" fillId="27" borderId="14" xfId="0" applyNumberFormat="1" applyFont="1" applyFill="1" applyBorder="1"/>
    <xf numFmtId="164" fontId="6" fillId="23" borderId="15" xfId="0" applyNumberFormat="1" applyFont="1" applyFill="1" applyBorder="1"/>
    <xf numFmtId="164" fontId="6" fillId="32" borderId="15" xfId="0" applyNumberFormat="1" applyFont="1" applyFill="1" applyBorder="1"/>
    <xf numFmtId="0" fontId="6" fillId="32" borderId="15" xfId="0" applyFont="1" applyFill="1" applyBorder="1"/>
    <xf numFmtId="166" fontId="6" fillId="31" borderId="10" xfId="0" applyNumberFormat="1" applyFont="1" applyFill="1" applyBorder="1"/>
    <xf numFmtId="164" fontId="6" fillId="31" borderId="10" xfId="0" applyNumberFormat="1" applyFont="1" applyFill="1" applyBorder="1"/>
    <xf numFmtId="0" fontId="6" fillId="31" borderId="10" xfId="0" applyFont="1" applyFill="1" applyBorder="1"/>
    <xf numFmtId="164" fontId="5" fillId="31" borderId="8" xfId="0" applyNumberFormat="1" applyFont="1" applyFill="1" applyBorder="1"/>
    <xf numFmtId="166" fontId="6" fillId="10" borderId="9" xfId="0" applyNumberFormat="1" applyFont="1" applyFill="1" applyBorder="1"/>
    <xf numFmtId="164" fontId="6" fillId="10" borderId="9" xfId="0" applyNumberFormat="1" applyFont="1" applyFill="1" applyBorder="1"/>
    <xf numFmtId="0" fontId="6" fillId="10" borderId="9" xfId="0" applyFont="1" applyFill="1" applyBorder="1"/>
    <xf numFmtId="0" fontId="6" fillId="10" borderId="10" xfId="0" applyFont="1" applyFill="1" applyBorder="1"/>
    <xf numFmtId="164" fontId="6" fillId="10" borderId="10" xfId="0" applyNumberFormat="1" applyFont="1" applyFill="1" applyBorder="1"/>
    <xf numFmtId="164" fontId="6" fillId="10" borderId="8" xfId="0" applyNumberFormat="1" applyFont="1" applyFill="1" applyBorder="1"/>
    <xf numFmtId="165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65" fontId="5" fillId="30" borderId="15" xfId="0" applyNumberFormat="1" applyFont="1" applyFill="1" applyBorder="1" applyAlignment="1">
      <alignment horizontal="right"/>
    </xf>
    <xf numFmtId="166" fontId="5" fillId="30" borderId="15" xfId="0" applyNumberFormat="1" applyFont="1" applyFill="1" applyBorder="1" applyAlignment="1">
      <alignment horizontal="right"/>
    </xf>
    <xf numFmtId="164" fontId="5" fillId="30" borderId="15" xfId="0" applyNumberFormat="1" applyFont="1" applyFill="1" applyBorder="1" applyAlignment="1">
      <alignment horizontal="center" wrapText="1"/>
    </xf>
    <xf numFmtId="0" fontId="6" fillId="30" borderId="15" xfId="0" applyFont="1" applyFill="1" applyBorder="1"/>
    <xf numFmtId="0" fontId="6" fillId="30" borderId="14" xfId="0" applyFont="1" applyFill="1" applyBorder="1"/>
    <xf numFmtId="164" fontId="6" fillId="30" borderId="14" xfId="0" applyNumberFormat="1" applyFont="1" applyFill="1" applyBorder="1"/>
    <xf numFmtId="167" fontId="6" fillId="30" borderId="13" xfId="0" applyNumberFormat="1" applyFont="1" applyFill="1" applyBorder="1"/>
    <xf numFmtId="0" fontId="5" fillId="30" borderId="14" xfId="0" applyFont="1" applyFill="1" applyBorder="1"/>
    <xf numFmtId="166" fontId="6" fillId="29" borderId="15" xfId="0" applyNumberFormat="1" applyFont="1" applyFill="1" applyBorder="1"/>
    <xf numFmtId="166" fontId="6" fillId="29" borderId="14" xfId="0" applyNumberFormat="1" applyFont="1" applyFill="1" applyBorder="1"/>
    <xf numFmtId="164" fontId="6" fillId="29" borderId="14" xfId="0" applyNumberFormat="1" applyFont="1" applyFill="1" applyBorder="1"/>
    <xf numFmtId="0" fontId="6" fillId="29" borderId="14" xfId="0" applyFont="1" applyFill="1" applyBorder="1"/>
    <xf numFmtId="164" fontId="5" fillId="29" borderId="13" xfId="0" applyNumberFormat="1" applyFont="1" applyFill="1" applyBorder="1"/>
    <xf numFmtId="166" fontId="6" fillId="28" borderId="10" xfId="0" applyNumberFormat="1" applyFont="1" applyFill="1" applyBorder="1"/>
    <xf numFmtId="164" fontId="6" fillId="28" borderId="10" xfId="0" applyNumberFormat="1" applyFont="1" applyFill="1" applyBorder="1"/>
    <xf numFmtId="0" fontId="6" fillId="28" borderId="10" xfId="0" applyFont="1" applyFill="1" applyBorder="1"/>
    <xf numFmtId="164" fontId="3" fillId="28" borderId="8" xfId="0" applyNumberFormat="1" applyFont="1" applyFill="1" applyBorder="1"/>
    <xf numFmtId="165" fontId="11" fillId="0" borderId="9" xfId="0" applyNumberFormat="1" applyFont="1" applyBorder="1" applyAlignment="1">
      <alignment horizontal="right"/>
    </xf>
    <xf numFmtId="164" fontId="11" fillId="2" borderId="9" xfId="0" applyNumberFormat="1" applyFont="1" applyFill="1" applyBorder="1" applyAlignment="1">
      <alignment horizontal="center"/>
    </xf>
    <xf numFmtId="0" fontId="11" fillId="0" borderId="10" xfId="0" quotePrefix="1" applyFont="1" applyBorder="1"/>
    <xf numFmtId="165" fontId="8" fillId="2" borderId="21" xfId="0" applyNumberFormat="1" applyFont="1" applyFill="1" applyBorder="1"/>
    <xf numFmtId="166" fontId="8" fillId="2" borderId="21" xfId="0" applyNumberFormat="1" applyFont="1" applyFill="1" applyBorder="1"/>
    <xf numFmtId="164" fontId="7" fillId="23" borderId="14" xfId="0" quotePrefix="1" applyNumberFormat="1" applyFont="1" applyFill="1" applyBorder="1"/>
    <xf numFmtId="164" fontId="9" fillId="2" borderId="14" xfId="0" applyNumberFormat="1" applyFont="1" applyFill="1" applyBorder="1"/>
    <xf numFmtId="166" fontId="1" fillId="23" borderId="15" xfId="0" applyNumberFormat="1" applyFont="1" applyFill="1" applyBorder="1"/>
    <xf numFmtId="164" fontId="1" fillId="23" borderId="15" xfId="0" applyNumberFormat="1" applyFont="1" applyFill="1" applyBorder="1" applyAlignment="1">
      <alignment horizontal="center" wrapText="1"/>
    </xf>
    <xf numFmtId="164" fontId="2" fillId="25" borderId="15" xfId="0" applyNumberFormat="1" applyFont="1" applyFill="1" applyBorder="1"/>
    <xf numFmtId="164" fontId="12" fillId="2" borderId="20" xfId="0" applyNumberFormat="1" applyFont="1" applyFill="1" applyBorder="1"/>
    <xf numFmtId="164" fontId="25" fillId="26" borderId="14" xfId="0" applyNumberFormat="1" applyFont="1" applyFill="1" applyBorder="1"/>
    <xf numFmtId="164" fontId="1" fillId="26" borderId="14" xfId="0" applyNumberFormat="1" applyFont="1" applyFill="1" applyBorder="1"/>
    <xf numFmtId="164" fontId="28" fillId="0" borderId="15" xfId="0" applyNumberFormat="1" applyFont="1" applyBorder="1"/>
    <xf numFmtId="165" fontId="12" fillId="2" borderId="24" xfId="0" applyNumberFormat="1" applyFont="1" applyFill="1" applyBorder="1" applyAlignment="1">
      <alignment horizontal="right"/>
    </xf>
    <xf numFmtId="164" fontId="5" fillId="26" borderId="14" xfId="0" applyNumberFormat="1" applyFont="1" applyFill="1" applyBorder="1"/>
    <xf numFmtId="0" fontId="12" fillId="0" borderId="15" xfId="0" applyFont="1" applyBorder="1"/>
    <xf numFmtId="164" fontId="12" fillId="0" borderId="15" xfId="0" applyNumberFormat="1" applyFont="1" applyBorder="1"/>
    <xf numFmtId="0" fontId="21" fillId="2" borderId="14" xfId="0" quotePrefix="1" applyFont="1" applyFill="1" applyBorder="1"/>
    <xf numFmtId="0" fontId="5" fillId="26" borderId="14" xfId="0" applyFont="1" applyFill="1" applyBorder="1"/>
    <xf numFmtId="165" fontId="5" fillId="23" borderId="15" xfId="0" applyNumberFormat="1" applyFont="1" applyFill="1" applyBorder="1" applyAlignment="1">
      <alignment horizontal="right"/>
    </xf>
    <xf numFmtId="166" fontId="5" fillId="23" borderId="15" xfId="0" applyNumberFormat="1" applyFont="1" applyFill="1" applyBorder="1" applyAlignment="1">
      <alignment horizontal="right"/>
    </xf>
    <xf numFmtId="164" fontId="5" fillId="23" borderId="15" xfId="0" applyNumberFormat="1" applyFont="1" applyFill="1" applyBorder="1" applyAlignment="1">
      <alignment horizontal="center" wrapText="1"/>
    </xf>
    <xf numFmtId="164" fontId="6" fillId="23" borderId="13" xfId="0" applyNumberFormat="1" applyFont="1" applyFill="1" applyBorder="1"/>
    <xf numFmtId="166" fontId="6" fillId="25" borderId="15" xfId="0" applyNumberFormat="1" applyFont="1" applyFill="1" applyBorder="1"/>
    <xf numFmtId="164" fontId="6" fillId="25" borderId="15" xfId="0" applyNumberFormat="1" applyFont="1" applyFill="1" applyBorder="1"/>
    <xf numFmtId="0" fontId="6" fillId="25" borderId="14" xfId="0" applyFont="1" applyFill="1" applyBorder="1"/>
    <xf numFmtId="164" fontId="6" fillId="25" borderId="14" xfId="0" applyNumberFormat="1" applyFont="1" applyFill="1" applyBorder="1"/>
    <xf numFmtId="164" fontId="5" fillId="25" borderId="13" xfId="0" applyNumberFormat="1" applyFont="1" applyFill="1" applyBorder="1"/>
    <xf numFmtId="166" fontId="6" fillId="9" borderId="10" xfId="0" applyNumberFormat="1" applyFont="1" applyFill="1" applyBorder="1"/>
    <xf numFmtId="164" fontId="6" fillId="9" borderId="10" xfId="0" applyNumberFormat="1" applyFont="1" applyFill="1" applyBorder="1"/>
    <xf numFmtId="0" fontId="6" fillId="9" borderId="10" xfId="0" applyFont="1" applyFill="1" applyBorder="1"/>
    <xf numFmtId="164" fontId="5" fillId="9" borderId="8" xfId="0" applyNumberFormat="1" applyFont="1" applyFill="1" applyBorder="1"/>
    <xf numFmtId="164" fontId="11" fillId="0" borderId="9" xfId="0" applyNumberFormat="1" applyFont="1" applyBorder="1" applyAlignment="1">
      <alignment horizontal="center"/>
    </xf>
    <xf numFmtId="167" fontId="6" fillId="2" borderId="8" xfId="0" applyNumberFormat="1" applyFont="1" applyFill="1" applyBorder="1"/>
    <xf numFmtId="164" fontId="5" fillId="22" borderId="13" xfId="0" applyNumberFormat="1" applyFont="1" applyFill="1" applyBorder="1"/>
    <xf numFmtId="167" fontId="5" fillId="12" borderId="14" xfId="0" applyNumberFormat="1" applyFont="1" applyFill="1" applyBorder="1"/>
    <xf numFmtId="164" fontId="6" fillId="0" borderId="21" xfId="0" applyNumberFormat="1" applyFont="1" applyBorder="1"/>
    <xf numFmtId="0" fontId="6" fillId="23" borderId="21" xfId="0" applyFont="1" applyFill="1" applyBorder="1"/>
    <xf numFmtId="0" fontId="6" fillId="23" borderId="20" xfId="0" applyFont="1" applyFill="1" applyBorder="1"/>
    <xf numFmtId="0" fontId="21" fillId="23" borderId="20" xfId="0" quotePrefix="1" applyFont="1" applyFill="1" applyBorder="1"/>
    <xf numFmtId="164" fontId="6" fillId="12" borderId="15" xfId="0" applyNumberFormat="1" applyFont="1" applyFill="1" applyBorder="1"/>
    <xf numFmtId="166" fontId="6" fillId="22" borderId="15" xfId="0" applyNumberFormat="1" applyFont="1" applyFill="1" applyBorder="1"/>
    <xf numFmtId="164" fontId="6" fillId="22" borderId="15" xfId="0" applyNumberFormat="1" applyFont="1" applyFill="1" applyBorder="1"/>
    <xf numFmtId="0" fontId="6" fillId="22" borderId="15" xfId="0" applyFont="1" applyFill="1" applyBorder="1"/>
    <xf numFmtId="166" fontId="6" fillId="21" borderId="10" xfId="0" applyNumberFormat="1" applyFont="1" applyFill="1" applyBorder="1"/>
    <xf numFmtId="164" fontId="6" fillId="21" borderId="10" xfId="0" applyNumberFormat="1" applyFont="1" applyFill="1" applyBorder="1"/>
    <xf numFmtId="0" fontId="6" fillId="21" borderId="10" xfId="0" applyFont="1" applyFill="1" applyBorder="1"/>
    <xf numFmtId="164" fontId="5" fillId="21" borderId="8" xfId="0" applyNumberFormat="1" applyFont="1" applyFill="1" applyBorder="1"/>
    <xf numFmtId="165" fontId="6" fillId="20" borderId="15" xfId="0" applyNumberFormat="1" applyFont="1" applyFill="1" applyBorder="1"/>
    <xf numFmtId="166" fontId="6" fillId="20" borderId="15" xfId="0" applyNumberFormat="1" applyFont="1" applyFill="1" applyBorder="1"/>
    <xf numFmtId="0" fontId="12" fillId="20" borderId="15" xfId="0" applyFont="1" applyFill="1" applyBorder="1" applyAlignment="1">
      <alignment horizontal="center"/>
    </xf>
    <xf numFmtId="0" fontId="6" fillId="20" borderId="15" xfId="0" applyFont="1" applyFill="1" applyBorder="1"/>
    <xf numFmtId="0" fontId="6" fillId="20" borderId="14" xfId="0" applyFont="1" applyFill="1" applyBorder="1"/>
    <xf numFmtId="0" fontId="12" fillId="20" borderId="14" xfId="0" applyFont="1" applyFill="1" applyBorder="1"/>
    <xf numFmtId="0" fontId="6" fillId="20" borderId="13" xfId="0" applyFont="1" applyFill="1" applyBorder="1"/>
    <xf numFmtId="0" fontId="5" fillId="20" borderId="15" xfId="0" applyFont="1" applyFill="1" applyBorder="1" applyAlignment="1">
      <alignment horizontal="center"/>
    </xf>
    <xf numFmtId="0" fontId="21" fillId="20" borderId="14" xfId="0" applyFont="1" applyFill="1" applyBorder="1"/>
    <xf numFmtId="0" fontId="5" fillId="20" borderId="14" xfId="0" applyFont="1" applyFill="1" applyBorder="1"/>
    <xf numFmtId="166" fontId="6" fillId="19" borderId="15" xfId="0" applyNumberFormat="1" applyFont="1" applyFill="1" applyBorder="1"/>
    <xf numFmtId="0" fontId="6" fillId="19" borderId="15" xfId="0" applyFont="1" applyFill="1" applyBorder="1"/>
    <xf numFmtId="0" fontId="6" fillId="19" borderId="14" xfId="0" applyFont="1" applyFill="1" applyBorder="1"/>
    <xf numFmtId="0" fontId="5" fillId="19" borderId="14" xfId="0" applyFont="1" applyFill="1" applyBorder="1"/>
    <xf numFmtId="0" fontId="6" fillId="19" borderId="13" xfId="0" applyFont="1" applyFill="1" applyBorder="1"/>
    <xf numFmtId="166" fontId="6" fillId="18" borderId="15" xfId="0" applyNumberFormat="1" applyFont="1" applyFill="1" applyBorder="1"/>
    <xf numFmtId="0" fontId="6" fillId="18" borderId="15" xfId="0" applyFont="1" applyFill="1" applyBorder="1"/>
    <xf numFmtId="0" fontId="5" fillId="18" borderId="14" xfId="0" applyFont="1" applyFill="1" applyBorder="1"/>
    <xf numFmtId="0" fontId="6" fillId="18" borderId="13" xfId="0" applyFont="1" applyFill="1" applyBorder="1"/>
    <xf numFmtId="166" fontId="6" fillId="17" borderId="10" xfId="0" applyNumberFormat="1" applyFont="1" applyFill="1" applyBorder="1"/>
    <xf numFmtId="0" fontId="6" fillId="17" borderId="10" xfId="0" applyFont="1" applyFill="1" applyBorder="1"/>
    <xf numFmtId="0" fontId="5" fillId="17" borderId="8" xfId="0" applyFont="1" applyFill="1" applyBorder="1"/>
    <xf numFmtId="165" fontId="6" fillId="16" borderId="15" xfId="0" applyNumberFormat="1" applyFont="1" applyFill="1" applyBorder="1"/>
    <xf numFmtId="166" fontId="6" fillId="16" borderId="15" xfId="0" applyNumberFormat="1" applyFont="1" applyFill="1" applyBorder="1"/>
    <xf numFmtId="0" fontId="12" fillId="16" borderId="15" xfId="0" applyFont="1" applyFill="1" applyBorder="1" applyAlignment="1">
      <alignment horizontal="center"/>
    </xf>
    <xf numFmtId="0" fontId="6" fillId="16" borderId="15" xfId="0" applyFont="1" applyFill="1" applyBorder="1"/>
    <xf numFmtId="0" fontId="6" fillId="16" borderId="14" xfId="0" applyFont="1" applyFill="1" applyBorder="1"/>
    <xf numFmtId="0" fontId="12" fillId="16" borderId="14" xfId="0" applyFont="1" applyFill="1" applyBorder="1"/>
    <xf numFmtId="0" fontId="6" fillId="16" borderId="13" xfId="0" applyFont="1" applyFill="1" applyBorder="1"/>
    <xf numFmtId="0" fontId="5" fillId="16" borderId="15" xfId="0" applyFont="1" applyFill="1" applyBorder="1" applyAlignment="1">
      <alignment horizontal="center"/>
    </xf>
    <xf numFmtId="0" fontId="21" fillId="16" borderId="14" xfId="0" applyFont="1" applyFill="1" applyBorder="1"/>
    <xf numFmtId="0" fontId="5" fillId="16" borderId="14" xfId="0" applyFont="1" applyFill="1" applyBorder="1"/>
    <xf numFmtId="0" fontId="6" fillId="10" borderId="13" xfId="0" applyFont="1" applyFill="1" applyBorder="1"/>
    <xf numFmtId="166" fontId="6" fillId="15" borderId="15" xfId="0" applyNumberFormat="1" applyFont="1" applyFill="1" applyBorder="1"/>
    <xf numFmtId="0" fontId="6" fillId="15" borderId="15" xfId="0" applyFont="1" applyFill="1" applyBorder="1"/>
    <xf numFmtId="0" fontId="6" fillId="15" borderId="14" xfId="0" applyFont="1" applyFill="1" applyBorder="1"/>
    <xf numFmtId="0" fontId="5" fillId="15" borderId="14" xfId="0" applyFont="1" applyFill="1" applyBorder="1"/>
    <xf numFmtId="166" fontId="6" fillId="14" borderId="10" xfId="0" applyNumberFormat="1" applyFont="1" applyFill="1" applyBorder="1"/>
    <xf numFmtId="0" fontId="6" fillId="14" borderId="10" xfId="0" applyFont="1" applyFill="1" applyBorder="1"/>
    <xf numFmtId="0" fontId="5" fillId="14" borderId="8" xfId="0" applyFont="1" applyFill="1" applyBorder="1"/>
    <xf numFmtId="166" fontId="6" fillId="13" borderId="9" xfId="0" applyNumberFormat="1" applyFont="1" applyFill="1" applyBorder="1"/>
    <xf numFmtId="0" fontId="6" fillId="13" borderId="9" xfId="0" applyFont="1" applyFill="1" applyBorder="1"/>
    <xf numFmtId="0" fontId="6" fillId="13" borderId="10" xfId="0" applyFont="1" applyFill="1" applyBorder="1"/>
    <xf numFmtId="0" fontId="5" fillId="13" borderId="8" xfId="0" applyFont="1" applyFill="1" applyBorder="1"/>
    <xf numFmtId="0" fontId="6" fillId="10" borderId="8" xfId="0" applyFont="1" applyFill="1" applyBorder="1"/>
    <xf numFmtId="0" fontId="6" fillId="10" borderId="8" xfId="0" applyFont="1" applyFill="1" applyBorder="1"/>
    <xf numFmtId="0" fontId="12" fillId="12" borderId="15" xfId="0" applyFont="1" applyFill="1" applyBorder="1" applyAlignment="1">
      <alignment horizontal="center"/>
    </xf>
    <xf numFmtId="0" fontId="12" fillId="12" borderId="14" xfId="0" applyFont="1" applyFill="1" applyBorder="1"/>
    <xf numFmtId="0" fontId="6" fillId="12" borderId="13" xfId="0" applyFont="1" applyFill="1" applyBorder="1"/>
    <xf numFmtId="0" fontId="5" fillId="12" borderId="15" xfId="0" applyFont="1" applyFill="1" applyBorder="1" applyAlignment="1">
      <alignment horizontal="center"/>
    </xf>
    <xf numFmtId="0" fontId="21" fillId="12" borderId="14" xfId="0" applyFont="1" applyFill="1" applyBorder="1"/>
    <xf numFmtId="166" fontId="6" fillId="11" borderId="9" xfId="0" applyNumberFormat="1" applyFont="1" applyFill="1" applyBorder="1"/>
    <xf numFmtId="0" fontId="6" fillId="11" borderId="9" xfId="0" applyFont="1" applyFill="1" applyBorder="1"/>
    <xf numFmtId="0" fontId="5" fillId="11" borderId="8" xfId="0" applyFont="1" applyFill="1" applyBorder="1"/>
    <xf numFmtId="0" fontId="59" fillId="0" borderId="10" xfId="0" applyFont="1" applyBorder="1"/>
    <xf numFmtId="165" fontId="5" fillId="6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4" fillId="0" borderId="23" xfId="0" applyFont="1" applyBorder="1"/>
    <xf numFmtId="0" fontId="3" fillId="5" borderId="22" xfId="0" applyFont="1" applyFill="1" applyBorder="1" applyAlignment="1">
      <alignment horizontal="center" vertical="top"/>
    </xf>
    <xf numFmtId="165" fontId="6" fillId="2" borderId="1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4" fillId="2" borderId="14" xfId="0" applyNumberFormat="1" applyFont="1" applyFill="1" applyBorder="1"/>
    <xf numFmtId="166" fontId="12" fillId="40" borderId="15" xfId="0" applyNumberFormat="1" applyFont="1" applyFill="1" applyBorder="1" applyAlignment="1">
      <alignment horizontal="right"/>
    </xf>
    <xf numFmtId="164" fontId="5" fillId="37" borderId="14" xfId="0" applyNumberFormat="1" applyFont="1" applyFill="1" applyBorder="1"/>
    <xf numFmtId="0" fontId="54" fillId="26" borderId="15" xfId="0" applyFont="1" applyFill="1" applyBorder="1"/>
    <xf numFmtId="0" fontId="54" fillId="26" borderId="14" xfId="0" applyFont="1" applyFill="1" applyBorder="1"/>
    <xf numFmtId="164" fontId="54" fillId="26" borderId="13" xfId="0" applyNumberFormat="1" applyFont="1" applyFill="1" applyBorder="1"/>
    <xf numFmtId="165" fontId="28" fillId="0" borderId="9" xfId="0" applyNumberFormat="1" applyFont="1" applyBorder="1"/>
    <xf numFmtId="165" fontId="28" fillId="0" borderId="11" xfId="0" applyNumberFormat="1" applyFont="1" applyBorder="1"/>
    <xf numFmtId="0" fontId="28" fillId="0" borderId="9" xfId="0" applyFont="1" applyBorder="1"/>
    <xf numFmtId="0" fontId="28" fillId="0" borderId="10" xfId="0" applyFont="1" applyBorder="1"/>
    <xf numFmtId="164" fontId="28" fillId="0" borderId="8" xfId="0" applyNumberFormat="1" applyFont="1" applyBorder="1"/>
    <xf numFmtId="165" fontId="2" fillId="0" borderId="16" xfId="0" applyNumberFormat="1" applyFont="1" applyBorder="1"/>
    <xf numFmtId="165" fontId="8" fillId="2" borderId="16" xfId="0" applyNumberFormat="1" applyFont="1" applyFill="1" applyBorder="1"/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165" fontId="2" fillId="23" borderId="16" xfId="0" applyNumberFormat="1" applyFont="1" applyFill="1" applyBorder="1"/>
    <xf numFmtId="165" fontId="2" fillId="25" borderId="16" xfId="0" applyNumberFormat="1" applyFont="1" applyFill="1" applyBorder="1"/>
    <xf numFmtId="0" fontId="12" fillId="0" borderId="20" xfId="0" quotePrefix="1" applyFont="1" applyBorder="1"/>
    <xf numFmtId="164" fontId="11" fillId="10" borderId="15" xfId="0" applyNumberFormat="1" applyFont="1" applyFill="1" applyBorder="1" applyAlignment="1">
      <alignment horizontal="center"/>
    </xf>
    <xf numFmtId="165" fontId="12" fillId="10" borderId="15" xfId="0" applyNumberFormat="1" applyFont="1" applyFill="1" applyBorder="1" applyAlignment="1">
      <alignment horizontal="right"/>
    </xf>
    <xf numFmtId="166" fontId="12" fillId="10" borderId="15" xfId="0" applyNumberFormat="1" applyFont="1" applyFill="1" applyBorder="1" applyAlignment="1">
      <alignment horizontal="right"/>
    </xf>
    <xf numFmtId="164" fontId="12" fillId="10" borderId="15" xfId="0" applyNumberFormat="1" applyFont="1" applyFill="1" applyBorder="1" applyAlignment="1">
      <alignment horizontal="center"/>
    </xf>
    <xf numFmtId="0" fontId="12" fillId="10" borderId="14" xfId="0" applyFont="1" applyFill="1" applyBorder="1"/>
    <xf numFmtId="164" fontId="12" fillId="10" borderId="14" xfId="0" applyNumberFormat="1" applyFont="1" applyFill="1" applyBorder="1"/>
    <xf numFmtId="0" fontId="8" fillId="23" borderId="15" xfId="0" applyFont="1" applyFill="1" applyBorder="1"/>
    <xf numFmtId="0" fontId="8" fillId="23" borderId="14" xfId="0" applyFont="1" applyFill="1" applyBorder="1"/>
    <xf numFmtId="164" fontId="8" fillId="23" borderId="14" xfId="0" applyNumberFormat="1" applyFont="1" applyFill="1" applyBorder="1"/>
    <xf numFmtId="164" fontId="8" fillId="23" borderId="13" xfId="0" applyNumberFormat="1" applyFont="1" applyFill="1" applyBorder="1"/>
    <xf numFmtId="164" fontId="11" fillId="2" borderId="20" xfId="0" applyNumberFormat="1" applyFont="1" applyFill="1" applyBorder="1"/>
    <xf numFmtId="165" fontId="25" fillId="2" borderId="15" xfId="0" applyNumberFormat="1" applyFont="1" applyFill="1" applyBorder="1" applyAlignment="1">
      <alignment horizontal="right"/>
    </xf>
    <xf numFmtId="165" fontId="6" fillId="34" borderId="9" xfId="0" applyNumberFormat="1" applyFont="1" applyFill="1" applyBorder="1"/>
    <xf numFmtId="165" fontId="6" fillId="26" borderId="21" xfId="0" applyNumberFormat="1" applyFont="1" applyFill="1" applyBorder="1"/>
    <xf numFmtId="165" fontId="8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1" fillId="24" borderId="15" xfId="0" applyNumberFormat="1" applyFont="1" applyFill="1" applyBorder="1" applyAlignment="1">
      <alignment horizontal="right"/>
    </xf>
    <xf numFmtId="165" fontId="12" fillId="20" borderId="15" xfId="0" applyNumberFormat="1" applyFont="1" applyFill="1" applyBorder="1" applyAlignment="1">
      <alignment horizontal="right"/>
    </xf>
    <xf numFmtId="165" fontId="12" fillId="20" borderId="16" xfId="0" applyNumberFormat="1" applyFont="1" applyFill="1" applyBorder="1" applyAlignment="1">
      <alignment horizontal="right"/>
    </xf>
    <xf numFmtId="165" fontId="11" fillId="20" borderId="15" xfId="0" applyNumberFormat="1" applyFont="1" applyFill="1" applyBorder="1" applyAlignment="1">
      <alignment horizontal="right"/>
    </xf>
    <xf numFmtId="165" fontId="11" fillId="20" borderId="16" xfId="0" applyNumberFormat="1" applyFont="1" applyFill="1" applyBorder="1" applyAlignment="1">
      <alignment horizontal="right"/>
    </xf>
    <xf numFmtId="165" fontId="5" fillId="20" borderId="15" xfId="0" applyNumberFormat="1" applyFont="1" applyFill="1" applyBorder="1" applyAlignment="1">
      <alignment horizontal="right"/>
    </xf>
    <xf numFmtId="165" fontId="5" fillId="20" borderId="16" xfId="0" applyNumberFormat="1" applyFont="1" applyFill="1" applyBorder="1" applyAlignment="1">
      <alignment horizontal="right"/>
    </xf>
    <xf numFmtId="165" fontId="6" fillId="17" borderId="8" xfId="0" applyNumberFormat="1" applyFont="1" applyFill="1" applyBorder="1"/>
    <xf numFmtId="165" fontId="12" fillId="16" borderId="15" xfId="0" applyNumberFormat="1" applyFont="1" applyFill="1" applyBorder="1" applyAlignment="1">
      <alignment horizontal="right"/>
    </xf>
    <xf numFmtId="165" fontId="12" fillId="16" borderId="16" xfId="0" applyNumberFormat="1" applyFont="1" applyFill="1" applyBorder="1" applyAlignment="1">
      <alignment horizontal="right"/>
    </xf>
    <xf numFmtId="165" fontId="11" fillId="16" borderId="15" xfId="0" applyNumberFormat="1" applyFont="1" applyFill="1" applyBorder="1" applyAlignment="1">
      <alignment horizontal="right"/>
    </xf>
    <xf numFmtId="165" fontId="11" fillId="16" borderId="16" xfId="0" applyNumberFormat="1" applyFont="1" applyFill="1" applyBorder="1" applyAlignment="1">
      <alignment horizontal="right"/>
    </xf>
    <xf numFmtId="165" fontId="5" fillId="16" borderId="15" xfId="0" applyNumberFormat="1" applyFont="1" applyFill="1" applyBorder="1" applyAlignment="1">
      <alignment horizontal="right"/>
    </xf>
    <xf numFmtId="165" fontId="5" fillId="16" borderId="16" xfId="0" applyNumberFormat="1" applyFont="1" applyFill="1" applyBorder="1" applyAlignment="1">
      <alignment horizontal="right"/>
    </xf>
    <xf numFmtId="165" fontId="6" fillId="14" borderId="8" xfId="0" applyNumberFormat="1" applyFont="1" applyFill="1" applyBorder="1"/>
    <xf numFmtId="165" fontId="6" fillId="13" borderId="11" xfId="0" applyNumberFormat="1" applyFont="1" applyFill="1" applyBorder="1"/>
    <xf numFmtId="165" fontId="5" fillId="13" borderId="9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center"/>
    </xf>
    <xf numFmtId="165" fontId="25" fillId="2" borderId="16" xfId="0" applyNumberFormat="1" applyFont="1" applyFill="1" applyBorder="1" applyAlignment="1">
      <alignment horizontal="right"/>
    </xf>
    <xf numFmtId="165" fontId="5" fillId="13" borderId="11" xfId="0" applyNumberFormat="1" applyFont="1" applyFill="1" applyBorder="1" applyAlignment="1">
      <alignment horizontal="right"/>
    </xf>
    <xf numFmtId="164" fontId="60" fillId="2" borderId="8" xfId="0" applyNumberFormat="1" applyFont="1" applyFill="1" applyBorder="1"/>
    <xf numFmtId="167" fontId="60" fillId="33" borderId="13" xfId="0" applyNumberFormat="1" applyFont="1" applyFill="1" applyBorder="1"/>
    <xf numFmtId="0" fontId="5" fillId="5" borderId="2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165" fontId="54" fillId="10" borderId="15" xfId="0" applyNumberFormat="1" applyFont="1" applyFill="1" applyBorder="1"/>
    <xf numFmtId="166" fontId="5" fillId="10" borderId="15" xfId="0" applyNumberFormat="1" applyFont="1" applyFill="1" applyBorder="1" applyAlignment="1">
      <alignment horizontal="right"/>
    </xf>
    <xf numFmtId="166" fontId="54" fillId="10" borderId="15" xfId="0" applyNumberFormat="1" applyFont="1" applyFill="1" applyBorder="1"/>
    <xf numFmtId="0" fontId="54" fillId="10" borderId="15" xfId="0" applyFont="1" applyFill="1" applyBorder="1"/>
    <xf numFmtId="0" fontId="54" fillId="10" borderId="14" xfId="0" applyFont="1" applyFill="1" applyBorder="1"/>
    <xf numFmtId="164" fontId="5" fillId="10" borderId="14" xfId="0" applyNumberFormat="1" applyFont="1" applyFill="1" applyBorder="1"/>
    <xf numFmtId="164" fontId="54" fillId="10" borderId="14" xfId="0" applyNumberFormat="1" applyFont="1" applyFill="1" applyBorder="1"/>
    <xf numFmtId="164" fontId="54" fillId="10" borderId="13" xfId="0" applyNumberFormat="1" applyFont="1" applyFill="1" applyBorder="1"/>
    <xf numFmtId="0" fontId="1" fillId="23" borderId="15" xfId="0" applyFont="1" applyFill="1" applyBorder="1"/>
    <xf numFmtId="164" fontId="1" fillId="23" borderId="14" xfId="0" applyNumberFormat="1" applyFont="1" applyFill="1" applyBorder="1"/>
    <xf numFmtId="164" fontId="1" fillId="23" borderId="13" xfId="0" applyNumberFormat="1" applyFont="1" applyFill="1" applyBorder="1"/>
    <xf numFmtId="0" fontId="6" fillId="36" borderId="15" xfId="0" applyFont="1" applyFill="1" applyBorder="1"/>
    <xf numFmtId="0" fontId="5" fillId="33" borderId="15" xfId="0" applyFont="1" applyFill="1" applyBorder="1" applyAlignment="1">
      <alignment horizontal="center" wrapText="1"/>
    </xf>
    <xf numFmtId="0" fontId="12" fillId="10" borderId="15" xfId="0" applyFont="1" applyFill="1" applyBorder="1" applyAlignment="1">
      <alignment horizontal="center"/>
    </xf>
    <xf numFmtId="0" fontId="5" fillId="30" borderId="15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5" fillId="23" borderId="15" xfId="0" applyFont="1" applyFill="1" applyBorder="1" applyAlignment="1">
      <alignment horizontal="center" wrapText="1"/>
    </xf>
    <xf numFmtId="0" fontId="6" fillId="25" borderId="15" xfId="0" applyFont="1" applyFill="1" applyBorder="1"/>
    <xf numFmtId="0" fontId="5" fillId="12" borderId="15" xfId="0" applyFont="1" applyFill="1" applyBorder="1" applyAlignment="1">
      <alignment horizontal="center" wrapText="1"/>
    </xf>
    <xf numFmtId="0" fontId="54" fillId="12" borderId="15" xfId="0" applyFont="1" applyFill="1" applyBorder="1"/>
    <xf numFmtId="0" fontId="54" fillId="12" borderId="14" xfId="0" applyFont="1" applyFill="1" applyBorder="1"/>
    <xf numFmtId="164" fontId="54" fillId="12" borderId="14" xfId="0" applyNumberFormat="1" applyFont="1" applyFill="1" applyBorder="1"/>
    <xf numFmtId="167" fontId="54" fillId="12" borderId="14" xfId="0" applyNumberFormat="1" applyFont="1" applyFill="1" applyBorder="1"/>
    <xf numFmtId="167" fontId="54" fillId="12" borderId="13" xfId="0" applyNumberFormat="1" applyFont="1" applyFill="1" applyBorder="1"/>
    <xf numFmtId="0" fontId="12" fillId="24" borderId="15" xfId="0" applyFont="1" applyFill="1" applyBorder="1" applyAlignment="1">
      <alignment horizontal="right"/>
    </xf>
    <xf numFmtId="165" fontId="2" fillId="0" borderId="9" xfId="0" applyNumberFormat="1" applyFont="1" applyBorder="1"/>
    <xf numFmtId="165" fontId="2" fillId="0" borderId="11" xfId="0" applyNumberFormat="1" applyFont="1" applyBorder="1"/>
    <xf numFmtId="165" fontId="8" fillId="0" borderId="9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8" fillId="0" borderId="10" xfId="0" quotePrefix="1" applyFont="1" applyBorder="1"/>
    <xf numFmtId="164" fontId="2" fillId="0" borderId="8" xfId="0" applyNumberFormat="1" applyFont="1" applyBorder="1"/>
    <xf numFmtId="0" fontId="61" fillId="0" borderId="0" xfId="0" applyFont="1"/>
    <xf numFmtId="165" fontId="11" fillId="0" borderId="9" xfId="0" applyNumberFormat="1" applyFont="1" applyBorder="1"/>
    <xf numFmtId="165" fontId="11" fillId="0" borderId="11" xfId="0" applyNumberFormat="1" applyFont="1" applyBorder="1"/>
    <xf numFmtId="0" fontId="11" fillId="0" borderId="9" xfId="0" applyFont="1" applyBorder="1"/>
    <xf numFmtId="164" fontId="11" fillId="0" borderId="10" xfId="0" applyNumberFormat="1" applyFont="1" applyBorder="1"/>
    <xf numFmtId="164" fontId="11" fillId="0" borderId="8" xfId="0" applyNumberFormat="1" applyFont="1" applyBorder="1"/>
    <xf numFmtId="0" fontId="8" fillId="2" borderId="21" xfId="0" applyFont="1" applyFill="1" applyBorder="1"/>
    <xf numFmtId="164" fontId="8" fillId="2" borderId="20" xfId="0" applyNumberFormat="1" applyFont="1" applyFill="1" applyBorder="1"/>
    <xf numFmtId="164" fontId="8" fillId="2" borderId="19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/>
    <xf numFmtId="166" fontId="8" fillId="0" borderId="15" xfId="0" applyNumberFormat="1" applyFont="1" applyBorder="1"/>
    <xf numFmtId="164" fontId="8" fillId="0" borderId="13" xfId="0" applyNumberFormat="1" applyFont="1" applyBorder="1"/>
    <xf numFmtId="0" fontId="8" fillId="2" borderId="15" xfId="0" applyFont="1" applyFill="1" applyBorder="1"/>
    <xf numFmtId="167" fontId="8" fillId="2" borderId="13" xfId="0" applyNumberFormat="1" applyFont="1" applyFill="1" applyBorder="1"/>
    <xf numFmtId="165" fontId="11" fillId="0" borderId="15" xfId="0" applyNumberFormat="1" applyFont="1" applyBorder="1"/>
    <xf numFmtId="166" fontId="11" fillId="0" borderId="15" xfId="0" applyNumberFormat="1" applyFont="1" applyBorder="1"/>
    <xf numFmtId="0" fontId="11" fillId="2" borderId="15" xfId="0" applyFont="1" applyFill="1" applyBorder="1"/>
    <xf numFmtId="167" fontId="11" fillId="2" borderId="13" xfId="0" applyNumberFormat="1" applyFont="1" applyFill="1" applyBorder="1"/>
    <xf numFmtId="165" fontId="8" fillId="23" borderId="15" xfId="0" applyNumberFormat="1" applyFont="1" applyFill="1" applyBorder="1"/>
    <xf numFmtId="165" fontId="8" fillId="23" borderId="16" xfId="0" applyNumberFormat="1" applyFont="1" applyFill="1" applyBorder="1"/>
    <xf numFmtId="165" fontId="8" fillId="25" borderId="15" xfId="0" applyNumberFormat="1" applyFont="1" applyFill="1" applyBorder="1"/>
    <xf numFmtId="165" fontId="8" fillId="25" borderId="16" xfId="0" applyNumberFormat="1" applyFont="1" applyFill="1" applyBorder="1"/>
    <xf numFmtId="166" fontId="8" fillId="25" borderId="15" xfId="0" applyNumberFormat="1" applyFont="1" applyFill="1" applyBorder="1"/>
    <xf numFmtId="0" fontId="8" fillId="25" borderId="15" xfId="0" applyFont="1" applyFill="1" applyBorder="1"/>
    <xf numFmtId="0" fontId="8" fillId="25" borderId="14" xfId="0" applyFont="1" applyFill="1" applyBorder="1"/>
    <xf numFmtId="164" fontId="8" fillId="25" borderId="14" xfId="0" applyNumberFormat="1" applyFont="1" applyFill="1" applyBorder="1"/>
    <xf numFmtId="46" fontId="2" fillId="2" borderId="19" xfId="0" applyNumberFormat="1" applyFont="1" applyFill="1" applyBorder="1"/>
    <xf numFmtId="0" fontId="62" fillId="0" borderId="10" xfId="0" applyFont="1" applyBorder="1"/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N12" sqref="N1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bestFit="1" customWidth="1"/>
    <col min="12" max="14" width="23" bestFit="1" customWidth="1"/>
    <col min="15" max="15" width="20.140625" bestFit="1" customWidth="1"/>
    <col min="16" max="16" width="22" bestFit="1" customWidth="1"/>
    <col min="17" max="18" width="23" bestFit="1" customWidth="1"/>
    <col min="19" max="19" width="21.28515625" bestFit="1" customWidth="1"/>
    <col min="20" max="20" width="20.140625" bestFit="1" customWidth="1"/>
    <col min="21" max="21" width="22" bestFit="1" customWidth="1"/>
  </cols>
  <sheetData>
    <row r="1" spans="1:21" ht="15.75" customHeight="1" x14ac:dyDescent="0.3">
      <c r="A1" s="790" t="s">
        <v>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1" ht="15.75" customHeight="1" x14ac:dyDescent="0.3">
      <c r="A2" s="790" t="s">
        <v>1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</row>
    <row r="3" spans="1:21" ht="15.75" customHeight="1" x14ac:dyDescent="0.3">
      <c r="A3" s="790" t="s">
        <v>361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792" t="s">
        <v>2</v>
      </c>
      <c r="M4" s="793"/>
      <c r="N4" s="793"/>
      <c r="O4" s="793"/>
      <c r="P4" s="794"/>
      <c r="Q4" s="795" t="s">
        <v>3</v>
      </c>
      <c r="R4" s="793"/>
      <c r="S4" s="793"/>
      <c r="T4" s="793"/>
      <c r="U4" s="794"/>
    </row>
    <row r="5" spans="1:21" ht="15.75" customHeight="1" x14ac:dyDescent="0.3">
      <c r="A5" s="796" t="s">
        <v>4</v>
      </c>
      <c r="B5" s="797"/>
      <c r="C5" s="797"/>
      <c r="D5" s="797"/>
      <c r="E5" s="797"/>
      <c r="F5" s="797"/>
      <c r="G5" s="798"/>
      <c r="H5" s="4" t="s">
        <v>5</v>
      </c>
      <c r="I5" s="800" t="s">
        <v>6</v>
      </c>
      <c r="J5" s="793"/>
      <c r="K5" s="794"/>
      <c r="L5" s="807" t="s">
        <v>7</v>
      </c>
      <c r="M5" s="794"/>
      <c r="N5" s="808" t="s">
        <v>8</v>
      </c>
      <c r="O5" s="793"/>
      <c r="P5" s="794"/>
      <c r="Q5" s="786" t="s">
        <v>7</v>
      </c>
      <c r="R5" s="787"/>
      <c r="S5" s="788" t="s">
        <v>8</v>
      </c>
      <c r="T5" s="789"/>
      <c r="U5" s="787"/>
    </row>
    <row r="6" spans="1:21" ht="15.75" customHeight="1" x14ac:dyDescent="0.3">
      <c r="A6" s="799"/>
      <c r="B6" s="789"/>
      <c r="C6" s="789"/>
      <c r="D6" s="789"/>
      <c r="E6" s="789"/>
      <c r="F6" s="789"/>
      <c r="G6" s="787"/>
      <c r="H6" s="5"/>
      <c r="I6" s="6" t="s">
        <v>9</v>
      </c>
      <c r="J6" s="7" t="s">
        <v>10</v>
      </c>
      <c r="K6" s="6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5.75" customHeight="1" x14ac:dyDescent="0.3">
      <c r="A7" s="801"/>
      <c r="B7" s="793"/>
      <c r="C7" s="793"/>
      <c r="D7" s="793"/>
      <c r="E7" s="793"/>
      <c r="F7" s="793"/>
      <c r="G7" s="794"/>
      <c r="H7" s="18"/>
      <c r="I7" s="19"/>
      <c r="J7" s="19"/>
      <c r="K7" s="20"/>
      <c r="L7" s="20"/>
      <c r="M7" s="20"/>
      <c r="N7" s="20"/>
      <c r="O7" s="20"/>
      <c r="P7" s="20"/>
      <c r="Q7" s="21"/>
      <c r="R7" s="22"/>
      <c r="S7" s="22"/>
      <c r="T7" s="22"/>
      <c r="U7" s="22"/>
    </row>
    <row r="8" spans="1:21" ht="15.75" customHeight="1" x14ac:dyDescent="0.3">
      <c r="A8" s="23"/>
      <c r="B8" s="24"/>
      <c r="C8" s="25"/>
      <c r="D8" s="26"/>
      <c r="E8" s="24"/>
      <c r="F8" s="24"/>
      <c r="G8" s="27"/>
      <c r="H8" s="28"/>
      <c r="I8" s="29"/>
      <c r="J8" s="29"/>
      <c r="K8" s="30"/>
      <c r="L8" s="31"/>
      <c r="M8" s="31"/>
      <c r="N8" s="31"/>
      <c r="O8" s="31"/>
      <c r="P8" s="31"/>
      <c r="Q8" s="32"/>
      <c r="R8" s="33"/>
      <c r="S8" s="33"/>
      <c r="T8" s="33"/>
      <c r="U8" s="33"/>
    </row>
    <row r="9" spans="1:21" ht="15.75" customHeight="1" x14ac:dyDescent="0.25">
      <c r="A9" s="23"/>
      <c r="B9" s="24"/>
      <c r="C9" s="24"/>
      <c r="D9" s="24"/>
      <c r="E9" s="34"/>
      <c r="F9" s="24"/>
      <c r="G9" s="27"/>
      <c r="H9" s="35"/>
      <c r="I9" s="29"/>
      <c r="J9" s="29"/>
      <c r="K9" s="30"/>
      <c r="L9" s="36"/>
      <c r="M9" s="36"/>
      <c r="N9" s="36"/>
      <c r="O9" s="36"/>
      <c r="P9" s="36"/>
      <c r="Q9" s="32"/>
      <c r="R9" s="33"/>
      <c r="S9" s="33"/>
      <c r="T9" s="33"/>
      <c r="U9" s="33"/>
    </row>
    <row r="10" spans="1:21" ht="15.75" customHeight="1" x14ac:dyDescent="0.25">
      <c r="A10" s="23"/>
      <c r="B10" s="24"/>
      <c r="C10" s="24"/>
      <c r="D10" s="24"/>
      <c r="E10" s="34"/>
      <c r="F10" s="24"/>
      <c r="G10" s="27"/>
      <c r="H10" s="35"/>
      <c r="I10" s="29"/>
      <c r="J10" s="29"/>
      <c r="K10" s="30"/>
      <c r="L10" s="36"/>
      <c r="M10" s="36"/>
      <c r="N10" s="36"/>
      <c r="O10" s="36"/>
      <c r="P10" s="36"/>
      <c r="Q10" s="32"/>
      <c r="R10" s="33"/>
      <c r="S10" s="33"/>
      <c r="T10" s="33"/>
      <c r="U10" s="33"/>
    </row>
    <row r="11" spans="1:21" ht="15.75" customHeight="1" x14ac:dyDescent="0.25">
      <c r="A11" s="23"/>
      <c r="B11" s="24"/>
      <c r="C11" s="24"/>
      <c r="D11" s="37"/>
      <c r="E11" s="24"/>
      <c r="F11" s="24"/>
      <c r="G11" s="27"/>
      <c r="H11" s="35"/>
      <c r="I11" s="29"/>
      <c r="J11" s="29"/>
      <c r="K11" s="30"/>
      <c r="L11" s="36"/>
      <c r="M11" s="36"/>
      <c r="N11" s="36"/>
      <c r="O11" s="36"/>
      <c r="P11" s="36"/>
      <c r="Q11" s="32"/>
      <c r="R11" s="33"/>
      <c r="S11" s="33"/>
      <c r="T11" s="33"/>
      <c r="U11" s="33"/>
    </row>
    <row r="12" spans="1:21" ht="15.75" customHeight="1" x14ac:dyDescent="0.25">
      <c r="A12" s="23"/>
      <c r="B12" s="24"/>
      <c r="C12" s="24"/>
      <c r="D12" s="24"/>
      <c r="E12" s="34"/>
      <c r="F12" s="24"/>
      <c r="G12" s="27"/>
      <c r="H12" s="35"/>
      <c r="I12" s="29"/>
      <c r="J12" s="29"/>
      <c r="K12" s="30"/>
      <c r="L12" s="36"/>
      <c r="M12" s="36"/>
      <c r="N12" s="36"/>
      <c r="O12" s="36"/>
      <c r="P12" s="36"/>
      <c r="Q12" s="32"/>
      <c r="R12" s="33"/>
      <c r="S12" s="33"/>
      <c r="T12" s="33"/>
      <c r="U12" s="33"/>
    </row>
    <row r="13" spans="1:21" ht="15.75" customHeight="1" x14ac:dyDescent="0.25">
      <c r="A13" s="23"/>
      <c r="B13" s="24"/>
      <c r="C13" s="24"/>
      <c r="D13" s="24"/>
      <c r="E13" s="34"/>
      <c r="F13" s="24"/>
      <c r="G13" s="27"/>
      <c r="H13" s="35"/>
      <c r="I13" s="29"/>
      <c r="J13" s="29"/>
      <c r="K13" s="30"/>
      <c r="L13" s="36"/>
      <c r="M13" s="36"/>
      <c r="N13" s="36"/>
      <c r="O13" s="36"/>
      <c r="P13" s="36"/>
      <c r="Q13" s="32"/>
      <c r="R13" s="33"/>
      <c r="S13" s="33"/>
      <c r="T13" s="33"/>
      <c r="U13" s="33"/>
    </row>
    <row r="14" spans="1:21" ht="15.75" customHeight="1" x14ac:dyDescent="0.25">
      <c r="A14" s="23"/>
      <c r="B14" s="24"/>
      <c r="C14" s="24"/>
      <c r="D14" s="37"/>
      <c r="E14" s="24"/>
      <c r="F14" s="24"/>
      <c r="G14" s="27"/>
      <c r="H14" s="35"/>
      <c r="I14" s="29"/>
      <c r="J14" s="29"/>
      <c r="K14" s="30"/>
      <c r="L14" s="36"/>
      <c r="M14" s="36"/>
      <c r="N14" s="36"/>
      <c r="O14" s="36"/>
      <c r="P14" s="36"/>
      <c r="Q14" s="32"/>
      <c r="R14" s="33"/>
      <c r="S14" s="33"/>
      <c r="T14" s="33"/>
      <c r="U14" s="33"/>
    </row>
    <row r="15" spans="1:21" ht="15.75" customHeight="1" x14ac:dyDescent="0.25">
      <c r="A15" s="23"/>
      <c r="B15" s="24"/>
      <c r="C15" s="24"/>
      <c r="D15" s="24"/>
      <c r="E15" s="34"/>
      <c r="F15" s="24"/>
      <c r="G15" s="27"/>
      <c r="H15" s="35"/>
      <c r="I15" s="29"/>
      <c r="J15" s="29"/>
      <c r="K15" s="30"/>
      <c r="L15" s="36"/>
      <c r="M15" s="36"/>
      <c r="N15" s="36"/>
      <c r="O15" s="36"/>
      <c r="P15" s="36"/>
      <c r="Q15" s="32"/>
      <c r="R15" s="33"/>
      <c r="S15" s="33"/>
      <c r="T15" s="33"/>
      <c r="U15" s="33"/>
    </row>
    <row r="16" spans="1:21" ht="15.75" customHeight="1" x14ac:dyDescent="0.25">
      <c r="A16" s="38"/>
      <c r="B16" s="39"/>
      <c r="C16" s="39"/>
      <c r="D16" s="39"/>
      <c r="E16" s="40"/>
      <c r="F16" s="39"/>
      <c r="G16" s="41"/>
      <c r="H16" s="42"/>
      <c r="I16" s="43"/>
      <c r="J16" s="43"/>
      <c r="K16" s="44"/>
      <c r="L16" s="45"/>
      <c r="M16" s="45"/>
      <c r="N16" s="45"/>
      <c r="O16" s="45"/>
      <c r="P16" s="45"/>
      <c r="Q16" s="21"/>
      <c r="R16" s="22"/>
      <c r="S16" s="22"/>
      <c r="T16" s="22"/>
      <c r="U16" s="22"/>
    </row>
    <row r="17" spans="1:21" ht="15.75" customHeight="1" x14ac:dyDescent="0.3">
      <c r="A17" s="809" t="s">
        <v>17</v>
      </c>
      <c r="B17" s="789"/>
      <c r="C17" s="789"/>
      <c r="D17" s="789"/>
      <c r="E17" s="789"/>
      <c r="F17" s="789"/>
      <c r="G17" s="787"/>
      <c r="H17" s="46"/>
      <c r="I17" s="47"/>
      <c r="J17" s="47"/>
      <c r="K17" s="48"/>
      <c r="L17" s="48"/>
      <c r="M17" s="48"/>
      <c r="N17" s="48"/>
      <c r="O17" s="48"/>
      <c r="P17" s="48"/>
      <c r="Q17" s="49"/>
      <c r="R17" s="50"/>
      <c r="S17" s="50"/>
      <c r="T17" s="50"/>
      <c r="U17" s="50"/>
    </row>
    <row r="18" spans="1:21" ht="15.75" customHeight="1" x14ac:dyDescent="0.3">
      <c r="A18" s="51"/>
      <c r="B18" s="52"/>
      <c r="C18" s="53" t="s">
        <v>18</v>
      </c>
      <c r="D18" s="54" t="s">
        <v>19</v>
      </c>
      <c r="E18" s="52"/>
      <c r="F18" s="52"/>
      <c r="G18" s="55"/>
      <c r="H18" s="56" t="s">
        <v>14</v>
      </c>
      <c r="I18" s="57"/>
      <c r="J18" s="57"/>
      <c r="K18" s="58"/>
      <c r="L18" s="59">
        <f t="shared" ref="L18:N18" ca="1" si="0">L19+L20</f>
        <v>34548683</v>
      </c>
      <c r="M18" s="60">
        <f t="shared" ca="1" si="0"/>
        <v>35730795.390000001</v>
      </c>
      <c r="N18" s="60">
        <f t="shared" ca="1" si="0"/>
        <v>28587251.329999987</v>
      </c>
      <c r="O18" s="60">
        <f t="shared" ref="O18:O26" ca="1" si="1">IF(L18&gt;0,N18*100/L18,0)</f>
        <v>82.744836698984983</v>
      </c>
      <c r="P18" s="60">
        <f t="shared" ref="P18:P26" ca="1" si="2">IF(M18&gt;0,N18*100/M18,0)</f>
        <v>80.007318667192948</v>
      </c>
      <c r="Q18" s="61">
        <f t="shared" ref="Q18:S18" ca="1" si="3">Q19+Q20</f>
        <v>29529121.649999999</v>
      </c>
      <c r="R18" s="62">
        <f t="shared" ca="1" si="3"/>
        <v>29259367</v>
      </c>
      <c r="S18" s="62">
        <f t="shared" ca="1" si="3"/>
        <v>5140320.04</v>
      </c>
      <c r="T18" s="62">
        <f t="shared" ref="T18:T26" ca="1" si="4">IF(Q18&gt;0,S18*100/Q18,0)</f>
        <v>17.407629325811662</v>
      </c>
      <c r="U18" s="62">
        <f t="shared" ref="U18:U26" ca="1" si="5">IF(R18&gt;0,S18*100/R18,0)</f>
        <v>17.568117724488026</v>
      </c>
    </row>
    <row r="19" spans="1:21" ht="15.75" customHeight="1" x14ac:dyDescent="0.25">
      <c r="A19" s="51"/>
      <c r="B19" s="52"/>
      <c r="C19" s="52"/>
      <c r="D19" s="52"/>
      <c r="E19" s="63" t="s">
        <v>20</v>
      </c>
      <c r="F19" s="52"/>
      <c r="G19" s="55"/>
      <c r="H19" s="64" t="s">
        <v>14</v>
      </c>
      <c r="I19" s="57"/>
      <c r="J19" s="57"/>
      <c r="K19" s="58"/>
      <c r="L19" s="65">
        <f t="shared" ref="L19:N19" ca="1" si="6">L22+L25</f>
        <v>0</v>
      </c>
      <c r="M19" s="66">
        <f t="shared" ca="1" si="6"/>
        <v>0</v>
      </c>
      <c r="N19" s="66">
        <f t="shared" ca="1" si="6"/>
        <v>0</v>
      </c>
      <c r="O19" s="66">
        <f t="shared" ca="1" si="1"/>
        <v>0</v>
      </c>
      <c r="P19" s="66">
        <f t="shared" ca="1" si="2"/>
        <v>0</v>
      </c>
      <c r="Q19" s="65">
        <f t="shared" ref="Q19:S19" ca="1" si="7">Q22+Q25</f>
        <v>0</v>
      </c>
      <c r="R19" s="66">
        <f t="shared" ca="1" si="7"/>
        <v>0</v>
      </c>
      <c r="S19" s="66">
        <f t="shared" ca="1" si="7"/>
        <v>0</v>
      </c>
      <c r="T19" s="66">
        <f t="shared" ca="1" si="4"/>
        <v>0</v>
      </c>
      <c r="U19" s="66">
        <f t="shared" ca="1" si="5"/>
        <v>0</v>
      </c>
    </row>
    <row r="20" spans="1:21" ht="15.75" customHeight="1" x14ac:dyDescent="0.25">
      <c r="A20" s="51"/>
      <c r="B20" s="52"/>
      <c r="C20" s="52"/>
      <c r="D20" s="52"/>
      <c r="E20" s="63" t="s">
        <v>21</v>
      </c>
      <c r="F20" s="52"/>
      <c r="G20" s="55"/>
      <c r="H20" s="64" t="s">
        <v>14</v>
      </c>
      <c r="I20" s="57"/>
      <c r="J20" s="57"/>
      <c r="K20" s="58"/>
      <c r="L20" s="67">
        <f t="shared" ref="L20:N20" ca="1" si="8">L23+L26</f>
        <v>34548683</v>
      </c>
      <c r="M20" s="68">
        <f t="shared" ca="1" si="8"/>
        <v>35730795.390000001</v>
      </c>
      <c r="N20" s="68">
        <f t="shared" ca="1" si="8"/>
        <v>28587251.329999987</v>
      </c>
      <c r="O20" s="68">
        <f t="shared" ca="1" si="1"/>
        <v>82.744836698984983</v>
      </c>
      <c r="P20" s="68">
        <f t="shared" ca="1" si="2"/>
        <v>80.007318667192948</v>
      </c>
      <c r="Q20" s="67">
        <f t="shared" ref="Q20:S20" ca="1" si="9">Q23+Q26</f>
        <v>29529121.649999999</v>
      </c>
      <c r="R20" s="68">
        <f t="shared" ca="1" si="9"/>
        <v>29259367</v>
      </c>
      <c r="S20" s="68">
        <f t="shared" ca="1" si="9"/>
        <v>5140320.04</v>
      </c>
      <c r="T20" s="68">
        <f t="shared" ca="1" si="4"/>
        <v>17.407629325811662</v>
      </c>
      <c r="U20" s="68">
        <f t="shared" ca="1" si="5"/>
        <v>17.568117724488026</v>
      </c>
    </row>
    <row r="21" spans="1:21" ht="15.75" customHeight="1" x14ac:dyDescent="0.25">
      <c r="A21" s="69"/>
      <c r="B21" s="70"/>
      <c r="C21" s="70"/>
      <c r="D21" s="71" t="s">
        <v>22</v>
      </c>
      <c r="E21" s="70"/>
      <c r="F21" s="70"/>
      <c r="G21" s="72"/>
      <c r="H21" s="73" t="s">
        <v>14</v>
      </c>
      <c r="I21" s="74"/>
      <c r="J21" s="74"/>
      <c r="K21" s="75"/>
      <c r="L21" s="76">
        <f t="shared" ref="L21:N21" ca="1" si="10">L22+L23</f>
        <v>34548683</v>
      </c>
      <c r="M21" s="77">
        <f t="shared" ca="1" si="10"/>
        <v>35730795.390000001</v>
      </c>
      <c r="N21" s="77">
        <f t="shared" ca="1" si="10"/>
        <v>28587251.329999987</v>
      </c>
      <c r="O21" s="77">
        <f t="shared" ca="1" si="1"/>
        <v>82.744836698984983</v>
      </c>
      <c r="P21" s="77">
        <f t="shared" ca="1" si="2"/>
        <v>80.007318667192948</v>
      </c>
      <c r="Q21" s="76">
        <f t="shared" ref="Q21:S21" ca="1" si="11">Q22+Q23</f>
        <v>29529121.649999999</v>
      </c>
      <c r="R21" s="77">
        <f t="shared" ca="1" si="11"/>
        <v>29259367</v>
      </c>
      <c r="S21" s="77">
        <f t="shared" ca="1" si="11"/>
        <v>5140320.04</v>
      </c>
      <c r="T21" s="77">
        <f t="shared" ca="1" si="4"/>
        <v>17.407629325811662</v>
      </c>
      <c r="U21" s="77">
        <f t="shared" ca="1" si="5"/>
        <v>17.568117724488026</v>
      </c>
    </row>
    <row r="22" spans="1:21" ht="15.75" customHeight="1" x14ac:dyDescent="0.25">
      <c r="A22" s="69"/>
      <c r="B22" s="70"/>
      <c r="C22" s="70"/>
      <c r="D22" s="70"/>
      <c r="E22" s="78" t="s">
        <v>20</v>
      </c>
      <c r="F22" s="70"/>
      <c r="G22" s="72"/>
      <c r="H22" s="73" t="s">
        <v>14</v>
      </c>
      <c r="I22" s="74"/>
      <c r="J22" s="74"/>
      <c r="K22" s="75"/>
      <c r="L22" s="79">
        <f t="shared" ref="L22:N22" ca="1" si="12">L48+L63+L76+L98+L121+L143+L161+L190+L177+L270+L286+L307+L324+L337+L360+L379+L396+L417+L497+L517+L538+L559+L580+L603+L620+L646+L694+L718+L732+L764</f>
        <v>0</v>
      </c>
      <c r="M22" s="80">
        <f t="shared" ca="1" si="12"/>
        <v>0</v>
      </c>
      <c r="N22" s="80">
        <f t="shared" ca="1" si="12"/>
        <v>0</v>
      </c>
      <c r="O22" s="80">
        <f t="shared" ca="1" si="1"/>
        <v>0</v>
      </c>
      <c r="P22" s="80">
        <f t="shared" ca="1" si="2"/>
        <v>0</v>
      </c>
      <c r="Q22" s="79">
        <f t="shared" ref="Q22:S22" ca="1" si="13">Q48+Q63+Q76+Q98+Q121+Q143+Q161+Q190+Q177+Q270+Q286+Q307+Q324+Q337+Q360+Q379+Q396+Q417+Q497+Q517+Q538+Q559+Q580+Q603+Q620+Q646+Q694+Q718+Q732+Q764</f>
        <v>0</v>
      </c>
      <c r="R22" s="80">
        <f t="shared" ca="1" si="13"/>
        <v>0</v>
      </c>
      <c r="S22" s="80">
        <f t="shared" ca="1" si="13"/>
        <v>0</v>
      </c>
      <c r="T22" s="80">
        <f t="shared" ca="1" si="4"/>
        <v>0</v>
      </c>
      <c r="U22" s="80">
        <f t="shared" ca="1" si="5"/>
        <v>0</v>
      </c>
    </row>
    <row r="23" spans="1:21" ht="15.75" customHeight="1" x14ac:dyDescent="0.25">
      <c r="A23" s="69"/>
      <c r="B23" s="70"/>
      <c r="C23" s="70"/>
      <c r="D23" s="70"/>
      <c r="E23" s="78" t="s">
        <v>21</v>
      </c>
      <c r="F23" s="70"/>
      <c r="G23" s="72"/>
      <c r="H23" s="73" t="s">
        <v>14</v>
      </c>
      <c r="I23" s="74"/>
      <c r="J23" s="74"/>
      <c r="K23" s="75"/>
      <c r="L23" s="76">
        <f t="shared" ref="L23:N23" ca="1" si="14">L49+L64+L77+L99+L122+L144+L162+L191+L178+L271+L287+L308+L325+L338+L361+L380+L397+L418+L498+L518+L539+L560+L581+L604+L621+L647+L695+L719+L733+L765</f>
        <v>34548683</v>
      </c>
      <c r="M23" s="77">
        <f t="shared" ca="1" si="14"/>
        <v>35730795.390000001</v>
      </c>
      <c r="N23" s="77">
        <f t="shared" ca="1" si="14"/>
        <v>28587251.329999987</v>
      </c>
      <c r="O23" s="77">
        <f t="shared" ca="1" si="1"/>
        <v>82.744836698984983</v>
      </c>
      <c r="P23" s="77">
        <f t="shared" ca="1" si="2"/>
        <v>80.007318667192948</v>
      </c>
      <c r="Q23" s="76">
        <f t="shared" ref="Q23:S23" ca="1" si="15">Q49+Q64+Q77+Q99+Q122+Q144+Q162+Q191+Q178+Q271+Q287+Q308+Q325+Q338+Q361+Q380+Q397+Q418+Q498+Q518+Q539+Q560+Q581+Q604+Q621+Q647+Q695+Q719+Q733+Q765</f>
        <v>29529121.649999999</v>
      </c>
      <c r="R23" s="77">
        <f t="shared" ca="1" si="15"/>
        <v>29259367</v>
      </c>
      <c r="S23" s="77">
        <f t="shared" ca="1" si="15"/>
        <v>5140320.04</v>
      </c>
      <c r="T23" s="77">
        <f t="shared" ca="1" si="4"/>
        <v>17.407629325811662</v>
      </c>
      <c r="U23" s="77">
        <f t="shared" ca="1" si="5"/>
        <v>17.568117724488026</v>
      </c>
    </row>
    <row r="24" spans="1:21" ht="15.75" customHeight="1" x14ac:dyDescent="0.25">
      <c r="A24" s="69"/>
      <c r="B24" s="70"/>
      <c r="C24" s="70"/>
      <c r="D24" s="71" t="s">
        <v>23</v>
      </c>
      <c r="E24" s="70"/>
      <c r="F24" s="70"/>
      <c r="G24" s="72"/>
      <c r="H24" s="73" t="s">
        <v>14</v>
      </c>
      <c r="I24" s="74"/>
      <c r="J24" s="74"/>
      <c r="K24" s="75"/>
      <c r="L24" s="76">
        <f t="shared" ref="L24:N24" ca="1" si="16">L25+L26</f>
        <v>0</v>
      </c>
      <c r="M24" s="77">
        <f t="shared" ca="1" si="16"/>
        <v>0</v>
      </c>
      <c r="N24" s="77">
        <f t="shared" ca="1" si="16"/>
        <v>0</v>
      </c>
      <c r="O24" s="77">
        <f t="shared" ca="1" si="1"/>
        <v>0</v>
      </c>
      <c r="P24" s="77">
        <f t="shared" ca="1" si="2"/>
        <v>0</v>
      </c>
      <c r="Q24" s="76">
        <f t="shared" ref="Q24:S24" ca="1" si="17">Q25+Q26</f>
        <v>0</v>
      </c>
      <c r="R24" s="77">
        <f t="shared" ca="1" si="17"/>
        <v>0</v>
      </c>
      <c r="S24" s="77">
        <f t="shared" ca="1" si="17"/>
        <v>0</v>
      </c>
      <c r="T24" s="77">
        <f t="shared" ca="1" si="4"/>
        <v>0</v>
      </c>
      <c r="U24" s="77">
        <f t="shared" ca="1" si="5"/>
        <v>0</v>
      </c>
    </row>
    <row r="25" spans="1:21" ht="15.75" customHeight="1" x14ac:dyDescent="0.25">
      <c r="A25" s="69"/>
      <c r="B25" s="70"/>
      <c r="C25" s="70"/>
      <c r="D25" s="70"/>
      <c r="E25" s="78" t="s">
        <v>20</v>
      </c>
      <c r="F25" s="70"/>
      <c r="G25" s="72"/>
      <c r="H25" s="73" t="s">
        <v>14</v>
      </c>
      <c r="I25" s="74"/>
      <c r="J25" s="74"/>
      <c r="K25" s="75"/>
      <c r="L25" s="79">
        <f t="shared" ref="L25:N25" ca="1" si="18">L51+L66+L79+L101+L124+L146+L164+L193+L180+L273+L289+L310+L327+L340+L363+L382+L399+L420+L500+L520+L541+L562+L583+L606+L623+L649+L697+L721+L735+L767</f>
        <v>0</v>
      </c>
      <c r="M25" s="80">
        <f t="shared" ca="1" si="18"/>
        <v>0</v>
      </c>
      <c r="N25" s="80">
        <f t="shared" ca="1" si="18"/>
        <v>0</v>
      </c>
      <c r="O25" s="80">
        <f t="shared" ca="1" si="1"/>
        <v>0</v>
      </c>
      <c r="P25" s="80">
        <f t="shared" ca="1" si="2"/>
        <v>0</v>
      </c>
      <c r="Q25" s="79">
        <f t="shared" ref="Q25:S25" ca="1" si="19">Q51+Q66+Q79+Q101+Q124+Q146+Q164+Q193+Q180+Q273+Q289+Q310+Q327+Q340+Q363+Q382+Q399+Q420+Q500+Q520+Q541+Q562+Q583+Q606+Q623+Q649+Q697+Q721+Q735+Q767</f>
        <v>0</v>
      </c>
      <c r="R25" s="80">
        <f t="shared" ca="1" si="19"/>
        <v>0</v>
      </c>
      <c r="S25" s="80">
        <f t="shared" ca="1" si="19"/>
        <v>0</v>
      </c>
      <c r="T25" s="80">
        <f t="shared" ca="1" si="4"/>
        <v>0</v>
      </c>
      <c r="U25" s="80">
        <f t="shared" ca="1" si="5"/>
        <v>0</v>
      </c>
    </row>
    <row r="26" spans="1:21" ht="15.75" customHeight="1" x14ac:dyDescent="0.25">
      <c r="A26" s="69"/>
      <c r="B26" s="70"/>
      <c r="C26" s="70"/>
      <c r="D26" s="70"/>
      <c r="E26" s="78" t="s">
        <v>21</v>
      </c>
      <c r="F26" s="70"/>
      <c r="G26" s="72"/>
      <c r="H26" s="73" t="s">
        <v>14</v>
      </c>
      <c r="I26" s="74"/>
      <c r="J26" s="74"/>
      <c r="K26" s="75"/>
      <c r="L26" s="76">
        <f t="shared" ref="L26:N26" ca="1" si="20">L52+L67+L80+L102+L125+L147+L165+L194+L181+L274+L290+L311+L328+L341+L364+L383+L400+L421+L501+L521+L542+L563+L584+L607+L624+L650+L698+L722+L736+L768</f>
        <v>0</v>
      </c>
      <c r="M26" s="77">
        <f t="shared" ca="1" si="20"/>
        <v>0</v>
      </c>
      <c r="N26" s="77">
        <f t="shared" ca="1" si="20"/>
        <v>0</v>
      </c>
      <c r="O26" s="77">
        <f t="shared" ca="1" si="1"/>
        <v>0</v>
      </c>
      <c r="P26" s="77">
        <f t="shared" ca="1" si="2"/>
        <v>0</v>
      </c>
      <c r="Q26" s="79">
        <f t="shared" ref="Q26:S26" ca="1" si="21">Q52+Q67+Q80+Q102+Q125+Q147+Q165+Q194+Q181+Q274+Q290+Q311+Q328+Q341+Q364+Q383+Q400+Q421+Q501+Q521+Q542+Q563+Q584+Q607+Q624+Q650+Q698+Q722+Q736+Q768</f>
        <v>0</v>
      </c>
      <c r="R26" s="80">
        <f t="shared" ca="1" si="21"/>
        <v>0</v>
      </c>
      <c r="S26" s="80">
        <f t="shared" ca="1" si="21"/>
        <v>0</v>
      </c>
      <c r="T26" s="77">
        <f t="shared" ca="1" si="4"/>
        <v>0</v>
      </c>
      <c r="U26" s="77">
        <f t="shared" ca="1" si="5"/>
        <v>0</v>
      </c>
    </row>
    <row r="27" spans="1:21" ht="15.75" customHeight="1" x14ac:dyDescent="0.25">
      <c r="A27" s="81"/>
      <c r="B27" s="82"/>
      <c r="C27" s="82"/>
      <c r="D27" s="83" t="s">
        <v>24</v>
      </c>
      <c r="E27" s="82"/>
      <c r="F27" s="82"/>
      <c r="G27" s="84"/>
      <c r="H27" s="85" t="s">
        <v>14</v>
      </c>
      <c r="I27" s="86"/>
      <c r="J27" s="86"/>
      <c r="K27" s="87"/>
      <c r="L27" s="88"/>
      <c r="M27" s="88"/>
      <c r="N27" s="88"/>
      <c r="O27" s="88"/>
      <c r="P27" s="88"/>
      <c r="Q27" s="89"/>
      <c r="R27" s="90"/>
      <c r="S27" s="90"/>
      <c r="T27" s="90"/>
      <c r="U27" s="90"/>
    </row>
    <row r="28" spans="1:21" ht="15.75" customHeight="1" x14ac:dyDescent="0.25">
      <c r="A28" s="69"/>
      <c r="B28" s="70"/>
      <c r="C28" s="70"/>
      <c r="D28" s="70"/>
      <c r="E28" s="78" t="s">
        <v>20</v>
      </c>
      <c r="F28" s="70"/>
      <c r="G28" s="72"/>
      <c r="H28" s="73" t="s">
        <v>14</v>
      </c>
      <c r="I28" s="74"/>
      <c r="J28" s="74"/>
      <c r="K28" s="75"/>
      <c r="L28" s="91"/>
      <c r="M28" s="91"/>
      <c r="N28" s="91"/>
      <c r="O28" s="91"/>
      <c r="P28" s="91"/>
      <c r="Q28" s="89"/>
      <c r="R28" s="90"/>
      <c r="S28" s="90"/>
      <c r="T28" s="90"/>
      <c r="U28" s="90"/>
    </row>
    <row r="29" spans="1:21" ht="15.75" customHeight="1" x14ac:dyDescent="0.25">
      <c r="A29" s="92"/>
      <c r="B29" s="93"/>
      <c r="C29" s="93"/>
      <c r="D29" s="93"/>
      <c r="E29" s="94" t="s">
        <v>21</v>
      </c>
      <c r="F29" s="93"/>
      <c r="G29" s="95"/>
      <c r="H29" s="96" t="s">
        <v>14</v>
      </c>
      <c r="I29" s="97"/>
      <c r="J29" s="97"/>
      <c r="K29" s="98"/>
      <c r="L29" s="99"/>
      <c r="M29" s="99"/>
      <c r="N29" s="99"/>
      <c r="O29" s="99"/>
      <c r="P29" s="99"/>
      <c r="Q29" s="100"/>
      <c r="R29" s="101"/>
      <c r="S29" s="101"/>
      <c r="T29" s="101"/>
      <c r="U29" s="101"/>
    </row>
    <row r="30" spans="1:21" ht="15.75" customHeight="1" x14ac:dyDescent="0.3">
      <c r="A30" s="810"/>
      <c r="B30" s="789"/>
      <c r="C30" s="789"/>
      <c r="D30" s="789"/>
      <c r="E30" s="789"/>
      <c r="F30" s="789"/>
      <c r="G30" s="787"/>
      <c r="H30" s="41"/>
      <c r="I30" s="43"/>
      <c r="J30" s="43"/>
      <c r="K30" s="44"/>
      <c r="L30" s="44"/>
      <c r="M30" s="44"/>
      <c r="N30" s="44"/>
      <c r="O30" s="44"/>
      <c r="P30" s="44"/>
      <c r="Q30" s="21"/>
      <c r="R30" s="22"/>
      <c r="S30" s="22"/>
      <c r="T30" s="22"/>
      <c r="U30" s="22"/>
    </row>
    <row r="31" spans="1:21" ht="15.75" customHeight="1" x14ac:dyDescent="0.3">
      <c r="A31" s="23"/>
      <c r="B31" s="24"/>
      <c r="C31" s="25"/>
      <c r="D31" s="26"/>
      <c r="E31" s="24"/>
      <c r="F31" s="24"/>
      <c r="G31" s="27"/>
      <c r="H31" s="28"/>
      <c r="I31" s="29"/>
      <c r="J31" s="29"/>
      <c r="K31" s="30"/>
      <c r="L31" s="31"/>
      <c r="M31" s="31"/>
      <c r="N31" s="31"/>
      <c r="O31" s="31"/>
      <c r="P31" s="31"/>
      <c r="Q31" s="32"/>
      <c r="R31" s="33"/>
      <c r="S31" s="33"/>
      <c r="T31" s="33"/>
      <c r="U31" s="33"/>
    </row>
    <row r="32" spans="1:21" ht="15.75" customHeight="1" x14ac:dyDescent="0.25">
      <c r="A32" s="23"/>
      <c r="B32" s="24"/>
      <c r="C32" s="24"/>
      <c r="D32" s="24"/>
      <c r="E32" s="34"/>
      <c r="F32" s="24"/>
      <c r="G32" s="27"/>
      <c r="H32" s="35"/>
      <c r="I32" s="29"/>
      <c r="J32" s="29"/>
      <c r="K32" s="30"/>
      <c r="L32" s="36"/>
      <c r="M32" s="36"/>
      <c r="N32" s="36"/>
      <c r="O32" s="36"/>
      <c r="P32" s="36"/>
      <c r="Q32" s="32"/>
      <c r="R32" s="33"/>
      <c r="S32" s="33"/>
      <c r="T32" s="33"/>
      <c r="U32" s="33"/>
    </row>
    <row r="33" spans="1:21" ht="15.75" customHeight="1" x14ac:dyDescent="0.25">
      <c r="A33" s="23"/>
      <c r="B33" s="24"/>
      <c r="C33" s="24"/>
      <c r="D33" s="24"/>
      <c r="E33" s="34"/>
      <c r="F33" s="24"/>
      <c r="G33" s="27"/>
      <c r="H33" s="35"/>
      <c r="I33" s="29"/>
      <c r="J33" s="29"/>
      <c r="K33" s="30"/>
      <c r="L33" s="36"/>
      <c r="M33" s="36"/>
      <c r="N33" s="36"/>
      <c r="O33" s="36"/>
      <c r="P33" s="36"/>
      <c r="Q33" s="32"/>
      <c r="R33" s="33"/>
      <c r="S33" s="33"/>
      <c r="T33" s="33"/>
      <c r="U33" s="33"/>
    </row>
    <row r="34" spans="1:21" ht="15.75" customHeight="1" x14ac:dyDescent="0.25">
      <c r="A34" s="23"/>
      <c r="B34" s="24"/>
      <c r="C34" s="24"/>
      <c r="D34" s="37"/>
      <c r="E34" s="24"/>
      <c r="F34" s="24"/>
      <c r="G34" s="27"/>
      <c r="H34" s="35"/>
      <c r="I34" s="29"/>
      <c r="J34" s="29"/>
      <c r="K34" s="30"/>
      <c r="L34" s="36"/>
      <c r="M34" s="36"/>
      <c r="N34" s="36"/>
      <c r="O34" s="36"/>
      <c r="P34" s="36"/>
      <c r="Q34" s="32"/>
      <c r="R34" s="33"/>
      <c r="S34" s="33"/>
      <c r="T34" s="33"/>
      <c r="U34" s="33"/>
    </row>
    <row r="35" spans="1:21" ht="18.75" x14ac:dyDescent="0.25">
      <c r="A35" s="23"/>
      <c r="B35" s="24"/>
      <c r="C35" s="24"/>
      <c r="D35" s="24"/>
      <c r="E35" s="34"/>
      <c r="F35" s="24"/>
      <c r="G35" s="27"/>
      <c r="H35" s="35"/>
      <c r="I35" s="29"/>
      <c r="J35" s="29"/>
      <c r="K35" s="30"/>
      <c r="L35" s="36"/>
      <c r="M35" s="36"/>
      <c r="N35" s="36"/>
      <c r="O35" s="36"/>
      <c r="P35" s="36"/>
      <c r="Q35" s="32"/>
      <c r="R35" s="33"/>
      <c r="S35" s="33"/>
      <c r="T35" s="33"/>
      <c r="U35" s="33"/>
    </row>
    <row r="36" spans="1:21" ht="18.75" x14ac:dyDescent="0.25">
      <c r="A36" s="23"/>
      <c r="B36" s="24"/>
      <c r="C36" s="24"/>
      <c r="D36" s="24"/>
      <c r="E36" s="34"/>
      <c r="F36" s="24"/>
      <c r="G36" s="27"/>
      <c r="H36" s="35"/>
      <c r="I36" s="29"/>
      <c r="J36" s="29"/>
      <c r="K36" s="30"/>
      <c r="L36" s="36"/>
      <c r="M36" s="36"/>
      <c r="N36" s="36"/>
      <c r="O36" s="36"/>
      <c r="P36" s="36"/>
      <c r="Q36" s="32"/>
      <c r="R36" s="33"/>
      <c r="S36" s="33"/>
      <c r="T36" s="33"/>
      <c r="U36" s="33"/>
    </row>
    <row r="37" spans="1:21" ht="18.75" x14ac:dyDescent="0.25">
      <c r="A37" s="23"/>
      <c r="B37" s="24"/>
      <c r="C37" s="24"/>
      <c r="D37" s="37"/>
      <c r="E37" s="24"/>
      <c r="F37" s="24"/>
      <c r="G37" s="27"/>
      <c r="H37" s="35"/>
      <c r="I37" s="29"/>
      <c r="J37" s="29"/>
      <c r="K37" s="30"/>
      <c r="L37" s="36"/>
      <c r="M37" s="36"/>
      <c r="N37" s="36"/>
      <c r="O37" s="36"/>
      <c r="P37" s="36"/>
      <c r="Q37" s="32"/>
      <c r="R37" s="33"/>
      <c r="S37" s="33"/>
      <c r="T37" s="33"/>
      <c r="U37" s="33"/>
    </row>
    <row r="38" spans="1:21" ht="18.75" x14ac:dyDescent="0.25">
      <c r="A38" s="23"/>
      <c r="B38" s="24"/>
      <c r="C38" s="24"/>
      <c r="D38" s="24"/>
      <c r="E38" s="34"/>
      <c r="F38" s="24"/>
      <c r="G38" s="27"/>
      <c r="H38" s="35"/>
      <c r="I38" s="29"/>
      <c r="J38" s="29"/>
      <c r="K38" s="30"/>
      <c r="L38" s="36"/>
      <c r="M38" s="36"/>
      <c r="N38" s="36"/>
      <c r="O38" s="36"/>
      <c r="P38" s="36"/>
      <c r="Q38" s="32"/>
      <c r="R38" s="33"/>
      <c r="S38" s="33"/>
      <c r="T38" s="33"/>
      <c r="U38" s="33"/>
    </row>
    <row r="39" spans="1:21" ht="18.75" x14ac:dyDescent="0.25">
      <c r="A39" s="38"/>
      <c r="B39" s="39"/>
      <c r="C39" s="39"/>
      <c r="D39" s="39"/>
      <c r="E39" s="40"/>
      <c r="F39" s="39"/>
      <c r="G39" s="41"/>
      <c r="H39" s="42"/>
      <c r="I39" s="43"/>
      <c r="J39" s="43"/>
      <c r="K39" s="44"/>
      <c r="L39" s="45"/>
      <c r="M39" s="45"/>
      <c r="N39" s="45"/>
      <c r="O39" s="45"/>
      <c r="P39" s="45"/>
      <c r="Q39" s="21"/>
      <c r="R39" s="22"/>
      <c r="S39" s="22"/>
      <c r="T39" s="22"/>
      <c r="U39" s="22"/>
    </row>
    <row r="40" spans="1:21" ht="19.5" x14ac:dyDescent="0.3">
      <c r="A40" s="102" t="s">
        <v>25</v>
      </c>
      <c r="B40" s="103"/>
      <c r="C40" s="103"/>
      <c r="D40" s="103"/>
      <c r="E40" s="103"/>
      <c r="F40" s="103"/>
      <c r="G40" s="104"/>
      <c r="H40" s="104"/>
      <c r="I40" s="105"/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ht="19.5" x14ac:dyDescent="0.3">
      <c r="A41" s="108" t="s">
        <v>26</v>
      </c>
      <c r="B41" s="109"/>
      <c r="C41" s="109"/>
      <c r="D41" s="109"/>
      <c r="E41" s="109"/>
      <c r="F41" s="109"/>
      <c r="G41" s="109"/>
      <c r="H41" s="109"/>
      <c r="I41" s="110"/>
      <c r="J41" s="110"/>
      <c r="K41" s="111"/>
      <c r="L41" s="111"/>
      <c r="M41" s="111"/>
      <c r="N41" s="111"/>
      <c r="O41" s="111"/>
      <c r="P41" s="112"/>
      <c r="Q41" s="111"/>
      <c r="R41" s="111"/>
      <c r="S41" s="111"/>
      <c r="T41" s="111"/>
      <c r="U41" s="112"/>
    </row>
    <row r="42" spans="1:21" ht="19.5" x14ac:dyDescent="0.3">
      <c r="A42" s="113"/>
      <c r="B42" s="114" t="s">
        <v>27</v>
      </c>
      <c r="C42" s="113"/>
      <c r="D42" s="113"/>
      <c r="E42" s="113"/>
      <c r="F42" s="113"/>
      <c r="G42" s="113"/>
      <c r="H42" s="115"/>
      <c r="I42" s="116"/>
      <c r="J42" s="116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ht="19.5" x14ac:dyDescent="0.3">
      <c r="A43" s="23"/>
      <c r="B43" s="24"/>
      <c r="C43" s="25"/>
      <c r="D43" s="26"/>
      <c r="E43" s="24"/>
      <c r="F43" s="24"/>
      <c r="G43" s="27"/>
      <c r="H43" s="28"/>
      <c r="I43" s="29"/>
      <c r="J43" s="29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9.5" x14ac:dyDescent="0.3">
      <c r="A44" s="118"/>
      <c r="B44" s="119"/>
      <c r="C44" s="120" t="s">
        <v>18</v>
      </c>
      <c r="D44" s="121" t="s">
        <v>19</v>
      </c>
      <c r="E44" s="119"/>
      <c r="F44" s="119"/>
      <c r="G44" s="122"/>
      <c r="H44" s="123" t="s">
        <v>14</v>
      </c>
      <c r="I44" s="124"/>
      <c r="J44" s="124"/>
      <c r="K44" s="125"/>
      <c r="L44" s="126">
        <f t="shared" ref="L44:N44" ca="1" si="22">L45+L46</f>
        <v>5596748</v>
      </c>
      <c r="M44" s="127">
        <f t="shared" ca="1" si="22"/>
        <v>6137024.3899999997</v>
      </c>
      <c r="N44" s="127">
        <f t="shared" ca="1" si="22"/>
        <v>5420762.3300000001</v>
      </c>
      <c r="O44" s="127">
        <f t="shared" ref="O44:O52" ca="1" si="23">IF(L44&gt;0,N44*100/L44,0)</f>
        <v>96.855572736167503</v>
      </c>
      <c r="P44" s="127">
        <f t="shared" ref="P44:P52" ca="1" si="24">IF(M44&gt;0,N44*100/M44,0)</f>
        <v>88.328837976151505</v>
      </c>
      <c r="Q44" s="127">
        <f t="shared" ref="Q44:S44" ca="1" si="25">Q45+Q46</f>
        <v>0</v>
      </c>
      <c r="R44" s="127">
        <f t="shared" ca="1" si="25"/>
        <v>0</v>
      </c>
      <c r="S44" s="127">
        <f t="shared" ca="1" si="25"/>
        <v>0</v>
      </c>
      <c r="T44" s="127">
        <f t="shared" ref="T44:T52" ca="1" si="26">IF(Q44&gt;0,S44*100/Q44,0)</f>
        <v>0</v>
      </c>
      <c r="U44" s="127">
        <f t="shared" ref="U44:U52" ca="1" si="27">IF(R44&gt;0,S44*100/R44,0)</f>
        <v>0</v>
      </c>
    </row>
    <row r="45" spans="1:21" ht="18.75" x14ac:dyDescent="0.25">
      <c r="A45" s="118"/>
      <c r="B45" s="119"/>
      <c r="C45" s="119"/>
      <c r="D45" s="119"/>
      <c r="E45" s="128" t="s">
        <v>20</v>
      </c>
      <c r="F45" s="119"/>
      <c r="G45" s="122"/>
      <c r="H45" s="129" t="s">
        <v>14</v>
      </c>
      <c r="I45" s="124"/>
      <c r="J45" s="124"/>
      <c r="K45" s="125"/>
      <c r="L45" s="130">
        <f t="shared" ref="L45:N45" si="28">L48+L51</f>
        <v>0</v>
      </c>
      <c r="M45" s="131">
        <f t="shared" si="28"/>
        <v>0</v>
      </c>
      <c r="N45" s="131">
        <f t="shared" si="28"/>
        <v>0</v>
      </c>
      <c r="O45" s="131">
        <f t="shared" si="23"/>
        <v>0</v>
      </c>
      <c r="P45" s="131">
        <f t="shared" si="24"/>
        <v>0</v>
      </c>
      <c r="Q45" s="131">
        <f t="shared" ref="Q45:S45" si="29">Q48+Q51</f>
        <v>0</v>
      </c>
      <c r="R45" s="131">
        <f t="shared" si="29"/>
        <v>0</v>
      </c>
      <c r="S45" s="131">
        <f t="shared" si="29"/>
        <v>0</v>
      </c>
      <c r="T45" s="131">
        <f t="shared" si="26"/>
        <v>0</v>
      </c>
      <c r="U45" s="131">
        <f t="shared" si="27"/>
        <v>0</v>
      </c>
    </row>
    <row r="46" spans="1:21" ht="18.75" x14ac:dyDescent="0.25">
      <c r="A46" s="118"/>
      <c r="B46" s="119"/>
      <c r="C46" s="119"/>
      <c r="D46" s="119"/>
      <c r="E46" s="128" t="s">
        <v>21</v>
      </c>
      <c r="F46" s="119"/>
      <c r="G46" s="122"/>
      <c r="H46" s="129" t="s">
        <v>14</v>
      </c>
      <c r="I46" s="124"/>
      <c r="J46" s="124"/>
      <c r="K46" s="125"/>
      <c r="L46" s="132">
        <f t="shared" ref="L46:N46" ca="1" si="30">L49+L52</f>
        <v>5596748</v>
      </c>
      <c r="M46" s="133">
        <f t="shared" ca="1" si="30"/>
        <v>6137024.3899999997</v>
      </c>
      <c r="N46" s="133">
        <f t="shared" ca="1" si="30"/>
        <v>5420762.3300000001</v>
      </c>
      <c r="O46" s="133">
        <f t="shared" ca="1" si="23"/>
        <v>96.855572736167503</v>
      </c>
      <c r="P46" s="133">
        <f t="shared" ca="1" si="24"/>
        <v>88.328837976151505</v>
      </c>
      <c r="Q46" s="133">
        <f t="shared" ref="Q46:S46" ca="1" si="31">Q49+Q52</f>
        <v>0</v>
      </c>
      <c r="R46" s="133">
        <f t="shared" ca="1" si="31"/>
        <v>0</v>
      </c>
      <c r="S46" s="133">
        <f t="shared" ca="1" si="31"/>
        <v>0</v>
      </c>
      <c r="T46" s="133">
        <f t="shared" ca="1" si="26"/>
        <v>0</v>
      </c>
      <c r="U46" s="133">
        <f t="shared" ca="1" si="27"/>
        <v>0</v>
      </c>
    </row>
    <row r="47" spans="1:21" ht="18.75" x14ac:dyDescent="0.25">
      <c r="A47" s="69"/>
      <c r="B47" s="70"/>
      <c r="C47" s="70"/>
      <c r="D47" s="71" t="s">
        <v>22</v>
      </c>
      <c r="E47" s="70"/>
      <c r="F47" s="70"/>
      <c r="G47" s="72"/>
      <c r="H47" s="73" t="s">
        <v>14</v>
      </c>
      <c r="I47" s="74"/>
      <c r="J47" s="74"/>
      <c r="K47" s="75"/>
      <c r="L47" s="134">
        <f t="shared" ref="L47:N47" ca="1" si="32">L48+L49</f>
        <v>5596748</v>
      </c>
      <c r="M47" s="135">
        <f t="shared" ca="1" si="32"/>
        <v>6137024.3899999997</v>
      </c>
      <c r="N47" s="135">
        <f t="shared" ca="1" si="32"/>
        <v>5420762.3300000001</v>
      </c>
      <c r="O47" s="135">
        <f t="shared" ca="1" si="23"/>
        <v>96.855572736167503</v>
      </c>
      <c r="P47" s="135">
        <f t="shared" ca="1" si="24"/>
        <v>88.328837976151505</v>
      </c>
      <c r="Q47" s="135">
        <f t="shared" ref="Q47:S47" ca="1" si="33">Q48+Q49</f>
        <v>0</v>
      </c>
      <c r="R47" s="135">
        <f t="shared" ca="1" si="33"/>
        <v>0</v>
      </c>
      <c r="S47" s="135">
        <f t="shared" ca="1" si="33"/>
        <v>0</v>
      </c>
      <c r="T47" s="135">
        <f t="shared" ca="1" si="26"/>
        <v>0</v>
      </c>
      <c r="U47" s="135">
        <f t="shared" ca="1" si="27"/>
        <v>0</v>
      </c>
    </row>
    <row r="48" spans="1:21" ht="18.75" x14ac:dyDescent="0.25">
      <c r="A48" s="69"/>
      <c r="B48" s="70"/>
      <c r="C48" s="70"/>
      <c r="D48" s="70"/>
      <c r="E48" s="78" t="s">
        <v>20</v>
      </c>
      <c r="F48" s="70"/>
      <c r="G48" s="72"/>
      <c r="H48" s="73" t="s">
        <v>14</v>
      </c>
      <c r="I48" s="74"/>
      <c r="J48" s="74"/>
      <c r="K48" s="75"/>
      <c r="L48" s="79">
        <v>0</v>
      </c>
      <c r="M48" s="80">
        <v>0</v>
      </c>
      <c r="N48" s="80">
        <v>0</v>
      </c>
      <c r="O48" s="136">
        <f t="shared" si="23"/>
        <v>0</v>
      </c>
      <c r="P48" s="136">
        <f t="shared" si="24"/>
        <v>0</v>
      </c>
      <c r="Q48" s="80">
        <v>0</v>
      </c>
      <c r="R48" s="80">
        <v>0</v>
      </c>
      <c r="S48" s="80">
        <v>0</v>
      </c>
      <c r="T48" s="136">
        <f t="shared" si="26"/>
        <v>0</v>
      </c>
      <c r="U48" s="136">
        <f t="shared" si="27"/>
        <v>0</v>
      </c>
    </row>
    <row r="49" spans="1:21" ht="18.75" x14ac:dyDescent="0.25">
      <c r="A49" s="69"/>
      <c r="B49" s="70"/>
      <c r="C49" s="70"/>
      <c r="D49" s="70"/>
      <c r="E49" s="78" t="s">
        <v>21</v>
      </c>
      <c r="F49" s="70"/>
      <c r="G49" s="72"/>
      <c r="H49" s="73" t="s">
        <v>14</v>
      </c>
      <c r="I49" s="74"/>
      <c r="J49" s="74"/>
      <c r="K49" s="75"/>
      <c r="L49" s="134">
        <f ca="1">IFERROR(__xludf.DUMMYFUNCTION("IMPORTRANGE(""https://docs.google.com/spreadsheets/d/13wPX838HrBrQMCywv1BsuMkt4PEKTChp52zj44s2izQ/edit?usp=sharing"",""กาญจนบุรี!L49"")+IMPORTRANGE(""https://docs.google.com/spreadsheets/d/1ddFKvqj1W1NEiWytbGlB1zMx_ykJDVtmfEQ-6-lIUBA/edit?usp=sharing"","""&amp;"จันทบุรี!L49"")+IMPORTRANGE(""https://docs.google.com/spreadsheets/d/1T1PQvRODqOBZk8BRht_U031fIS1beLA0Ub2CEytj2q0/edit?usp=sharing"",""ฉะเชิงเทรา!L49"")+IMPORTRANGE(""https://docs.google.com/spreadsheets/d/11tr1B-Bhyr79v2bkwVh5h_fR-PStkgjlZtkrZpYurG0/edit"&amp;"?usp=sharing"",""ชลบุรี!L49"")+IMPORTRANGE(""https://docs.google.com/spreadsheets/d/1hh-FVnSX0vozXhGluamEcS54Dw9_zqW0N7qJUWgJ0Sw/edit?usp=sharing"",""ชัยนาท!L49"")+IMPORTRANGE(""https://docs.google.com/spreadsheets/d/1jkqa6GXxSacMcY1eN8AHjMNJ_7dDXMJVRLDla"&amp;"FSOdPM/edit?usp=sharing"",""ตราด!L49"")+IMPORTRANGE(""https://docs.google.com/spreadsheets/d/18hSgUJ3VwClqi_qtULmmW3cLr0oe3OKaSYoKzdpTsYQ/edit?usp=sharing"",""นครนายก!L49"")+IMPORTRANGE(""https://docs.google.com/spreadsheets/d/1YTZo6WM2dQ6Ix6FSdnL5P7uVnVK"&amp;"u40sxZu975tgG10E/edit?usp=sharing"",""นครปฐม!L49"")+IMPORTRANGE(""https://docs.google.com/spreadsheets/d/1OYoGg4WDg5RIzwGeB10padOxJF9E_Vljuvvct_M7RDo/edit?usp=sharing"",""ปทุมธานี!L49"")+IMPORTRANGE(""https://docs.google.com/spreadsheets/d/1GbCIE4D4wk9FUo"&amp;"zzqk7SxfDMxDVBwVmI5zcaVUSzKAc/edit?usp=sharing"",""ประจวบคีรีขันธ์!L49"")+IMPORTRANGE(""https://docs.google.com/spreadsheets/d/1vVf6wykvW_lAyu7Yo9L4hUTqHqIeP_qcVuxCtosJEbg/edit?usp=sharing"",""ปราจีนบุรี!L49"")+IMPORTRANGE(""https://docs.google.com/spread"&amp;"sheets/d/1BIDqLLg5jk3v59G8NlR8rk5xfQDKne0sAvZHSj7TI6I/edit?usp=sharing"",""พระนครศรีอยุธยา!L49"")+IMPORTRANGE(""https://docs.google.com/spreadsheets/d/1YXvxf8Yu6_rV4hTBrwMqAcAnv6DfhUxh5emyM3CJp_w/edit?usp=sharing"",""เพชรบุรี!L49"")+IMPORTRANGE(""https://"&amp;"docs.google.com/spreadsheets/d/19KBlQQs7uwvsao6t2n-KvW3Ax8J8uRRfZPq1zPbXgKc/edit?usp=sharing"",""ระยอง!L49"")+IMPORTRANGE(""https://docs.google.com/spreadsheets/d/1jQ6P4QcrGM89YfqcC_PxOHGCMq5ezhucwJd8ci-NHng/edit?usp=sharing"",""ราชบุรี!L49"")+IMPORTRANGE"&amp;"(""https://docs.google.com/spreadsheets/d/1lufeA2cfFqM-elVq2hznhDzC6Pr7wkJ9ZG_sYNGCMCU/edit?usp=sharing"",""ลพบุรี!L49"")+IMPORTRANGE(""https://docs.google.com/spreadsheets/d/10oOiF7loTyfsTkbd4MpaIm0HQ9SwB7IYHdIUvt-U1Uc/edit?usp=sharing"",""สระแก้ว!L49"")"&amp;"+IMPORTRANGE(""https://docs.google.com/spreadsheets/d/1xmPlrr1QbdSIKvl1dWUl9K4PjAfSL9oeMr_37QVzcxc/edit?usp=sharing"",""สระบุรี!L49"")+IMPORTRANGE(""https://docs.google.com/spreadsheets/d/1j51vR6CYVGhABJpv6tkstgok82RLpXieLzW1yOY5rHw/edit?usp=sharing"",""ส"&amp;"ิงห์บุรี!L49"")+IMPORTRANGE(""https://docs.google.com/spreadsheets/d/1H1EalTWKUSzO4Z1-1CwzoDUaVffgrThEBe2sl74kKG0/edit?usp=sharing"",""สุพรรณบุรี!L49"")+IMPORTRANGE(""https://docs.google.com/spreadsheets/d/1BmIruG_sIrJLYao_Pdr7zVArWsfoBt2692TMi6x_854/edit"&amp;"?usp=sharing"",""อ่างทอง!L49"")"),5596748)</f>
        <v>5596748</v>
      </c>
      <c r="M49" s="135">
        <f ca="1">IFERROR(__xludf.DUMMYFUNCTION("IMPORTRANGE(""https://docs.google.com/spreadsheets/d/13wPX838HrBrQMCywv1BsuMkt4PEKTChp52zj44s2izQ/edit?usp=sharing"",""กาญจนบุรี!M49"")+IMPORTRANGE(""https://docs.google.com/spreadsheets/d/1ddFKvqj1W1NEiWytbGlB1zMx_ykJDVtmfEQ-6-lIUBA/edit?usp=sharing"","""&amp;"จันทบุรี!M49"")+IMPORTRANGE(""https://docs.google.com/spreadsheets/d/1T1PQvRODqOBZk8BRht_U031fIS1beLA0Ub2CEytj2q0/edit?usp=sharing"",""ฉะเชิงเทรา!M49"")+IMPORTRANGE(""https://docs.google.com/spreadsheets/d/11tr1B-Bhyr79v2bkwVh5h_fR-PStkgjlZtkrZpYurG0/edit"&amp;"?usp=sharing"",""ชลบุรี!M49"")+IMPORTRANGE(""https://docs.google.com/spreadsheets/d/1hh-FVnSX0vozXhGluamEcS54Dw9_zqW0N7qJUWgJ0Sw/edit?usp=sharing"",""ชัยนาท!M49"")+IMPORTRANGE(""https://docs.google.com/spreadsheets/d/1jkqa6GXxSacMcY1eN8AHjMNJ_7dDXMJVRLDla"&amp;"FSOdPM/edit?usp=sharing"",""ตราด!M49"")+IMPORTRANGE(""https://docs.google.com/spreadsheets/d/18hSgUJ3VwClqi_qtULmmW3cLr0oe3OKaSYoKzdpTsYQ/edit?usp=sharing"",""นครนายก!M49"")+IMPORTRANGE(""https://docs.google.com/spreadsheets/d/1YTZo6WM2dQ6Ix6FSdnL5P7uVnVK"&amp;"u40sxZu975tgG10E/edit?usp=sharing"",""นครปฐม!M49"")+IMPORTRANGE(""https://docs.google.com/spreadsheets/d/1OYoGg4WDg5RIzwGeB10padOxJF9E_Vljuvvct_M7RDo/edit?usp=sharing"",""ปทุมธานี!M49"")+IMPORTRANGE(""https://docs.google.com/spreadsheets/d/1GbCIE4D4wk9FUo"&amp;"zzqk7SxfDMxDVBwVmI5zcaVUSzKAc/edit?usp=sharing"",""ประจวบคีรีขันธ์!M49"")+IMPORTRANGE(""https://docs.google.com/spreadsheets/d/1vVf6wykvW_lAyu7Yo9L4hUTqHqIeP_qcVuxCtosJEbg/edit?usp=sharing"",""ปราจีนบุรี!M49"")+IMPORTRANGE(""https://docs.google.com/spread"&amp;"sheets/d/1BIDqLLg5jk3v59G8NlR8rk5xfQDKne0sAvZHSj7TI6I/edit?usp=sharing"",""พระนครศรีอยุธยา!M49"")+IMPORTRANGE(""https://docs.google.com/spreadsheets/d/1YXvxf8Yu6_rV4hTBrwMqAcAnv6DfhUxh5emyM3CJp_w/edit?usp=sharing"",""เพชรบุรี!M49"")+IMPORTRANGE(""https://"&amp;"docs.google.com/spreadsheets/d/19KBlQQs7uwvsao6t2n-KvW3Ax8J8uRRfZPq1zPbXgKc/edit?usp=sharing"",""ระยอง!M49"")+IMPORTRANGE(""https://docs.google.com/spreadsheets/d/1jQ6P4QcrGM89YfqcC_PxOHGCMq5ezhucwJd8ci-NHng/edit?usp=sharing"",""ราชบุรี!M49"")+IMPORTRANGE"&amp;"(""https://docs.google.com/spreadsheets/d/1lufeA2cfFqM-elVq2hznhDzC6Pr7wkJ9ZG_sYNGCMCU/edit?usp=sharing"",""ลพบุรี!M49"")+IMPORTRANGE(""https://docs.google.com/spreadsheets/d/10oOiF7loTyfsTkbd4MpaIm0HQ9SwB7IYHdIUvt-U1Uc/edit?usp=sharing"",""สระแก้ว!M49"")"&amp;"+IMPORTRANGE(""https://docs.google.com/spreadsheets/d/1xmPlrr1QbdSIKvl1dWUl9K4PjAfSL9oeMr_37QVzcxc/edit?usp=sharing"",""สระบุรี!M49"")+IMPORTRANGE(""https://docs.google.com/spreadsheets/d/1j51vR6CYVGhABJpv6tkstgok82RLpXieLzW1yOY5rHw/edit?usp=sharing"",""ส"&amp;"ิงห์บุรี!M49"")+IMPORTRANGE(""https://docs.google.com/spreadsheets/d/1H1EalTWKUSzO4Z1-1CwzoDUaVffgrThEBe2sl74kKG0/edit?usp=sharing"",""สุพรรณบุรี!M49"")+IMPORTRANGE(""https://docs.google.com/spreadsheets/d/1BmIruG_sIrJLYao_Pdr7zVArWsfoBt2692TMi6x_854/edit"&amp;"?usp=sharing"",""อ่างทอง!M49"")"),6137024.39)</f>
        <v>6137024.3899999997</v>
      </c>
      <c r="N49" s="135">
        <f ca="1">IFERROR(__xludf.DUMMYFUNCTION("IMPORTRANGE(""https://docs.google.com/spreadsheets/d/13wPX838HrBrQMCywv1BsuMkt4PEKTChp52zj44s2izQ/edit?usp=sharing"",""กาญจนบุรี!N49"")+IMPORTRANGE(""https://docs.google.com/spreadsheets/d/1ddFKvqj1W1NEiWytbGlB1zMx_ykJDVtmfEQ-6-lIUBA/edit?usp=sharing"","""&amp;"จันทบุรี!N49"")+IMPORTRANGE(""https://docs.google.com/spreadsheets/d/1T1PQvRODqOBZk8BRht_U031fIS1beLA0Ub2CEytj2q0/edit?usp=sharing"",""ฉะเชิงเทรา!N49"")+IMPORTRANGE(""https://docs.google.com/spreadsheets/d/11tr1B-Bhyr79v2bkwVh5h_fR-PStkgjlZtkrZpYurG0/edit"&amp;"?usp=sharing"",""ชลบุรี!N49"")+IMPORTRANGE(""https://docs.google.com/spreadsheets/d/1hh-FVnSX0vozXhGluamEcS54Dw9_zqW0N7qJUWgJ0Sw/edit?usp=sharing"",""ชัยนาท!N49"")+IMPORTRANGE(""https://docs.google.com/spreadsheets/d/1jkqa6GXxSacMcY1eN8AHjMNJ_7dDXMJVRLDla"&amp;"FSOdPM/edit?usp=sharing"",""ตราด!N49"")+IMPORTRANGE(""https://docs.google.com/spreadsheets/d/18hSgUJ3VwClqi_qtULmmW3cLr0oe3OKaSYoKzdpTsYQ/edit?usp=sharing"",""นครนายก!N49"")+IMPORTRANGE(""https://docs.google.com/spreadsheets/d/1YTZo6WM2dQ6Ix6FSdnL5P7uVnVK"&amp;"u40sxZu975tgG10E/edit?usp=sharing"",""นครปฐม!N49"")+IMPORTRANGE(""https://docs.google.com/spreadsheets/d/1OYoGg4WDg5RIzwGeB10padOxJF9E_Vljuvvct_M7RDo/edit?usp=sharing"",""ปทุมธานี!N49"")+IMPORTRANGE(""https://docs.google.com/spreadsheets/d/1GbCIE4D4wk9FUo"&amp;"zzqk7SxfDMxDVBwVmI5zcaVUSzKAc/edit?usp=sharing"",""ประจวบคีรีขันธ์!N49"")+IMPORTRANGE(""https://docs.google.com/spreadsheets/d/1vVf6wykvW_lAyu7Yo9L4hUTqHqIeP_qcVuxCtosJEbg/edit?usp=sharing"",""ปราจีนบุรี!N49"")+IMPORTRANGE(""https://docs.google.com/spread"&amp;"sheets/d/1BIDqLLg5jk3v59G8NlR8rk5xfQDKne0sAvZHSj7TI6I/edit?usp=sharing"",""พระนครศรีอยุธยา!N49"")+IMPORTRANGE(""https://docs.google.com/spreadsheets/d/1YXvxf8Yu6_rV4hTBrwMqAcAnv6DfhUxh5emyM3CJp_w/edit?usp=sharing"",""เพชรบุรี!N49"")+IMPORTRANGE(""https://"&amp;"docs.google.com/spreadsheets/d/19KBlQQs7uwvsao6t2n-KvW3Ax8J8uRRfZPq1zPbXgKc/edit?usp=sharing"",""ระยอง!N49"")+IMPORTRANGE(""https://docs.google.com/spreadsheets/d/1jQ6P4QcrGM89YfqcC_PxOHGCMq5ezhucwJd8ci-NHng/edit?usp=sharing"",""ราชบุรี!N49"")+IMPORTRANGE"&amp;"(""https://docs.google.com/spreadsheets/d/1lufeA2cfFqM-elVq2hznhDzC6Pr7wkJ9ZG_sYNGCMCU/edit?usp=sharing"",""ลพบุรี!N49"")+IMPORTRANGE(""https://docs.google.com/spreadsheets/d/10oOiF7loTyfsTkbd4MpaIm0HQ9SwB7IYHdIUvt-U1Uc/edit?usp=sharing"",""สระแก้ว!N49"")"&amp;"+IMPORTRANGE(""https://docs.google.com/spreadsheets/d/1xmPlrr1QbdSIKvl1dWUl9K4PjAfSL9oeMr_37QVzcxc/edit?usp=sharing"",""สระบุรี!N49"")+IMPORTRANGE(""https://docs.google.com/spreadsheets/d/1j51vR6CYVGhABJpv6tkstgok82RLpXieLzW1yOY5rHw/edit?usp=sharing"",""ส"&amp;"ิงห์บุรี!N49"")+IMPORTRANGE(""https://docs.google.com/spreadsheets/d/1H1EalTWKUSzO4Z1-1CwzoDUaVffgrThEBe2sl74kKG0/edit?usp=sharing"",""สุพรรณบุรี!N49"")+IMPORTRANGE(""https://docs.google.com/spreadsheets/d/1BmIruG_sIrJLYao_Pdr7zVArWsfoBt2692TMi6x_854/edit"&amp;"?usp=sharing"",""อ่างทอง!N49"")"),5420762.33)</f>
        <v>5420762.3300000001</v>
      </c>
      <c r="O49" s="135">
        <f t="shared" ca="1" si="23"/>
        <v>96.855572736167503</v>
      </c>
      <c r="P49" s="135">
        <f t="shared" ca="1" si="24"/>
        <v>88.328837976151505</v>
      </c>
      <c r="Q49" s="77">
        <f ca="1">IFERROR(__xludf.DUMMYFUNCTION("IMPORTRANGE(""https://docs.google.com/spreadsheets/d/13wPX838HrBrQMCywv1BsuMkt4PEKTChp52zj44s2izQ/edit?usp=sharing"",""กาญจนบุรี!Q49"")+IMPORTRANGE(""https://docs.google.com/spreadsheets/d/1ddFKvqj1W1NEiWytbGlB1zMx_ykJDVtmfEQ-6-lIUBA/edit?usp=sharing"","""&amp;"จันทบุรี!Q49"")+IMPORTRANGE(""https://docs.google.com/spreadsheets/d/1T1PQvRODqOBZk8BRht_U031fIS1beLA0Ub2CEytj2q0/edit?usp=sharing"",""ฉะเชิงเทรา!Q49"")+IMPORTRANGE(""https://docs.google.com/spreadsheets/d/11tr1B-Bhyr79v2bkwVh5h_fR-PStkgjlZtkrZpYurG0/edit"&amp;"?usp=sharing"",""ชลบุรี!Q49"")+IMPORTRANGE(""https://docs.google.com/spreadsheets/d/1hh-FVnSX0vozXhGluamEcS54Dw9_zqW0N7qJUWgJ0Sw/edit?usp=sharing"",""ชัยนาท!Q49"")+IMPORTRANGE(""https://docs.google.com/spreadsheets/d/1jkqa6GXxSacMcY1eN8AHjMNJ_7dDXMJVRLDla"&amp;"FSOdPM/edit?usp=sharing"",""ตราด!Q49"")+IMPORTRANGE(""https://docs.google.com/spreadsheets/d/18hSgUJ3VwClqi_qtULmmW3cLr0oe3OKaSYoKzdpTsYQ/edit?usp=sharing"",""นครนายก!Q49"")+IMPORTRANGE(""https://docs.google.com/spreadsheets/d/1YTZo6WM2dQ6Ix6FSdnL5P7uVnVK"&amp;"u40sxZu975tgG10E/edit?usp=sharing"",""นครปฐม!Q49"")+IMPORTRANGE(""https://docs.google.com/spreadsheets/d/1OYoGg4WDg5RIzwGeB10padOxJF9E_Vljuvvct_M7RDo/edit?usp=sharing"",""ปทุมธานี!Q49"")+IMPORTRANGE(""https://docs.google.com/spreadsheets/d/1GbCIE4D4wk9FUo"&amp;"zzqk7SxfDMxDVBwVmI5zcaVUSzKAc/edit?usp=sharing"",""ประจวบคีรีขันธ์!Q49"")+IMPORTRANGE(""https://docs.google.com/spreadsheets/d/1vVf6wykvW_lAyu7Yo9L4hUTqHqIeP_qcVuxCtosJEbg/edit?usp=sharing"",""ปราจีนบุรี!Q49"")+IMPORTRANGE(""https://docs.google.com/spread"&amp;"sheets/d/1BIDqLLg5jk3v59G8NlR8rk5xfQDKne0sAvZHSj7TI6I/edit?usp=sharing"",""พระนครศรีอยุธยา!Q49"")+IMPORTRANGE(""https://docs.google.com/spreadsheets/d/1YXvxf8Yu6_rV4hTBrwMqAcAnv6DfhUxh5emyM3CJp_w/edit?usp=sharing"",""เพชรบุรี!Q49"")+IMPORTRANGE(""https://"&amp;"docs.google.com/spreadsheets/d/19KBlQQs7uwvsao6t2n-KvW3Ax8J8uRRfZPq1zPbXgKc/edit?usp=sharing"",""ระยอง!Q49"")+IMPORTRANGE(""https://docs.google.com/spreadsheets/d/1jQ6P4QcrGM89YfqcC_PxOHGCMq5ezhucwJd8ci-NHng/edit?usp=sharing"",""ราชบุรี!Q49"")+IMPORTRANGE"&amp;"(""https://docs.google.com/spreadsheets/d/1lufeA2cfFqM-elVq2hznhDzC6Pr7wkJ9ZG_sYNGCMCU/edit?usp=sharing"",""ลพบุรี!Q49"")+IMPORTRANGE(""https://docs.google.com/spreadsheets/d/10oOiF7loTyfsTkbd4MpaIm0HQ9SwB7IYHdIUvt-U1Uc/edit?usp=sharing"",""สระแก้ว!Q49"")"&amp;"+IMPORTRANGE(""https://docs.google.com/spreadsheets/d/1xmPlrr1QbdSIKvl1dWUl9K4PjAfSL9oeMr_37QVzcxc/edit?usp=sharing"",""สระบุรี!Q49"")+IMPORTRANGE(""https://docs.google.com/spreadsheets/d/1j51vR6CYVGhABJpv6tkstgok82RLpXieLzW1yOY5rHw/edit?usp=sharing"",""ส"&amp;"ิงห์บุรี!Q49"")+IMPORTRANGE(""https://docs.google.com/spreadsheets/d/1H1EalTWKUSzO4Z1-1CwzoDUaVffgrThEBe2sl74kKG0/edit?usp=sharing"",""สุพรรณบุรี!Q49"")+IMPORTRANGE(""https://docs.google.com/spreadsheets/d/1BmIruG_sIrJLYao_Pdr7zVArWsfoBt2692TMi6x_854/edit"&amp;"?usp=sharing"",""อ่างทอง!Q49"")"),0)</f>
        <v>0</v>
      </c>
      <c r="R49" s="77">
        <f ca="1">IFERROR(__xludf.DUMMYFUNCTION("IMPORTRANGE(""https://docs.google.com/spreadsheets/d/13wPX838HrBrQMCywv1BsuMkt4PEKTChp52zj44s2izQ/edit?usp=sharing"",""กาญจนบุรี!R49"")+IMPORTRANGE(""https://docs.google.com/spreadsheets/d/1ddFKvqj1W1NEiWytbGlB1zMx_ykJDVtmfEQ-6-lIUBA/edit?usp=sharing"","""&amp;"จันทบุรี!R49"")+IMPORTRANGE(""https://docs.google.com/spreadsheets/d/1T1PQvRODqOBZk8BRht_U031fIS1beLA0Ub2CEytj2q0/edit?usp=sharing"",""ฉะเชิงเทรา!R49"")+IMPORTRANGE(""https://docs.google.com/spreadsheets/d/11tr1B-Bhyr79v2bkwVh5h_fR-PStkgjlZtkrZpYurG0/edit"&amp;"?usp=sharing"",""ชลบุรี!R49"")+IMPORTRANGE(""https://docs.google.com/spreadsheets/d/1hh-FVnSX0vozXhGluamEcS54Dw9_zqW0N7qJUWgJ0Sw/edit?usp=sharing"",""ชัยนาท!R49"")+IMPORTRANGE(""https://docs.google.com/spreadsheets/d/1jkqa6GXxSacMcY1eN8AHjMNJ_7dDXMJVRLDla"&amp;"FSOdPM/edit?usp=sharing"",""ตราด!R49"")+IMPORTRANGE(""https://docs.google.com/spreadsheets/d/18hSgUJ3VwClqi_qtULmmW3cLr0oe3OKaSYoKzdpTsYQ/edit?usp=sharing"",""นครนายก!R49"")+IMPORTRANGE(""https://docs.google.com/spreadsheets/d/1YTZo6WM2dQ6Ix6FSdnL5P7uVnVK"&amp;"u40sxZu975tgG10E/edit?usp=sharing"",""นครปฐม!R49"")+IMPORTRANGE(""https://docs.google.com/spreadsheets/d/1OYoGg4WDg5RIzwGeB10padOxJF9E_Vljuvvct_M7RDo/edit?usp=sharing"",""ปทุมธานี!R49"")+IMPORTRANGE(""https://docs.google.com/spreadsheets/d/1GbCIE4D4wk9FUo"&amp;"zzqk7SxfDMxDVBwVmI5zcaVUSzKAc/edit?usp=sharing"",""ประจวบคีรีขันธ์!R49"")+IMPORTRANGE(""https://docs.google.com/spreadsheets/d/1vVf6wykvW_lAyu7Yo9L4hUTqHqIeP_qcVuxCtosJEbg/edit?usp=sharing"",""ปราจีนบุรี!R49"")+IMPORTRANGE(""https://docs.google.com/spread"&amp;"sheets/d/1BIDqLLg5jk3v59G8NlR8rk5xfQDKne0sAvZHSj7TI6I/edit?usp=sharing"",""พระนครศรีอยุธยา!R49"")+IMPORTRANGE(""https://docs.google.com/spreadsheets/d/1YXvxf8Yu6_rV4hTBrwMqAcAnv6DfhUxh5emyM3CJp_w/edit?usp=sharing"",""เพชรบุรี!R49"")+IMPORTRANGE(""https://"&amp;"docs.google.com/spreadsheets/d/19KBlQQs7uwvsao6t2n-KvW3Ax8J8uRRfZPq1zPbXgKc/edit?usp=sharing"",""ระยอง!R49"")+IMPORTRANGE(""https://docs.google.com/spreadsheets/d/1jQ6P4QcrGM89YfqcC_PxOHGCMq5ezhucwJd8ci-NHng/edit?usp=sharing"",""ราชบุรี!R49"")+IMPORTRANGE"&amp;"(""https://docs.google.com/spreadsheets/d/1lufeA2cfFqM-elVq2hznhDzC6Pr7wkJ9ZG_sYNGCMCU/edit?usp=sharing"",""ลพบุรี!R49"")+IMPORTRANGE(""https://docs.google.com/spreadsheets/d/10oOiF7loTyfsTkbd4MpaIm0HQ9SwB7IYHdIUvt-U1Uc/edit?usp=sharing"",""สระแก้ว!R49"")"&amp;"+IMPORTRANGE(""https://docs.google.com/spreadsheets/d/1xmPlrr1QbdSIKvl1dWUl9K4PjAfSL9oeMr_37QVzcxc/edit?usp=sharing"",""สระบุรี!R49"")+IMPORTRANGE(""https://docs.google.com/spreadsheets/d/1j51vR6CYVGhABJpv6tkstgok82RLpXieLzW1yOY5rHw/edit?usp=sharing"",""ส"&amp;"ิงห์บุรี!R49"")+IMPORTRANGE(""https://docs.google.com/spreadsheets/d/1H1EalTWKUSzO4Z1-1CwzoDUaVffgrThEBe2sl74kKG0/edit?usp=sharing"",""สุพรรณบุรี!R49"")+IMPORTRANGE(""https://docs.google.com/spreadsheets/d/1BmIruG_sIrJLYao_Pdr7zVArWsfoBt2692TMi6x_854/edit"&amp;"?usp=sharing"",""อ่างทอง!R49"")"),0)</f>
        <v>0</v>
      </c>
      <c r="S49" s="77">
        <f ca="1">IFERROR(__xludf.DUMMYFUNCTION("IMPORTRANGE(""https://docs.google.com/spreadsheets/d/13wPX838HrBrQMCywv1BsuMkt4PEKTChp52zj44s2izQ/edit?usp=sharing"",""กาญจนบุรี!S49"")+IMPORTRANGE(""https://docs.google.com/spreadsheets/d/1ddFKvqj1W1NEiWytbGlB1zMx_ykJDVtmfEQ-6-lIUBA/edit?usp=sharing"","""&amp;"จันทบุรี!S49"")+IMPORTRANGE(""https://docs.google.com/spreadsheets/d/1T1PQvRODqOBZk8BRht_U031fIS1beLA0Ub2CEytj2q0/edit?usp=sharing"",""ฉะเชิงเทรา!S49"")+IMPORTRANGE(""https://docs.google.com/spreadsheets/d/11tr1B-Bhyr79v2bkwVh5h_fR-PStkgjlZtkrZpYurG0/edit"&amp;"?usp=sharing"",""ชลบุรี!S49"")+IMPORTRANGE(""https://docs.google.com/spreadsheets/d/1hh-FVnSX0vozXhGluamEcS54Dw9_zqW0N7qJUWgJ0Sw/edit?usp=sharing"",""ชัยนาท!S49"")+IMPORTRANGE(""https://docs.google.com/spreadsheets/d/1jkqa6GXxSacMcY1eN8AHjMNJ_7dDXMJVRLDla"&amp;"FSOdPM/edit?usp=sharing"",""ตราด!S49"")+IMPORTRANGE(""https://docs.google.com/spreadsheets/d/18hSgUJ3VwClqi_qtULmmW3cLr0oe3OKaSYoKzdpTsYQ/edit?usp=sharing"",""นครนายก!S49"")+IMPORTRANGE(""https://docs.google.com/spreadsheets/d/1YTZo6WM2dQ6Ix6FSdnL5P7uVnVK"&amp;"u40sxZu975tgG10E/edit?usp=sharing"",""นครปฐม!S49"")+IMPORTRANGE(""https://docs.google.com/spreadsheets/d/1OYoGg4WDg5RIzwGeB10padOxJF9E_Vljuvvct_M7RDo/edit?usp=sharing"",""ปทุมธานี!S49"")+IMPORTRANGE(""https://docs.google.com/spreadsheets/d/1GbCIE4D4wk9FUo"&amp;"zzqk7SxfDMxDVBwVmI5zcaVUSzKAc/edit?usp=sharing"",""ประจวบคีรีขันธ์!S49"")+IMPORTRANGE(""https://docs.google.com/spreadsheets/d/1vVf6wykvW_lAyu7Yo9L4hUTqHqIeP_qcVuxCtosJEbg/edit?usp=sharing"",""ปราจีนบุรี!S49"")+IMPORTRANGE(""https://docs.google.com/spread"&amp;"sheets/d/1BIDqLLg5jk3v59G8NlR8rk5xfQDKne0sAvZHSj7TI6I/edit?usp=sharing"",""พระนครศรีอยุธยา!S49"")+IMPORTRANGE(""https://docs.google.com/spreadsheets/d/1YXvxf8Yu6_rV4hTBrwMqAcAnv6DfhUxh5emyM3CJp_w/edit?usp=sharing"",""เพชรบุรี!S49"")+IMPORTRANGE(""https://"&amp;"docs.google.com/spreadsheets/d/19KBlQQs7uwvsao6t2n-KvW3Ax8J8uRRfZPq1zPbXgKc/edit?usp=sharing"",""ระยอง!S49"")+IMPORTRANGE(""https://docs.google.com/spreadsheets/d/1jQ6P4QcrGM89YfqcC_PxOHGCMq5ezhucwJd8ci-NHng/edit?usp=sharing"",""ราชบุรี!S49"")+IMPORTRANGE"&amp;"(""https://docs.google.com/spreadsheets/d/1lufeA2cfFqM-elVq2hznhDzC6Pr7wkJ9ZG_sYNGCMCU/edit?usp=sharing"",""ลพบุรี!S49"")+IMPORTRANGE(""https://docs.google.com/spreadsheets/d/10oOiF7loTyfsTkbd4MpaIm0HQ9SwB7IYHdIUvt-U1Uc/edit?usp=sharing"",""สระแก้ว!S49"")"&amp;"+IMPORTRANGE(""https://docs.google.com/spreadsheets/d/1xmPlrr1QbdSIKvl1dWUl9K4PjAfSL9oeMr_37QVzcxc/edit?usp=sharing"",""สระบุรี!S49"")+IMPORTRANGE(""https://docs.google.com/spreadsheets/d/1j51vR6CYVGhABJpv6tkstgok82RLpXieLzW1yOY5rHw/edit?usp=sharing"",""ส"&amp;"ิงห์บุรี!S49"")+IMPORTRANGE(""https://docs.google.com/spreadsheets/d/1H1EalTWKUSzO4Z1-1CwzoDUaVffgrThEBe2sl74kKG0/edit?usp=sharing"",""สุพรรณบุรี!S49"")+IMPORTRANGE(""https://docs.google.com/spreadsheets/d/1BmIruG_sIrJLYao_Pdr7zVArWsfoBt2692TMi6x_854/edit"&amp;"?usp=sharing"",""อ่างทอง!S49"")"),0)</f>
        <v>0</v>
      </c>
      <c r="T49" s="135">
        <f t="shared" ca="1" si="26"/>
        <v>0</v>
      </c>
      <c r="U49" s="135">
        <f t="shared" ca="1" si="27"/>
        <v>0</v>
      </c>
    </row>
    <row r="50" spans="1:21" ht="18.75" x14ac:dyDescent="0.25">
      <c r="A50" s="69"/>
      <c r="B50" s="70"/>
      <c r="C50" s="70"/>
      <c r="D50" s="137" t="s">
        <v>23</v>
      </c>
      <c r="E50" s="70"/>
      <c r="F50" s="70"/>
      <c r="G50" s="72"/>
      <c r="H50" s="73" t="s">
        <v>14</v>
      </c>
      <c r="I50" s="74"/>
      <c r="J50" s="74"/>
      <c r="K50" s="75"/>
      <c r="L50" s="134">
        <f t="shared" ref="L50:N50" ca="1" si="34">L51+L52</f>
        <v>0</v>
      </c>
      <c r="M50" s="135">
        <f t="shared" ca="1" si="34"/>
        <v>0</v>
      </c>
      <c r="N50" s="135">
        <f t="shared" ca="1" si="34"/>
        <v>0</v>
      </c>
      <c r="O50" s="135">
        <f t="shared" ca="1" si="23"/>
        <v>0</v>
      </c>
      <c r="P50" s="135">
        <f t="shared" ca="1" si="24"/>
        <v>0</v>
      </c>
      <c r="Q50" s="135">
        <f t="shared" ref="Q50:S50" ca="1" si="35">Q51+Q52</f>
        <v>0</v>
      </c>
      <c r="R50" s="135">
        <f t="shared" ca="1" si="35"/>
        <v>0</v>
      </c>
      <c r="S50" s="135">
        <f t="shared" ca="1" si="35"/>
        <v>0</v>
      </c>
      <c r="T50" s="135">
        <f t="shared" ca="1" si="26"/>
        <v>0</v>
      </c>
      <c r="U50" s="135">
        <f t="shared" ca="1" si="27"/>
        <v>0</v>
      </c>
    </row>
    <row r="51" spans="1:21" ht="18.75" x14ac:dyDescent="0.25">
      <c r="A51" s="69"/>
      <c r="B51" s="70"/>
      <c r="C51" s="70"/>
      <c r="D51" s="70"/>
      <c r="E51" s="78" t="s">
        <v>20</v>
      </c>
      <c r="F51" s="70"/>
      <c r="G51" s="72"/>
      <c r="H51" s="73" t="s">
        <v>14</v>
      </c>
      <c r="I51" s="74"/>
      <c r="J51" s="74"/>
      <c r="K51" s="75"/>
      <c r="L51" s="79">
        <v>0</v>
      </c>
      <c r="M51" s="80">
        <v>0</v>
      </c>
      <c r="N51" s="80">
        <v>0</v>
      </c>
      <c r="O51" s="136">
        <f t="shared" si="23"/>
        <v>0</v>
      </c>
      <c r="P51" s="136">
        <f t="shared" si="24"/>
        <v>0</v>
      </c>
      <c r="Q51" s="80">
        <v>0</v>
      </c>
      <c r="R51" s="80">
        <v>0</v>
      </c>
      <c r="S51" s="80">
        <v>0</v>
      </c>
      <c r="T51" s="136">
        <f t="shared" si="26"/>
        <v>0</v>
      </c>
      <c r="U51" s="136">
        <f t="shared" si="27"/>
        <v>0</v>
      </c>
    </row>
    <row r="52" spans="1:21" ht="18.75" x14ac:dyDescent="0.25">
      <c r="A52" s="69"/>
      <c r="B52" s="70"/>
      <c r="C52" s="70"/>
      <c r="D52" s="70"/>
      <c r="E52" s="78" t="s">
        <v>21</v>
      </c>
      <c r="F52" s="70"/>
      <c r="G52" s="72"/>
      <c r="H52" s="73" t="s">
        <v>14</v>
      </c>
      <c r="I52" s="74"/>
      <c r="J52" s="74"/>
      <c r="K52" s="75"/>
      <c r="L52" s="134">
        <f ca="1">IFERROR(__xludf.DUMMYFUNCTION("IMPORTRANGE(""https://docs.google.com/spreadsheets/d/13wPX838HrBrQMCywv1BsuMkt4PEKTChp52zj44s2izQ/edit?usp=sharing"",""กาญจนบุรี!L52"")+IMPORTRANGE(""https://docs.google.com/spreadsheets/d/1ddFKvqj1W1NEiWytbGlB1zMx_ykJDVtmfEQ-6-lIUBA/edit?usp=sharing"","""&amp;"จันทบุรี!L52"")+IMPORTRANGE(""https://docs.google.com/spreadsheets/d/1T1PQvRODqOBZk8BRht_U031fIS1beLA0Ub2CEytj2q0/edit?usp=sharing"",""ฉะเชิงเทรา!L52"")+IMPORTRANGE(""https://docs.google.com/spreadsheets/d/11tr1B-Bhyr79v2bkwVh5h_fR-PStkgjlZtkrZpYurG0/edit"&amp;"?usp=sharing"",""ชลบุรี!L52"")+IMPORTRANGE(""https://docs.google.com/spreadsheets/d/1hh-FVnSX0vozXhGluamEcS54Dw9_zqW0N7qJUWgJ0Sw/edit?usp=sharing"",""ชัยนาท!L52"")+IMPORTRANGE(""https://docs.google.com/spreadsheets/d/1jkqa6GXxSacMcY1eN8AHjMNJ_7dDXMJVRLDla"&amp;"FSOdPM/edit?usp=sharing"",""ตราด!L52"")+IMPORTRANGE(""https://docs.google.com/spreadsheets/d/18hSgUJ3VwClqi_qtULmmW3cLr0oe3OKaSYoKzdpTsYQ/edit?usp=sharing"",""นครนายก!L52"")+IMPORTRANGE(""https://docs.google.com/spreadsheets/d/1YTZo6WM2dQ6Ix6FSdnL5P7uVnVK"&amp;"u40sxZu975tgG10E/edit?usp=sharing"",""นครปฐม!L52"")+IMPORTRANGE(""https://docs.google.com/spreadsheets/d/1OYoGg4WDg5RIzwGeB10padOxJF9E_Vljuvvct_M7RDo/edit?usp=sharing"",""ปทุมธานี!L52"")+IMPORTRANGE(""https://docs.google.com/spreadsheets/d/1GbCIE4D4wk9FUo"&amp;"zzqk7SxfDMxDVBwVmI5zcaVUSzKAc/edit?usp=sharing"",""ประจวบคีรีขันธ์!L52"")+IMPORTRANGE(""https://docs.google.com/spreadsheets/d/1vVf6wykvW_lAyu7Yo9L4hUTqHqIeP_qcVuxCtosJEbg/edit?usp=sharing"",""ปราจีนบุรี!L52"")+IMPORTRANGE(""https://docs.google.com/spread"&amp;"sheets/d/1BIDqLLg5jk3v59G8NlR8rk5xfQDKne0sAvZHSj7TI6I/edit?usp=sharing"",""พระนครศรีอยุธยา!L52"")+IMPORTRANGE(""https://docs.google.com/spreadsheets/d/1YXvxf8Yu6_rV4hTBrwMqAcAnv6DfhUxh5emyM3CJp_w/edit?usp=sharing"",""เพชรบุรี!L52"")+IMPORTRANGE(""https://"&amp;"docs.google.com/spreadsheets/d/19KBlQQs7uwvsao6t2n-KvW3Ax8J8uRRfZPq1zPbXgKc/edit?usp=sharing"",""ระยอง!L52"")+IMPORTRANGE(""https://docs.google.com/spreadsheets/d/1jQ6P4QcrGM89YfqcC_PxOHGCMq5ezhucwJd8ci-NHng/edit?usp=sharing"",""ราชบุรี!L52"")+IMPORTRANGE"&amp;"(""https://docs.google.com/spreadsheets/d/1lufeA2cfFqM-elVq2hznhDzC6Pr7wkJ9ZG_sYNGCMCU/edit?usp=sharing"",""ลพบุรี!L52"")+IMPORTRANGE(""https://docs.google.com/spreadsheets/d/10oOiF7loTyfsTkbd4MpaIm0HQ9SwB7IYHdIUvt-U1Uc/edit?usp=sharing"",""สระแก้ว!L52"")"&amp;"+IMPORTRANGE(""https://docs.google.com/spreadsheets/d/1xmPlrr1QbdSIKvl1dWUl9K4PjAfSL9oeMr_37QVzcxc/edit?usp=sharing"",""สระบุรี!L52"")+IMPORTRANGE(""https://docs.google.com/spreadsheets/d/1j51vR6CYVGhABJpv6tkstgok82RLpXieLzW1yOY5rHw/edit?usp=sharing"",""ส"&amp;"ิงห์บุรี!L52"")+IMPORTRANGE(""https://docs.google.com/spreadsheets/d/1H1EalTWKUSzO4Z1-1CwzoDUaVffgrThEBe2sl74kKG0/edit?usp=sharing"",""สุพรรณบุรี!L52"")+IMPORTRANGE(""https://docs.google.com/spreadsheets/d/1BmIruG_sIrJLYao_Pdr7zVArWsfoBt2692TMi6x_854/edit"&amp;"?usp=sharing"",""อ่างทอง!L52"")"),0)</f>
        <v>0</v>
      </c>
      <c r="M52" s="135">
        <f ca="1">IFERROR(__xludf.DUMMYFUNCTION("IMPORTRANGE(""https://docs.google.com/spreadsheets/d/13wPX838HrBrQMCywv1BsuMkt4PEKTChp52zj44s2izQ/edit?usp=sharing"",""กาญจนบุรี!M52"")+IMPORTRANGE(""https://docs.google.com/spreadsheets/d/1ddFKvqj1W1NEiWytbGlB1zMx_ykJDVtmfEQ-6-lIUBA/edit?usp=sharing"","""&amp;"จันทบุรี!M52"")+IMPORTRANGE(""https://docs.google.com/spreadsheets/d/1T1PQvRODqOBZk8BRht_U031fIS1beLA0Ub2CEytj2q0/edit?usp=sharing"",""ฉะเชิงเทรา!M52"")+IMPORTRANGE(""https://docs.google.com/spreadsheets/d/11tr1B-Bhyr79v2bkwVh5h_fR-PStkgjlZtkrZpYurG0/edit"&amp;"?usp=sharing"",""ชลบุรี!M52"")+IMPORTRANGE(""https://docs.google.com/spreadsheets/d/1hh-FVnSX0vozXhGluamEcS54Dw9_zqW0N7qJUWgJ0Sw/edit?usp=sharing"",""ชัยนาท!M52"")+IMPORTRANGE(""https://docs.google.com/spreadsheets/d/1jkqa6GXxSacMcY1eN8AHjMNJ_7dDXMJVRLDla"&amp;"FSOdPM/edit?usp=sharing"",""ตราด!M52"")+IMPORTRANGE(""https://docs.google.com/spreadsheets/d/18hSgUJ3VwClqi_qtULmmW3cLr0oe3OKaSYoKzdpTsYQ/edit?usp=sharing"",""นครนายก!M52"")+IMPORTRANGE(""https://docs.google.com/spreadsheets/d/1YTZo6WM2dQ6Ix6FSdnL5P7uVnVK"&amp;"u40sxZu975tgG10E/edit?usp=sharing"",""นครปฐม!M52"")+IMPORTRANGE(""https://docs.google.com/spreadsheets/d/1OYoGg4WDg5RIzwGeB10padOxJF9E_Vljuvvct_M7RDo/edit?usp=sharing"",""ปทุมธานี!M52"")+IMPORTRANGE(""https://docs.google.com/spreadsheets/d/1GbCIE4D4wk9FUo"&amp;"zzqk7SxfDMxDVBwVmI5zcaVUSzKAc/edit?usp=sharing"",""ประจวบคีรีขันธ์!M52"")+IMPORTRANGE(""https://docs.google.com/spreadsheets/d/1vVf6wykvW_lAyu7Yo9L4hUTqHqIeP_qcVuxCtosJEbg/edit?usp=sharing"",""ปราจีนบุรี!M52"")+IMPORTRANGE(""https://docs.google.com/spread"&amp;"sheets/d/1BIDqLLg5jk3v59G8NlR8rk5xfQDKne0sAvZHSj7TI6I/edit?usp=sharing"",""พระนครศรีอยุธยา!M52"")+IMPORTRANGE(""https://docs.google.com/spreadsheets/d/1YXvxf8Yu6_rV4hTBrwMqAcAnv6DfhUxh5emyM3CJp_w/edit?usp=sharing"",""เพชรบุรี!M52"")+IMPORTRANGE(""https://"&amp;"docs.google.com/spreadsheets/d/19KBlQQs7uwvsao6t2n-KvW3Ax8J8uRRfZPq1zPbXgKc/edit?usp=sharing"",""ระยอง!M52"")+IMPORTRANGE(""https://docs.google.com/spreadsheets/d/1jQ6P4QcrGM89YfqcC_PxOHGCMq5ezhucwJd8ci-NHng/edit?usp=sharing"",""ราชบุรี!M52"")+IMPORTRANGE"&amp;"(""https://docs.google.com/spreadsheets/d/1lufeA2cfFqM-elVq2hznhDzC6Pr7wkJ9ZG_sYNGCMCU/edit?usp=sharing"",""ลพบุรี!M52"")+IMPORTRANGE(""https://docs.google.com/spreadsheets/d/10oOiF7loTyfsTkbd4MpaIm0HQ9SwB7IYHdIUvt-U1Uc/edit?usp=sharing"",""สระแก้ว!M52"")"&amp;"+IMPORTRANGE(""https://docs.google.com/spreadsheets/d/1xmPlrr1QbdSIKvl1dWUl9K4PjAfSL9oeMr_37QVzcxc/edit?usp=sharing"",""สระบุรี!M52"")+IMPORTRANGE(""https://docs.google.com/spreadsheets/d/1j51vR6CYVGhABJpv6tkstgok82RLpXieLzW1yOY5rHw/edit?usp=sharing"",""ส"&amp;"ิงห์บุรี!M52"")+IMPORTRANGE(""https://docs.google.com/spreadsheets/d/1H1EalTWKUSzO4Z1-1CwzoDUaVffgrThEBe2sl74kKG0/edit?usp=sharing"",""สุพรรณบุรี!M52"")+IMPORTRANGE(""https://docs.google.com/spreadsheets/d/1BmIruG_sIrJLYao_Pdr7zVArWsfoBt2692TMi6x_854/edit"&amp;"?usp=sharing"",""อ่างทอง!M52"")"),0)</f>
        <v>0</v>
      </c>
      <c r="N52" s="135">
        <f ca="1">IFERROR(__xludf.DUMMYFUNCTION("IMPORTRANGE(""https://docs.google.com/spreadsheets/d/13wPX838HrBrQMCywv1BsuMkt4PEKTChp52zj44s2izQ/edit?usp=sharing"",""กาญจนบุรี!N52"")+IMPORTRANGE(""https://docs.google.com/spreadsheets/d/1ddFKvqj1W1NEiWytbGlB1zMx_ykJDVtmfEQ-6-lIUBA/edit?usp=sharing"","""&amp;"จันทบุรี!N52"")+IMPORTRANGE(""https://docs.google.com/spreadsheets/d/1T1PQvRODqOBZk8BRht_U031fIS1beLA0Ub2CEytj2q0/edit?usp=sharing"",""ฉะเชิงเทรา!N52"")+IMPORTRANGE(""https://docs.google.com/spreadsheets/d/11tr1B-Bhyr79v2bkwVh5h_fR-PStkgjlZtkrZpYurG0/edit"&amp;"?usp=sharing"",""ชลบุรี!N52"")+IMPORTRANGE(""https://docs.google.com/spreadsheets/d/1hh-FVnSX0vozXhGluamEcS54Dw9_zqW0N7qJUWgJ0Sw/edit?usp=sharing"",""ชัยนาท!N52"")+IMPORTRANGE(""https://docs.google.com/spreadsheets/d/1jkqa6GXxSacMcY1eN8AHjMNJ_7dDXMJVRLDla"&amp;"FSOdPM/edit?usp=sharing"",""ตราด!N52"")+IMPORTRANGE(""https://docs.google.com/spreadsheets/d/18hSgUJ3VwClqi_qtULmmW3cLr0oe3OKaSYoKzdpTsYQ/edit?usp=sharing"",""นครนายก!N52"")+IMPORTRANGE(""https://docs.google.com/spreadsheets/d/1YTZo6WM2dQ6Ix6FSdnL5P7uVnVK"&amp;"u40sxZu975tgG10E/edit?usp=sharing"",""นครปฐม!N52"")+IMPORTRANGE(""https://docs.google.com/spreadsheets/d/1OYoGg4WDg5RIzwGeB10padOxJF9E_Vljuvvct_M7RDo/edit?usp=sharing"",""ปทุมธานี!N52"")+IMPORTRANGE(""https://docs.google.com/spreadsheets/d/1GbCIE4D4wk9FUo"&amp;"zzqk7SxfDMxDVBwVmI5zcaVUSzKAc/edit?usp=sharing"",""ประจวบคีรีขันธ์!N52"")+IMPORTRANGE(""https://docs.google.com/spreadsheets/d/1vVf6wykvW_lAyu7Yo9L4hUTqHqIeP_qcVuxCtosJEbg/edit?usp=sharing"",""ปราจีนบุรี!N52"")+IMPORTRANGE(""https://docs.google.com/spread"&amp;"sheets/d/1BIDqLLg5jk3v59G8NlR8rk5xfQDKne0sAvZHSj7TI6I/edit?usp=sharing"",""พระนครศรีอยุธยา!N52"")+IMPORTRANGE(""https://docs.google.com/spreadsheets/d/1YXvxf8Yu6_rV4hTBrwMqAcAnv6DfhUxh5emyM3CJp_w/edit?usp=sharing"",""เพชรบุรี!N52"")+IMPORTRANGE(""https://"&amp;"docs.google.com/spreadsheets/d/19KBlQQs7uwvsao6t2n-KvW3Ax8J8uRRfZPq1zPbXgKc/edit?usp=sharing"",""ระยอง!N52"")+IMPORTRANGE(""https://docs.google.com/spreadsheets/d/1jQ6P4QcrGM89YfqcC_PxOHGCMq5ezhucwJd8ci-NHng/edit?usp=sharing"",""ราชบุรี!N52"")+IMPORTRANGE"&amp;"(""https://docs.google.com/spreadsheets/d/1lufeA2cfFqM-elVq2hznhDzC6Pr7wkJ9ZG_sYNGCMCU/edit?usp=sharing"",""ลพบุรี!N52"")+IMPORTRANGE(""https://docs.google.com/spreadsheets/d/10oOiF7loTyfsTkbd4MpaIm0HQ9SwB7IYHdIUvt-U1Uc/edit?usp=sharing"",""สระแก้ว!N52"")"&amp;"+IMPORTRANGE(""https://docs.google.com/spreadsheets/d/1xmPlrr1QbdSIKvl1dWUl9K4PjAfSL9oeMr_37QVzcxc/edit?usp=sharing"",""สระบุรี!N52"")+IMPORTRANGE(""https://docs.google.com/spreadsheets/d/1j51vR6CYVGhABJpv6tkstgok82RLpXieLzW1yOY5rHw/edit?usp=sharing"",""ส"&amp;"ิงห์บุรี!N52"")+IMPORTRANGE(""https://docs.google.com/spreadsheets/d/1H1EalTWKUSzO4Z1-1CwzoDUaVffgrThEBe2sl74kKG0/edit?usp=sharing"",""สุพรรณบุรี!N52"")+IMPORTRANGE(""https://docs.google.com/spreadsheets/d/1BmIruG_sIrJLYao_Pdr7zVArWsfoBt2692TMi6x_854/edit"&amp;"?usp=sharing"",""อ่างทอง!N52"")"),0)</f>
        <v>0</v>
      </c>
      <c r="O52" s="135">
        <f t="shared" ca="1" si="23"/>
        <v>0</v>
      </c>
      <c r="P52" s="135">
        <f t="shared" ca="1" si="24"/>
        <v>0</v>
      </c>
      <c r="Q52" s="77">
        <f ca="1">IFERROR(__xludf.DUMMYFUNCTION("IMPORTRANGE(""https://docs.google.com/spreadsheets/d/13wPX838HrBrQMCywv1BsuMkt4PEKTChp52zj44s2izQ/edit?usp=sharing"",""กาญจนบุรี!Q52"")+IMPORTRANGE(""https://docs.google.com/spreadsheets/d/1ddFKvqj1W1NEiWytbGlB1zMx_ykJDVtmfEQ-6-lIUBA/edit?usp=sharing"","""&amp;"จันทบุรี!Q52"")+IMPORTRANGE(""https://docs.google.com/spreadsheets/d/1T1PQvRODqOBZk8BRht_U031fIS1beLA0Ub2CEytj2q0/edit?usp=sharing"",""ฉะเชิงเทรา!Q52"")+IMPORTRANGE(""https://docs.google.com/spreadsheets/d/11tr1B-Bhyr79v2bkwVh5h_fR-PStkgjlZtkrZpYurG0/edit"&amp;"?usp=sharing"",""ชลบุรี!Q52"")+IMPORTRANGE(""https://docs.google.com/spreadsheets/d/1hh-FVnSX0vozXhGluamEcS54Dw9_zqW0N7qJUWgJ0Sw/edit?usp=sharing"",""ชัยนาท!Q52"")+IMPORTRANGE(""https://docs.google.com/spreadsheets/d/1jkqa6GXxSacMcY1eN8AHjMNJ_7dDXMJVRLDla"&amp;"FSOdPM/edit?usp=sharing"",""ตราด!Q52"")+IMPORTRANGE(""https://docs.google.com/spreadsheets/d/18hSgUJ3VwClqi_qtULmmW3cLr0oe3OKaSYoKzdpTsYQ/edit?usp=sharing"",""นครนายก!Q52"")+IMPORTRANGE(""https://docs.google.com/spreadsheets/d/1YTZo6WM2dQ6Ix6FSdnL5P7uVnVK"&amp;"u40sxZu975tgG10E/edit?usp=sharing"",""นครปฐม!Q52"")+IMPORTRANGE(""https://docs.google.com/spreadsheets/d/1OYoGg4WDg5RIzwGeB10padOxJF9E_Vljuvvct_M7RDo/edit?usp=sharing"",""ปทุมธานี!Q52"")+IMPORTRANGE(""https://docs.google.com/spreadsheets/d/1GbCIE4D4wk9FUo"&amp;"zzqk7SxfDMxDVBwVmI5zcaVUSzKAc/edit?usp=sharing"",""ประจวบคีรีขันธ์!Q52"")+IMPORTRANGE(""https://docs.google.com/spreadsheets/d/1vVf6wykvW_lAyu7Yo9L4hUTqHqIeP_qcVuxCtosJEbg/edit?usp=sharing"",""ปราจีนบุรี!Q52"")+IMPORTRANGE(""https://docs.google.com/spread"&amp;"sheets/d/1BIDqLLg5jk3v59G8NlR8rk5xfQDKne0sAvZHSj7TI6I/edit?usp=sharing"",""พระนครศรีอยุธยา!Q52"")+IMPORTRANGE(""https://docs.google.com/spreadsheets/d/1YXvxf8Yu6_rV4hTBrwMqAcAnv6DfhUxh5emyM3CJp_w/edit?usp=sharing"",""เพชรบุรี!Q52"")+IMPORTRANGE(""https://"&amp;"docs.google.com/spreadsheets/d/19KBlQQs7uwvsao6t2n-KvW3Ax8J8uRRfZPq1zPbXgKc/edit?usp=sharing"",""ระยอง!Q52"")+IMPORTRANGE(""https://docs.google.com/spreadsheets/d/1jQ6P4QcrGM89YfqcC_PxOHGCMq5ezhucwJd8ci-NHng/edit?usp=sharing"",""ราชบุรี!Q52"")+IMPORTRANGE"&amp;"(""https://docs.google.com/spreadsheets/d/1lufeA2cfFqM-elVq2hznhDzC6Pr7wkJ9ZG_sYNGCMCU/edit?usp=sharing"",""ลพบุรี!Q52"")+IMPORTRANGE(""https://docs.google.com/spreadsheets/d/10oOiF7loTyfsTkbd4MpaIm0HQ9SwB7IYHdIUvt-U1Uc/edit?usp=sharing"",""สระแก้ว!Q52"")"&amp;"+IMPORTRANGE(""https://docs.google.com/spreadsheets/d/1xmPlrr1QbdSIKvl1dWUl9K4PjAfSL9oeMr_37QVzcxc/edit?usp=sharing"",""สระบุรี!Q52"")+IMPORTRANGE(""https://docs.google.com/spreadsheets/d/1j51vR6CYVGhABJpv6tkstgok82RLpXieLzW1yOY5rHw/edit?usp=sharing"",""ส"&amp;"ิงห์บุรี!Q52"")+IMPORTRANGE(""https://docs.google.com/spreadsheets/d/1H1EalTWKUSzO4Z1-1CwzoDUaVffgrThEBe2sl74kKG0/edit?usp=sharing"",""สุพรรณบุรี!Q52"")+IMPORTRANGE(""https://docs.google.com/spreadsheets/d/1BmIruG_sIrJLYao_Pdr7zVArWsfoBt2692TMi6x_854/edit"&amp;"?usp=sharing"",""อ่างทอง!Q52"")"),0)</f>
        <v>0</v>
      </c>
      <c r="R52" s="77">
        <f ca="1">IFERROR(__xludf.DUMMYFUNCTION("IMPORTRANGE(""https://docs.google.com/spreadsheets/d/13wPX838HrBrQMCywv1BsuMkt4PEKTChp52zj44s2izQ/edit?usp=sharing"",""กาญจนบุรี!R52"")+IMPORTRANGE(""https://docs.google.com/spreadsheets/d/1ddFKvqj1W1NEiWytbGlB1zMx_ykJDVtmfEQ-6-lIUBA/edit?usp=sharing"","""&amp;"จันทบุรี!R52"")+IMPORTRANGE(""https://docs.google.com/spreadsheets/d/1T1PQvRODqOBZk8BRht_U031fIS1beLA0Ub2CEytj2q0/edit?usp=sharing"",""ฉะเชิงเทรา!R52"")+IMPORTRANGE(""https://docs.google.com/spreadsheets/d/11tr1B-Bhyr79v2bkwVh5h_fR-PStkgjlZtkrZpYurG0/edit"&amp;"?usp=sharing"",""ชลบุรี!R52"")+IMPORTRANGE(""https://docs.google.com/spreadsheets/d/1hh-FVnSX0vozXhGluamEcS54Dw9_zqW0N7qJUWgJ0Sw/edit?usp=sharing"",""ชัยนาท!R52"")+IMPORTRANGE(""https://docs.google.com/spreadsheets/d/1jkqa6GXxSacMcY1eN8AHjMNJ_7dDXMJVRLDla"&amp;"FSOdPM/edit?usp=sharing"",""ตราด!R52"")+IMPORTRANGE(""https://docs.google.com/spreadsheets/d/18hSgUJ3VwClqi_qtULmmW3cLr0oe3OKaSYoKzdpTsYQ/edit?usp=sharing"",""นครนายก!R52"")+IMPORTRANGE(""https://docs.google.com/spreadsheets/d/1YTZo6WM2dQ6Ix6FSdnL5P7uVnVK"&amp;"u40sxZu975tgG10E/edit?usp=sharing"",""นครปฐม!R52"")+IMPORTRANGE(""https://docs.google.com/spreadsheets/d/1OYoGg4WDg5RIzwGeB10padOxJF9E_Vljuvvct_M7RDo/edit?usp=sharing"",""ปทุมธานี!R52"")+IMPORTRANGE(""https://docs.google.com/spreadsheets/d/1GbCIE4D4wk9FUo"&amp;"zzqk7SxfDMxDVBwVmI5zcaVUSzKAc/edit?usp=sharing"",""ประจวบคีรีขันธ์!R52"")+IMPORTRANGE(""https://docs.google.com/spreadsheets/d/1vVf6wykvW_lAyu7Yo9L4hUTqHqIeP_qcVuxCtosJEbg/edit?usp=sharing"",""ปราจีนบุรี!R52"")+IMPORTRANGE(""https://docs.google.com/spread"&amp;"sheets/d/1BIDqLLg5jk3v59G8NlR8rk5xfQDKne0sAvZHSj7TI6I/edit?usp=sharing"",""พระนครศรีอยุธยา!R52"")+IMPORTRANGE(""https://docs.google.com/spreadsheets/d/1YXvxf8Yu6_rV4hTBrwMqAcAnv6DfhUxh5emyM3CJp_w/edit?usp=sharing"",""เพชรบุรี!R52"")+IMPORTRANGE(""https://"&amp;"docs.google.com/spreadsheets/d/19KBlQQs7uwvsao6t2n-KvW3Ax8J8uRRfZPq1zPbXgKc/edit?usp=sharing"",""ระยอง!R52"")+IMPORTRANGE(""https://docs.google.com/spreadsheets/d/1jQ6P4QcrGM89YfqcC_PxOHGCMq5ezhucwJd8ci-NHng/edit?usp=sharing"",""ราชบุรี!R52"")+IMPORTRANGE"&amp;"(""https://docs.google.com/spreadsheets/d/1lufeA2cfFqM-elVq2hznhDzC6Pr7wkJ9ZG_sYNGCMCU/edit?usp=sharing"",""ลพบุรี!R52"")+IMPORTRANGE(""https://docs.google.com/spreadsheets/d/10oOiF7loTyfsTkbd4MpaIm0HQ9SwB7IYHdIUvt-U1Uc/edit?usp=sharing"",""สระแก้ว!R52"")"&amp;"+IMPORTRANGE(""https://docs.google.com/spreadsheets/d/1xmPlrr1QbdSIKvl1dWUl9K4PjAfSL9oeMr_37QVzcxc/edit?usp=sharing"",""สระบุรี!R52"")+IMPORTRANGE(""https://docs.google.com/spreadsheets/d/1j51vR6CYVGhABJpv6tkstgok82RLpXieLzW1yOY5rHw/edit?usp=sharing"",""ส"&amp;"ิงห์บุรี!R52"")+IMPORTRANGE(""https://docs.google.com/spreadsheets/d/1H1EalTWKUSzO4Z1-1CwzoDUaVffgrThEBe2sl74kKG0/edit?usp=sharing"",""สุพรรณบุรี!R52"")+IMPORTRANGE(""https://docs.google.com/spreadsheets/d/1BmIruG_sIrJLYao_Pdr7zVArWsfoBt2692TMi6x_854/edit"&amp;"?usp=sharing"",""อ่างทอง!R52"")"),0)</f>
        <v>0</v>
      </c>
      <c r="S52" s="77">
        <f ca="1">IFERROR(__xludf.DUMMYFUNCTION("IMPORTRANGE(""https://docs.google.com/spreadsheets/d/13wPX838HrBrQMCywv1BsuMkt4PEKTChp52zj44s2izQ/edit?usp=sharing"",""กาญจนบุรี!S52"")+IMPORTRANGE(""https://docs.google.com/spreadsheets/d/1ddFKvqj1W1NEiWytbGlB1zMx_ykJDVtmfEQ-6-lIUBA/edit?usp=sharing"","""&amp;"จันทบุรี!S52"")+IMPORTRANGE(""https://docs.google.com/spreadsheets/d/1T1PQvRODqOBZk8BRht_U031fIS1beLA0Ub2CEytj2q0/edit?usp=sharing"",""ฉะเชิงเทรา!S52"")+IMPORTRANGE(""https://docs.google.com/spreadsheets/d/11tr1B-Bhyr79v2bkwVh5h_fR-PStkgjlZtkrZpYurG0/edit"&amp;"?usp=sharing"",""ชลบุรี!S52"")+IMPORTRANGE(""https://docs.google.com/spreadsheets/d/1hh-FVnSX0vozXhGluamEcS54Dw9_zqW0N7qJUWgJ0Sw/edit?usp=sharing"",""ชัยนาท!S52"")+IMPORTRANGE(""https://docs.google.com/spreadsheets/d/1jkqa6GXxSacMcY1eN8AHjMNJ_7dDXMJVRLDla"&amp;"FSOdPM/edit?usp=sharing"",""ตราด!S52"")+IMPORTRANGE(""https://docs.google.com/spreadsheets/d/18hSgUJ3VwClqi_qtULmmW3cLr0oe3OKaSYoKzdpTsYQ/edit?usp=sharing"",""นครนายก!S52"")+IMPORTRANGE(""https://docs.google.com/spreadsheets/d/1YTZo6WM2dQ6Ix6FSdnL5P7uVnVK"&amp;"u40sxZu975tgG10E/edit?usp=sharing"",""นครปฐม!S52"")+IMPORTRANGE(""https://docs.google.com/spreadsheets/d/1OYoGg4WDg5RIzwGeB10padOxJF9E_Vljuvvct_M7RDo/edit?usp=sharing"",""ปทุมธานี!S52"")+IMPORTRANGE(""https://docs.google.com/spreadsheets/d/1GbCIE4D4wk9FUo"&amp;"zzqk7SxfDMxDVBwVmI5zcaVUSzKAc/edit?usp=sharing"",""ประจวบคีรีขันธ์!S52"")+IMPORTRANGE(""https://docs.google.com/spreadsheets/d/1vVf6wykvW_lAyu7Yo9L4hUTqHqIeP_qcVuxCtosJEbg/edit?usp=sharing"",""ปราจีนบุรี!S52"")+IMPORTRANGE(""https://docs.google.com/spread"&amp;"sheets/d/1BIDqLLg5jk3v59G8NlR8rk5xfQDKne0sAvZHSj7TI6I/edit?usp=sharing"",""พระนครศรีอยุธยา!S52"")+IMPORTRANGE(""https://docs.google.com/spreadsheets/d/1YXvxf8Yu6_rV4hTBrwMqAcAnv6DfhUxh5emyM3CJp_w/edit?usp=sharing"",""เพชรบุรี!S52"")+IMPORTRANGE(""https://"&amp;"docs.google.com/spreadsheets/d/19KBlQQs7uwvsao6t2n-KvW3Ax8J8uRRfZPq1zPbXgKc/edit?usp=sharing"",""ระยอง!S52"")+IMPORTRANGE(""https://docs.google.com/spreadsheets/d/1jQ6P4QcrGM89YfqcC_PxOHGCMq5ezhucwJd8ci-NHng/edit?usp=sharing"",""ราชบุรี!S52"")+IMPORTRANGE"&amp;"(""https://docs.google.com/spreadsheets/d/1lufeA2cfFqM-elVq2hznhDzC6Pr7wkJ9ZG_sYNGCMCU/edit?usp=sharing"",""ลพบุรี!S52"")+IMPORTRANGE(""https://docs.google.com/spreadsheets/d/10oOiF7loTyfsTkbd4MpaIm0HQ9SwB7IYHdIUvt-U1Uc/edit?usp=sharing"",""สระแก้ว!S52"")"&amp;"+IMPORTRANGE(""https://docs.google.com/spreadsheets/d/1xmPlrr1QbdSIKvl1dWUl9K4PjAfSL9oeMr_37QVzcxc/edit?usp=sharing"",""สระบุรี!S52"")+IMPORTRANGE(""https://docs.google.com/spreadsheets/d/1j51vR6CYVGhABJpv6tkstgok82RLpXieLzW1yOY5rHw/edit?usp=sharing"",""ส"&amp;"ิงห์บุรี!S52"")+IMPORTRANGE(""https://docs.google.com/spreadsheets/d/1H1EalTWKUSzO4Z1-1CwzoDUaVffgrThEBe2sl74kKG0/edit?usp=sharing"",""สุพรรณบุรี!S52"")+IMPORTRANGE(""https://docs.google.com/spreadsheets/d/1BmIruG_sIrJLYao_Pdr7zVArWsfoBt2692TMi6x_854/edit"&amp;"?usp=sharing"",""อ่างทอง!S52"")"),0)</f>
        <v>0</v>
      </c>
      <c r="T52" s="135">
        <f t="shared" ca="1" si="26"/>
        <v>0</v>
      </c>
      <c r="U52" s="135">
        <f t="shared" ca="1" si="27"/>
        <v>0</v>
      </c>
    </row>
    <row r="53" spans="1:21" ht="18.75" x14ac:dyDescent="0.25">
      <c r="A53" s="81"/>
      <c r="B53" s="82"/>
      <c r="C53" s="82"/>
      <c r="D53" s="83" t="s">
        <v>24</v>
      </c>
      <c r="E53" s="82"/>
      <c r="F53" s="82"/>
      <c r="G53" s="84"/>
      <c r="H53" s="85" t="s">
        <v>14</v>
      </c>
      <c r="I53" s="86"/>
      <c r="J53" s="86"/>
      <c r="K53" s="87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1:21" ht="18.75" x14ac:dyDescent="0.25">
      <c r="A54" s="69"/>
      <c r="B54" s="70"/>
      <c r="C54" s="70"/>
      <c r="D54" s="70"/>
      <c r="E54" s="78" t="s">
        <v>20</v>
      </c>
      <c r="F54" s="70"/>
      <c r="G54" s="72"/>
      <c r="H54" s="73" t="s">
        <v>14</v>
      </c>
      <c r="I54" s="74"/>
      <c r="J54" s="74"/>
      <c r="K54" s="75"/>
      <c r="L54" s="91"/>
      <c r="M54" s="91"/>
      <c r="N54" s="91"/>
      <c r="O54" s="91"/>
      <c r="P54" s="91"/>
      <c r="Q54" s="91"/>
      <c r="R54" s="91"/>
      <c r="S54" s="91"/>
      <c r="T54" s="91"/>
      <c r="U54" s="91"/>
    </row>
    <row r="55" spans="1:21" ht="18.75" x14ac:dyDescent="0.25">
      <c r="A55" s="92"/>
      <c r="B55" s="93"/>
      <c r="C55" s="93"/>
      <c r="D55" s="93"/>
      <c r="E55" s="94" t="s">
        <v>21</v>
      </c>
      <c r="F55" s="93"/>
      <c r="G55" s="95"/>
      <c r="H55" s="96" t="s">
        <v>14</v>
      </c>
      <c r="I55" s="97"/>
      <c r="J55" s="97"/>
      <c r="K55" s="98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ht="19.5" x14ac:dyDescent="0.3">
      <c r="A56" s="811" t="s">
        <v>28</v>
      </c>
      <c r="B56" s="793"/>
      <c r="C56" s="793"/>
      <c r="D56" s="793"/>
      <c r="E56" s="793"/>
      <c r="F56" s="793"/>
      <c r="G56" s="793"/>
      <c r="H56" s="138"/>
      <c r="I56" s="139"/>
      <c r="J56" s="139"/>
      <c r="K56" s="140"/>
      <c r="L56" s="140"/>
      <c r="M56" s="140"/>
      <c r="N56" s="140"/>
      <c r="O56" s="140"/>
      <c r="P56" s="141"/>
      <c r="Q56" s="142"/>
      <c r="R56" s="143"/>
      <c r="S56" s="143"/>
      <c r="T56" s="143"/>
      <c r="U56" s="144"/>
    </row>
    <row r="57" spans="1:21" ht="19.5" x14ac:dyDescent="0.3">
      <c r="A57" s="145"/>
      <c r="B57" s="812" t="s">
        <v>29</v>
      </c>
      <c r="C57" s="804"/>
      <c r="D57" s="804"/>
      <c r="E57" s="804"/>
      <c r="F57" s="804"/>
      <c r="G57" s="805"/>
      <c r="H57" s="146"/>
      <c r="I57" s="147"/>
      <c r="J57" s="147"/>
      <c r="K57" s="148"/>
      <c r="L57" s="148"/>
      <c r="M57" s="148"/>
      <c r="N57" s="148"/>
      <c r="O57" s="148"/>
      <c r="P57" s="148"/>
      <c r="Q57" s="149"/>
      <c r="R57" s="150"/>
      <c r="S57" s="150"/>
      <c r="T57" s="150"/>
      <c r="U57" s="150"/>
    </row>
    <row r="58" spans="1:21" ht="19.5" x14ac:dyDescent="0.3">
      <c r="A58" s="151"/>
      <c r="B58" s="152" t="s">
        <v>30</v>
      </c>
      <c r="C58" s="153"/>
      <c r="D58" s="153"/>
      <c r="E58" s="153"/>
      <c r="F58" s="153"/>
      <c r="G58" s="154"/>
      <c r="H58" s="154"/>
      <c r="I58" s="155"/>
      <c r="J58" s="155"/>
      <c r="K58" s="156"/>
      <c r="L58" s="156"/>
      <c r="M58" s="156"/>
      <c r="N58" s="156"/>
      <c r="O58" s="156"/>
      <c r="P58" s="156"/>
      <c r="Q58" s="157"/>
      <c r="R58" s="158"/>
      <c r="S58" s="158"/>
      <c r="T58" s="158"/>
      <c r="U58" s="158"/>
    </row>
    <row r="59" spans="1:21" ht="19.5" x14ac:dyDescent="0.3">
      <c r="A59" s="159"/>
      <c r="B59" s="160"/>
      <c r="C59" s="161" t="s">
        <v>18</v>
      </c>
      <c r="D59" s="162" t="s">
        <v>19</v>
      </c>
      <c r="E59" s="160"/>
      <c r="F59" s="160"/>
      <c r="G59" s="163"/>
      <c r="H59" s="164" t="s">
        <v>14</v>
      </c>
      <c r="I59" s="165"/>
      <c r="J59" s="165"/>
      <c r="K59" s="166"/>
      <c r="L59" s="167">
        <f t="shared" ref="L59:N59" ca="1" si="36">L60+L61</f>
        <v>9570900</v>
      </c>
      <c r="M59" s="167">
        <f t="shared" ca="1" si="36"/>
        <v>9788980</v>
      </c>
      <c r="N59" s="167">
        <f t="shared" ca="1" si="36"/>
        <v>8997028.1999999993</v>
      </c>
      <c r="O59" s="167">
        <f t="shared" ref="O59:O67" ca="1" si="37">IF(L59&gt;0,N59*100/L59,0)</f>
        <v>94.003993354856902</v>
      </c>
      <c r="P59" s="167">
        <f t="shared" ref="P59:P67" ca="1" si="38">IF(M59&gt;0,N59*100/M59,0)</f>
        <v>91.909761793363543</v>
      </c>
      <c r="Q59" s="168">
        <f t="shared" ref="Q59:S59" ca="1" si="39">Q60+Q61</f>
        <v>0</v>
      </c>
      <c r="R59" s="169">
        <f t="shared" ca="1" si="39"/>
        <v>0</v>
      </c>
      <c r="S59" s="169">
        <f t="shared" ca="1" si="39"/>
        <v>0</v>
      </c>
      <c r="T59" s="169">
        <f t="shared" ref="T59:T67" ca="1" si="40">IF(Q59&gt;0,S59*100/Q59,0)</f>
        <v>0</v>
      </c>
      <c r="U59" s="169">
        <f t="shared" ref="U59:U67" ca="1" si="41">IF(R59&gt;0,S59*100/R59,0)</f>
        <v>0</v>
      </c>
    </row>
    <row r="60" spans="1:21" ht="18.75" x14ac:dyDescent="0.25">
      <c r="A60" s="159"/>
      <c r="B60" s="160"/>
      <c r="C60" s="160"/>
      <c r="D60" s="160"/>
      <c r="E60" s="170" t="s">
        <v>20</v>
      </c>
      <c r="F60" s="160"/>
      <c r="G60" s="163"/>
      <c r="H60" s="171" t="s">
        <v>14</v>
      </c>
      <c r="I60" s="165"/>
      <c r="J60" s="165"/>
      <c r="K60" s="166"/>
      <c r="L60" s="172">
        <f t="shared" ref="L60:N60" ca="1" si="42">L63+L66</f>
        <v>0</v>
      </c>
      <c r="M60" s="172">
        <f t="shared" ca="1" si="42"/>
        <v>0</v>
      </c>
      <c r="N60" s="172">
        <f t="shared" ca="1" si="42"/>
        <v>0</v>
      </c>
      <c r="O60" s="172">
        <f t="shared" ca="1" si="37"/>
        <v>0</v>
      </c>
      <c r="P60" s="172">
        <f t="shared" ca="1" si="38"/>
        <v>0</v>
      </c>
      <c r="Q60" s="173">
        <f t="shared" ref="Q60:S60" ca="1" si="43">Q63+Q66</f>
        <v>0</v>
      </c>
      <c r="R60" s="174">
        <f t="shared" ca="1" si="43"/>
        <v>0</v>
      </c>
      <c r="S60" s="174">
        <f t="shared" ca="1" si="43"/>
        <v>0</v>
      </c>
      <c r="T60" s="174">
        <f t="shared" ca="1" si="40"/>
        <v>0</v>
      </c>
      <c r="U60" s="174">
        <f t="shared" ca="1" si="41"/>
        <v>0</v>
      </c>
    </row>
    <row r="61" spans="1:21" ht="18.75" x14ac:dyDescent="0.25">
      <c r="A61" s="159"/>
      <c r="B61" s="160"/>
      <c r="C61" s="160"/>
      <c r="D61" s="160"/>
      <c r="E61" s="170" t="s">
        <v>21</v>
      </c>
      <c r="F61" s="160"/>
      <c r="G61" s="163"/>
      <c r="H61" s="171" t="s">
        <v>14</v>
      </c>
      <c r="I61" s="165"/>
      <c r="J61" s="165"/>
      <c r="K61" s="166"/>
      <c r="L61" s="172">
        <f t="shared" ref="L61:N61" ca="1" si="44">L64+L67</f>
        <v>9570900</v>
      </c>
      <c r="M61" s="172">
        <f t="shared" ca="1" si="44"/>
        <v>9788980</v>
      </c>
      <c r="N61" s="172">
        <f t="shared" ca="1" si="44"/>
        <v>8997028.1999999993</v>
      </c>
      <c r="O61" s="172">
        <f t="shared" ca="1" si="37"/>
        <v>94.003993354856902</v>
      </c>
      <c r="P61" s="172">
        <f t="shared" ca="1" si="38"/>
        <v>91.909761793363543</v>
      </c>
      <c r="Q61" s="175">
        <f t="shared" ref="Q61:S61" ca="1" si="45">Q64+Q67</f>
        <v>0</v>
      </c>
      <c r="R61" s="176">
        <f t="shared" ca="1" si="45"/>
        <v>0</v>
      </c>
      <c r="S61" s="176">
        <f t="shared" ca="1" si="45"/>
        <v>0</v>
      </c>
      <c r="T61" s="176">
        <f t="shared" ca="1" si="40"/>
        <v>0</v>
      </c>
      <c r="U61" s="176">
        <f t="shared" ca="1" si="41"/>
        <v>0</v>
      </c>
    </row>
    <row r="62" spans="1:21" ht="18.75" x14ac:dyDescent="0.25">
      <c r="A62" s="69"/>
      <c r="B62" s="70"/>
      <c r="C62" s="70"/>
      <c r="D62" s="71" t="s">
        <v>22</v>
      </c>
      <c r="E62" s="70"/>
      <c r="F62" s="70"/>
      <c r="G62" s="72"/>
      <c r="H62" s="73" t="s">
        <v>14</v>
      </c>
      <c r="I62" s="74"/>
      <c r="J62" s="74"/>
      <c r="K62" s="75"/>
      <c r="L62" s="91">
        <f t="shared" ref="L62:N62" ca="1" si="46">L63+L64</f>
        <v>9570900</v>
      </c>
      <c r="M62" s="91">
        <f t="shared" ca="1" si="46"/>
        <v>9788980</v>
      </c>
      <c r="N62" s="91">
        <f t="shared" ca="1" si="46"/>
        <v>8997028.1999999993</v>
      </c>
      <c r="O62" s="91">
        <f t="shared" ca="1" si="37"/>
        <v>94.003993354856902</v>
      </c>
      <c r="P62" s="91">
        <f t="shared" ca="1" si="38"/>
        <v>91.909761793363543</v>
      </c>
      <c r="Q62" s="134">
        <f t="shared" ref="Q62:S62" ca="1" si="47">Q63+Q64</f>
        <v>0</v>
      </c>
      <c r="R62" s="135">
        <f t="shared" ca="1" si="47"/>
        <v>0</v>
      </c>
      <c r="S62" s="135">
        <f t="shared" ca="1" si="47"/>
        <v>0</v>
      </c>
      <c r="T62" s="135">
        <f t="shared" ca="1" si="40"/>
        <v>0</v>
      </c>
      <c r="U62" s="135">
        <f t="shared" ca="1" si="41"/>
        <v>0</v>
      </c>
    </row>
    <row r="63" spans="1:21" ht="18.75" x14ac:dyDescent="0.25">
      <c r="A63" s="69"/>
      <c r="B63" s="70"/>
      <c r="C63" s="70"/>
      <c r="D63" s="70"/>
      <c r="E63" s="78" t="s">
        <v>20</v>
      </c>
      <c r="F63" s="70"/>
      <c r="G63" s="72"/>
      <c r="H63" s="73" t="s">
        <v>14</v>
      </c>
      <c r="I63" s="74"/>
      <c r="J63" s="74"/>
      <c r="K63" s="75"/>
      <c r="L63" s="91">
        <f ca="1">IFERROR(__xludf.DUMMYFUNCTION("IMPORTRANGE(""https://docs.google.com/spreadsheets/d/13wPX838HrBrQMCywv1BsuMkt4PEKTChp52zj44s2izQ/edit?usp=sharing"",""กาญจนบุรี!L63"")+IMPORTRANGE(""https://docs.google.com/spreadsheets/d/1ddFKvqj1W1NEiWytbGlB1zMx_ykJDVtmfEQ-6-lIUBA/edit?usp=sharing"","""&amp;"จันทบุรี!L63"")+IMPORTRANGE(""https://docs.google.com/spreadsheets/d/1T1PQvRODqOBZk8BRht_U031fIS1beLA0Ub2CEytj2q0/edit?usp=sharing"",""ฉะเชิงเทรา!L63"")+IMPORTRANGE(""https://docs.google.com/spreadsheets/d/11tr1B-Bhyr79v2bkwVh5h_fR-PStkgjlZtkrZpYurG0/edit"&amp;"?usp=sharing"",""ชลบุรี!L63"")+IMPORTRANGE(""https://docs.google.com/spreadsheets/d/1hh-FVnSX0vozXhGluamEcS54Dw9_zqW0N7qJUWgJ0Sw/edit?usp=sharing"",""ชัยนาท!L63"")+IMPORTRANGE(""https://docs.google.com/spreadsheets/d/1jkqa6GXxSacMcY1eN8AHjMNJ_7dDXMJVRLDla"&amp;"FSOdPM/edit?usp=sharing"",""ตราด!L63"")+IMPORTRANGE(""https://docs.google.com/spreadsheets/d/18hSgUJ3VwClqi_qtULmmW3cLr0oe3OKaSYoKzdpTsYQ/edit?usp=sharing"",""นครนายก!L63"")+IMPORTRANGE(""https://docs.google.com/spreadsheets/d/1YTZo6WM2dQ6Ix6FSdnL5P7uVnVK"&amp;"u40sxZu975tgG10E/edit?usp=sharing"",""นครปฐม!L63"")+IMPORTRANGE(""https://docs.google.com/spreadsheets/d/1OYoGg4WDg5RIzwGeB10padOxJF9E_Vljuvvct_M7RDo/edit?usp=sharing"",""ปทุมธานี!L63"")+IMPORTRANGE(""https://docs.google.com/spreadsheets/d/1GbCIE4D4wk9FUo"&amp;"zzqk7SxfDMxDVBwVmI5zcaVUSzKAc/edit?usp=sharing"",""ประจวบคีรีขันธ์!L63"")+IMPORTRANGE(""https://docs.google.com/spreadsheets/d/1vVf6wykvW_lAyu7Yo9L4hUTqHqIeP_qcVuxCtosJEbg/edit?usp=sharing"",""ปราจีนบุรี!L63"")+IMPORTRANGE(""https://docs.google.com/spread"&amp;"sheets/d/1BIDqLLg5jk3v59G8NlR8rk5xfQDKne0sAvZHSj7TI6I/edit?usp=sharing"",""พระนครศรีอยุธยา!L63"")+IMPORTRANGE(""https://docs.google.com/spreadsheets/d/1YXvxf8Yu6_rV4hTBrwMqAcAnv6DfhUxh5emyM3CJp_w/edit?usp=sharing"",""เพชรบุรี!L63"")+IMPORTRANGE(""https://"&amp;"docs.google.com/spreadsheets/d/19KBlQQs7uwvsao6t2n-KvW3Ax8J8uRRfZPq1zPbXgKc/edit?usp=sharing"",""ระยอง!L63"")+IMPORTRANGE(""https://docs.google.com/spreadsheets/d/1jQ6P4QcrGM89YfqcC_PxOHGCMq5ezhucwJd8ci-NHng/edit?usp=sharing"",""ราชบุรี!L63"")+IMPORTRANGE"&amp;"(""https://docs.google.com/spreadsheets/d/1lufeA2cfFqM-elVq2hznhDzC6Pr7wkJ9ZG_sYNGCMCU/edit?usp=sharing"",""ลพบุรี!L63"")+IMPORTRANGE(""https://docs.google.com/spreadsheets/d/10oOiF7loTyfsTkbd4MpaIm0HQ9SwB7IYHdIUvt-U1Uc/edit?usp=sharing"",""สระแก้ว!L63"")"&amp;"+IMPORTRANGE(""https://docs.google.com/spreadsheets/d/1xmPlrr1QbdSIKvl1dWUl9K4PjAfSL9oeMr_37QVzcxc/edit?usp=sharing"",""สระบุรี!L63"")+IMPORTRANGE(""https://docs.google.com/spreadsheets/d/1j51vR6CYVGhABJpv6tkstgok82RLpXieLzW1yOY5rHw/edit?usp=sharing"",""ส"&amp;"ิงห์บุรี!L63"")+IMPORTRANGE(""https://docs.google.com/spreadsheets/d/1H1EalTWKUSzO4Z1-1CwzoDUaVffgrThEBe2sl74kKG0/edit?usp=sharing"",""สุพรรณบุรี!L63"")+IMPORTRANGE(""https://docs.google.com/spreadsheets/d/1BmIruG_sIrJLYao_Pdr7zVArWsfoBt2692TMi6x_854/edit"&amp;"?usp=sharing"",""อ่างทอง!L63"")"),0)</f>
        <v>0</v>
      </c>
      <c r="M63" s="91">
        <f ca="1">IFERROR(__xludf.DUMMYFUNCTION("IMPORTRANGE(""https://docs.google.com/spreadsheets/d/13wPX838HrBrQMCywv1BsuMkt4PEKTChp52zj44s2izQ/edit?usp=sharing"",""กาญจนบุรี!M63"")+IMPORTRANGE(""https://docs.google.com/spreadsheets/d/1ddFKvqj1W1NEiWytbGlB1zMx_ykJDVtmfEQ-6-lIUBA/edit?usp=sharing"","""&amp;"จันทบุรี!M63"")+IMPORTRANGE(""https://docs.google.com/spreadsheets/d/1T1PQvRODqOBZk8BRht_U031fIS1beLA0Ub2CEytj2q0/edit?usp=sharing"",""ฉะเชิงเทรา!M63"")+IMPORTRANGE(""https://docs.google.com/spreadsheets/d/11tr1B-Bhyr79v2bkwVh5h_fR-PStkgjlZtkrZpYurG0/edit"&amp;"?usp=sharing"",""ชลบุรี!M63"")+IMPORTRANGE(""https://docs.google.com/spreadsheets/d/1hh-FVnSX0vozXhGluamEcS54Dw9_zqW0N7qJUWgJ0Sw/edit?usp=sharing"",""ชัยนาท!M63"")+IMPORTRANGE(""https://docs.google.com/spreadsheets/d/1jkqa6GXxSacMcY1eN8AHjMNJ_7dDXMJVRLDla"&amp;"FSOdPM/edit?usp=sharing"",""ตราด!M63"")+IMPORTRANGE(""https://docs.google.com/spreadsheets/d/18hSgUJ3VwClqi_qtULmmW3cLr0oe3OKaSYoKzdpTsYQ/edit?usp=sharing"",""นครนายก!M63"")+IMPORTRANGE(""https://docs.google.com/spreadsheets/d/1YTZo6WM2dQ6Ix6FSdnL5P7uVnVK"&amp;"u40sxZu975tgG10E/edit?usp=sharing"",""นครปฐม!M63"")+IMPORTRANGE(""https://docs.google.com/spreadsheets/d/1OYoGg4WDg5RIzwGeB10padOxJF9E_Vljuvvct_M7RDo/edit?usp=sharing"",""ปทุมธานี!M63"")+IMPORTRANGE(""https://docs.google.com/spreadsheets/d/1GbCIE4D4wk9FUo"&amp;"zzqk7SxfDMxDVBwVmI5zcaVUSzKAc/edit?usp=sharing"",""ประจวบคีรีขันธ์!M63"")+IMPORTRANGE(""https://docs.google.com/spreadsheets/d/1vVf6wykvW_lAyu7Yo9L4hUTqHqIeP_qcVuxCtosJEbg/edit?usp=sharing"",""ปราจีนบุรี!M63"")+IMPORTRANGE(""https://docs.google.com/spread"&amp;"sheets/d/1BIDqLLg5jk3v59G8NlR8rk5xfQDKne0sAvZHSj7TI6I/edit?usp=sharing"",""พระนครศรีอยุธยา!M63"")+IMPORTRANGE(""https://docs.google.com/spreadsheets/d/1YXvxf8Yu6_rV4hTBrwMqAcAnv6DfhUxh5emyM3CJp_w/edit?usp=sharing"",""เพชรบุรี!M63"")+IMPORTRANGE(""https://"&amp;"docs.google.com/spreadsheets/d/19KBlQQs7uwvsao6t2n-KvW3Ax8J8uRRfZPq1zPbXgKc/edit?usp=sharing"",""ระยอง!M63"")+IMPORTRANGE(""https://docs.google.com/spreadsheets/d/1jQ6P4QcrGM89YfqcC_PxOHGCMq5ezhucwJd8ci-NHng/edit?usp=sharing"",""ราชบุรี!M63"")+IMPORTRANGE"&amp;"(""https://docs.google.com/spreadsheets/d/1lufeA2cfFqM-elVq2hznhDzC6Pr7wkJ9ZG_sYNGCMCU/edit?usp=sharing"",""ลพบุรี!M63"")+IMPORTRANGE(""https://docs.google.com/spreadsheets/d/10oOiF7loTyfsTkbd4MpaIm0HQ9SwB7IYHdIUvt-U1Uc/edit?usp=sharing"",""สระแก้ว!M63"")"&amp;"+IMPORTRANGE(""https://docs.google.com/spreadsheets/d/1xmPlrr1QbdSIKvl1dWUl9K4PjAfSL9oeMr_37QVzcxc/edit?usp=sharing"",""สระบุรี!M63"")+IMPORTRANGE(""https://docs.google.com/spreadsheets/d/1j51vR6CYVGhABJpv6tkstgok82RLpXieLzW1yOY5rHw/edit?usp=sharing"",""ส"&amp;"ิงห์บุรี!M63"")+IMPORTRANGE(""https://docs.google.com/spreadsheets/d/1H1EalTWKUSzO4Z1-1CwzoDUaVffgrThEBe2sl74kKG0/edit?usp=sharing"",""สุพรรณบุรี!M63"")+IMPORTRANGE(""https://docs.google.com/spreadsheets/d/1BmIruG_sIrJLYao_Pdr7zVArWsfoBt2692TMi6x_854/edit"&amp;"?usp=sharing"",""อ่างทอง!M63"")"),0)</f>
        <v>0</v>
      </c>
      <c r="N63" s="91">
        <f ca="1">IFERROR(__xludf.DUMMYFUNCTION("IMPORTRANGE(""https://docs.google.com/spreadsheets/d/13wPX838HrBrQMCywv1BsuMkt4PEKTChp52zj44s2izQ/edit?usp=sharing"",""กาญจนบุรี!N63"")+IMPORTRANGE(""https://docs.google.com/spreadsheets/d/1ddFKvqj1W1NEiWytbGlB1zMx_ykJDVtmfEQ-6-lIUBA/edit?usp=sharing"","""&amp;"จันทบุรี!N63"")+IMPORTRANGE(""https://docs.google.com/spreadsheets/d/1T1PQvRODqOBZk8BRht_U031fIS1beLA0Ub2CEytj2q0/edit?usp=sharing"",""ฉะเชิงเทรา!N63"")+IMPORTRANGE(""https://docs.google.com/spreadsheets/d/11tr1B-Bhyr79v2bkwVh5h_fR-PStkgjlZtkrZpYurG0/edit"&amp;"?usp=sharing"",""ชลบุรี!N63"")+IMPORTRANGE(""https://docs.google.com/spreadsheets/d/1hh-FVnSX0vozXhGluamEcS54Dw9_zqW0N7qJUWgJ0Sw/edit?usp=sharing"",""ชัยนาท!N63"")+IMPORTRANGE(""https://docs.google.com/spreadsheets/d/1jkqa6GXxSacMcY1eN8AHjMNJ_7dDXMJVRLDla"&amp;"FSOdPM/edit?usp=sharing"",""ตราด!N63"")+IMPORTRANGE(""https://docs.google.com/spreadsheets/d/18hSgUJ3VwClqi_qtULmmW3cLr0oe3OKaSYoKzdpTsYQ/edit?usp=sharing"",""นครนายก!N63"")+IMPORTRANGE(""https://docs.google.com/spreadsheets/d/1YTZo6WM2dQ6Ix6FSdnL5P7uVnVK"&amp;"u40sxZu975tgG10E/edit?usp=sharing"",""นครปฐม!N63"")+IMPORTRANGE(""https://docs.google.com/spreadsheets/d/1OYoGg4WDg5RIzwGeB10padOxJF9E_Vljuvvct_M7RDo/edit?usp=sharing"",""ปทุมธานี!N63"")+IMPORTRANGE(""https://docs.google.com/spreadsheets/d/1GbCIE4D4wk9FUo"&amp;"zzqk7SxfDMxDVBwVmI5zcaVUSzKAc/edit?usp=sharing"",""ประจวบคีรีขันธ์!N63"")+IMPORTRANGE(""https://docs.google.com/spreadsheets/d/1vVf6wykvW_lAyu7Yo9L4hUTqHqIeP_qcVuxCtosJEbg/edit?usp=sharing"",""ปราจีนบุรี!N63"")+IMPORTRANGE(""https://docs.google.com/spread"&amp;"sheets/d/1BIDqLLg5jk3v59G8NlR8rk5xfQDKne0sAvZHSj7TI6I/edit?usp=sharing"",""พระนครศรีอยุธยา!N63"")+IMPORTRANGE(""https://docs.google.com/spreadsheets/d/1YXvxf8Yu6_rV4hTBrwMqAcAnv6DfhUxh5emyM3CJp_w/edit?usp=sharing"",""เพชรบุรี!N63"")+IMPORTRANGE(""https://"&amp;"docs.google.com/spreadsheets/d/19KBlQQs7uwvsao6t2n-KvW3Ax8J8uRRfZPq1zPbXgKc/edit?usp=sharing"",""ระยอง!N63"")+IMPORTRANGE(""https://docs.google.com/spreadsheets/d/1jQ6P4QcrGM89YfqcC_PxOHGCMq5ezhucwJd8ci-NHng/edit?usp=sharing"",""ราชบุรี!N63"")+IMPORTRANGE"&amp;"(""https://docs.google.com/spreadsheets/d/1lufeA2cfFqM-elVq2hznhDzC6Pr7wkJ9ZG_sYNGCMCU/edit?usp=sharing"",""ลพบุรี!N63"")+IMPORTRANGE(""https://docs.google.com/spreadsheets/d/10oOiF7loTyfsTkbd4MpaIm0HQ9SwB7IYHdIUvt-U1Uc/edit?usp=sharing"",""สระแก้ว!N63"")"&amp;"+IMPORTRANGE(""https://docs.google.com/spreadsheets/d/1xmPlrr1QbdSIKvl1dWUl9K4PjAfSL9oeMr_37QVzcxc/edit?usp=sharing"",""สระบุรี!N63"")+IMPORTRANGE(""https://docs.google.com/spreadsheets/d/1j51vR6CYVGhABJpv6tkstgok82RLpXieLzW1yOY5rHw/edit?usp=sharing"",""ส"&amp;"ิงห์บุรี!N63"")+IMPORTRANGE(""https://docs.google.com/spreadsheets/d/1H1EalTWKUSzO4Z1-1CwzoDUaVffgrThEBe2sl74kKG0/edit?usp=sharing"",""สุพรรณบุรี!N63"")+IMPORTRANGE(""https://docs.google.com/spreadsheets/d/1BmIruG_sIrJLYao_Pdr7zVArWsfoBt2692TMi6x_854/edit"&amp;"?usp=sharing"",""อ่างทอง!N63"")"),0)</f>
        <v>0</v>
      </c>
      <c r="O63" s="91">
        <f t="shared" ca="1" si="37"/>
        <v>0</v>
      </c>
      <c r="P63" s="91">
        <f t="shared" ca="1" si="38"/>
        <v>0</v>
      </c>
      <c r="Q63" s="79">
        <f ca="1">IFERROR(__xludf.DUMMYFUNCTION("IMPORTRANGE(""https://docs.google.com/spreadsheets/d/13wPX838HrBrQMCywv1BsuMkt4PEKTChp52zj44s2izQ/edit?usp=sharing"",""กาญจนบุรี!Q63"")+IMPORTRANGE(""https://docs.google.com/spreadsheets/d/1ddFKvqj1W1NEiWytbGlB1zMx_ykJDVtmfEQ-6-lIUBA/edit?usp=sharing"","""&amp;"จันทบุรี!Q63"")+IMPORTRANGE(""https://docs.google.com/spreadsheets/d/1T1PQvRODqOBZk8BRht_U031fIS1beLA0Ub2CEytj2q0/edit?usp=sharing"",""ฉะเชิงเทรา!Q63"")+IMPORTRANGE(""https://docs.google.com/spreadsheets/d/11tr1B-Bhyr79v2bkwVh5h_fR-PStkgjlZtkrZpYurG0/edit"&amp;"?usp=sharing"",""ชลบุรี!Q63"")+IMPORTRANGE(""https://docs.google.com/spreadsheets/d/1hh-FVnSX0vozXhGluamEcS54Dw9_zqW0N7qJUWgJ0Sw/edit?usp=sharing"",""ชัยนาท!Q63"")+IMPORTRANGE(""https://docs.google.com/spreadsheets/d/1jkqa6GXxSacMcY1eN8AHjMNJ_7dDXMJVRLDla"&amp;"FSOdPM/edit?usp=sharing"",""ตราด!Q63"")+IMPORTRANGE(""https://docs.google.com/spreadsheets/d/18hSgUJ3VwClqi_qtULmmW3cLr0oe3OKaSYoKzdpTsYQ/edit?usp=sharing"",""นครนายก!Q63"")+IMPORTRANGE(""https://docs.google.com/spreadsheets/d/1YTZo6WM2dQ6Ix6FSdnL5P7uVnVK"&amp;"u40sxZu975tgG10E/edit?usp=sharing"",""นครปฐม!Q63"")+IMPORTRANGE(""https://docs.google.com/spreadsheets/d/1OYoGg4WDg5RIzwGeB10padOxJF9E_Vljuvvct_M7RDo/edit?usp=sharing"",""ปทุมธานี!Q63"")+IMPORTRANGE(""https://docs.google.com/spreadsheets/d/1GbCIE4D4wk9FUo"&amp;"zzqk7SxfDMxDVBwVmI5zcaVUSzKAc/edit?usp=sharing"",""ประจวบคีรีขันธ์!Q63"")+IMPORTRANGE(""https://docs.google.com/spreadsheets/d/1vVf6wykvW_lAyu7Yo9L4hUTqHqIeP_qcVuxCtosJEbg/edit?usp=sharing"",""ปราจีนบุรี!Q63"")+IMPORTRANGE(""https://docs.google.com/spread"&amp;"sheets/d/1BIDqLLg5jk3v59G8NlR8rk5xfQDKne0sAvZHSj7TI6I/edit?usp=sharing"",""พระนครศรีอยุธยา!Q63"")+IMPORTRANGE(""https://docs.google.com/spreadsheets/d/1YXvxf8Yu6_rV4hTBrwMqAcAnv6DfhUxh5emyM3CJp_w/edit?usp=sharing"",""เพชรบุรี!Q63"")+IMPORTRANGE(""https://"&amp;"docs.google.com/spreadsheets/d/19KBlQQs7uwvsao6t2n-KvW3Ax8J8uRRfZPq1zPbXgKc/edit?usp=sharing"",""ระยอง!Q63"")+IMPORTRANGE(""https://docs.google.com/spreadsheets/d/1jQ6P4QcrGM89YfqcC_PxOHGCMq5ezhucwJd8ci-NHng/edit?usp=sharing"",""ราชบุรี!Q63"")+IMPORTRANGE"&amp;"(""https://docs.google.com/spreadsheets/d/1lufeA2cfFqM-elVq2hznhDzC6Pr7wkJ9ZG_sYNGCMCU/edit?usp=sharing"",""ลพบุรี!Q63"")+IMPORTRANGE(""https://docs.google.com/spreadsheets/d/10oOiF7loTyfsTkbd4MpaIm0HQ9SwB7IYHdIUvt-U1Uc/edit?usp=sharing"",""สระแก้ว!Q63"")"&amp;"+IMPORTRANGE(""https://docs.google.com/spreadsheets/d/1xmPlrr1QbdSIKvl1dWUl9K4PjAfSL9oeMr_37QVzcxc/edit?usp=sharing"",""สระบุรี!Q63"")+IMPORTRANGE(""https://docs.google.com/spreadsheets/d/1j51vR6CYVGhABJpv6tkstgok82RLpXieLzW1yOY5rHw/edit?usp=sharing"",""ส"&amp;"ิงห์บุรี!Q63"")+IMPORTRANGE(""https://docs.google.com/spreadsheets/d/1H1EalTWKUSzO4Z1-1CwzoDUaVffgrThEBe2sl74kKG0/edit?usp=sharing"",""สุพรรณบุรี!Q63"")+IMPORTRANGE(""https://docs.google.com/spreadsheets/d/1BmIruG_sIrJLYao_Pdr7zVArWsfoBt2692TMi6x_854/edit"&amp;"?usp=sharing"",""อ่างทอง!Q63"")"),0)</f>
        <v>0</v>
      </c>
      <c r="R63" s="80">
        <f ca="1">IFERROR(__xludf.DUMMYFUNCTION("IMPORTRANGE(""https://docs.google.com/spreadsheets/d/13wPX838HrBrQMCywv1BsuMkt4PEKTChp52zj44s2izQ/edit?usp=sharing"",""กาญจนบุรี!R63"")+IMPORTRANGE(""https://docs.google.com/spreadsheets/d/1ddFKvqj1W1NEiWytbGlB1zMx_ykJDVtmfEQ-6-lIUBA/edit?usp=sharing"","""&amp;"จันทบุรี!R63"")+IMPORTRANGE(""https://docs.google.com/spreadsheets/d/1T1PQvRODqOBZk8BRht_U031fIS1beLA0Ub2CEytj2q0/edit?usp=sharing"",""ฉะเชิงเทรา!R63"")+IMPORTRANGE(""https://docs.google.com/spreadsheets/d/11tr1B-Bhyr79v2bkwVh5h_fR-PStkgjlZtkrZpYurG0/edit"&amp;"?usp=sharing"",""ชลบุรี!R63"")+IMPORTRANGE(""https://docs.google.com/spreadsheets/d/1hh-FVnSX0vozXhGluamEcS54Dw9_zqW0N7qJUWgJ0Sw/edit?usp=sharing"",""ชัยนาท!R63"")+IMPORTRANGE(""https://docs.google.com/spreadsheets/d/1jkqa6GXxSacMcY1eN8AHjMNJ_7dDXMJVRLDla"&amp;"FSOdPM/edit?usp=sharing"",""ตราด!R63"")+IMPORTRANGE(""https://docs.google.com/spreadsheets/d/18hSgUJ3VwClqi_qtULmmW3cLr0oe3OKaSYoKzdpTsYQ/edit?usp=sharing"",""นครนายก!R63"")+IMPORTRANGE(""https://docs.google.com/spreadsheets/d/1YTZo6WM2dQ6Ix6FSdnL5P7uVnVK"&amp;"u40sxZu975tgG10E/edit?usp=sharing"",""นครปฐม!R63"")+IMPORTRANGE(""https://docs.google.com/spreadsheets/d/1OYoGg4WDg5RIzwGeB10padOxJF9E_Vljuvvct_M7RDo/edit?usp=sharing"",""ปทุมธานี!R63"")+IMPORTRANGE(""https://docs.google.com/spreadsheets/d/1GbCIE4D4wk9FUo"&amp;"zzqk7SxfDMxDVBwVmI5zcaVUSzKAc/edit?usp=sharing"",""ประจวบคีรีขันธ์!R63"")+IMPORTRANGE(""https://docs.google.com/spreadsheets/d/1vVf6wykvW_lAyu7Yo9L4hUTqHqIeP_qcVuxCtosJEbg/edit?usp=sharing"",""ปราจีนบุรี!R63"")+IMPORTRANGE(""https://docs.google.com/spread"&amp;"sheets/d/1BIDqLLg5jk3v59G8NlR8rk5xfQDKne0sAvZHSj7TI6I/edit?usp=sharing"",""พระนครศรีอยุธยา!R63"")+IMPORTRANGE(""https://docs.google.com/spreadsheets/d/1YXvxf8Yu6_rV4hTBrwMqAcAnv6DfhUxh5emyM3CJp_w/edit?usp=sharing"",""เพชรบุรี!R63"")+IMPORTRANGE(""https://"&amp;"docs.google.com/spreadsheets/d/19KBlQQs7uwvsao6t2n-KvW3Ax8J8uRRfZPq1zPbXgKc/edit?usp=sharing"",""ระยอง!R63"")+IMPORTRANGE(""https://docs.google.com/spreadsheets/d/1jQ6P4QcrGM89YfqcC_PxOHGCMq5ezhucwJd8ci-NHng/edit?usp=sharing"",""ราชบุรี!R63"")+IMPORTRANGE"&amp;"(""https://docs.google.com/spreadsheets/d/1lufeA2cfFqM-elVq2hznhDzC6Pr7wkJ9ZG_sYNGCMCU/edit?usp=sharing"",""ลพบุรี!R63"")+IMPORTRANGE(""https://docs.google.com/spreadsheets/d/10oOiF7loTyfsTkbd4MpaIm0HQ9SwB7IYHdIUvt-U1Uc/edit?usp=sharing"",""สระแก้ว!R63"")"&amp;"+IMPORTRANGE(""https://docs.google.com/spreadsheets/d/1xmPlrr1QbdSIKvl1dWUl9K4PjAfSL9oeMr_37QVzcxc/edit?usp=sharing"",""สระบุรี!R63"")+IMPORTRANGE(""https://docs.google.com/spreadsheets/d/1j51vR6CYVGhABJpv6tkstgok82RLpXieLzW1yOY5rHw/edit?usp=sharing"",""ส"&amp;"ิงห์บุรี!R63"")+IMPORTRANGE(""https://docs.google.com/spreadsheets/d/1H1EalTWKUSzO4Z1-1CwzoDUaVffgrThEBe2sl74kKG0/edit?usp=sharing"",""สุพรรณบุรี!R63"")+IMPORTRANGE(""https://docs.google.com/spreadsheets/d/1BmIruG_sIrJLYao_Pdr7zVArWsfoBt2692TMi6x_854/edit"&amp;"?usp=sharing"",""อ่างทอง!R63"")"),0)</f>
        <v>0</v>
      </c>
      <c r="S63" s="80">
        <f ca="1">IFERROR(__xludf.DUMMYFUNCTION("IMPORTRANGE(""https://docs.google.com/spreadsheets/d/13wPX838HrBrQMCywv1BsuMkt4PEKTChp52zj44s2izQ/edit?usp=sharing"",""กาญจนบุรี!S63"")+IMPORTRANGE(""https://docs.google.com/spreadsheets/d/1ddFKvqj1W1NEiWytbGlB1zMx_ykJDVtmfEQ-6-lIUBA/edit?usp=sharing"","""&amp;"จันทบุรี!S63"")+IMPORTRANGE(""https://docs.google.com/spreadsheets/d/1T1PQvRODqOBZk8BRht_U031fIS1beLA0Ub2CEytj2q0/edit?usp=sharing"",""ฉะเชิงเทรา!S63"")+IMPORTRANGE(""https://docs.google.com/spreadsheets/d/11tr1B-Bhyr79v2bkwVh5h_fR-PStkgjlZtkrZpYurG0/edit"&amp;"?usp=sharing"",""ชลบุรี!S63"")+IMPORTRANGE(""https://docs.google.com/spreadsheets/d/1hh-FVnSX0vozXhGluamEcS54Dw9_zqW0N7qJUWgJ0Sw/edit?usp=sharing"",""ชัยนาท!S63"")+IMPORTRANGE(""https://docs.google.com/spreadsheets/d/1jkqa6GXxSacMcY1eN8AHjMNJ_7dDXMJVRLDla"&amp;"FSOdPM/edit?usp=sharing"",""ตราด!S63"")+IMPORTRANGE(""https://docs.google.com/spreadsheets/d/18hSgUJ3VwClqi_qtULmmW3cLr0oe3OKaSYoKzdpTsYQ/edit?usp=sharing"",""นครนายก!S63"")+IMPORTRANGE(""https://docs.google.com/spreadsheets/d/1YTZo6WM2dQ6Ix6FSdnL5P7uVnVK"&amp;"u40sxZu975tgG10E/edit?usp=sharing"",""นครปฐม!S63"")+IMPORTRANGE(""https://docs.google.com/spreadsheets/d/1OYoGg4WDg5RIzwGeB10padOxJF9E_Vljuvvct_M7RDo/edit?usp=sharing"",""ปทุมธานี!S63"")+IMPORTRANGE(""https://docs.google.com/spreadsheets/d/1GbCIE4D4wk9FUo"&amp;"zzqk7SxfDMxDVBwVmI5zcaVUSzKAc/edit?usp=sharing"",""ประจวบคีรีขันธ์!S63"")+IMPORTRANGE(""https://docs.google.com/spreadsheets/d/1vVf6wykvW_lAyu7Yo9L4hUTqHqIeP_qcVuxCtosJEbg/edit?usp=sharing"",""ปราจีนบุรี!S63"")+IMPORTRANGE(""https://docs.google.com/spread"&amp;"sheets/d/1BIDqLLg5jk3v59G8NlR8rk5xfQDKne0sAvZHSj7TI6I/edit?usp=sharing"",""พระนครศรีอยุธยา!S63"")+IMPORTRANGE(""https://docs.google.com/spreadsheets/d/1YXvxf8Yu6_rV4hTBrwMqAcAnv6DfhUxh5emyM3CJp_w/edit?usp=sharing"",""เพชรบุรี!S63"")+IMPORTRANGE(""https://"&amp;"docs.google.com/spreadsheets/d/19KBlQQs7uwvsao6t2n-KvW3Ax8J8uRRfZPq1zPbXgKc/edit?usp=sharing"",""ระยอง!S63"")+IMPORTRANGE(""https://docs.google.com/spreadsheets/d/1jQ6P4QcrGM89YfqcC_PxOHGCMq5ezhucwJd8ci-NHng/edit?usp=sharing"",""ราชบุรี!S63"")+IMPORTRANGE"&amp;"(""https://docs.google.com/spreadsheets/d/1lufeA2cfFqM-elVq2hznhDzC6Pr7wkJ9ZG_sYNGCMCU/edit?usp=sharing"",""ลพบุรี!S63"")+IMPORTRANGE(""https://docs.google.com/spreadsheets/d/10oOiF7loTyfsTkbd4MpaIm0HQ9SwB7IYHdIUvt-U1Uc/edit?usp=sharing"",""สระแก้ว!S63"")"&amp;"+IMPORTRANGE(""https://docs.google.com/spreadsheets/d/1xmPlrr1QbdSIKvl1dWUl9K4PjAfSL9oeMr_37QVzcxc/edit?usp=sharing"",""สระบุรี!S63"")+IMPORTRANGE(""https://docs.google.com/spreadsheets/d/1j51vR6CYVGhABJpv6tkstgok82RLpXieLzW1yOY5rHw/edit?usp=sharing"",""ส"&amp;"ิงห์บุรี!S63"")+IMPORTRANGE(""https://docs.google.com/spreadsheets/d/1H1EalTWKUSzO4Z1-1CwzoDUaVffgrThEBe2sl74kKG0/edit?usp=sharing"",""สุพรรณบุรี!S63"")+IMPORTRANGE(""https://docs.google.com/spreadsheets/d/1BmIruG_sIrJLYao_Pdr7zVArWsfoBt2692TMi6x_854/edit"&amp;"?usp=sharing"",""อ่างทอง!S63"")"),0)</f>
        <v>0</v>
      </c>
      <c r="T63" s="136">
        <f t="shared" ca="1" si="40"/>
        <v>0</v>
      </c>
      <c r="U63" s="136">
        <f t="shared" ca="1" si="41"/>
        <v>0</v>
      </c>
    </row>
    <row r="64" spans="1:21" ht="18.75" x14ac:dyDescent="0.25">
      <c r="A64" s="69"/>
      <c r="B64" s="70"/>
      <c r="C64" s="70"/>
      <c r="D64" s="70"/>
      <c r="E64" s="78" t="s">
        <v>21</v>
      </c>
      <c r="F64" s="70"/>
      <c r="G64" s="72"/>
      <c r="H64" s="73" t="s">
        <v>14</v>
      </c>
      <c r="I64" s="74"/>
      <c r="J64" s="74"/>
      <c r="K64" s="75"/>
      <c r="L64" s="91">
        <f ca="1">IFERROR(__xludf.DUMMYFUNCTION("IMPORTRANGE(""https://docs.google.com/spreadsheets/d/13wPX838HrBrQMCywv1BsuMkt4PEKTChp52zj44s2izQ/edit?usp=sharing"",""กาญจนบุรี!L64"")+IMPORTRANGE(""https://docs.google.com/spreadsheets/d/1ddFKvqj1W1NEiWytbGlB1zMx_ykJDVtmfEQ-6-lIUBA/edit?usp=sharing"","""&amp;"จันทบุรี!L64"")+IMPORTRANGE(""https://docs.google.com/spreadsheets/d/1T1PQvRODqOBZk8BRht_U031fIS1beLA0Ub2CEytj2q0/edit?usp=sharing"",""ฉะเชิงเทรา!L64"")+IMPORTRANGE(""https://docs.google.com/spreadsheets/d/11tr1B-Bhyr79v2bkwVh5h_fR-PStkgjlZtkrZpYurG0/edit"&amp;"?usp=sharing"",""ชลบุรี!L64"")+IMPORTRANGE(""https://docs.google.com/spreadsheets/d/1hh-FVnSX0vozXhGluamEcS54Dw9_zqW0N7qJUWgJ0Sw/edit?usp=sharing"",""ชัยนาท!L64"")+IMPORTRANGE(""https://docs.google.com/spreadsheets/d/1jkqa6GXxSacMcY1eN8AHjMNJ_7dDXMJVRLDla"&amp;"FSOdPM/edit?usp=sharing"",""ตราด!L64"")+IMPORTRANGE(""https://docs.google.com/spreadsheets/d/18hSgUJ3VwClqi_qtULmmW3cLr0oe3OKaSYoKzdpTsYQ/edit?usp=sharing"",""นครนายก!L64"")+IMPORTRANGE(""https://docs.google.com/spreadsheets/d/1YTZo6WM2dQ6Ix6FSdnL5P7uVnVK"&amp;"u40sxZu975tgG10E/edit?usp=sharing"",""นครปฐม!L64"")+IMPORTRANGE(""https://docs.google.com/spreadsheets/d/1OYoGg4WDg5RIzwGeB10padOxJF9E_Vljuvvct_M7RDo/edit?usp=sharing"",""ปทุมธานี!L64"")+IMPORTRANGE(""https://docs.google.com/spreadsheets/d/1GbCIE4D4wk9FUo"&amp;"zzqk7SxfDMxDVBwVmI5zcaVUSzKAc/edit?usp=sharing"",""ประจวบคีรีขันธ์!L64"")+IMPORTRANGE(""https://docs.google.com/spreadsheets/d/1vVf6wykvW_lAyu7Yo9L4hUTqHqIeP_qcVuxCtosJEbg/edit?usp=sharing"",""ปราจีนบุรี!L64"")+IMPORTRANGE(""https://docs.google.com/spread"&amp;"sheets/d/1BIDqLLg5jk3v59G8NlR8rk5xfQDKne0sAvZHSj7TI6I/edit?usp=sharing"",""พระนครศรีอยุธยา!L64"")+IMPORTRANGE(""https://docs.google.com/spreadsheets/d/1YXvxf8Yu6_rV4hTBrwMqAcAnv6DfhUxh5emyM3CJp_w/edit?usp=sharing"",""เพชรบุรี!L64"")+IMPORTRANGE(""https://"&amp;"docs.google.com/spreadsheets/d/19KBlQQs7uwvsao6t2n-KvW3Ax8J8uRRfZPq1zPbXgKc/edit?usp=sharing"",""ระยอง!L64"")+IMPORTRANGE(""https://docs.google.com/spreadsheets/d/1jQ6P4QcrGM89YfqcC_PxOHGCMq5ezhucwJd8ci-NHng/edit?usp=sharing"",""ราชบุรี!L64"")+IMPORTRANGE"&amp;"(""https://docs.google.com/spreadsheets/d/1lufeA2cfFqM-elVq2hznhDzC6Pr7wkJ9ZG_sYNGCMCU/edit?usp=sharing"",""ลพบุรี!L64"")+IMPORTRANGE(""https://docs.google.com/spreadsheets/d/10oOiF7loTyfsTkbd4MpaIm0HQ9SwB7IYHdIUvt-U1Uc/edit?usp=sharing"",""สระแก้ว!L64"")"&amp;"+IMPORTRANGE(""https://docs.google.com/spreadsheets/d/1xmPlrr1QbdSIKvl1dWUl9K4PjAfSL9oeMr_37QVzcxc/edit?usp=sharing"",""สระบุรี!L64"")+IMPORTRANGE(""https://docs.google.com/spreadsheets/d/1j51vR6CYVGhABJpv6tkstgok82RLpXieLzW1yOY5rHw/edit?usp=sharing"",""ส"&amp;"ิงห์บุรี!L64"")+IMPORTRANGE(""https://docs.google.com/spreadsheets/d/1H1EalTWKUSzO4Z1-1CwzoDUaVffgrThEBe2sl74kKG0/edit?usp=sharing"",""สุพรรณบุรี!L64"")+IMPORTRANGE(""https://docs.google.com/spreadsheets/d/1BmIruG_sIrJLYao_Pdr7zVArWsfoBt2692TMi6x_854/edit"&amp;"?usp=sharing"",""อ่างทอง!L64"")"),9570900)</f>
        <v>9570900</v>
      </c>
      <c r="M64" s="91">
        <f ca="1">IFERROR(__xludf.DUMMYFUNCTION("IMPORTRANGE(""https://docs.google.com/spreadsheets/d/13wPX838HrBrQMCywv1BsuMkt4PEKTChp52zj44s2izQ/edit?usp=sharing"",""กาญจนบุรี!M64"")+IMPORTRANGE(""https://docs.google.com/spreadsheets/d/1ddFKvqj1W1NEiWytbGlB1zMx_ykJDVtmfEQ-6-lIUBA/edit?usp=sharing"","""&amp;"จันทบุรี!M64"")+IMPORTRANGE(""https://docs.google.com/spreadsheets/d/1T1PQvRODqOBZk8BRht_U031fIS1beLA0Ub2CEytj2q0/edit?usp=sharing"",""ฉะเชิงเทรา!M64"")+IMPORTRANGE(""https://docs.google.com/spreadsheets/d/11tr1B-Bhyr79v2bkwVh5h_fR-PStkgjlZtkrZpYurG0/edit"&amp;"?usp=sharing"",""ชลบุรี!M64"")+IMPORTRANGE(""https://docs.google.com/spreadsheets/d/1hh-FVnSX0vozXhGluamEcS54Dw9_zqW0N7qJUWgJ0Sw/edit?usp=sharing"",""ชัยนาท!M64"")+IMPORTRANGE(""https://docs.google.com/spreadsheets/d/1jkqa6GXxSacMcY1eN8AHjMNJ_7dDXMJVRLDla"&amp;"FSOdPM/edit?usp=sharing"",""ตราด!M64"")+IMPORTRANGE(""https://docs.google.com/spreadsheets/d/18hSgUJ3VwClqi_qtULmmW3cLr0oe3OKaSYoKzdpTsYQ/edit?usp=sharing"",""นครนายก!M64"")+IMPORTRANGE(""https://docs.google.com/spreadsheets/d/1YTZo6WM2dQ6Ix6FSdnL5P7uVnVK"&amp;"u40sxZu975tgG10E/edit?usp=sharing"",""นครปฐม!M64"")+IMPORTRANGE(""https://docs.google.com/spreadsheets/d/1OYoGg4WDg5RIzwGeB10padOxJF9E_Vljuvvct_M7RDo/edit?usp=sharing"",""ปทุมธานี!M64"")+IMPORTRANGE(""https://docs.google.com/spreadsheets/d/1GbCIE4D4wk9FUo"&amp;"zzqk7SxfDMxDVBwVmI5zcaVUSzKAc/edit?usp=sharing"",""ประจวบคีรีขันธ์!M64"")+IMPORTRANGE(""https://docs.google.com/spreadsheets/d/1vVf6wykvW_lAyu7Yo9L4hUTqHqIeP_qcVuxCtosJEbg/edit?usp=sharing"",""ปราจีนบุรี!M64"")+IMPORTRANGE(""https://docs.google.com/spread"&amp;"sheets/d/1BIDqLLg5jk3v59G8NlR8rk5xfQDKne0sAvZHSj7TI6I/edit?usp=sharing"",""พระนครศรีอยุธยา!M64"")+IMPORTRANGE(""https://docs.google.com/spreadsheets/d/1YXvxf8Yu6_rV4hTBrwMqAcAnv6DfhUxh5emyM3CJp_w/edit?usp=sharing"",""เพชรบุรี!M64"")+IMPORTRANGE(""https://"&amp;"docs.google.com/spreadsheets/d/19KBlQQs7uwvsao6t2n-KvW3Ax8J8uRRfZPq1zPbXgKc/edit?usp=sharing"",""ระยอง!M64"")+IMPORTRANGE(""https://docs.google.com/spreadsheets/d/1jQ6P4QcrGM89YfqcC_PxOHGCMq5ezhucwJd8ci-NHng/edit?usp=sharing"",""ราชบุรี!M64"")+IMPORTRANGE"&amp;"(""https://docs.google.com/spreadsheets/d/1lufeA2cfFqM-elVq2hznhDzC6Pr7wkJ9ZG_sYNGCMCU/edit?usp=sharing"",""ลพบุรี!M64"")+IMPORTRANGE(""https://docs.google.com/spreadsheets/d/10oOiF7loTyfsTkbd4MpaIm0HQ9SwB7IYHdIUvt-U1Uc/edit?usp=sharing"",""สระแก้ว!M64"")"&amp;"+IMPORTRANGE(""https://docs.google.com/spreadsheets/d/1xmPlrr1QbdSIKvl1dWUl9K4PjAfSL9oeMr_37QVzcxc/edit?usp=sharing"",""สระบุรี!M64"")+IMPORTRANGE(""https://docs.google.com/spreadsheets/d/1j51vR6CYVGhABJpv6tkstgok82RLpXieLzW1yOY5rHw/edit?usp=sharing"",""ส"&amp;"ิงห์บุรี!M64"")+IMPORTRANGE(""https://docs.google.com/spreadsheets/d/1H1EalTWKUSzO4Z1-1CwzoDUaVffgrThEBe2sl74kKG0/edit?usp=sharing"",""สุพรรณบุรี!M64"")+IMPORTRANGE(""https://docs.google.com/spreadsheets/d/1BmIruG_sIrJLYao_Pdr7zVArWsfoBt2692TMi6x_854/edit"&amp;"?usp=sharing"",""อ่างทอง!M64"")"),9788980)</f>
        <v>9788980</v>
      </c>
      <c r="N64" s="91">
        <f ca="1">IFERROR(__xludf.DUMMYFUNCTION("IMPORTRANGE(""https://docs.google.com/spreadsheets/d/13wPX838HrBrQMCywv1BsuMkt4PEKTChp52zj44s2izQ/edit?usp=sharing"",""กาญจนบุรี!N64"")+IMPORTRANGE(""https://docs.google.com/spreadsheets/d/1ddFKvqj1W1NEiWytbGlB1zMx_ykJDVtmfEQ-6-lIUBA/edit?usp=sharing"","""&amp;"จันทบุรี!N64"")+IMPORTRANGE(""https://docs.google.com/spreadsheets/d/1T1PQvRODqOBZk8BRht_U031fIS1beLA0Ub2CEytj2q0/edit?usp=sharing"",""ฉะเชิงเทรา!N64"")+IMPORTRANGE(""https://docs.google.com/spreadsheets/d/11tr1B-Bhyr79v2bkwVh5h_fR-PStkgjlZtkrZpYurG0/edit"&amp;"?usp=sharing"",""ชลบุรี!N64"")+IMPORTRANGE(""https://docs.google.com/spreadsheets/d/1hh-FVnSX0vozXhGluamEcS54Dw9_zqW0N7qJUWgJ0Sw/edit?usp=sharing"",""ชัยนาท!N64"")+IMPORTRANGE(""https://docs.google.com/spreadsheets/d/1jkqa6GXxSacMcY1eN8AHjMNJ_7dDXMJVRLDla"&amp;"FSOdPM/edit?usp=sharing"",""ตราด!N64"")+IMPORTRANGE(""https://docs.google.com/spreadsheets/d/18hSgUJ3VwClqi_qtULmmW3cLr0oe3OKaSYoKzdpTsYQ/edit?usp=sharing"",""นครนายก!N64"")+IMPORTRANGE(""https://docs.google.com/spreadsheets/d/1YTZo6WM2dQ6Ix6FSdnL5P7uVnVK"&amp;"u40sxZu975tgG10E/edit?usp=sharing"",""นครปฐม!N64"")+IMPORTRANGE(""https://docs.google.com/spreadsheets/d/1OYoGg4WDg5RIzwGeB10padOxJF9E_Vljuvvct_M7RDo/edit?usp=sharing"",""ปทุมธานี!N64"")+IMPORTRANGE(""https://docs.google.com/spreadsheets/d/1GbCIE4D4wk9FUo"&amp;"zzqk7SxfDMxDVBwVmI5zcaVUSzKAc/edit?usp=sharing"",""ประจวบคีรีขันธ์!N64"")+IMPORTRANGE(""https://docs.google.com/spreadsheets/d/1vVf6wykvW_lAyu7Yo9L4hUTqHqIeP_qcVuxCtosJEbg/edit?usp=sharing"",""ปราจีนบุรี!N64"")+IMPORTRANGE(""https://docs.google.com/spread"&amp;"sheets/d/1BIDqLLg5jk3v59G8NlR8rk5xfQDKne0sAvZHSj7TI6I/edit?usp=sharing"",""พระนครศรีอยุธยา!N64"")+IMPORTRANGE(""https://docs.google.com/spreadsheets/d/1YXvxf8Yu6_rV4hTBrwMqAcAnv6DfhUxh5emyM3CJp_w/edit?usp=sharing"",""เพชรบุรี!N64"")+IMPORTRANGE(""https://"&amp;"docs.google.com/spreadsheets/d/19KBlQQs7uwvsao6t2n-KvW3Ax8J8uRRfZPq1zPbXgKc/edit?usp=sharing"",""ระยอง!N64"")+IMPORTRANGE(""https://docs.google.com/spreadsheets/d/1jQ6P4QcrGM89YfqcC_PxOHGCMq5ezhucwJd8ci-NHng/edit?usp=sharing"",""ราชบุรี!N64"")+IMPORTRANGE"&amp;"(""https://docs.google.com/spreadsheets/d/1lufeA2cfFqM-elVq2hznhDzC6Pr7wkJ9ZG_sYNGCMCU/edit?usp=sharing"",""ลพบุรี!N64"")+IMPORTRANGE(""https://docs.google.com/spreadsheets/d/10oOiF7loTyfsTkbd4MpaIm0HQ9SwB7IYHdIUvt-U1Uc/edit?usp=sharing"",""สระแก้ว!N64"")"&amp;"+IMPORTRANGE(""https://docs.google.com/spreadsheets/d/1xmPlrr1QbdSIKvl1dWUl9K4PjAfSL9oeMr_37QVzcxc/edit?usp=sharing"",""สระบุรี!N64"")+IMPORTRANGE(""https://docs.google.com/spreadsheets/d/1j51vR6CYVGhABJpv6tkstgok82RLpXieLzW1yOY5rHw/edit?usp=sharing"",""ส"&amp;"ิงห์บุรี!N64"")+IMPORTRANGE(""https://docs.google.com/spreadsheets/d/1H1EalTWKUSzO4Z1-1CwzoDUaVffgrThEBe2sl74kKG0/edit?usp=sharing"",""สุพรรณบุรี!N64"")+IMPORTRANGE(""https://docs.google.com/spreadsheets/d/1BmIruG_sIrJLYao_Pdr7zVArWsfoBt2692TMi6x_854/edit"&amp;"?usp=sharing"",""อ่างทอง!N64"")"),8997028.2)</f>
        <v>8997028.1999999993</v>
      </c>
      <c r="O64" s="91">
        <f t="shared" ca="1" si="37"/>
        <v>94.003993354856902</v>
      </c>
      <c r="P64" s="91">
        <f t="shared" ca="1" si="38"/>
        <v>91.909761793363543</v>
      </c>
      <c r="Q64" s="76">
        <f ca="1">IFERROR(__xludf.DUMMYFUNCTION("IMPORTRANGE(""https://docs.google.com/spreadsheets/d/13wPX838HrBrQMCywv1BsuMkt4PEKTChp52zj44s2izQ/edit?usp=sharing"",""กาญจนบุรี!Q64"")+IMPORTRANGE(""https://docs.google.com/spreadsheets/d/1ddFKvqj1W1NEiWytbGlB1zMx_ykJDVtmfEQ-6-lIUBA/edit?usp=sharing"","""&amp;"จันทบุรี!Q64"")+IMPORTRANGE(""https://docs.google.com/spreadsheets/d/1T1PQvRODqOBZk8BRht_U031fIS1beLA0Ub2CEytj2q0/edit?usp=sharing"",""ฉะเชิงเทรา!Q64"")+IMPORTRANGE(""https://docs.google.com/spreadsheets/d/11tr1B-Bhyr79v2bkwVh5h_fR-PStkgjlZtkrZpYurG0/edit"&amp;"?usp=sharing"",""ชลบุรี!Q64"")+IMPORTRANGE(""https://docs.google.com/spreadsheets/d/1hh-FVnSX0vozXhGluamEcS54Dw9_zqW0N7qJUWgJ0Sw/edit?usp=sharing"",""ชัยนาท!Q64"")+IMPORTRANGE(""https://docs.google.com/spreadsheets/d/1jkqa6GXxSacMcY1eN8AHjMNJ_7dDXMJVRLDla"&amp;"FSOdPM/edit?usp=sharing"",""ตราด!Q64"")+IMPORTRANGE(""https://docs.google.com/spreadsheets/d/18hSgUJ3VwClqi_qtULmmW3cLr0oe3OKaSYoKzdpTsYQ/edit?usp=sharing"",""นครนายก!Q64"")+IMPORTRANGE(""https://docs.google.com/spreadsheets/d/1YTZo6WM2dQ6Ix6FSdnL5P7uVnVK"&amp;"u40sxZu975tgG10E/edit?usp=sharing"",""นครปฐม!Q64"")+IMPORTRANGE(""https://docs.google.com/spreadsheets/d/1OYoGg4WDg5RIzwGeB10padOxJF9E_Vljuvvct_M7RDo/edit?usp=sharing"",""ปทุมธานี!Q64"")+IMPORTRANGE(""https://docs.google.com/spreadsheets/d/1GbCIE4D4wk9FUo"&amp;"zzqk7SxfDMxDVBwVmI5zcaVUSzKAc/edit?usp=sharing"",""ประจวบคีรีขันธ์!Q64"")+IMPORTRANGE(""https://docs.google.com/spreadsheets/d/1vVf6wykvW_lAyu7Yo9L4hUTqHqIeP_qcVuxCtosJEbg/edit?usp=sharing"",""ปราจีนบุรี!Q64"")+IMPORTRANGE(""https://docs.google.com/spread"&amp;"sheets/d/1BIDqLLg5jk3v59G8NlR8rk5xfQDKne0sAvZHSj7TI6I/edit?usp=sharing"",""พระนครศรีอยุธยา!Q64"")+IMPORTRANGE(""https://docs.google.com/spreadsheets/d/1YXvxf8Yu6_rV4hTBrwMqAcAnv6DfhUxh5emyM3CJp_w/edit?usp=sharing"",""เพชรบุรี!Q64"")+IMPORTRANGE(""https://"&amp;"docs.google.com/spreadsheets/d/19KBlQQs7uwvsao6t2n-KvW3Ax8J8uRRfZPq1zPbXgKc/edit?usp=sharing"",""ระยอง!Q64"")+IMPORTRANGE(""https://docs.google.com/spreadsheets/d/1jQ6P4QcrGM89YfqcC_PxOHGCMq5ezhucwJd8ci-NHng/edit?usp=sharing"",""ราชบุรี!Q64"")+IMPORTRANGE"&amp;"(""https://docs.google.com/spreadsheets/d/1lufeA2cfFqM-elVq2hznhDzC6Pr7wkJ9ZG_sYNGCMCU/edit?usp=sharing"",""ลพบุรี!Q64"")+IMPORTRANGE(""https://docs.google.com/spreadsheets/d/10oOiF7loTyfsTkbd4MpaIm0HQ9SwB7IYHdIUvt-U1Uc/edit?usp=sharing"",""สระแก้ว!Q64"")"&amp;"+IMPORTRANGE(""https://docs.google.com/spreadsheets/d/1xmPlrr1QbdSIKvl1dWUl9K4PjAfSL9oeMr_37QVzcxc/edit?usp=sharing"",""สระบุรี!Q64"")+IMPORTRANGE(""https://docs.google.com/spreadsheets/d/1j51vR6CYVGhABJpv6tkstgok82RLpXieLzW1yOY5rHw/edit?usp=sharing"",""ส"&amp;"ิงห์บุรี!Q64"")+IMPORTRANGE(""https://docs.google.com/spreadsheets/d/1H1EalTWKUSzO4Z1-1CwzoDUaVffgrThEBe2sl74kKG0/edit?usp=sharing"",""สุพรรณบุรี!Q64"")+IMPORTRANGE(""https://docs.google.com/spreadsheets/d/1BmIruG_sIrJLYao_Pdr7zVArWsfoBt2692TMi6x_854/edit"&amp;"?usp=sharing"",""อ่างทอง!Q64"")"),0)</f>
        <v>0</v>
      </c>
      <c r="R64" s="77">
        <f ca="1">IFERROR(__xludf.DUMMYFUNCTION("IMPORTRANGE(""https://docs.google.com/spreadsheets/d/13wPX838HrBrQMCywv1BsuMkt4PEKTChp52zj44s2izQ/edit?usp=sharing"",""กาญจนบุรี!R64"")+IMPORTRANGE(""https://docs.google.com/spreadsheets/d/1ddFKvqj1W1NEiWytbGlB1zMx_ykJDVtmfEQ-6-lIUBA/edit?usp=sharing"","""&amp;"จันทบุรี!R64"")+IMPORTRANGE(""https://docs.google.com/spreadsheets/d/1T1PQvRODqOBZk8BRht_U031fIS1beLA0Ub2CEytj2q0/edit?usp=sharing"",""ฉะเชิงเทรา!R64"")+IMPORTRANGE(""https://docs.google.com/spreadsheets/d/11tr1B-Bhyr79v2bkwVh5h_fR-PStkgjlZtkrZpYurG0/edit"&amp;"?usp=sharing"",""ชลบุรี!R64"")+IMPORTRANGE(""https://docs.google.com/spreadsheets/d/1hh-FVnSX0vozXhGluamEcS54Dw9_zqW0N7qJUWgJ0Sw/edit?usp=sharing"",""ชัยนาท!R64"")+IMPORTRANGE(""https://docs.google.com/spreadsheets/d/1jkqa6GXxSacMcY1eN8AHjMNJ_7dDXMJVRLDla"&amp;"FSOdPM/edit?usp=sharing"",""ตราด!R64"")+IMPORTRANGE(""https://docs.google.com/spreadsheets/d/18hSgUJ3VwClqi_qtULmmW3cLr0oe3OKaSYoKzdpTsYQ/edit?usp=sharing"",""นครนายก!R64"")+IMPORTRANGE(""https://docs.google.com/spreadsheets/d/1YTZo6WM2dQ6Ix6FSdnL5P7uVnVK"&amp;"u40sxZu975tgG10E/edit?usp=sharing"",""นครปฐม!R64"")+IMPORTRANGE(""https://docs.google.com/spreadsheets/d/1OYoGg4WDg5RIzwGeB10padOxJF9E_Vljuvvct_M7RDo/edit?usp=sharing"",""ปทุมธานี!R64"")+IMPORTRANGE(""https://docs.google.com/spreadsheets/d/1GbCIE4D4wk9FUo"&amp;"zzqk7SxfDMxDVBwVmI5zcaVUSzKAc/edit?usp=sharing"",""ประจวบคีรีขันธ์!R64"")+IMPORTRANGE(""https://docs.google.com/spreadsheets/d/1vVf6wykvW_lAyu7Yo9L4hUTqHqIeP_qcVuxCtosJEbg/edit?usp=sharing"",""ปราจีนบุรี!R64"")+IMPORTRANGE(""https://docs.google.com/spread"&amp;"sheets/d/1BIDqLLg5jk3v59G8NlR8rk5xfQDKne0sAvZHSj7TI6I/edit?usp=sharing"",""พระนครศรีอยุธยา!R64"")+IMPORTRANGE(""https://docs.google.com/spreadsheets/d/1YXvxf8Yu6_rV4hTBrwMqAcAnv6DfhUxh5emyM3CJp_w/edit?usp=sharing"",""เพชรบุรี!R64"")+IMPORTRANGE(""https://"&amp;"docs.google.com/spreadsheets/d/19KBlQQs7uwvsao6t2n-KvW3Ax8J8uRRfZPq1zPbXgKc/edit?usp=sharing"",""ระยอง!R64"")+IMPORTRANGE(""https://docs.google.com/spreadsheets/d/1jQ6P4QcrGM89YfqcC_PxOHGCMq5ezhucwJd8ci-NHng/edit?usp=sharing"",""ราชบุรี!R64"")+IMPORTRANGE"&amp;"(""https://docs.google.com/spreadsheets/d/1lufeA2cfFqM-elVq2hznhDzC6Pr7wkJ9ZG_sYNGCMCU/edit?usp=sharing"",""ลพบุรี!R64"")+IMPORTRANGE(""https://docs.google.com/spreadsheets/d/10oOiF7loTyfsTkbd4MpaIm0HQ9SwB7IYHdIUvt-U1Uc/edit?usp=sharing"",""สระแก้ว!R64"")"&amp;"+IMPORTRANGE(""https://docs.google.com/spreadsheets/d/1xmPlrr1QbdSIKvl1dWUl9K4PjAfSL9oeMr_37QVzcxc/edit?usp=sharing"",""สระบุรี!R64"")+IMPORTRANGE(""https://docs.google.com/spreadsheets/d/1j51vR6CYVGhABJpv6tkstgok82RLpXieLzW1yOY5rHw/edit?usp=sharing"",""ส"&amp;"ิงห์บุรี!R64"")+IMPORTRANGE(""https://docs.google.com/spreadsheets/d/1H1EalTWKUSzO4Z1-1CwzoDUaVffgrThEBe2sl74kKG0/edit?usp=sharing"",""สุพรรณบุรี!R64"")+IMPORTRANGE(""https://docs.google.com/spreadsheets/d/1BmIruG_sIrJLYao_Pdr7zVArWsfoBt2692TMi6x_854/edit"&amp;"?usp=sharing"",""อ่างทอง!R64"")"),0)</f>
        <v>0</v>
      </c>
      <c r="S64" s="77">
        <f ca="1">IFERROR(__xludf.DUMMYFUNCTION("IMPORTRANGE(""https://docs.google.com/spreadsheets/d/13wPX838HrBrQMCywv1BsuMkt4PEKTChp52zj44s2izQ/edit?usp=sharing"",""กาญจนบุรี!S64"")+IMPORTRANGE(""https://docs.google.com/spreadsheets/d/1ddFKvqj1W1NEiWytbGlB1zMx_ykJDVtmfEQ-6-lIUBA/edit?usp=sharing"","""&amp;"จันทบุรี!S64"")+IMPORTRANGE(""https://docs.google.com/spreadsheets/d/1T1PQvRODqOBZk8BRht_U031fIS1beLA0Ub2CEytj2q0/edit?usp=sharing"",""ฉะเชิงเทรา!S64"")+IMPORTRANGE(""https://docs.google.com/spreadsheets/d/11tr1B-Bhyr79v2bkwVh5h_fR-PStkgjlZtkrZpYurG0/edit"&amp;"?usp=sharing"",""ชลบุรี!S64"")+IMPORTRANGE(""https://docs.google.com/spreadsheets/d/1hh-FVnSX0vozXhGluamEcS54Dw9_zqW0N7qJUWgJ0Sw/edit?usp=sharing"",""ชัยนาท!S64"")+IMPORTRANGE(""https://docs.google.com/spreadsheets/d/1jkqa6GXxSacMcY1eN8AHjMNJ_7dDXMJVRLDla"&amp;"FSOdPM/edit?usp=sharing"",""ตราด!S64"")+IMPORTRANGE(""https://docs.google.com/spreadsheets/d/18hSgUJ3VwClqi_qtULmmW3cLr0oe3OKaSYoKzdpTsYQ/edit?usp=sharing"",""นครนายก!S64"")+IMPORTRANGE(""https://docs.google.com/spreadsheets/d/1YTZo6WM2dQ6Ix6FSdnL5P7uVnVK"&amp;"u40sxZu975tgG10E/edit?usp=sharing"",""นครปฐม!S64"")+IMPORTRANGE(""https://docs.google.com/spreadsheets/d/1OYoGg4WDg5RIzwGeB10padOxJF9E_Vljuvvct_M7RDo/edit?usp=sharing"",""ปทุมธานี!S64"")+IMPORTRANGE(""https://docs.google.com/spreadsheets/d/1GbCIE4D4wk9FUo"&amp;"zzqk7SxfDMxDVBwVmI5zcaVUSzKAc/edit?usp=sharing"",""ประจวบคีรีขันธ์!S64"")+IMPORTRANGE(""https://docs.google.com/spreadsheets/d/1vVf6wykvW_lAyu7Yo9L4hUTqHqIeP_qcVuxCtosJEbg/edit?usp=sharing"",""ปราจีนบุรี!S64"")+IMPORTRANGE(""https://docs.google.com/spread"&amp;"sheets/d/1BIDqLLg5jk3v59G8NlR8rk5xfQDKne0sAvZHSj7TI6I/edit?usp=sharing"",""พระนครศรีอยุธยา!S64"")+IMPORTRANGE(""https://docs.google.com/spreadsheets/d/1YXvxf8Yu6_rV4hTBrwMqAcAnv6DfhUxh5emyM3CJp_w/edit?usp=sharing"",""เพชรบุรี!S64"")+IMPORTRANGE(""https://"&amp;"docs.google.com/spreadsheets/d/19KBlQQs7uwvsao6t2n-KvW3Ax8J8uRRfZPq1zPbXgKc/edit?usp=sharing"",""ระยอง!S64"")+IMPORTRANGE(""https://docs.google.com/spreadsheets/d/1jQ6P4QcrGM89YfqcC_PxOHGCMq5ezhucwJd8ci-NHng/edit?usp=sharing"",""ราชบุรี!S64"")+IMPORTRANGE"&amp;"(""https://docs.google.com/spreadsheets/d/1lufeA2cfFqM-elVq2hznhDzC6Pr7wkJ9ZG_sYNGCMCU/edit?usp=sharing"",""ลพบุรี!S64"")+IMPORTRANGE(""https://docs.google.com/spreadsheets/d/10oOiF7loTyfsTkbd4MpaIm0HQ9SwB7IYHdIUvt-U1Uc/edit?usp=sharing"",""สระแก้ว!S64"")"&amp;"+IMPORTRANGE(""https://docs.google.com/spreadsheets/d/1xmPlrr1QbdSIKvl1dWUl9K4PjAfSL9oeMr_37QVzcxc/edit?usp=sharing"",""สระบุรี!S64"")+IMPORTRANGE(""https://docs.google.com/spreadsheets/d/1j51vR6CYVGhABJpv6tkstgok82RLpXieLzW1yOY5rHw/edit?usp=sharing"",""ส"&amp;"ิงห์บุรี!S64"")+IMPORTRANGE(""https://docs.google.com/spreadsheets/d/1H1EalTWKUSzO4Z1-1CwzoDUaVffgrThEBe2sl74kKG0/edit?usp=sharing"",""สุพรรณบุรี!S64"")+IMPORTRANGE(""https://docs.google.com/spreadsheets/d/1BmIruG_sIrJLYao_Pdr7zVArWsfoBt2692TMi6x_854/edit"&amp;"?usp=sharing"",""อ่างทอง!S64"")"),0)</f>
        <v>0</v>
      </c>
      <c r="T64" s="135">
        <f t="shared" ca="1" si="40"/>
        <v>0</v>
      </c>
      <c r="U64" s="135">
        <f t="shared" ca="1" si="41"/>
        <v>0</v>
      </c>
    </row>
    <row r="65" spans="1:21" ht="18.75" x14ac:dyDescent="0.25">
      <c r="A65" s="69"/>
      <c r="B65" s="70"/>
      <c r="C65" s="70"/>
      <c r="D65" s="71" t="s">
        <v>23</v>
      </c>
      <c r="E65" s="70"/>
      <c r="F65" s="70"/>
      <c r="G65" s="72"/>
      <c r="H65" s="73" t="s">
        <v>14</v>
      </c>
      <c r="I65" s="74"/>
      <c r="J65" s="74"/>
      <c r="K65" s="75"/>
      <c r="L65" s="91">
        <f t="shared" ref="L65:N65" ca="1" si="48">L66+L67</f>
        <v>0</v>
      </c>
      <c r="M65" s="91">
        <f t="shared" ca="1" si="48"/>
        <v>0</v>
      </c>
      <c r="N65" s="91">
        <f t="shared" ca="1" si="48"/>
        <v>0</v>
      </c>
      <c r="O65" s="91">
        <f t="shared" ca="1" si="37"/>
        <v>0</v>
      </c>
      <c r="P65" s="91">
        <f t="shared" ca="1" si="38"/>
        <v>0</v>
      </c>
      <c r="Q65" s="134">
        <f t="shared" ref="Q65:S65" ca="1" si="49">Q66+Q67</f>
        <v>0</v>
      </c>
      <c r="R65" s="135">
        <f t="shared" ca="1" si="49"/>
        <v>0</v>
      </c>
      <c r="S65" s="135">
        <f t="shared" ca="1" si="49"/>
        <v>0</v>
      </c>
      <c r="T65" s="135">
        <f t="shared" ca="1" si="40"/>
        <v>0</v>
      </c>
      <c r="U65" s="135">
        <f t="shared" ca="1" si="41"/>
        <v>0</v>
      </c>
    </row>
    <row r="66" spans="1:21" ht="18.75" x14ac:dyDescent="0.25">
      <c r="A66" s="69"/>
      <c r="B66" s="70"/>
      <c r="C66" s="70"/>
      <c r="D66" s="70"/>
      <c r="E66" s="78" t="s">
        <v>20</v>
      </c>
      <c r="F66" s="70"/>
      <c r="G66" s="72"/>
      <c r="H66" s="73" t="s">
        <v>14</v>
      </c>
      <c r="I66" s="74"/>
      <c r="J66" s="74"/>
      <c r="K66" s="75"/>
      <c r="L66" s="91">
        <f ca="1">IFERROR(__xludf.DUMMYFUNCTION("IMPORTRANGE(""https://docs.google.com/spreadsheets/d/13wPX838HrBrQMCywv1BsuMkt4PEKTChp52zj44s2izQ/edit?usp=sharing"",""กาญจนบุรี!L66"")+IMPORTRANGE(""https://docs.google.com/spreadsheets/d/1ddFKvqj1W1NEiWytbGlB1zMx_ykJDVtmfEQ-6-lIUBA/edit?usp=sharing"","""&amp;"จันทบุรี!L66"")+IMPORTRANGE(""https://docs.google.com/spreadsheets/d/1T1PQvRODqOBZk8BRht_U031fIS1beLA0Ub2CEytj2q0/edit?usp=sharing"",""ฉะเชิงเทรา!L66"")+IMPORTRANGE(""https://docs.google.com/spreadsheets/d/11tr1B-Bhyr79v2bkwVh5h_fR-PStkgjlZtkrZpYurG0/edit"&amp;"?usp=sharing"",""ชลบุรี!L66"")+IMPORTRANGE(""https://docs.google.com/spreadsheets/d/1hh-FVnSX0vozXhGluamEcS54Dw9_zqW0N7qJUWgJ0Sw/edit?usp=sharing"",""ชัยนาท!L66"")+IMPORTRANGE(""https://docs.google.com/spreadsheets/d/1jkqa6GXxSacMcY1eN8AHjMNJ_7dDXMJVRLDla"&amp;"FSOdPM/edit?usp=sharing"",""ตราด!L66"")+IMPORTRANGE(""https://docs.google.com/spreadsheets/d/18hSgUJ3VwClqi_qtULmmW3cLr0oe3OKaSYoKzdpTsYQ/edit?usp=sharing"",""นครนายก!L66"")+IMPORTRANGE(""https://docs.google.com/spreadsheets/d/1YTZo6WM2dQ6Ix6FSdnL5P7uVnVK"&amp;"u40sxZu975tgG10E/edit?usp=sharing"",""นครปฐม!L66"")+IMPORTRANGE(""https://docs.google.com/spreadsheets/d/1OYoGg4WDg5RIzwGeB10padOxJF9E_Vljuvvct_M7RDo/edit?usp=sharing"",""ปทุมธานี!L66"")+IMPORTRANGE(""https://docs.google.com/spreadsheets/d/1GbCIE4D4wk9FUo"&amp;"zzqk7SxfDMxDVBwVmI5zcaVUSzKAc/edit?usp=sharing"",""ประจวบคีรีขันธ์!L66"")+IMPORTRANGE(""https://docs.google.com/spreadsheets/d/1vVf6wykvW_lAyu7Yo9L4hUTqHqIeP_qcVuxCtosJEbg/edit?usp=sharing"",""ปราจีนบุรี!L66"")+IMPORTRANGE(""https://docs.google.com/spread"&amp;"sheets/d/1BIDqLLg5jk3v59G8NlR8rk5xfQDKne0sAvZHSj7TI6I/edit?usp=sharing"",""พระนครศรีอยุธยา!L66"")+IMPORTRANGE(""https://docs.google.com/spreadsheets/d/1YXvxf8Yu6_rV4hTBrwMqAcAnv6DfhUxh5emyM3CJp_w/edit?usp=sharing"",""เพชรบุรี!L66"")+IMPORTRANGE(""https://"&amp;"docs.google.com/spreadsheets/d/19KBlQQs7uwvsao6t2n-KvW3Ax8J8uRRfZPq1zPbXgKc/edit?usp=sharing"",""ระยอง!L66"")+IMPORTRANGE(""https://docs.google.com/spreadsheets/d/1jQ6P4QcrGM89YfqcC_PxOHGCMq5ezhucwJd8ci-NHng/edit?usp=sharing"",""ราชบุรี!L66"")+IMPORTRANGE"&amp;"(""https://docs.google.com/spreadsheets/d/1lufeA2cfFqM-elVq2hznhDzC6Pr7wkJ9ZG_sYNGCMCU/edit?usp=sharing"",""ลพบุรี!L66"")+IMPORTRANGE(""https://docs.google.com/spreadsheets/d/10oOiF7loTyfsTkbd4MpaIm0HQ9SwB7IYHdIUvt-U1Uc/edit?usp=sharing"",""สระแก้ว!L66"")"&amp;"+IMPORTRANGE(""https://docs.google.com/spreadsheets/d/1xmPlrr1QbdSIKvl1dWUl9K4PjAfSL9oeMr_37QVzcxc/edit?usp=sharing"",""สระบุรี!L66"")+IMPORTRANGE(""https://docs.google.com/spreadsheets/d/1j51vR6CYVGhABJpv6tkstgok82RLpXieLzW1yOY5rHw/edit?usp=sharing"",""ส"&amp;"ิงห์บุรี!L66"")+IMPORTRANGE(""https://docs.google.com/spreadsheets/d/1H1EalTWKUSzO4Z1-1CwzoDUaVffgrThEBe2sl74kKG0/edit?usp=sharing"",""สุพรรณบุรี!L66"")+IMPORTRANGE(""https://docs.google.com/spreadsheets/d/1BmIruG_sIrJLYao_Pdr7zVArWsfoBt2692TMi6x_854/edit"&amp;"?usp=sharing"",""อ่างทอง!L66"")"),0)</f>
        <v>0</v>
      </c>
      <c r="M66" s="91">
        <f ca="1">IFERROR(__xludf.DUMMYFUNCTION("IMPORTRANGE(""https://docs.google.com/spreadsheets/d/13wPX838HrBrQMCywv1BsuMkt4PEKTChp52zj44s2izQ/edit?usp=sharing"",""กาญจนบุรี!M66"")+IMPORTRANGE(""https://docs.google.com/spreadsheets/d/1ddFKvqj1W1NEiWytbGlB1zMx_ykJDVtmfEQ-6-lIUBA/edit?usp=sharing"","""&amp;"จันทบุรี!M66"")+IMPORTRANGE(""https://docs.google.com/spreadsheets/d/1T1PQvRODqOBZk8BRht_U031fIS1beLA0Ub2CEytj2q0/edit?usp=sharing"",""ฉะเชิงเทรา!M66"")+IMPORTRANGE(""https://docs.google.com/spreadsheets/d/11tr1B-Bhyr79v2bkwVh5h_fR-PStkgjlZtkrZpYurG0/edit"&amp;"?usp=sharing"",""ชลบุรี!M66"")+IMPORTRANGE(""https://docs.google.com/spreadsheets/d/1hh-FVnSX0vozXhGluamEcS54Dw9_zqW0N7qJUWgJ0Sw/edit?usp=sharing"",""ชัยนาท!M66"")+IMPORTRANGE(""https://docs.google.com/spreadsheets/d/1jkqa6GXxSacMcY1eN8AHjMNJ_7dDXMJVRLDla"&amp;"FSOdPM/edit?usp=sharing"",""ตราด!M66"")+IMPORTRANGE(""https://docs.google.com/spreadsheets/d/18hSgUJ3VwClqi_qtULmmW3cLr0oe3OKaSYoKzdpTsYQ/edit?usp=sharing"",""นครนายก!M66"")+IMPORTRANGE(""https://docs.google.com/spreadsheets/d/1YTZo6WM2dQ6Ix6FSdnL5P7uVnVK"&amp;"u40sxZu975tgG10E/edit?usp=sharing"",""นครปฐม!M66"")+IMPORTRANGE(""https://docs.google.com/spreadsheets/d/1OYoGg4WDg5RIzwGeB10padOxJF9E_Vljuvvct_M7RDo/edit?usp=sharing"",""ปทุมธานี!M66"")+IMPORTRANGE(""https://docs.google.com/spreadsheets/d/1GbCIE4D4wk9FUo"&amp;"zzqk7SxfDMxDVBwVmI5zcaVUSzKAc/edit?usp=sharing"",""ประจวบคีรีขันธ์!M66"")+IMPORTRANGE(""https://docs.google.com/spreadsheets/d/1vVf6wykvW_lAyu7Yo9L4hUTqHqIeP_qcVuxCtosJEbg/edit?usp=sharing"",""ปราจีนบุรี!M66"")+IMPORTRANGE(""https://docs.google.com/spread"&amp;"sheets/d/1BIDqLLg5jk3v59G8NlR8rk5xfQDKne0sAvZHSj7TI6I/edit?usp=sharing"",""พระนครศรีอยุธยา!M66"")+IMPORTRANGE(""https://docs.google.com/spreadsheets/d/1YXvxf8Yu6_rV4hTBrwMqAcAnv6DfhUxh5emyM3CJp_w/edit?usp=sharing"",""เพชรบุรี!M66"")+IMPORTRANGE(""https://"&amp;"docs.google.com/spreadsheets/d/19KBlQQs7uwvsao6t2n-KvW3Ax8J8uRRfZPq1zPbXgKc/edit?usp=sharing"",""ระยอง!M66"")+IMPORTRANGE(""https://docs.google.com/spreadsheets/d/1jQ6P4QcrGM89YfqcC_PxOHGCMq5ezhucwJd8ci-NHng/edit?usp=sharing"",""ราชบุรี!M66"")+IMPORTRANGE"&amp;"(""https://docs.google.com/spreadsheets/d/1lufeA2cfFqM-elVq2hznhDzC6Pr7wkJ9ZG_sYNGCMCU/edit?usp=sharing"",""ลพบุรี!M66"")+IMPORTRANGE(""https://docs.google.com/spreadsheets/d/10oOiF7loTyfsTkbd4MpaIm0HQ9SwB7IYHdIUvt-U1Uc/edit?usp=sharing"",""สระแก้ว!M66"")"&amp;"+IMPORTRANGE(""https://docs.google.com/spreadsheets/d/1xmPlrr1QbdSIKvl1dWUl9K4PjAfSL9oeMr_37QVzcxc/edit?usp=sharing"",""สระบุรี!M66"")+IMPORTRANGE(""https://docs.google.com/spreadsheets/d/1j51vR6CYVGhABJpv6tkstgok82RLpXieLzW1yOY5rHw/edit?usp=sharing"",""ส"&amp;"ิงห์บุรี!M66"")+IMPORTRANGE(""https://docs.google.com/spreadsheets/d/1H1EalTWKUSzO4Z1-1CwzoDUaVffgrThEBe2sl74kKG0/edit?usp=sharing"",""สุพรรณบุรี!M66"")+IMPORTRANGE(""https://docs.google.com/spreadsheets/d/1BmIruG_sIrJLYao_Pdr7zVArWsfoBt2692TMi6x_854/edit"&amp;"?usp=sharing"",""อ่างทอง!M66"")"),0)</f>
        <v>0</v>
      </c>
      <c r="N66" s="91">
        <f ca="1">IFERROR(__xludf.DUMMYFUNCTION("IMPORTRANGE(""https://docs.google.com/spreadsheets/d/13wPX838HrBrQMCywv1BsuMkt4PEKTChp52zj44s2izQ/edit?usp=sharing"",""กาญจนบุรี!N66"")+IMPORTRANGE(""https://docs.google.com/spreadsheets/d/1ddFKvqj1W1NEiWytbGlB1zMx_ykJDVtmfEQ-6-lIUBA/edit?usp=sharing"","""&amp;"จันทบุรี!N66"")+IMPORTRANGE(""https://docs.google.com/spreadsheets/d/1T1PQvRODqOBZk8BRht_U031fIS1beLA0Ub2CEytj2q0/edit?usp=sharing"",""ฉะเชิงเทรา!N66"")+IMPORTRANGE(""https://docs.google.com/spreadsheets/d/11tr1B-Bhyr79v2bkwVh5h_fR-PStkgjlZtkrZpYurG0/edit"&amp;"?usp=sharing"",""ชลบุรี!N66"")+IMPORTRANGE(""https://docs.google.com/spreadsheets/d/1hh-FVnSX0vozXhGluamEcS54Dw9_zqW0N7qJUWgJ0Sw/edit?usp=sharing"",""ชัยนาท!N66"")+IMPORTRANGE(""https://docs.google.com/spreadsheets/d/1jkqa6GXxSacMcY1eN8AHjMNJ_7dDXMJVRLDla"&amp;"FSOdPM/edit?usp=sharing"",""ตราด!N66"")+IMPORTRANGE(""https://docs.google.com/spreadsheets/d/18hSgUJ3VwClqi_qtULmmW3cLr0oe3OKaSYoKzdpTsYQ/edit?usp=sharing"",""นครนายก!N66"")+IMPORTRANGE(""https://docs.google.com/spreadsheets/d/1YTZo6WM2dQ6Ix6FSdnL5P7uVnVK"&amp;"u40sxZu975tgG10E/edit?usp=sharing"",""นครปฐม!N66"")+IMPORTRANGE(""https://docs.google.com/spreadsheets/d/1OYoGg4WDg5RIzwGeB10padOxJF9E_Vljuvvct_M7RDo/edit?usp=sharing"",""ปทุมธานี!N66"")+IMPORTRANGE(""https://docs.google.com/spreadsheets/d/1GbCIE4D4wk9FUo"&amp;"zzqk7SxfDMxDVBwVmI5zcaVUSzKAc/edit?usp=sharing"",""ประจวบคีรีขันธ์!N66"")+IMPORTRANGE(""https://docs.google.com/spreadsheets/d/1vVf6wykvW_lAyu7Yo9L4hUTqHqIeP_qcVuxCtosJEbg/edit?usp=sharing"",""ปราจีนบุรี!N66"")+IMPORTRANGE(""https://docs.google.com/spread"&amp;"sheets/d/1BIDqLLg5jk3v59G8NlR8rk5xfQDKne0sAvZHSj7TI6I/edit?usp=sharing"",""พระนครศรีอยุธยา!N66"")+IMPORTRANGE(""https://docs.google.com/spreadsheets/d/1YXvxf8Yu6_rV4hTBrwMqAcAnv6DfhUxh5emyM3CJp_w/edit?usp=sharing"",""เพชรบุรี!N66"")+IMPORTRANGE(""https://"&amp;"docs.google.com/spreadsheets/d/19KBlQQs7uwvsao6t2n-KvW3Ax8J8uRRfZPq1zPbXgKc/edit?usp=sharing"",""ระยอง!N66"")+IMPORTRANGE(""https://docs.google.com/spreadsheets/d/1jQ6P4QcrGM89YfqcC_PxOHGCMq5ezhucwJd8ci-NHng/edit?usp=sharing"",""ราชบุรี!N66"")+IMPORTRANGE"&amp;"(""https://docs.google.com/spreadsheets/d/1lufeA2cfFqM-elVq2hznhDzC6Pr7wkJ9ZG_sYNGCMCU/edit?usp=sharing"",""ลพบุรี!N66"")+IMPORTRANGE(""https://docs.google.com/spreadsheets/d/10oOiF7loTyfsTkbd4MpaIm0HQ9SwB7IYHdIUvt-U1Uc/edit?usp=sharing"",""สระแก้ว!N66"")"&amp;"+IMPORTRANGE(""https://docs.google.com/spreadsheets/d/1xmPlrr1QbdSIKvl1dWUl9K4PjAfSL9oeMr_37QVzcxc/edit?usp=sharing"",""สระบุรี!N66"")+IMPORTRANGE(""https://docs.google.com/spreadsheets/d/1j51vR6CYVGhABJpv6tkstgok82RLpXieLzW1yOY5rHw/edit?usp=sharing"",""ส"&amp;"ิงห์บุรี!N66"")+IMPORTRANGE(""https://docs.google.com/spreadsheets/d/1H1EalTWKUSzO4Z1-1CwzoDUaVffgrThEBe2sl74kKG0/edit?usp=sharing"",""สุพรรณบุรี!N66"")+IMPORTRANGE(""https://docs.google.com/spreadsheets/d/1BmIruG_sIrJLYao_Pdr7zVArWsfoBt2692TMi6x_854/edit"&amp;"?usp=sharing"",""อ่างทอง!N66"")"),0)</f>
        <v>0</v>
      </c>
      <c r="O66" s="91">
        <f t="shared" ca="1" si="37"/>
        <v>0</v>
      </c>
      <c r="P66" s="91">
        <f t="shared" ca="1" si="38"/>
        <v>0</v>
      </c>
      <c r="Q66" s="79">
        <f ca="1">IFERROR(__xludf.DUMMYFUNCTION("IMPORTRANGE(""https://docs.google.com/spreadsheets/d/13wPX838HrBrQMCywv1BsuMkt4PEKTChp52zj44s2izQ/edit?usp=sharing"",""กาญจนบุรี!Q66"")+IMPORTRANGE(""https://docs.google.com/spreadsheets/d/1ddFKvqj1W1NEiWytbGlB1zMx_ykJDVtmfEQ-6-lIUBA/edit?usp=sharing"","""&amp;"จันทบุรี!Q66"")+IMPORTRANGE(""https://docs.google.com/spreadsheets/d/1T1PQvRODqOBZk8BRht_U031fIS1beLA0Ub2CEytj2q0/edit?usp=sharing"",""ฉะเชิงเทรา!Q66"")+IMPORTRANGE(""https://docs.google.com/spreadsheets/d/11tr1B-Bhyr79v2bkwVh5h_fR-PStkgjlZtkrZpYurG0/edit"&amp;"?usp=sharing"",""ชลบุรี!Q66"")+IMPORTRANGE(""https://docs.google.com/spreadsheets/d/1hh-FVnSX0vozXhGluamEcS54Dw9_zqW0N7qJUWgJ0Sw/edit?usp=sharing"",""ชัยนาท!Q66"")+IMPORTRANGE(""https://docs.google.com/spreadsheets/d/1jkqa6GXxSacMcY1eN8AHjMNJ_7dDXMJVRLDla"&amp;"FSOdPM/edit?usp=sharing"",""ตราด!Q66"")+IMPORTRANGE(""https://docs.google.com/spreadsheets/d/18hSgUJ3VwClqi_qtULmmW3cLr0oe3OKaSYoKzdpTsYQ/edit?usp=sharing"",""นครนายก!Q66"")+IMPORTRANGE(""https://docs.google.com/spreadsheets/d/1YTZo6WM2dQ6Ix6FSdnL5P7uVnVK"&amp;"u40sxZu975tgG10E/edit?usp=sharing"",""นครปฐม!Q66"")+IMPORTRANGE(""https://docs.google.com/spreadsheets/d/1OYoGg4WDg5RIzwGeB10padOxJF9E_Vljuvvct_M7RDo/edit?usp=sharing"",""ปทุมธานี!Q66"")+IMPORTRANGE(""https://docs.google.com/spreadsheets/d/1GbCIE4D4wk9FUo"&amp;"zzqk7SxfDMxDVBwVmI5zcaVUSzKAc/edit?usp=sharing"",""ประจวบคีรีขันธ์!Q66"")+IMPORTRANGE(""https://docs.google.com/spreadsheets/d/1vVf6wykvW_lAyu7Yo9L4hUTqHqIeP_qcVuxCtosJEbg/edit?usp=sharing"",""ปราจีนบุรี!Q66"")+IMPORTRANGE(""https://docs.google.com/spread"&amp;"sheets/d/1BIDqLLg5jk3v59G8NlR8rk5xfQDKne0sAvZHSj7TI6I/edit?usp=sharing"",""พระนครศรีอยุธยา!Q66"")+IMPORTRANGE(""https://docs.google.com/spreadsheets/d/1YXvxf8Yu6_rV4hTBrwMqAcAnv6DfhUxh5emyM3CJp_w/edit?usp=sharing"",""เพชรบุรี!Q66"")+IMPORTRANGE(""https://"&amp;"docs.google.com/spreadsheets/d/19KBlQQs7uwvsao6t2n-KvW3Ax8J8uRRfZPq1zPbXgKc/edit?usp=sharing"",""ระยอง!Q66"")+IMPORTRANGE(""https://docs.google.com/spreadsheets/d/1jQ6P4QcrGM89YfqcC_PxOHGCMq5ezhucwJd8ci-NHng/edit?usp=sharing"",""ราชบุรี!Q66"")+IMPORTRANGE"&amp;"(""https://docs.google.com/spreadsheets/d/1lufeA2cfFqM-elVq2hznhDzC6Pr7wkJ9ZG_sYNGCMCU/edit?usp=sharing"",""ลพบุรี!Q66"")+IMPORTRANGE(""https://docs.google.com/spreadsheets/d/10oOiF7loTyfsTkbd4MpaIm0HQ9SwB7IYHdIUvt-U1Uc/edit?usp=sharing"",""สระแก้ว!Q66"")"&amp;"+IMPORTRANGE(""https://docs.google.com/spreadsheets/d/1xmPlrr1QbdSIKvl1dWUl9K4PjAfSL9oeMr_37QVzcxc/edit?usp=sharing"",""สระบุรี!Q66"")+IMPORTRANGE(""https://docs.google.com/spreadsheets/d/1j51vR6CYVGhABJpv6tkstgok82RLpXieLzW1yOY5rHw/edit?usp=sharing"",""ส"&amp;"ิงห์บุรี!Q66"")+IMPORTRANGE(""https://docs.google.com/spreadsheets/d/1H1EalTWKUSzO4Z1-1CwzoDUaVffgrThEBe2sl74kKG0/edit?usp=sharing"",""สุพรรณบุรี!Q66"")+IMPORTRANGE(""https://docs.google.com/spreadsheets/d/1BmIruG_sIrJLYao_Pdr7zVArWsfoBt2692TMi6x_854/edit"&amp;"?usp=sharing"",""อ่างทอง!Q66"")"),0)</f>
        <v>0</v>
      </c>
      <c r="R66" s="80">
        <f ca="1">IFERROR(__xludf.DUMMYFUNCTION("IMPORTRANGE(""https://docs.google.com/spreadsheets/d/13wPX838HrBrQMCywv1BsuMkt4PEKTChp52zj44s2izQ/edit?usp=sharing"",""กาญจนบุรี!R66"")+IMPORTRANGE(""https://docs.google.com/spreadsheets/d/1ddFKvqj1W1NEiWytbGlB1zMx_ykJDVtmfEQ-6-lIUBA/edit?usp=sharing"","""&amp;"จันทบุรี!R66"")+IMPORTRANGE(""https://docs.google.com/spreadsheets/d/1T1PQvRODqOBZk8BRht_U031fIS1beLA0Ub2CEytj2q0/edit?usp=sharing"",""ฉะเชิงเทรา!R66"")+IMPORTRANGE(""https://docs.google.com/spreadsheets/d/11tr1B-Bhyr79v2bkwVh5h_fR-PStkgjlZtkrZpYurG0/edit"&amp;"?usp=sharing"",""ชลบุรี!R66"")+IMPORTRANGE(""https://docs.google.com/spreadsheets/d/1hh-FVnSX0vozXhGluamEcS54Dw9_zqW0N7qJUWgJ0Sw/edit?usp=sharing"",""ชัยนาท!R66"")+IMPORTRANGE(""https://docs.google.com/spreadsheets/d/1jkqa6GXxSacMcY1eN8AHjMNJ_7dDXMJVRLDla"&amp;"FSOdPM/edit?usp=sharing"",""ตราด!R66"")+IMPORTRANGE(""https://docs.google.com/spreadsheets/d/18hSgUJ3VwClqi_qtULmmW3cLr0oe3OKaSYoKzdpTsYQ/edit?usp=sharing"",""นครนายก!R66"")+IMPORTRANGE(""https://docs.google.com/spreadsheets/d/1YTZo6WM2dQ6Ix6FSdnL5P7uVnVK"&amp;"u40sxZu975tgG10E/edit?usp=sharing"",""นครปฐม!R66"")+IMPORTRANGE(""https://docs.google.com/spreadsheets/d/1OYoGg4WDg5RIzwGeB10padOxJF9E_Vljuvvct_M7RDo/edit?usp=sharing"",""ปทุมธานี!R66"")+IMPORTRANGE(""https://docs.google.com/spreadsheets/d/1GbCIE4D4wk9FUo"&amp;"zzqk7SxfDMxDVBwVmI5zcaVUSzKAc/edit?usp=sharing"",""ประจวบคีรีขันธ์!R66"")+IMPORTRANGE(""https://docs.google.com/spreadsheets/d/1vVf6wykvW_lAyu7Yo9L4hUTqHqIeP_qcVuxCtosJEbg/edit?usp=sharing"",""ปราจีนบุรี!R66"")+IMPORTRANGE(""https://docs.google.com/spread"&amp;"sheets/d/1BIDqLLg5jk3v59G8NlR8rk5xfQDKne0sAvZHSj7TI6I/edit?usp=sharing"",""พระนครศรีอยุธยา!R66"")+IMPORTRANGE(""https://docs.google.com/spreadsheets/d/1YXvxf8Yu6_rV4hTBrwMqAcAnv6DfhUxh5emyM3CJp_w/edit?usp=sharing"",""เพชรบุรี!R66"")+IMPORTRANGE(""https://"&amp;"docs.google.com/spreadsheets/d/19KBlQQs7uwvsao6t2n-KvW3Ax8J8uRRfZPq1zPbXgKc/edit?usp=sharing"",""ระยอง!R66"")+IMPORTRANGE(""https://docs.google.com/spreadsheets/d/1jQ6P4QcrGM89YfqcC_PxOHGCMq5ezhucwJd8ci-NHng/edit?usp=sharing"",""ราชบุรี!R66"")+IMPORTRANGE"&amp;"(""https://docs.google.com/spreadsheets/d/1lufeA2cfFqM-elVq2hznhDzC6Pr7wkJ9ZG_sYNGCMCU/edit?usp=sharing"",""ลพบุรี!R66"")+IMPORTRANGE(""https://docs.google.com/spreadsheets/d/10oOiF7loTyfsTkbd4MpaIm0HQ9SwB7IYHdIUvt-U1Uc/edit?usp=sharing"",""สระแก้ว!R66"")"&amp;"+IMPORTRANGE(""https://docs.google.com/spreadsheets/d/1xmPlrr1QbdSIKvl1dWUl9K4PjAfSL9oeMr_37QVzcxc/edit?usp=sharing"",""สระบุรี!R66"")+IMPORTRANGE(""https://docs.google.com/spreadsheets/d/1j51vR6CYVGhABJpv6tkstgok82RLpXieLzW1yOY5rHw/edit?usp=sharing"",""ส"&amp;"ิงห์บุรี!R66"")+IMPORTRANGE(""https://docs.google.com/spreadsheets/d/1H1EalTWKUSzO4Z1-1CwzoDUaVffgrThEBe2sl74kKG0/edit?usp=sharing"",""สุพรรณบุรี!R66"")+IMPORTRANGE(""https://docs.google.com/spreadsheets/d/1BmIruG_sIrJLYao_Pdr7zVArWsfoBt2692TMi6x_854/edit"&amp;"?usp=sharing"",""อ่างทอง!R66"")"),0)</f>
        <v>0</v>
      </c>
      <c r="S66" s="80">
        <f ca="1">IFERROR(__xludf.DUMMYFUNCTION("IMPORTRANGE(""https://docs.google.com/spreadsheets/d/13wPX838HrBrQMCywv1BsuMkt4PEKTChp52zj44s2izQ/edit?usp=sharing"",""กาญจนบุรี!S66"")+IMPORTRANGE(""https://docs.google.com/spreadsheets/d/1ddFKvqj1W1NEiWytbGlB1zMx_ykJDVtmfEQ-6-lIUBA/edit?usp=sharing"","""&amp;"จันทบุรี!S66"")+IMPORTRANGE(""https://docs.google.com/spreadsheets/d/1T1PQvRODqOBZk8BRht_U031fIS1beLA0Ub2CEytj2q0/edit?usp=sharing"",""ฉะเชิงเทรา!S66"")+IMPORTRANGE(""https://docs.google.com/spreadsheets/d/11tr1B-Bhyr79v2bkwVh5h_fR-PStkgjlZtkrZpYurG0/edit"&amp;"?usp=sharing"",""ชลบุรี!S66"")+IMPORTRANGE(""https://docs.google.com/spreadsheets/d/1hh-FVnSX0vozXhGluamEcS54Dw9_zqW0N7qJUWgJ0Sw/edit?usp=sharing"",""ชัยนาท!S66"")+IMPORTRANGE(""https://docs.google.com/spreadsheets/d/1jkqa6GXxSacMcY1eN8AHjMNJ_7dDXMJVRLDla"&amp;"FSOdPM/edit?usp=sharing"",""ตราด!S66"")+IMPORTRANGE(""https://docs.google.com/spreadsheets/d/18hSgUJ3VwClqi_qtULmmW3cLr0oe3OKaSYoKzdpTsYQ/edit?usp=sharing"",""นครนายก!S66"")+IMPORTRANGE(""https://docs.google.com/spreadsheets/d/1YTZo6WM2dQ6Ix6FSdnL5P7uVnVK"&amp;"u40sxZu975tgG10E/edit?usp=sharing"",""นครปฐม!S66"")+IMPORTRANGE(""https://docs.google.com/spreadsheets/d/1OYoGg4WDg5RIzwGeB10padOxJF9E_Vljuvvct_M7RDo/edit?usp=sharing"",""ปทุมธานี!S66"")+IMPORTRANGE(""https://docs.google.com/spreadsheets/d/1GbCIE4D4wk9FUo"&amp;"zzqk7SxfDMxDVBwVmI5zcaVUSzKAc/edit?usp=sharing"",""ประจวบคีรีขันธ์!S66"")+IMPORTRANGE(""https://docs.google.com/spreadsheets/d/1vVf6wykvW_lAyu7Yo9L4hUTqHqIeP_qcVuxCtosJEbg/edit?usp=sharing"",""ปราจีนบุรี!S66"")+IMPORTRANGE(""https://docs.google.com/spread"&amp;"sheets/d/1BIDqLLg5jk3v59G8NlR8rk5xfQDKne0sAvZHSj7TI6I/edit?usp=sharing"",""พระนครศรีอยุธยา!S66"")+IMPORTRANGE(""https://docs.google.com/spreadsheets/d/1YXvxf8Yu6_rV4hTBrwMqAcAnv6DfhUxh5emyM3CJp_w/edit?usp=sharing"",""เพชรบุรี!S66"")+IMPORTRANGE(""https://"&amp;"docs.google.com/spreadsheets/d/19KBlQQs7uwvsao6t2n-KvW3Ax8J8uRRfZPq1zPbXgKc/edit?usp=sharing"",""ระยอง!S66"")+IMPORTRANGE(""https://docs.google.com/spreadsheets/d/1jQ6P4QcrGM89YfqcC_PxOHGCMq5ezhucwJd8ci-NHng/edit?usp=sharing"",""ราชบุรี!S66"")+IMPORTRANGE"&amp;"(""https://docs.google.com/spreadsheets/d/1lufeA2cfFqM-elVq2hznhDzC6Pr7wkJ9ZG_sYNGCMCU/edit?usp=sharing"",""ลพบุรี!S66"")+IMPORTRANGE(""https://docs.google.com/spreadsheets/d/10oOiF7loTyfsTkbd4MpaIm0HQ9SwB7IYHdIUvt-U1Uc/edit?usp=sharing"",""สระแก้ว!S66"")"&amp;"+IMPORTRANGE(""https://docs.google.com/spreadsheets/d/1xmPlrr1QbdSIKvl1dWUl9K4PjAfSL9oeMr_37QVzcxc/edit?usp=sharing"",""สระบุรี!S66"")+IMPORTRANGE(""https://docs.google.com/spreadsheets/d/1j51vR6CYVGhABJpv6tkstgok82RLpXieLzW1yOY5rHw/edit?usp=sharing"",""ส"&amp;"ิงห์บุรี!S66"")+IMPORTRANGE(""https://docs.google.com/spreadsheets/d/1H1EalTWKUSzO4Z1-1CwzoDUaVffgrThEBe2sl74kKG0/edit?usp=sharing"",""สุพรรณบุรี!S66"")+IMPORTRANGE(""https://docs.google.com/spreadsheets/d/1BmIruG_sIrJLYao_Pdr7zVArWsfoBt2692TMi6x_854/edit"&amp;"?usp=sharing"",""อ่างทอง!S66"")"),0)</f>
        <v>0</v>
      </c>
      <c r="T66" s="136">
        <f t="shared" ca="1" si="40"/>
        <v>0</v>
      </c>
      <c r="U66" s="136">
        <f t="shared" ca="1" si="41"/>
        <v>0</v>
      </c>
    </row>
    <row r="67" spans="1:21" ht="18.75" x14ac:dyDescent="0.25">
      <c r="A67" s="177"/>
      <c r="B67" s="1"/>
      <c r="C67" s="1"/>
      <c r="D67" s="1"/>
      <c r="E67" s="178" t="s">
        <v>21</v>
      </c>
      <c r="F67" s="1"/>
      <c r="G67" s="179"/>
      <c r="H67" s="180" t="s">
        <v>14</v>
      </c>
      <c r="I67" s="181"/>
      <c r="J67" s="181"/>
      <c r="K67" s="182"/>
      <c r="L67" s="183">
        <f ca="1">IFERROR(__xludf.DUMMYFUNCTION("IMPORTRANGE(""https://docs.google.com/spreadsheets/d/13wPX838HrBrQMCywv1BsuMkt4PEKTChp52zj44s2izQ/edit?usp=sharing"",""กาญจนบุรี!L67"")+IMPORTRANGE(""https://docs.google.com/spreadsheets/d/1ddFKvqj1W1NEiWytbGlB1zMx_ykJDVtmfEQ-6-lIUBA/edit?usp=sharing"","""&amp;"จันทบุรี!L67"")+IMPORTRANGE(""https://docs.google.com/spreadsheets/d/1T1PQvRODqOBZk8BRht_U031fIS1beLA0Ub2CEytj2q0/edit?usp=sharing"",""ฉะเชิงเทรา!L67"")+IMPORTRANGE(""https://docs.google.com/spreadsheets/d/11tr1B-Bhyr79v2bkwVh5h_fR-PStkgjlZtkrZpYurG0/edit"&amp;"?usp=sharing"",""ชลบุรี!L67"")+IMPORTRANGE(""https://docs.google.com/spreadsheets/d/1hh-FVnSX0vozXhGluamEcS54Dw9_zqW0N7qJUWgJ0Sw/edit?usp=sharing"",""ชัยนาท!L67"")+IMPORTRANGE(""https://docs.google.com/spreadsheets/d/1jkqa6GXxSacMcY1eN8AHjMNJ_7dDXMJVRLDla"&amp;"FSOdPM/edit?usp=sharing"",""ตราด!L67"")+IMPORTRANGE(""https://docs.google.com/spreadsheets/d/18hSgUJ3VwClqi_qtULmmW3cLr0oe3OKaSYoKzdpTsYQ/edit?usp=sharing"",""นครนายก!L67"")+IMPORTRANGE(""https://docs.google.com/spreadsheets/d/1YTZo6WM2dQ6Ix6FSdnL5P7uVnVK"&amp;"u40sxZu975tgG10E/edit?usp=sharing"",""นครปฐม!L67"")+IMPORTRANGE(""https://docs.google.com/spreadsheets/d/1OYoGg4WDg5RIzwGeB10padOxJF9E_Vljuvvct_M7RDo/edit?usp=sharing"",""ปทุมธานี!L67"")+IMPORTRANGE(""https://docs.google.com/spreadsheets/d/1GbCIE4D4wk9FUo"&amp;"zzqk7SxfDMxDVBwVmI5zcaVUSzKAc/edit?usp=sharing"",""ประจวบคีรีขันธ์!L67"")+IMPORTRANGE(""https://docs.google.com/spreadsheets/d/1vVf6wykvW_lAyu7Yo9L4hUTqHqIeP_qcVuxCtosJEbg/edit?usp=sharing"",""ปราจีนบุรี!L67"")+IMPORTRANGE(""https://docs.google.com/spread"&amp;"sheets/d/1BIDqLLg5jk3v59G8NlR8rk5xfQDKne0sAvZHSj7TI6I/edit?usp=sharing"",""พระนครศรีอยุธยา!L67"")+IMPORTRANGE(""https://docs.google.com/spreadsheets/d/1YXvxf8Yu6_rV4hTBrwMqAcAnv6DfhUxh5emyM3CJp_w/edit?usp=sharing"",""เพชรบุรี!L67"")+IMPORTRANGE(""https://"&amp;"docs.google.com/spreadsheets/d/19KBlQQs7uwvsao6t2n-KvW3Ax8J8uRRfZPq1zPbXgKc/edit?usp=sharing"",""ระยอง!L67"")+IMPORTRANGE(""https://docs.google.com/spreadsheets/d/1jQ6P4QcrGM89YfqcC_PxOHGCMq5ezhucwJd8ci-NHng/edit?usp=sharing"",""ราชบุรี!L67"")+IMPORTRANGE"&amp;"(""https://docs.google.com/spreadsheets/d/1lufeA2cfFqM-elVq2hznhDzC6Pr7wkJ9ZG_sYNGCMCU/edit?usp=sharing"",""ลพบุรี!L67"")+IMPORTRANGE(""https://docs.google.com/spreadsheets/d/10oOiF7loTyfsTkbd4MpaIm0HQ9SwB7IYHdIUvt-U1Uc/edit?usp=sharing"",""สระแก้ว!L67"")"&amp;"+IMPORTRANGE(""https://docs.google.com/spreadsheets/d/1xmPlrr1QbdSIKvl1dWUl9K4PjAfSL9oeMr_37QVzcxc/edit?usp=sharing"",""สระบุรี!L67"")+IMPORTRANGE(""https://docs.google.com/spreadsheets/d/1j51vR6CYVGhABJpv6tkstgok82RLpXieLzW1yOY5rHw/edit?usp=sharing"",""ส"&amp;"ิงห์บุรี!L67"")+IMPORTRANGE(""https://docs.google.com/spreadsheets/d/1H1EalTWKUSzO4Z1-1CwzoDUaVffgrThEBe2sl74kKG0/edit?usp=sharing"",""สุพรรณบุรี!L67"")+IMPORTRANGE(""https://docs.google.com/spreadsheets/d/1BmIruG_sIrJLYao_Pdr7zVArWsfoBt2692TMi6x_854/edit"&amp;"?usp=sharing"",""อ่างทอง!L67"")"),0)</f>
        <v>0</v>
      </c>
      <c r="M67" s="183">
        <f ca="1">IFERROR(__xludf.DUMMYFUNCTION("IMPORTRANGE(""https://docs.google.com/spreadsheets/d/13wPX838HrBrQMCywv1BsuMkt4PEKTChp52zj44s2izQ/edit?usp=sharing"",""กาญจนบุรี!M67"")+IMPORTRANGE(""https://docs.google.com/spreadsheets/d/1ddFKvqj1W1NEiWytbGlB1zMx_ykJDVtmfEQ-6-lIUBA/edit?usp=sharing"","""&amp;"จันทบุรี!M67"")+IMPORTRANGE(""https://docs.google.com/spreadsheets/d/1T1PQvRODqOBZk8BRht_U031fIS1beLA0Ub2CEytj2q0/edit?usp=sharing"",""ฉะเชิงเทรา!M67"")+IMPORTRANGE(""https://docs.google.com/spreadsheets/d/11tr1B-Bhyr79v2bkwVh5h_fR-PStkgjlZtkrZpYurG0/edit"&amp;"?usp=sharing"",""ชลบุรี!M67"")+IMPORTRANGE(""https://docs.google.com/spreadsheets/d/1hh-FVnSX0vozXhGluamEcS54Dw9_zqW0N7qJUWgJ0Sw/edit?usp=sharing"",""ชัยนาท!M67"")+IMPORTRANGE(""https://docs.google.com/spreadsheets/d/1jkqa6GXxSacMcY1eN8AHjMNJ_7dDXMJVRLDla"&amp;"FSOdPM/edit?usp=sharing"",""ตราด!M67"")+IMPORTRANGE(""https://docs.google.com/spreadsheets/d/18hSgUJ3VwClqi_qtULmmW3cLr0oe3OKaSYoKzdpTsYQ/edit?usp=sharing"",""นครนายก!M67"")+IMPORTRANGE(""https://docs.google.com/spreadsheets/d/1YTZo6WM2dQ6Ix6FSdnL5P7uVnVK"&amp;"u40sxZu975tgG10E/edit?usp=sharing"",""นครปฐม!M67"")+IMPORTRANGE(""https://docs.google.com/spreadsheets/d/1OYoGg4WDg5RIzwGeB10padOxJF9E_Vljuvvct_M7RDo/edit?usp=sharing"",""ปทุมธานี!M67"")+IMPORTRANGE(""https://docs.google.com/spreadsheets/d/1GbCIE4D4wk9FUo"&amp;"zzqk7SxfDMxDVBwVmI5zcaVUSzKAc/edit?usp=sharing"",""ประจวบคีรีขันธ์!M67"")+IMPORTRANGE(""https://docs.google.com/spreadsheets/d/1vVf6wykvW_lAyu7Yo9L4hUTqHqIeP_qcVuxCtosJEbg/edit?usp=sharing"",""ปราจีนบุรี!M67"")+IMPORTRANGE(""https://docs.google.com/spread"&amp;"sheets/d/1BIDqLLg5jk3v59G8NlR8rk5xfQDKne0sAvZHSj7TI6I/edit?usp=sharing"",""พระนครศรีอยุธยา!M67"")+IMPORTRANGE(""https://docs.google.com/spreadsheets/d/1YXvxf8Yu6_rV4hTBrwMqAcAnv6DfhUxh5emyM3CJp_w/edit?usp=sharing"",""เพชรบุรี!M67"")+IMPORTRANGE(""https://"&amp;"docs.google.com/spreadsheets/d/19KBlQQs7uwvsao6t2n-KvW3Ax8J8uRRfZPq1zPbXgKc/edit?usp=sharing"",""ระยอง!M67"")+IMPORTRANGE(""https://docs.google.com/spreadsheets/d/1jQ6P4QcrGM89YfqcC_PxOHGCMq5ezhucwJd8ci-NHng/edit?usp=sharing"",""ราชบุรี!M67"")+IMPORTRANGE"&amp;"(""https://docs.google.com/spreadsheets/d/1lufeA2cfFqM-elVq2hznhDzC6Pr7wkJ9ZG_sYNGCMCU/edit?usp=sharing"",""ลพบุรี!M67"")+IMPORTRANGE(""https://docs.google.com/spreadsheets/d/10oOiF7loTyfsTkbd4MpaIm0HQ9SwB7IYHdIUvt-U1Uc/edit?usp=sharing"",""สระแก้ว!M67"")"&amp;"+IMPORTRANGE(""https://docs.google.com/spreadsheets/d/1xmPlrr1QbdSIKvl1dWUl9K4PjAfSL9oeMr_37QVzcxc/edit?usp=sharing"",""สระบุรี!M67"")+IMPORTRANGE(""https://docs.google.com/spreadsheets/d/1j51vR6CYVGhABJpv6tkstgok82RLpXieLzW1yOY5rHw/edit?usp=sharing"",""ส"&amp;"ิงห์บุรี!M67"")+IMPORTRANGE(""https://docs.google.com/spreadsheets/d/1H1EalTWKUSzO4Z1-1CwzoDUaVffgrThEBe2sl74kKG0/edit?usp=sharing"",""สุพรรณบุรี!M67"")+IMPORTRANGE(""https://docs.google.com/spreadsheets/d/1BmIruG_sIrJLYao_Pdr7zVArWsfoBt2692TMi6x_854/edit"&amp;"?usp=sharing"",""อ่างทอง!M67"")"),0)</f>
        <v>0</v>
      </c>
      <c r="N67" s="183">
        <f ca="1">IFERROR(__xludf.DUMMYFUNCTION("IMPORTRANGE(""https://docs.google.com/spreadsheets/d/13wPX838HrBrQMCywv1BsuMkt4PEKTChp52zj44s2izQ/edit?usp=sharing"",""กาญจนบุรี!N67"")+IMPORTRANGE(""https://docs.google.com/spreadsheets/d/1ddFKvqj1W1NEiWytbGlB1zMx_ykJDVtmfEQ-6-lIUBA/edit?usp=sharing"","""&amp;"จันทบุรี!N67"")+IMPORTRANGE(""https://docs.google.com/spreadsheets/d/1T1PQvRODqOBZk8BRht_U031fIS1beLA0Ub2CEytj2q0/edit?usp=sharing"",""ฉะเชิงเทรา!N67"")+IMPORTRANGE(""https://docs.google.com/spreadsheets/d/11tr1B-Bhyr79v2bkwVh5h_fR-PStkgjlZtkrZpYurG0/edit"&amp;"?usp=sharing"",""ชลบุรี!N67"")+IMPORTRANGE(""https://docs.google.com/spreadsheets/d/1hh-FVnSX0vozXhGluamEcS54Dw9_zqW0N7qJUWgJ0Sw/edit?usp=sharing"",""ชัยนาท!N67"")+IMPORTRANGE(""https://docs.google.com/spreadsheets/d/1jkqa6GXxSacMcY1eN8AHjMNJ_7dDXMJVRLDla"&amp;"FSOdPM/edit?usp=sharing"",""ตราด!N67"")+IMPORTRANGE(""https://docs.google.com/spreadsheets/d/18hSgUJ3VwClqi_qtULmmW3cLr0oe3OKaSYoKzdpTsYQ/edit?usp=sharing"",""นครนายก!N67"")+IMPORTRANGE(""https://docs.google.com/spreadsheets/d/1YTZo6WM2dQ6Ix6FSdnL5P7uVnVK"&amp;"u40sxZu975tgG10E/edit?usp=sharing"",""นครปฐม!N67"")+IMPORTRANGE(""https://docs.google.com/spreadsheets/d/1OYoGg4WDg5RIzwGeB10padOxJF9E_Vljuvvct_M7RDo/edit?usp=sharing"",""ปทุมธานี!N67"")+IMPORTRANGE(""https://docs.google.com/spreadsheets/d/1GbCIE4D4wk9FUo"&amp;"zzqk7SxfDMxDVBwVmI5zcaVUSzKAc/edit?usp=sharing"",""ประจวบคีรีขันธ์!N67"")+IMPORTRANGE(""https://docs.google.com/spreadsheets/d/1vVf6wykvW_lAyu7Yo9L4hUTqHqIeP_qcVuxCtosJEbg/edit?usp=sharing"",""ปราจีนบุรี!N67"")+IMPORTRANGE(""https://docs.google.com/spread"&amp;"sheets/d/1BIDqLLg5jk3v59G8NlR8rk5xfQDKne0sAvZHSj7TI6I/edit?usp=sharing"",""พระนครศรีอยุธยา!N67"")+IMPORTRANGE(""https://docs.google.com/spreadsheets/d/1YXvxf8Yu6_rV4hTBrwMqAcAnv6DfhUxh5emyM3CJp_w/edit?usp=sharing"",""เพชรบุรี!N67"")+IMPORTRANGE(""https://"&amp;"docs.google.com/spreadsheets/d/19KBlQQs7uwvsao6t2n-KvW3Ax8J8uRRfZPq1zPbXgKc/edit?usp=sharing"",""ระยอง!N67"")+IMPORTRANGE(""https://docs.google.com/spreadsheets/d/1jQ6P4QcrGM89YfqcC_PxOHGCMq5ezhucwJd8ci-NHng/edit?usp=sharing"",""ราชบุรี!N67"")+IMPORTRANGE"&amp;"(""https://docs.google.com/spreadsheets/d/1lufeA2cfFqM-elVq2hznhDzC6Pr7wkJ9ZG_sYNGCMCU/edit?usp=sharing"",""ลพบุรี!N67"")+IMPORTRANGE(""https://docs.google.com/spreadsheets/d/10oOiF7loTyfsTkbd4MpaIm0HQ9SwB7IYHdIUvt-U1Uc/edit?usp=sharing"",""สระแก้ว!N67"")"&amp;"+IMPORTRANGE(""https://docs.google.com/spreadsheets/d/1xmPlrr1QbdSIKvl1dWUl9K4PjAfSL9oeMr_37QVzcxc/edit?usp=sharing"",""สระบุรี!N67"")+IMPORTRANGE(""https://docs.google.com/spreadsheets/d/1j51vR6CYVGhABJpv6tkstgok82RLpXieLzW1yOY5rHw/edit?usp=sharing"",""ส"&amp;"ิงห์บุรี!N67"")+IMPORTRANGE(""https://docs.google.com/spreadsheets/d/1H1EalTWKUSzO4Z1-1CwzoDUaVffgrThEBe2sl74kKG0/edit?usp=sharing"",""สุพรรณบุรี!N67"")+IMPORTRANGE(""https://docs.google.com/spreadsheets/d/1BmIruG_sIrJLYao_Pdr7zVArWsfoBt2692TMi6x_854/edit"&amp;"?usp=sharing"",""อ่างทอง!N67"")"),0)</f>
        <v>0</v>
      </c>
      <c r="O67" s="183">
        <f t="shared" ca="1" si="37"/>
        <v>0</v>
      </c>
      <c r="P67" s="183">
        <f t="shared" ca="1" si="38"/>
        <v>0</v>
      </c>
      <c r="Q67" s="184">
        <f ca="1">IFERROR(__xludf.DUMMYFUNCTION("IMPORTRANGE(""https://docs.google.com/spreadsheets/d/13wPX838HrBrQMCywv1BsuMkt4PEKTChp52zj44s2izQ/edit?usp=sharing"",""กาญจนบุรี!Q67"")+IMPORTRANGE(""https://docs.google.com/spreadsheets/d/1ddFKvqj1W1NEiWytbGlB1zMx_ykJDVtmfEQ-6-lIUBA/edit?usp=sharing"","""&amp;"จันทบุรี!Q67"")+IMPORTRANGE(""https://docs.google.com/spreadsheets/d/1T1PQvRODqOBZk8BRht_U031fIS1beLA0Ub2CEytj2q0/edit?usp=sharing"",""ฉะเชิงเทรา!Q67"")+IMPORTRANGE(""https://docs.google.com/spreadsheets/d/11tr1B-Bhyr79v2bkwVh5h_fR-PStkgjlZtkrZpYurG0/edit"&amp;"?usp=sharing"",""ชลบุรี!Q67"")+IMPORTRANGE(""https://docs.google.com/spreadsheets/d/1hh-FVnSX0vozXhGluamEcS54Dw9_zqW0N7qJUWgJ0Sw/edit?usp=sharing"",""ชัยนาท!Q67"")+IMPORTRANGE(""https://docs.google.com/spreadsheets/d/1jkqa6GXxSacMcY1eN8AHjMNJ_7dDXMJVRLDla"&amp;"FSOdPM/edit?usp=sharing"",""ตราด!Q67"")+IMPORTRANGE(""https://docs.google.com/spreadsheets/d/18hSgUJ3VwClqi_qtULmmW3cLr0oe3OKaSYoKzdpTsYQ/edit?usp=sharing"",""นครนายก!Q67"")+IMPORTRANGE(""https://docs.google.com/spreadsheets/d/1YTZo6WM2dQ6Ix6FSdnL5P7uVnVK"&amp;"u40sxZu975tgG10E/edit?usp=sharing"",""นครปฐม!Q67"")+IMPORTRANGE(""https://docs.google.com/spreadsheets/d/1OYoGg4WDg5RIzwGeB10padOxJF9E_Vljuvvct_M7RDo/edit?usp=sharing"",""ปทุมธานี!Q67"")+IMPORTRANGE(""https://docs.google.com/spreadsheets/d/1GbCIE4D4wk9FUo"&amp;"zzqk7SxfDMxDVBwVmI5zcaVUSzKAc/edit?usp=sharing"",""ประจวบคีรีขันธ์!Q67"")+IMPORTRANGE(""https://docs.google.com/spreadsheets/d/1vVf6wykvW_lAyu7Yo9L4hUTqHqIeP_qcVuxCtosJEbg/edit?usp=sharing"",""ปราจีนบุรี!Q67"")+IMPORTRANGE(""https://docs.google.com/spread"&amp;"sheets/d/1BIDqLLg5jk3v59G8NlR8rk5xfQDKne0sAvZHSj7TI6I/edit?usp=sharing"",""พระนครศรีอยุธยา!Q67"")+IMPORTRANGE(""https://docs.google.com/spreadsheets/d/1YXvxf8Yu6_rV4hTBrwMqAcAnv6DfhUxh5emyM3CJp_w/edit?usp=sharing"",""เพชรบุรี!Q67"")+IMPORTRANGE(""https://"&amp;"docs.google.com/spreadsheets/d/19KBlQQs7uwvsao6t2n-KvW3Ax8J8uRRfZPq1zPbXgKc/edit?usp=sharing"",""ระยอง!Q67"")+IMPORTRANGE(""https://docs.google.com/spreadsheets/d/1jQ6P4QcrGM89YfqcC_PxOHGCMq5ezhucwJd8ci-NHng/edit?usp=sharing"",""ราชบุรี!Q67"")+IMPORTRANGE"&amp;"(""https://docs.google.com/spreadsheets/d/1lufeA2cfFqM-elVq2hznhDzC6Pr7wkJ9ZG_sYNGCMCU/edit?usp=sharing"",""ลพบุรี!Q67"")+IMPORTRANGE(""https://docs.google.com/spreadsheets/d/10oOiF7loTyfsTkbd4MpaIm0HQ9SwB7IYHdIUvt-U1Uc/edit?usp=sharing"",""สระแก้ว!Q67"")"&amp;"+IMPORTRANGE(""https://docs.google.com/spreadsheets/d/1xmPlrr1QbdSIKvl1dWUl9K4PjAfSL9oeMr_37QVzcxc/edit?usp=sharing"",""สระบุรี!Q67"")+IMPORTRANGE(""https://docs.google.com/spreadsheets/d/1j51vR6CYVGhABJpv6tkstgok82RLpXieLzW1yOY5rHw/edit?usp=sharing"",""ส"&amp;"ิงห์บุรี!Q67"")+IMPORTRANGE(""https://docs.google.com/spreadsheets/d/1H1EalTWKUSzO4Z1-1CwzoDUaVffgrThEBe2sl74kKG0/edit?usp=sharing"",""สุพรรณบุรี!Q67"")+IMPORTRANGE(""https://docs.google.com/spreadsheets/d/1BmIruG_sIrJLYao_Pdr7zVArWsfoBt2692TMi6x_854/edit"&amp;"?usp=sharing"",""อ่างทอง!Q67"")"),0)</f>
        <v>0</v>
      </c>
      <c r="R67" s="185">
        <f ca="1">IFERROR(__xludf.DUMMYFUNCTION("IMPORTRANGE(""https://docs.google.com/spreadsheets/d/13wPX838HrBrQMCywv1BsuMkt4PEKTChp52zj44s2izQ/edit?usp=sharing"",""กาญจนบุรี!R67"")+IMPORTRANGE(""https://docs.google.com/spreadsheets/d/1ddFKvqj1W1NEiWytbGlB1zMx_ykJDVtmfEQ-6-lIUBA/edit?usp=sharing"","""&amp;"จันทบุรี!R67"")+IMPORTRANGE(""https://docs.google.com/spreadsheets/d/1T1PQvRODqOBZk8BRht_U031fIS1beLA0Ub2CEytj2q0/edit?usp=sharing"",""ฉะเชิงเทรา!R67"")+IMPORTRANGE(""https://docs.google.com/spreadsheets/d/11tr1B-Bhyr79v2bkwVh5h_fR-PStkgjlZtkrZpYurG0/edit"&amp;"?usp=sharing"",""ชลบุรี!R67"")+IMPORTRANGE(""https://docs.google.com/spreadsheets/d/1hh-FVnSX0vozXhGluamEcS54Dw9_zqW0N7qJUWgJ0Sw/edit?usp=sharing"",""ชัยนาท!R67"")+IMPORTRANGE(""https://docs.google.com/spreadsheets/d/1jkqa6GXxSacMcY1eN8AHjMNJ_7dDXMJVRLDla"&amp;"FSOdPM/edit?usp=sharing"",""ตราด!R67"")+IMPORTRANGE(""https://docs.google.com/spreadsheets/d/18hSgUJ3VwClqi_qtULmmW3cLr0oe3OKaSYoKzdpTsYQ/edit?usp=sharing"",""นครนายก!R67"")+IMPORTRANGE(""https://docs.google.com/spreadsheets/d/1YTZo6WM2dQ6Ix6FSdnL5P7uVnVK"&amp;"u40sxZu975tgG10E/edit?usp=sharing"",""นครปฐม!R67"")+IMPORTRANGE(""https://docs.google.com/spreadsheets/d/1OYoGg4WDg5RIzwGeB10padOxJF9E_Vljuvvct_M7RDo/edit?usp=sharing"",""ปทุมธานี!R67"")+IMPORTRANGE(""https://docs.google.com/spreadsheets/d/1GbCIE4D4wk9FUo"&amp;"zzqk7SxfDMxDVBwVmI5zcaVUSzKAc/edit?usp=sharing"",""ประจวบคีรีขันธ์!R67"")+IMPORTRANGE(""https://docs.google.com/spreadsheets/d/1vVf6wykvW_lAyu7Yo9L4hUTqHqIeP_qcVuxCtosJEbg/edit?usp=sharing"",""ปราจีนบุรี!R67"")+IMPORTRANGE(""https://docs.google.com/spread"&amp;"sheets/d/1BIDqLLg5jk3v59G8NlR8rk5xfQDKne0sAvZHSj7TI6I/edit?usp=sharing"",""พระนครศรีอยุธยา!R67"")+IMPORTRANGE(""https://docs.google.com/spreadsheets/d/1YXvxf8Yu6_rV4hTBrwMqAcAnv6DfhUxh5emyM3CJp_w/edit?usp=sharing"",""เพชรบุรี!R67"")+IMPORTRANGE(""https://"&amp;"docs.google.com/spreadsheets/d/19KBlQQs7uwvsao6t2n-KvW3Ax8J8uRRfZPq1zPbXgKc/edit?usp=sharing"",""ระยอง!R67"")+IMPORTRANGE(""https://docs.google.com/spreadsheets/d/1jQ6P4QcrGM89YfqcC_PxOHGCMq5ezhucwJd8ci-NHng/edit?usp=sharing"",""ราชบุรี!R67"")+IMPORTRANGE"&amp;"(""https://docs.google.com/spreadsheets/d/1lufeA2cfFqM-elVq2hznhDzC6Pr7wkJ9ZG_sYNGCMCU/edit?usp=sharing"",""ลพบุรี!R67"")+IMPORTRANGE(""https://docs.google.com/spreadsheets/d/10oOiF7loTyfsTkbd4MpaIm0HQ9SwB7IYHdIUvt-U1Uc/edit?usp=sharing"",""สระแก้ว!R67"")"&amp;"+IMPORTRANGE(""https://docs.google.com/spreadsheets/d/1xmPlrr1QbdSIKvl1dWUl9K4PjAfSL9oeMr_37QVzcxc/edit?usp=sharing"",""สระบุรี!R67"")+IMPORTRANGE(""https://docs.google.com/spreadsheets/d/1j51vR6CYVGhABJpv6tkstgok82RLpXieLzW1yOY5rHw/edit?usp=sharing"",""ส"&amp;"ิงห์บุรี!R67"")+IMPORTRANGE(""https://docs.google.com/spreadsheets/d/1H1EalTWKUSzO4Z1-1CwzoDUaVffgrThEBe2sl74kKG0/edit?usp=sharing"",""สุพรรณบุรี!R67"")+IMPORTRANGE(""https://docs.google.com/spreadsheets/d/1BmIruG_sIrJLYao_Pdr7zVArWsfoBt2692TMi6x_854/edit"&amp;"?usp=sharing"",""อ่างทอง!R67"")"),0)</f>
        <v>0</v>
      </c>
      <c r="S67" s="185">
        <f ca="1">IFERROR(__xludf.DUMMYFUNCTION("IMPORTRANGE(""https://docs.google.com/spreadsheets/d/13wPX838HrBrQMCywv1BsuMkt4PEKTChp52zj44s2izQ/edit?usp=sharing"",""กาญจนบุรี!S67"")+IMPORTRANGE(""https://docs.google.com/spreadsheets/d/1ddFKvqj1W1NEiWytbGlB1zMx_ykJDVtmfEQ-6-lIUBA/edit?usp=sharing"","""&amp;"จันทบุรี!S67"")+IMPORTRANGE(""https://docs.google.com/spreadsheets/d/1T1PQvRODqOBZk8BRht_U031fIS1beLA0Ub2CEytj2q0/edit?usp=sharing"",""ฉะเชิงเทรา!S67"")+IMPORTRANGE(""https://docs.google.com/spreadsheets/d/11tr1B-Bhyr79v2bkwVh5h_fR-PStkgjlZtkrZpYurG0/edit"&amp;"?usp=sharing"",""ชลบุรี!S67"")+IMPORTRANGE(""https://docs.google.com/spreadsheets/d/1hh-FVnSX0vozXhGluamEcS54Dw9_zqW0N7qJUWgJ0Sw/edit?usp=sharing"",""ชัยนาท!S67"")+IMPORTRANGE(""https://docs.google.com/spreadsheets/d/1jkqa6GXxSacMcY1eN8AHjMNJ_7dDXMJVRLDla"&amp;"FSOdPM/edit?usp=sharing"",""ตราด!S67"")+IMPORTRANGE(""https://docs.google.com/spreadsheets/d/18hSgUJ3VwClqi_qtULmmW3cLr0oe3OKaSYoKzdpTsYQ/edit?usp=sharing"",""นครนายก!S67"")+IMPORTRANGE(""https://docs.google.com/spreadsheets/d/1YTZo6WM2dQ6Ix6FSdnL5P7uVnVK"&amp;"u40sxZu975tgG10E/edit?usp=sharing"",""นครปฐม!S67"")+IMPORTRANGE(""https://docs.google.com/spreadsheets/d/1OYoGg4WDg5RIzwGeB10padOxJF9E_Vljuvvct_M7RDo/edit?usp=sharing"",""ปทุมธานี!S67"")+IMPORTRANGE(""https://docs.google.com/spreadsheets/d/1GbCIE4D4wk9FUo"&amp;"zzqk7SxfDMxDVBwVmI5zcaVUSzKAc/edit?usp=sharing"",""ประจวบคีรีขันธ์!S67"")+IMPORTRANGE(""https://docs.google.com/spreadsheets/d/1vVf6wykvW_lAyu7Yo9L4hUTqHqIeP_qcVuxCtosJEbg/edit?usp=sharing"",""ปราจีนบุรี!S67"")+IMPORTRANGE(""https://docs.google.com/spread"&amp;"sheets/d/1BIDqLLg5jk3v59G8NlR8rk5xfQDKne0sAvZHSj7TI6I/edit?usp=sharing"",""พระนครศรีอยุธยา!S67"")+IMPORTRANGE(""https://docs.google.com/spreadsheets/d/1YXvxf8Yu6_rV4hTBrwMqAcAnv6DfhUxh5emyM3CJp_w/edit?usp=sharing"",""เพชรบุรี!S67"")+IMPORTRANGE(""https://"&amp;"docs.google.com/spreadsheets/d/19KBlQQs7uwvsao6t2n-KvW3Ax8J8uRRfZPq1zPbXgKc/edit?usp=sharing"",""ระยอง!S67"")+IMPORTRANGE(""https://docs.google.com/spreadsheets/d/1jQ6P4QcrGM89YfqcC_PxOHGCMq5ezhucwJd8ci-NHng/edit?usp=sharing"",""ราชบุรี!S67"")+IMPORTRANGE"&amp;"(""https://docs.google.com/spreadsheets/d/1lufeA2cfFqM-elVq2hznhDzC6Pr7wkJ9ZG_sYNGCMCU/edit?usp=sharing"",""ลพบุรี!S67"")+IMPORTRANGE(""https://docs.google.com/spreadsheets/d/10oOiF7loTyfsTkbd4MpaIm0HQ9SwB7IYHdIUvt-U1Uc/edit?usp=sharing"",""สระแก้ว!S67"")"&amp;"+IMPORTRANGE(""https://docs.google.com/spreadsheets/d/1xmPlrr1QbdSIKvl1dWUl9K4PjAfSL9oeMr_37QVzcxc/edit?usp=sharing"",""สระบุรี!S67"")+IMPORTRANGE(""https://docs.google.com/spreadsheets/d/1j51vR6CYVGhABJpv6tkstgok82RLpXieLzW1yOY5rHw/edit?usp=sharing"",""ส"&amp;"ิงห์บุรี!S67"")+IMPORTRANGE(""https://docs.google.com/spreadsheets/d/1H1EalTWKUSzO4Z1-1CwzoDUaVffgrThEBe2sl74kKG0/edit?usp=sharing"",""สุพรรณบุรี!S67"")+IMPORTRANGE(""https://docs.google.com/spreadsheets/d/1BmIruG_sIrJLYao_Pdr7zVArWsfoBt2692TMi6x_854/edit"&amp;"?usp=sharing"",""อ่างทอง!S67"")"),0)</f>
        <v>0</v>
      </c>
      <c r="T67" s="186">
        <f t="shared" ca="1" si="40"/>
        <v>0</v>
      </c>
      <c r="U67" s="186">
        <f t="shared" ca="1" si="41"/>
        <v>0</v>
      </c>
    </row>
    <row r="68" spans="1:21" ht="19.5" x14ac:dyDescent="0.3">
      <c r="A68" s="187" t="s">
        <v>31</v>
      </c>
      <c r="B68" s="188"/>
      <c r="C68" s="188"/>
      <c r="D68" s="188"/>
      <c r="E68" s="189"/>
      <c r="F68" s="189"/>
      <c r="G68" s="189"/>
      <c r="H68" s="189"/>
      <c r="I68" s="190"/>
      <c r="J68" s="190"/>
      <c r="K68" s="191"/>
      <c r="L68" s="191"/>
      <c r="M68" s="191"/>
      <c r="N68" s="191"/>
      <c r="O68" s="191"/>
      <c r="P68" s="192"/>
      <c r="Q68" s="193"/>
      <c r="R68" s="194"/>
      <c r="S68" s="194"/>
      <c r="T68" s="194"/>
      <c r="U68" s="195"/>
    </row>
    <row r="69" spans="1:21" ht="19.5" x14ac:dyDescent="0.3">
      <c r="A69" s="196" t="s">
        <v>32</v>
      </c>
      <c r="B69" s="197"/>
      <c r="C69" s="198"/>
      <c r="D69" s="197"/>
      <c r="E69" s="197"/>
      <c r="F69" s="197"/>
      <c r="G69" s="199"/>
      <c r="H69" s="199"/>
      <c r="I69" s="200"/>
      <c r="J69" s="200"/>
      <c r="K69" s="201"/>
      <c r="L69" s="201"/>
      <c r="M69" s="201"/>
      <c r="N69" s="201"/>
      <c r="O69" s="201"/>
      <c r="P69" s="201"/>
      <c r="Q69" s="202"/>
      <c r="R69" s="203"/>
      <c r="S69" s="203"/>
      <c r="T69" s="203"/>
      <c r="U69" s="203"/>
    </row>
    <row r="70" spans="1:21" ht="19.5" x14ac:dyDescent="0.3">
      <c r="A70" s="204"/>
      <c r="B70" s="53" t="s">
        <v>33</v>
      </c>
      <c r="C70" s="52"/>
      <c r="D70" s="205"/>
      <c r="E70" s="52"/>
      <c r="F70" s="52"/>
      <c r="G70" s="55"/>
      <c r="H70" s="206" t="s">
        <v>34</v>
      </c>
      <c r="I70" s="207">
        <f t="shared" ref="I70:J70" ca="1" si="50">I82</f>
        <v>7</v>
      </c>
      <c r="J70" s="207">
        <f t="shared" ca="1" si="50"/>
        <v>2</v>
      </c>
      <c r="K70" s="208">
        <f t="shared" ref="K70:K71" ca="1" si="51">IF(I70&gt;0,J70*100/I70,0)</f>
        <v>28.571428571428573</v>
      </c>
      <c r="L70" s="58"/>
      <c r="M70" s="58"/>
      <c r="N70" s="58"/>
      <c r="O70" s="58"/>
      <c r="P70" s="58"/>
      <c r="Q70" s="209"/>
      <c r="R70" s="210"/>
      <c r="S70" s="210"/>
      <c r="T70" s="210"/>
      <c r="U70" s="210"/>
    </row>
    <row r="71" spans="1:21" ht="19.5" x14ac:dyDescent="0.3">
      <c r="A71" s="204"/>
      <c r="B71" s="52"/>
      <c r="C71" s="52"/>
      <c r="D71" s="205"/>
      <c r="E71" s="52"/>
      <c r="F71" s="52"/>
      <c r="G71" s="55"/>
      <c r="H71" s="206" t="s">
        <v>35</v>
      </c>
      <c r="I71" s="207">
        <f t="shared" ref="I71:J71" ca="1" si="52">I83</f>
        <v>340</v>
      </c>
      <c r="J71" s="207">
        <f t="shared" ca="1" si="52"/>
        <v>103</v>
      </c>
      <c r="K71" s="208">
        <f t="shared" ca="1" si="51"/>
        <v>30.294117647058822</v>
      </c>
      <c r="L71" s="58"/>
      <c r="M71" s="58"/>
      <c r="N71" s="58"/>
      <c r="O71" s="58"/>
      <c r="P71" s="58"/>
      <c r="Q71" s="209"/>
      <c r="R71" s="210"/>
      <c r="S71" s="210"/>
      <c r="T71" s="210"/>
      <c r="U71" s="210"/>
    </row>
    <row r="72" spans="1:21" ht="19.5" x14ac:dyDescent="0.3">
      <c r="A72" s="211"/>
      <c r="B72" s="70"/>
      <c r="C72" s="212" t="s">
        <v>18</v>
      </c>
      <c r="D72" s="213" t="s">
        <v>19</v>
      </c>
      <c r="E72" s="70"/>
      <c r="F72" s="70"/>
      <c r="G72" s="72"/>
      <c r="H72" s="214" t="s">
        <v>14</v>
      </c>
      <c r="I72" s="74"/>
      <c r="J72" s="74"/>
      <c r="K72" s="75"/>
      <c r="L72" s="215">
        <f t="shared" ref="L72:N72" ca="1" si="53">L73+L74</f>
        <v>1184300</v>
      </c>
      <c r="M72" s="215">
        <f t="shared" ca="1" si="53"/>
        <v>1184300</v>
      </c>
      <c r="N72" s="215">
        <f t="shared" ca="1" si="53"/>
        <v>927481.21</v>
      </c>
      <c r="O72" s="215">
        <f t="shared" ref="O72:O80" ca="1" si="54">IF(L72&gt;0,N72*100/L72,0)</f>
        <v>78.3147183990543</v>
      </c>
      <c r="P72" s="215">
        <f t="shared" ref="P72:P80" ca="1" si="55">IF(M72&gt;0,N72*100/M72,0)</f>
        <v>78.3147183990543</v>
      </c>
      <c r="Q72" s="216">
        <f t="shared" ref="Q72:S72" ca="1" si="56">Q73+Q74</f>
        <v>4339380</v>
      </c>
      <c r="R72" s="217">
        <f t="shared" ca="1" si="56"/>
        <v>4339380</v>
      </c>
      <c r="S72" s="217">
        <f t="shared" ca="1" si="56"/>
        <v>241620</v>
      </c>
      <c r="T72" s="217">
        <f t="shared" ref="T72:T80" ca="1" si="57">IF(Q72&gt;0,S72*100/Q72,0)</f>
        <v>5.5680765454972834</v>
      </c>
      <c r="U72" s="217">
        <f t="shared" ref="U72:U80" ca="1" si="58">IF(R72&gt;0,S72*100/R72,0)</f>
        <v>5.5680765454972834</v>
      </c>
    </row>
    <row r="73" spans="1:21" ht="18.75" x14ac:dyDescent="0.25">
      <c r="A73" s="211"/>
      <c r="B73" s="70"/>
      <c r="C73" s="70"/>
      <c r="D73" s="70"/>
      <c r="E73" s="78" t="s">
        <v>20</v>
      </c>
      <c r="F73" s="70"/>
      <c r="G73" s="72"/>
      <c r="H73" s="218" t="s">
        <v>14</v>
      </c>
      <c r="I73" s="74"/>
      <c r="J73" s="74"/>
      <c r="K73" s="75"/>
      <c r="L73" s="91">
        <f t="shared" ref="L73:N73" ca="1" si="59">L76+L79</f>
        <v>0</v>
      </c>
      <c r="M73" s="91">
        <f t="shared" ca="1" si="59"/>
        <v>0</v>
      </c>
      <c r="N73" s="91">
        <f t="shared" ca="1" si="59"/>
        <v>0</v>
      </c>
      <c r="O73" s="91">
        <f t="shared" ca="1" si="54"/>
        <v>0</v>
      </c>
      <c r="P73" s="91">
        <f t="shared" ca="1" si="55"/>
        <v>0</v>
      </c>
      <c r="Q73" s="219">
        <f t="shared" ref="Q73:S73" ca="1" si="60">Q76+Q79</f>
        <v>0</v>
      </c>
      <c r="R73" s="136">
        <f t="shared" ca="1" si="60"/>
        <v>0</v>
      </c>
      <c r="S73" s="136">
        <f t="shared" ca="1" si="60"/>
        <v>0</v>
      </c>
      <c r="T73" s="136">
        <f t="shared" ca="1" si="57"/>
        <v>0</v>
      </c>
      <c r="U73" s="136">
        <f t="shared" ca="1" si="58"/>
        <v>0</v>
      </c>
    </row>
    <row r="74" spans="1:21" ht="18.75" x14ac:dyDescent="0.25">
      <c r="A74" s="211"/>
      <c r="B74" s="70"/>
      <c r="C74" s="70"/>
      <c r="D74" s="70"/>
      <c r="E74" s="78" t="s">
        <v>21</v>
      </c>
      <c r="F74" s="70"/>
      <c r="G74" s="72"/>
      <c r="H74" s="218" t="s">
        <v>14</v>
      </c>
      <c r="I74" s="74"/>
      <c r="J74" s="74"/>
      <c r="K74" s="75"/>
      <c r="L74" s="91">
        <f t="shared" ref="L74:N74" ca="1" si="61">L77+L80</f>
        <v>1184300</v>
      </c>
      <c r="M74" s="91">
        <f t="shared" ca="1" si="61"/>
        <v>1184300</v>
      </c>
      <c r="N74" s="91">
        <f t="shared" ca="1" si="61"/>
        <v>927481.21</v>
      </c>
      <c r="O74" s="91">
        <f t="shared" ca="1" si="54"/>
        <v>78.3147183990543</v>
      </c>
      <c r="P74" s="91">
        <f t="shared" ca="1" si="55"/>
        <v>78.3147183990543</v>
      </c>
      <c r="Q74" s="134">
        <f t="shared" ref="Q74:S74" ca="1" si="62">Q77+Q80</f>
        <v>4339380</v>
      </c>
      <c r="R74" s="135">
        <f t="shared" ca="1" si="62"/>
        <v>4339380</v>
      </c>
      <c r="S74" s="135">
        <f t="shared" ca="1" si="62"/>
        <v>241620</v>
      </c>
      <c r="T74" s="135">
        <f t="shared" ca="1" si="57"/>
        <v>5.5680765454972834</v>
      </c>
      <c r="U74" s="135">
        <f t="shared" ca="1" si="58"/>
        <v>5.5680765454972834</v>
      </c>
    </row>
    <row r="75" spans="1:21" ht="18.75" x14ac:dyDescent="0.25">
      <c r="A75" s="211"/>
      <c r="B75" s="70"/>
      <c r="C75" s="70"/>
      <c r="D75" s="71" t="s">
        <v>22</v>
      </c>
      <c r="E75" s="70"/>
      <c r="F75" s="70"/>
      <c r="G75" s="72"/>
      <c r="H75" s="220" t="s">
        <v>14</v>
      </c>
      <c r="I75" s="221"/>
      <c r="J75" s="221"/>
      <c r="K75" s="222"/>
      <c r="L75" s="91">
        <f t="shared" ref="L75:N75" ca="1" si="63">L76+L77</f>
        <v>1184300</v>
      </c>
      <c r="M75" s="91">
        <f t="shared" ca="1" si="63"/>
        <v>1184300</v>
      </c>
      <c r="N75" s="91">
        <f t="shared" ca="1" si="63"/>
        <v>927481.21</v>
      </c>
      <c r="O75" s="91">
        <f t="shared" ca="1" si="54"/>
        <v>78.3147183990543</v>
      </c>
      <c r="P75" s="91">
        <f t="shared" ca="1" si="55"/>
        <v>78.3147183990543</v>
      </c>
      <c r="Q75" s="134">
        <f t="shared" ref="Q75:S75" ca="1" si="64">Q76+Q77</f>
        <v>4339380</v>
      </c>
      <c r="R75" s="135">
        <f t="shared" ca="1" si="64"/>
        <v>4339380</v>
      </c>
      <c r="S75" s="135">
        <f t="shared" ca="1" si="64"/>
        <v>241620</v>
      </c>
      <c r="T75" s="135">
        <f t="shared" ca="1" si="57"/>
        <v>5.5680765454972834</v>
      </c>
      <c r="U75" s="135">
        <f t="shared" ca="1" si="58"/>
        <v>5.5680765454972834</v>
      </c>
    </row>
    <row r="76" spans="1:21" ht="18.75" x14ac:dyDescent="0.25">
      <c r="A76" s="211"/>
      <c r="B76" s="70"/>
      <c r="C76" s="70"/>
      <c r="D76" s="70"/>
      <c r="E76" s="78" t="s">
        <v>36</v>
      </c>
      <c r="F76" s="70"/>
      <c r="G76" s="72"/>
      <c r="H76" s="220" t="s">
        <v>14</v>
      </c>
      <c r="I76" s="221"/>
      <c r="J76" s="221"/>
      <c r="K76" s="222"/>
      <c r="L76" s="91">
        <f ca="1">IFERROR(__xludf.DUMMYFUNCTION("IMPORTRANGE(""https://docs.google.com/spreadsheets/d/13wPX838HrBrQMCywv1BsuMkt4PEKTChp52zj44s2izQ/edit?usp=sharing"",""กาญจนบุรี!L76"")+IMPORTRANGE(""https://docs.google.com/spreadsheets/d/1ddFKvqj1W1NEiWytbGlB1zMx_ykJDVtmfEQ-6-lIUBA/edit?usp=sharing"","""&amp;"จันทบุรี!L76"")+IMPORTRANGE(""https://docs.google.com/spreadsheets/d/1T1PQvRODqOBZk8BRht_U031fIS1beLA0Ub2CEytj2q0/edit?usp=sharing"",""ฉะเชิงเทรา!L76"")+IMPORTRANGE(""https://docs.google.com/spreadsheets/d/11tr1B-Bhyr79v2bkwVh5h_fR-PStkgjlZtkrZpYurG0/edit"&amp;"?usp=sharing"",""ชลบุรี!L76"")+IMPORTRANGE(""https://docs.google.com/spreadsheets/d/1hh-FVnSX0vozXhGluamEcS54Dw9_zqW0N7qJUWgJ0Sw/edit?usp=sharing"",""ชัยนาท!L76"")+IMPORTRANGE(""https://docs.google.com/spreadsheets/d/1jkqa6GXxSacMcY1eN8AHjMNJ_7dDXMJVRLDla"&amp;"FSOdPM/edit?usp=sharing"",""ตราด!L76"")+IMPORTRANGE(""https://docs.google.com/spreadsheets/d/18hSgUJ3VwClqi_qtULmmW3cLr0oe3OKaSYoKzdpTsYQ/edit?usp=sharing"",""นครนายก!L76"")+IMPORTRANGE(""https://docs.google.com/spreadsheets/d/1YTZo6WM2dQ6Ix6FSdnL5P7uVnVK"&amp;"u40sxZu975tgG10E/edit?usp=sharing"",""นครปฐม!L76"")+IMPORTRANGE(""https://docs.google.com/spreadsheets/d/1OYoGg4WDg5RIzwGeB10padOxJF9E_Vljuvvct_M7RDo/edit?usp=sharing"",""ปทุมธานี!L76"")+IMPORTRANGE(""https://docs.google.com/spreadsheets/d/1GbCIE4D4wk9FUo"&amp;"zzqk7SxfDMxDVBwVmI5zcaVUSzKAc/edit?usp=sharing"",""ประจวบคีรีขันธ์!L76"")+IMPORTRANGE(""https://docs.google.com/spreadsheets/d/1vVf6wykvW_lAyu7Yo9L4hUTqHqIeP_qcVuxCtosJEbg/edit?usp=sharing"",""ปราจีนบุรี!L76"")+IMPORTRANGE(""https://docs.google.com/spread"&amp;"sheets/d/1BIDqLLg5jk3v59G8NlR8rk5xfQDKne0sAvZHSj7TI6I/edit?usp=sharing"",""พระนครศรีอยุธยา!L76"")+IMPORTRANGE(""https://docs.google.com/spreadsheets/d/1YXvxf8Yu6_rV4hTBrwMqAcAnv6DfhUxh5emyM3CJp_w/edit?usp=sharing"",""เพชรบุรี!L76"")+IMPORTRANGE(""https://"&amp;"docs.google.com/spreadsheets/d/19KBlQQs7uwvsao6t2n-KvW3Ax8J8uRRfZPq1zPbXgKc/edit?usp=sharing"",""ระยอง!L76"")+IMPORTRANGE(""https://docs.google.com/spreadsheets/d/1jQ6P4QcrGM89YfqcC_PxOHGCMq5ezhucwJd8ci-NHng/edit?usp=sharing"",""ราชบุรี!L76"")+IMPORTRANGE"&amp;"(""https://docs.google.com/spreadsheets/d/1lufeA2cfFqM-elVq2hznhDzC6Pr7wkJ9ZG_sYNGCMCU/edit?usp=sharing"",""ลพบุรี!L76"")+IMPORTRANGE(""https://docs.google.com/spreadsheets/d/10oOiF7loTyfsTkbd4MpaIm0HQ9SwB7IYHdIUvt-U1Uc/edit?usp=sharing"",""สระแก้ว!L76"")"&amp;"+IMPORTRANGE(""https://docs.google.com/spreadsheets/d/1xmPlrr1QbdSIKvl1dWUl9K4PjAfSL9oeMr_37QVzcxc/edit?usp=sharing"",""สระบุรี!L76"")+IMPORTRANGE(""https://docs.google.com/spreadsheets/d/1j51vR6CYVGhABJpv6tkstgok82RLpXieLzW1yOY5rHw/edit?usp=sharing"",""ส"&amp;"ิงห์บุรี!L76"")+IMPORTRANGE(""https://docs.google.com/spreadsheets/d/1H1EalTWKUSzO4Z1-1CwzoDUaVffgrThEBe2sl74kKG0/edit?usp=sharing"",""สุพรรณบุรี!L76"")+IMPORTRANGE(""https://docs.google.com/spreadsheets/d/1BmIruG_sIrJLYao_Pdr7zVArWsfoBt2692TMi6x_854/edit"&amp;"?usp=sharing"",""อ่างทอง!L76"")"),0)</f>
        <v>0</v>
      </c>
      <c r="M76" s="91">
        <f ca="1">IFERROR(__xludf.DUMMYFUNCTION("IMPORTRANGE(""https://docs.google.com/spreadsheets/d/13wPX838HrBrQMCywv1BsuMkt4PEKTChp52zj44s2izQ/edit?usp=sharing"",""กาญจนบุรี!M76"")+IMPORTRANGE(""https://docs.google.com/spreadsheets/d/1ddFKvqj1W1NEiWytbGlB1zMx_ykJDVtmfEQ-6-lIUBA/edit?usp=sharing"","""&amp;"จันทบุรี!M76"")+IMPORTRANGE(""https://docs.google.com/spreadsheets/d/1T1PQvRODqOBZk8BRht_U031fIS1beLA0Ub2CEytj2q0/edit?usp=sharing"",""ฉะเชิงเทรา!M76"")+IMPORTRANGE(""https://docs.google.com/spreadsheets/d/11tr1B-Bhyr79v2bkwVh5h_fR-PStkgjlZtkrZpYurG0/edit"&amp;"?usp=sharing"",""ชลบุรี!M76"")+IMPORTRANGE(""https://docs.google.com/spreadsheets/d/1hh-FVnSX0vozXhGluamEcS54Dw9_zqW0N7qJUWgJ0Sw/edit?usp=sharing"",""ชัยนาท!M76"")+IMPORTRANGE(""https://docs.google.com/spreadsheets/d/1jkqa6GXxSacMcY1eN8AHjMNJ_7dDXMJVRLDla"&amp;"FSOdPM/edit?usp=sharing"",""ตราด!M76"")+IMPORTRANGE(""https://docs.google.com/spreadsheets/d/18hSgUJ3VwClqi_qtULmmW3cLr0oe3OKaSYoKzdpTsYQ/edit?usp=sharing"",""นครนายก!M76"")+IMPORTRANGE(""https://docs.google.com/spreadsheets/d/1YTZo6WM2dQ6Ix6FSdnL5P7uVnVK"&amp;"u40sxZu975tgG10E/edit?usp=sharing"",""นครปฐม!M76"")+IMPORTRANGE(""https://docs.google.com/spreadsheets/d/1OYoGg4WDg5RIzwGeB10padOxJF9E_Vljuvvct_M7RDo/edit?usp=sharing"",""ปทุมธานี!M76"")+IMPORTRANGE(""https://docs.google.com/spreadsheets/d/1GbCIE4D4wk9FUo"&amp;"zzqk7SxfDMxDVBwVmI5zcaVUSzKAc/edit?usp=sharing"",""ประจวบคีรีขันธ์!M76"")+IMPORTRANGE(""https://docs.google.com/spreadsheets/d/1vVf6wykvW_lAyu7Yo9L4hUTqHqIeP_qcVuxCtosJEbg/edit?usp=sharing"",""ปราจีนบุรี!M76"")+IMPORTRANGE(""https://docs.google.com/spread"&amp;"sheets/d/1BIDqLLg5jk3v59G8NlR8rk5xfQDKne0sAvZHSj7TI6I/edit?usp=sharing"",""พระนครศรีอยุธยา!M76"")+IMPORTRANGE(""https://docs.google.com/spreadsheets/d/1YXvxf8Yu6_rV4hTBrwMqAcAnv6DfhUxh5emyM3CJp_w/edit?usp=sharing"",""เพชรบุรี!M76"")+IMPORTRANGE(""https://"&amp;"docs.google.com/spreadsheets/d/19KBlQQs7uwvsao6t2n-KvW3Ax8J8uRRfZPq1zPbXgKc/edit?usp=sharing"",""ระยอง!M76"")+IMPORTRANGE(""https://docs.google.com/spreadsheets/d/1jQ6P4QcrGM89YfqcC_PxOHGCMq5ezhucwJd8ci-NHng/edit?usp=sharing"",""ราชบุรี!M76"")+IMPORTRANGE"&amp;"(""https://docs.google.com/spreadsheets/d/1lufeA2cfFqM-elVq2hznhDzC6Pr7wkJ9ZG_sYNGCMCU/edit?usp=sharing"",""ลพบุรี!M76"")+IMPORTRANGE(""https://docs.google.com/spreadsheets/d/10oOiF7loTyfsTkbd4MpaIm0HQ9SwB7IYHdIUvt-U1Uc/edit?usp=sharing"",""สระแก้ว!M76"")"&amp;"+IMPORTRANGE(""https://docs.google.com/spreadsheets/d/1xmPlrr1QbdSIKvl1dWUl9K4PjAfSL9oeMr_37QVzcxc/edit?usp=sharing"",""สระบุรี!M76"")+IMPORTRANGE(""https://docs.google.com/spreadsheets/d/1j51vR6CYVGhABJpv6tkstgok82RLpXieLzW1yOY5rHw/edit?usp=sharing"",""ส"&amp;"ิงห์บุรี!M76"")+IMPORTRANGE(""https://docs.google.com/spreadsheets/d/1H1EalTWKUSzO4Z1-1CwzoDUaVffgrThEBe2sl74kKG0/edit?usp=sharing"",""สุพรรณบุรี!M76"")+IMPORTRANGE(""https://docs.google.com/spreadsheets/d/1BmIruG_sIrJLYao_Pdr7zVArWsfoBt2692TMi6x_854/edit"&amp;"?usp=sharing"",""อ่างทอง!M76"")"),0)</f>
        <v>0</v>
      </c>
      <c r="N76" s="91">
        <f ca="1">IFERROR(__xludf.DUMMYFUNCTION("IMPORTRANGE(""https://docs.google.com/spreadsheets/d/13wPX838HrBrQMCywv1BsuMkt4PEKTChp52zj44s2izQ/edit?usp=sharing"",""กาญจนบุรี!N76"")+IMPORTRANGE(""https://docs.google.com/spreadsheets/d/1ddFKvqj1W1NEiWytbGlB1zMx_ykJDVtmfEQ-6-lIUBA/edit?usp=sharing"","""&amp;"จันทบุรี!N76"")+IMPORTRANGE(""https://docs.google.com/spreadsheets/d/1T1PQvRODqOBZk8BRht_U031fIS1beLA0Ub2CEytj2q0/edit?usp=sharing"",""ฉะเชิงเทรา!N76"")+IMPORTRANGE(""https://docs.google.com/spreadsheets/d/11tr1B-Bhyr79v2bkwVh5h_fR-PStkgjlZtkrZpYurG0/edit"&amp;"?usp=sharing"",""ชลบุรี!N76"")+IMPORTRANGE(""https://docs.google.com/spreadsheets/d/1hh-FVnSX0vozXhGluamEcS54Dw9_zqW0N7qJUWgJ0Sw/edit?usp=sharing"",""ชัยนาท!N76"")+IMPORTRANGE(""https://docs.google.com/spreadsheets/d/1jkqa6GXxSacMcY1eN8AHjMNJ_7dDXMJVRLDla"&amp;"FSOdPM/edit?usp=sharing"",""ตราด!N76"")+IMPORTRANGE(""https://docs.google.com/spreadsheets/d/18hSgUJ3VwClqi_qtULmmW3cLr0oe3OKaSYoKzdpTsYQ/edit?usp=sharing"",""นครนายก!N76"")+IMPORTRANGE(""https://docs.google.com/spreadsheets/d/1YTZo6WM2dQ6Ix6FSdnL5P7uVnVK"&amp;"u40sxZu975tgG10E/edit?usp=sharing"",""นครปฐม!N76"")+IMPORTRANGE(""https://docs.google.com/spreadsheets/d/1OYoGg4WDg5RIzwGeB10padOxJF9E_Vljuvvct_M7RDo/edit?usp=sharing"",""ปทุมธานี!N76"")+IMPORTRANGE(""https://docs.google.com/spreadsheets/d/1GbCIE4D4wk9FUo"&amp;"zzqk7SxfDMxDVBwVmI5zcaVUSzKAc/edit?usp=sharing"",""ประจวบคีรีขันธ์!N76"")+IMPORTRANGE(""https://docs.google.com/spreadsheets/d/1vVf6wykvW_lAyu7Yo9L4hUTqHqIeP_qcVuxCtosJEbg/edit?usp=sharing"",""ปราจีนบุรี!N76"")+IMPORTRANGE(""https://docs.google.com/spread"&amp;"sheets/d/1BIDqLLg5jk3v59G8NlR8rk5xfQDKne0sAvZHSj7TI6I/edit?usp=sharing"",""พระนครศรีอยุธยา!N76"")+IMPORTRANGE(""https://docs.google.com/spreadsheets/d/1YXvxf8Yu6_rV4hTBrwMqAcAnv6DfhUxh5emyM3CJp_w/edit?usp=sharing"",""เพชรบุรี!N76"")+IMPORTRANGE(""https://"&amp;"docs.google.com/spreadsheets/d/19KBlQQs7uwvsao6t2n-KvW3Ax8J8uRRfZPq1zPbXgKc/edit?usp=sharing"",""ระยอง!N76"")+IMPORTRANGE(""https://docs.google.com/spreadsheets/d/1jQ6P4QcrGM89YfqcC_PxOHGCMq5ezhucwJd8ci-NHng/edit?usp=sharing"",""ราชบุรี!N76"")+IMPORTRANGE"&amp;"(""https://docs.google.com/spreadsheets/d/1lufeA2cfFqM-elVq2hznhDzC6Pr7wkJ9ZG_sYNGCMCU/edit?usp=sharing"",""ลพบุรี!N76"")+IMPORTRANGE(""https://docs.google.com/spreadsheets/d/10oOiF7loTyfsTkbd4MpaIm0HQ9SwB7IYHdIUvt-U1Uc/edit?usp=sharing"",""สระแก้ว!N76"")"&amp;"+IMPORTRANGE(""https://docs.google.com/spreadsheets/d/1xmPlrr1QbdSIKvl1dWUl9K4PjAfSL9oeMr_37QVzcxc/edit?usp=sharing"",""สระบุรี!N76"")+IMPORTRANGE(""https://docs.google.com/spreadsheets/d/1j51vR6CYVGhABJpv6tkstgok82RLpXieLzW1yOY5rHw/edit?usp=sharing"",""ส"&amp;"ิงห์บุรี!N76"")+IMPORTRANGE(""https://docs.google.com/spreadsheets/d/1H1EalTWKUSzO4Z1-1CwzoDUaVffgrThEBe2sl74kKG0/edit?usp=sharing"",""สุพรรณบุรี!N76"")+IMPORTRANGE(""https://docs.google.com/spreadsheets/d/1BmIruG_sIrJLYao_Pdr7zVArWsfoBt2692TMi6x_854/edit"&amp;"?usp=sharing"",""อ่างทอง!N76"")"),0)</f>
        <v>0</v>
      </c>
      <c r="O76" s="91">
        <f t="shared" ca="1" si="54"/>
        <v>0</v>
      </c>
      <c r="P76" s="91">
        <f t="shared" ca="1" si="55"/>
        <v>0</v>
      </c>
      <c r="Q76" s="79">
        <f ca="1">IFERROR(__xludf.DUMMYFUNCTION("IMPORTRANGE(""https://docs.google.com/spreadsheets/d/13wPX838HrBrQMCywv1BsuMkt4PEKTChp52zj44s2izQ/edit?usp=sharing"",""กาญจนบุรี!Q76"")+IMPORTRANGE(""https://docs.google.com/spreadsheets/d/1ddFKvqj1W1NEiWytbGlB1zMx_ykJDVtmfEQ-6-lIUBA/edit?usp=sharing"","""&amp;"จันทบุรี!Q76"")+IMPORTRANGE(""https://docs.google.com/spreadsheets/d/1T1PQvRODqOBZk8BRht_U031fIS1beLA0Ub2CEytj2q0/edit?usp=sharing"",""ฉะเชิงเทรา!Q76"")+IMPORTRANGE(""https://docs.google.com/spreadsheets/d/11tr1B-Bhyr79v2bkwVh5h_fR-PStkgjlZtkrZpYurG0/edit"&amp;"?usp=sharing"",""ชลบุรี!Q76"")+IMPORTRANGE(""https://docs.google.com/spreadsheets/d/1hh-FVnSX0vozXhGluamEcS54Dw9_zqW0N7qJUWgJ0Sw/edit?usp=sharing"",""ชัยนาท!Q76"")+IMPORTRANGE(""https://docs.google.com/spreadsheets/d/1jkqa6GXxSacMcY1eN8AHjMNJ_7dDXMJVRLDla"&amp;"FSOdPM/edit?usp=sharing"",""ตราด!Q76"")+IMPORTRANGE(""https://docs.google.com/spreadsheets/d/18hSgUJ3VwClqi_qtULmmW3cLr0oe3OKaSYoKzdpTsYQ/edit?usp=sharing"",""นครนายก!Q76"")+IMPORTRANGE(""https://docs.google.com/spreadsheets/d/1YTZo6WM2dQ6Ix6FSdnL5P7uVnVK"&amp;"u40sxZu975tgG10E/edit?usp=sharing"",""นครปฐม!Q76"")+IMPORTRANGE(""https://docs.google.com/spreadsheets/d/1OYoGg4WDg5RIzwGeB10padOxJF9E_Vljuvvct_M7RDo/edit?usp=sharing"",""ปทุมธานี!Q76"")+IMPORTRANGE(""https://docs.google.com/spreadsheets/d/1GbCIE4D4wk9FUo"&amp;"zzqk7SxfDMxDVBwVmI5zcaVUSzKAc/edit?usp=sharing"",""ประจวบคีรีขันธ์!Q76"")+IMPORTRANGE(""https://docs.google.com/spreadsheets/d/1vVf6wykvW_lAyu7Yo9L4hUTqHqIeP_qcVuxCtosJEbg/edit?usp=sharing"",""ปราจีนบุรี!Q76"")+IMPORTRANGE(""https://docs.google.com/spread"&amp;"sheets/d/1BIDqLLg5jk3v59G8NlR8rk5xfQDKne0sAvZHSj7TI6I/edit?usp=sharing"",""พระนครศรีอยุธยา!Q76"")+IMPORTRANGE(""https://docs.google.com/spreadsheets/d/1YXvxf8Yu6_rV4hTBrwMqAcAnv6DfhUxh5emyM3CJp_w/edit?usp=sharing"",""เพชรบุรี!Q76"")+IMPORTRANGE(""https://"&amp;"docs.google.com/spreadsheets/d/19KBlQQs7uwvsao6t2n-KvW3Ax8J8uRRfZPq1zPbXgKc/edit?usp=sharing"",""ระยอง!Q76"")+IMPORTRANGE(""https://docs.google.com/spreadsheets/d/1jQ6P4QcrGM89YfqcC_PxOHGCMq5ezhucwJd8ci-NHng/edit?usp=sharing"",""ราชบุรี!Q76"")+IMPORTRANGE"&amp;"(""https://docs.google.com/spreadsheets/d/1lufeA2cfFqM-elVq2hznhDzC6Pr7wkJ9ZG_sYNGCMCU/edit?usp=sharing"",""ลพบุรี!Q76"")+IMPORTRANGE(""https://docs.google.com/spreadsheets/d/10oOiF7loTyfsTkbd4MpaIm0HQ9SwB7IYHdIUvt-U1Uc/edit?usp=sharing"",""สระแก้ว!Q76"")"&amp;"+IMPORTRANGE(""https://docs.google.com/spreadsheets/d/1xmPlrr1QbdSIKvl1dWUl9K4PjAfSL9oeMr_37QVzcxc/edit?usp=sharing"",""สระบุรี!Q76"")+IMPORTRANGE(""https://docs.google.com/spreadsheets/d/1j51vR6CYVGhABJpv6tkstgok82RLpXieLzW1yOY5rHw/edit?usp=sharing"",""ส"&amp;"ิงห์บุรี!Q76"")+IMPORTRANGE(""https://docs.google.com/spreadsheets/d/1H1EalTWKUSzO4Z1-1CwzoDUaVffgrThEBe2sl74kKG0/edit?usp=sharing"",""สุพรรณบุรี!Q76"")+IMPORTRANGE(""https://docs.google.com/spreadsheets/d/1BmIruG_sIrJLYao_Pdr7zVArWsfoBt2692TMi6x_854/edit"&amp;"?usp=sharing"",""อ่างทอง!Q76"")"),0)</f>
        <v>0</v>
      </c>
      <c r="R76" s="80">
        <f ca="1">IFERROR(__xludf.DUMMYFUNCTION("IMPORTRANGE(""https://docs.google.com/spreadsheets/d/13wPX838HrBrQMCywv1BsuMkt4PEKTChp52zj44s2izQ/edit?usp=sharing"",""กาญจนบุรี!R76"")+IMPORTRANGE(""https://docs.google.com/spreadsheets/d/1ddFKvqj1W1NEiWytbGlB1zMx_ykJDVtmfEQ-6-lIUBA/edit?usp=sharing"","""&amp;"จันทบุรี!R76"")+IMPORTRANGE(""https://docs.google.com/spreadsheets/d/1T1PQvRODqOBZk8BRht_U031fIS1beLA0Ub2CEytj2q0/edit?usp=sharing"",""ฉะเชิงเทรา!R76"")+IMPORTRANGE(""https://docs.google.com/spreadsheets/d/11tr1B-Bhyr79v2bkwVh5h_fR-PStkgjlZtkrZpYurG0/edit"&amp;"?usp=sharing"",""ชลบุรี!R76"")+IMPORTRANGE(""https://docs.google.com/spreadsheets/d/1hh-FVnSX0vozXhGluamEcS54Dw9_zqW0N7qJUWgJ0Sw/edit?usp=sharing"",""ชัยนาท!R76"")+IMPORTRANGE(""https://docs.google.com/spreadsheets/d/1jkqa6GXxSacMcY1eN8AHjMNJ_7dDXMJVRLDla"&amp;"FSOdPM/edit?usp=sharing"",""ตราด!R76"")+IMPORTRANGE(""https://docs.google.com/spreadsheets/d/18hSgUJ3VwClqi_qtULmmW3cLr0oe3OKaSYoKzdpTsYQ/edit?usp=sharing"",""นครนายก!R76"")+IMPORTRANGE(""https://docs.google.com/spreadsheets/d/1YTZo6WM2dQ6Ix6FSdnL5P7uVnVK"&amp;"u40sxZu975tgG10E/edit?usp=sharing"",""นครปฐม!R76"")+IMPORTRANGE(""https://docs.google.com/spreadsheets/d/1OYoGg4WDg5RIzwGeB10padOxJF9E_Vljuvvct_M7RDo/edit?usp=sharing"",""ปทุมธานี!R76"")+IMPORTRANGE(""https://docs.google.com/spreadsheets/d/1GbCIE4D4wk9FUo"&amp;"zzqk7SxfDMxDVBwVmI5zcaVUSzKAc/edit?usp=sharing"",""ประจวบคีรีขันธ์!R76"")+IMPORTRANGE(""https://docs.google.com/spreadsheets/d/1vVf6wykvW_lAyu7Yo9L4hUTqHqIeP_qcVuxCtosJEbg/edit?usp=sharing"",""ปราจีนบุรี!R76"")+IMPORTRANGE(""https://docs.google.com/spread"&amp;"sheets/d/1BIDqLLg5jk3v59G8NlR8rk5xfQDKne0sAvZHSj7TI6I/edit?usp=sharing"",""พระนครศรีอยุธยา!R76"")+IMPORTRANGE(""https://docs.google.com/spreadsheets/d/1YXvxf8Yu6_rV4hTBrwMqAcAnv6DfhUxh5emyM3CJp_w/edit?usp=sharing"",""เพชรบุรี!R76"")+IMPORTRANGE(""https://"&amp;"docs.google.com/spreadsheets/d/19KBlQQs7uwvsao6t2n-KvW3Ax8J8uRRfZPq1zPbXgKc/edit?usp=sharing"",""ระยอง!R76"")+IMPORTRANGE(""https://docs.google.com/spreadsheets/d/1jQ6P4QcrGM89YfqcC_PxOHGCMq5ezhucwJd8ci-NHng/edit?usp=sharing"",""ราชบุรี!R76"")+IMPORTRANGE"&amp;"(""https://docs.google.com/spreadsheets/d/1lufeA2cfFqM-elVq2hznhDzC6Pr7wkJ9ZG_sYNGCMCU/edit?usp=sharing"",""ลพบุรี!R76"")+IMPORTRANGE(""https://docs.google.com/spreadsheets/d/10oOiF7loTyfsTkbd4MpaIm0HQ9SwB7IYHdIUvt-U1Uc/edit?usp=sharing"",""สระแก้ว!R76"")"&amp;"+IMPORTRANGE(""https://docs.google.com/spreadsheets/d/1xmPlrr1QbdSIKvl1dWUl9K4PjAfSL9oeMr_37QVzcxc/edit?usp=sharing"",""สระบุรี!R76"")+IMPORTRANGE(""https://docs.google.com/spreadsheets/d/1j51vR6CYVGhABJpv6tkstgok82RLpXieLzW1yOY5rHw/edit?usp=sharing"",""ส"&amp;"ิงห์บุรี!R76"")+IMPORTRANGE(""https://docs.google.com/spreadsheets/d/1H1EalTWKUSzO4Z1-1CwzoDUaVffgrThEBe2sl74kKG0/edit?usp=sharing"",""สุพรรณบุรี!R76"")+IMPORTRANGE(""https://docs.google.com/spreadsheets/d/1BmIruG_sIrJLYao_Pdr7zVArWsfoBt2692TMi6x_854/edit"&amp;"?usp=sharing"",""อ่างทอง!R76"")"),0)</f>
        <v>0</v>
      </c>
      <c r="S76" s="80">
        <f ca="1">IFERROR(__xludf.DUMMYFUNCTION("IMPORTRANGE(""https://docs.google.com/spreadsheets/d/13wPX838HrBrQMCywv1BsuMkt4PEKTChp52zj44s2izQ/edit?usp=sharing"",""กาญจนบุรี!S76"")+IMPORTRANGE(""https://docs.google.com/spreadsheets/d/1ddFKvqj1W1NEiWytbGlB1zMx_ykJDVtmfEQ-6-lIUBA/edit?usp=sharing"","""&amp;"จันทบุรี!S76"")+IMPORTRANGE(""https://docs.google.com/spreadsheets/d/1T1PQvRODqOBZk8BRht_U031fIS1beLA0Ub2CEytj2q0/edit?usp=sharing"",""ฉะเชิงเทรา!S76"")+IMPORTRANGE(""https://docs.google.com/spreadsheets/d/11tr1B-Bhyr79v2bkwVh5h_fR-PStkgjlZtkrZpYurG0/edit"&amp;"?usp=sharing"",""ชลบุรี!S76"")+IMPORTRANGE(""https://docs.google.com/spreadsheets/d/1hh-FVnSX0vozXhGluamEcS54Dw9_zqW0N7qJUWgJ0Sw/edit?usp=sharing"",""ชัยนาท!S76"")+IMPORTRANGE(""https://docs.google.com/spreadsheets/d/1jkqa6GXxSacMcY1eN8AHjMNJ_7dDXMJVRLDla"&amp;"FSOdPM/edit?usp=sharing"",""ตราด!S76"")+IMPORTRANGE(""https://docs.google.com/spreadsheets/d/18hSgUJ3VwClqi_qtULmmW3cLr0oe3OKaSYoKzdpTsYQ/edit?usp=sharing"",""นครนายก!S76"")+IMPORTRANGE(""https://docs.google.com/spreadsheets/d/1YTZo6WM2dQ6Ix6FSdnL5P7uVnVK"&amp;"u40sxZu975tgG10E/edit?usp=sharing"",""นครปฐม!S76"")+IMPORTRANGE(""https://docs.google.com/spreadsheets/d/1OYoGg4WDg5RIzwGeB10padOxJF9E_Vljuvvct_M7RDo/edit?usp=sharing"",""ปทุมธานี!S76"")+IMPORTRANGE(""https://docs.google.com/spreadsheets/d/1GbCIE4D4wk9FUo"&amp;"zzqk7SxfDMxDVBwVmI5zcaVUSzKAc/edit?usp=sharing"",""ประจวบคีรีขันธ์!S76"")+IMPORTRANGE(""https://docs.google.com/spreadsheets/d/1vVf6wykvW_lAyu7Yo9L4hUTqHqIeP_qcVuxCtosJEbg/edit?usp=sharing"",""ปราจีนบุรี!S76"")+IMPORTRANGE(""https://docs.google.com/spread"&amp;"sheets/d/1BIDqLLg5jk3v59G8NlR8rk5xfQDKne0sAvZHSj7TI6I/edit?usp=sharing"",""พระนครศรีอยุธยา!S76"")+IMPORTRANGE(""https://docs.google.com/spreadsheets/d/1YXvxf8Yu6_rV4hTBrwMqAcAnv6DfhUxh5emyM3CJp_w/edit?usp=sharing"",""เพชรบุรี!S76"")+IMPORTRANGE(""https://"&amp;"docs.google.com/spreadsheets/d/19KBlQQs7uwvsao6t2n-KvW3Ax8J8uRRfZPq1zPbXgKc/edit?usp=sharing"",""ระยอง!S76"")+IMPORTRANGE(""https://docs.google.com/spreadsheets/d/1jQ6P4QcrGM89YfqcC_PxOHGCMq5ezhucwJd8ci-NHng/edit?usp=sharing"",""ราชบุรี!S76"")+IMPORTRANGE"&amp;"(""https://docs.google.com/spreadsheets/d/1lufeA2cfFqM-elVq2hznhDzC6Pr7wkJ9ZG_sYNGCMCU/edit?usp=sharing"",""ลพบุรี!S76"")+IMPORTRANGE(""https://docs.google.com/spreadsheets/d/10oOiF7loTyfsTkbd4MpaIm0HQ9SwB7IYHdIUvt-U1Uc/edit?usp=sharing"",""สระแก้ว!S76"")"&amp;"+IMPORTRANGE(""https://docs.google.com/spreadsheets/d/1xmPlrr1QbdSIKvl1dWUl9K4PjAfSL9oeMr_37QVzcxc/edit?usp=sharing"",""สระบุรี!S76"")+IMPORTRANGE(""https://docs.google.com/spreadsheets/d/1j51vR6CYVGhABJpv6tkstgok82RLpXieLzW1yOY5rHw/edit?usp=sharing"",""ส"&amp;"ิงห์บุรี!S76"")+IMPORTRANGE(""https://docs.google.com/spreadsheets/d/1H1EalTWKUSzO4Z1-1CwzoDUaVffgrThEBe2sl74kKG0/edit?usp=sharing"",""สุพรรณบุรี!S76"")+IMPORTRANGE(""https://docs.google.com/spreadsheets/d/1BmIruG_sIrJLYao_Pdr7zVArWsfoBt2692TMi6x_854/edit"&amp;"?usp=sharing"",""อ่างทอง!S76"")"),0)</f>
        <v>0</v>
      </c>
      <c r="T76" s="136">
        <f t="shared" ca="1" si="57"/>
        <v>0</v>
      </c>
      <c r="U76" s="136">
        <f t="shared" ca="1" si="58"/>
        <v>0</v>
      </c>
    </row>
    <row r="77" spans="1:21" ht="18.75" x14ac:dyDescent="0.25">
      <c r="A77" s="211"/>
      <c r="B77" s="70"/>
      <c r="C77" s="70"/>
      <c r="D77" s="70"/>
      <c r="E77" s="78" t="s">
        <v>37</v>
      </c>
      <c r="F77" s="70"/>
      <c r="G77" s="72"/>
      <c r="H77" s="220" t="s">
        <v>14</v>
      </c>
      <c r="I77" s="221"/>
      <c r="J77" s="221"/>
      <c r="K77" s="222"/>
      <c r="L77" s="91">
        <f ca="1">IFERROR(__xludf.DUMMYFUNCTION("IMPORTRANGE(""https://docs.google.com/spreadsheets/d/13wPX838HrBrQMCywv1BsuMkt4PEKTChp52zj44s2izQ/edit?usp=sharing"",""กาญจนบุรี!L77"")+IMPORTRANGE(""https://docs.google.com/spreadsheets/d/1ddFKvqj1W1NEiWytbGlB1zMx_ykJDVtmfEQ-6-lIUBA/edit?usp=sharing"","""&amp;"จันทบุรี!L77"")+IMPORTRANGE(""https://docs.google.com/spreadsheets/d/1T1PQvRODqOBZk8BRht_U031fIS1beLA0Ub2CEytj2q0/edit?usp=sharing"",""ฉะเชิงเทรา!L77"")+IMPORTRANGE(""https://docs.google.com/spreadsheets/d/11tr1B-Bhyr79v2bkwVh5h_fR-PStkgjlZtkrZpYurG0/edit"&amp;"?usp=sharing"",""ชลบุรี!L77"")+IMPORTRANGE(""https://docs.google.com/spreadsheets/d/1hh-FVnSX0vozXhGluamEcS54Dw9_zqW0N7qJUWgJ0Sw/edit?usp=sharing"",""ชัยนาท!L77"")+IMPORTRANGE(""https://docs.google.com/spreadsheets/d/1jkqa6GXxSacMcY1eN8AHjMNJ_7dDXMJVRLDla"&amp;"FSOdPM/edit?usp=sharing"",""ตราด!L77"")+IMPORTRANGE(""https://docs.google.com/spreadsheets/d/18hSgUJ3VwClqi_qtULmmW3cLr0oe3OKaSYoKzdpTsYQ/edit?usp=sharing"",""นครนายก!L77"")+IMPORTRANGE(""https://docs.google.com/spreadsheets/d/1YTZo6WM2dQ6Ix6FSdnL5P7uVnVK"&amp;"u40sxZu975tgG10E/edit?usp=sharing"",""นครปฐม!L77"")+IMPORTRANGE(""https://docs.google.com/spreadsheets/d/1OYoGg4WDg5RIzwGeB10padOxJF9E_Vljuvvct_M7RDo/edit?usp=sharing"",""ปทุมธานี!L77"")+IMPORTRANGE(""https://docs.google.com/spreadsheets/d/1GbCIE4D4wk9FUo"&amp;"zzqk7SxfDMxDVBwVmI5zcaVUSzKAc/edit?usp=sharing"",""ประจวบคีรีขันธ์!L77"")+IMPORTRANGE(""https://docs.google.com/spreadsheets/d/1vVf6wykvW_lAyu7Yo9L4hUTqHqIeP_qcVuxCtosJEbg/edit?usp=sharing"",""ปราจีนบุรี!L77"")+IMPORTRANGE(""https://docs.google.com/spread"&amp;"sheets/d/1BIDqLLg5jk3v59G8NlR8rk5xfQDKne0sAvZHSj7TI6I/edit?usp=sharing"",""พระนครศรีอยุธยา!L77"")+IMPORTRANGE(""https://docs.google.com/spreadsheets/d/1YXvxf8Yu6_rV4hTBrwMqAcAnv6DfhUxh5emyM3CJp_w/edit?usp=sharing"",""เพชรบุรี!L77"")+IMPORTRANGE(""https://"&amp;"docs.google.com/spreadsheets/d/19KBlQQs7uwvsao6t2n-KvW3Ax8J8uRRfZPq1zPbXgKc/edit?usp=sharing"",""ระยอง!L77"")+IMPORTRANGE(""https://docs.google.com/spreadsheets/d/1jQ6P4QcrGM89YfqcC_PxOHGCMq5ezhucwJd8ci-NHng/edit?usp=sharing"",""ราชบุรี!L77"")+IMPORTRANGE"&amp;"(""https://docs.google.com/spreadsheets/d/1lufeA2cfFqM-elVq2hznhDzC6Pr7wkJ9ZG_sYNGCMCU/edit?usp=sharing"",""ลพบุรี!L77"")+IMPORTRANGE(""https://docs.google.com/spreadsheets/d/10oOiF7loTyfsTkbd4MpaIm0HQ9SwB7IYHdIUvt-U1Uc/edit?usp=sharing"",""สระแก้ว!L77"")"&amp;"+IMPORTRANGE(""https://docs.google.com/spreadsheets/d/1xmPlrr1QbdSIKvl1dWUl9K4PjAfSL9oeMr_37QVzcxc/edit?usp=sharing"",""สระบุรี!L77"")+IMPORTRANGE(""https://docs.google.com/spreadsheets/d/1j51vR6CYVGhABJpv6tkstgok82RLpXieLzW1yOY5rHw/edit?usp=sharing"",""ส"&amp;"ิงห์บุรี!L77"")+IMPORTRANGE(""https://docs.google.com/spreadsheets/d/1H1EalTWKUSzO4Z1-1CwzoDUaVffgrThEBe2sl74kKG0/edit?usp=sharing"",""สุพรรณบุรี!L77"")+IMPORTRANGE(""https://docs.google.com/spreadsheets/d/1BmIruG_sIrJLYao_Pdr7zVArWsfoBt2692TMi6x_854/edit"&amp;"?usp=sharing"",""อ่างทอง!L77"")"),1184300)</f>
        <v>1184300</v>
      </c>
      <c r="M77" s="91">
        <f ca="1">IFERROR(__xludf.DUMMYFUNCTION("IMPORTRANGE(""https://docs.google.com/spreadsheets/d/13wPX838HrBrQMCywv1BsuMkt4PEKTChp52zj44s2izQ/edit?usp=sharing"",""กาญจนบุรี!M77"")+IMPORTRANGE(""https://docs.google.com/spreadsheets/d/1ddFKvqj1W1NEiWytbGlB1zMx_ykJDVtmfEQ-6-lIUBA/edit?usp=sharing"","""&amp;"จันทบุรี!M77"")+IMPORTRANGE(""https://docs.google.com/spreadsheets/d/1T1PQvRODqOBZk8BRht_U031fIS1beLA0Ub2CEytj2q0/edit?usp=sharing"",""ฉะเชิงเทรา!M77"")+IMPORTRANGE(""https://docs.google.com/spreadsheets/d/11tr1B-Bhyr79v2bkwVh5h_fR-PStkgjlZtkrZpYurG0/edit"&amp;"?usp=sharing"",""ชลบุรี!M77"")+IMPORTRANGE(""https://docs.google.com/spreadsheets/d/1hh-FVnSX0vozXhGluamEcS54Dw9_zqW0N7qJUWgJ0Sw/edit?usp=sharing"",""ชัยนาท!M77"")+IMPORTRANGE(""https://docs.google.com/spreadsheets/d/1jkqa6GXxSacMcY1eN8AHjMNJ_7dDXMJVRLDla"&amp;"FSOdPM/edit?usp=sharing"",""ตราด!M77"")+IMPORTRANGE(""https://docs.google.com/spreadsheets/d/18hSgUJ3VwClqi_qtULmmW3cLr0oe3OKaSYoKzdpTsYQ/edit?usp=sharing"",""นครนายก!M77"")+IMPORTRANGE(""https://docs.google.com/spreadsheets/d/1YTZo6WM2dQ6Ix6FSdnL5P7uVnVK"&amp;"u40sxZu975tgG10E/edit?usp=sharing"",""นครปฐม!M77"")+IMPORTRANGE(""https://docs.google.com/spreadsheets/d/1OYoGg4WDg5RIzwGeB10padOxJF9E_Vljuvvct_M7RDo/edit?usp=sharing"",""ปทุมธานี!M77"")+IMPORTRANGE(""https://docs.google.com/spreadsheets/d/1GbCIE4D4wk9FUo"&amp;"zzqk7SxfDMxDVBwVmI5zcaVUSzKAc/edit?usp=sharing"",""ประจวบคีรีขันธ์!M77"")+IMPORTRANGE(""https://docs.google.com/spreadsheets/d/1vVf6wykvW_lAyu7Yo9L4hUTqHqIeP_qcVuxCtosJEbg/edit?usp=sharing"",""ปราจีนบุรี!M77"")+IMPORTRANGE(""https://docs.google.com/spread"&amp;"sheets/d/1BIDqLLg5jk3v59G8NlR8rk5xfQDKne0sAvZHSj7TI6I/edit?usp=sharing"",""พระนครศรีอยุธยา!M77"")+IMPORTRANGE(""https://docs.google.com/spreadsheets/d/1YXvxf8Yu6_rV4hTBrwMqAcAnv6DfhUxh5emyM3CJp_w/edit?usp=sharing"",""เพชรบุรี!M77"")+IMPORTRANGE(""https://"&amp;"docs.google.com/spreadsheets/d/19KBlQQs7uwvsao6t2n-KvW3Ax8J8uRRfZPq1zPbXgKc/edit?usp=sharing"",""ระยอง!M77"")+IMPORTRANGE(""https://docs.google.com/spreadsheets/d/1jQ6P4QcrGM89YfqcC_PxOHGCMq5ezhucwJd8ci-NHng/edit?usp=sharing"",""ราชบุรี!M77"")+IMPORTRANGE"&amp;"(""https://docs.google.com/spreadsheets/d/1lufeA2cfFqM-elVq2hznhDzC6Pr7wkJ9ZG_sYNGCMCU/edit?usp=sharing"",""ลพบุรี!M77"")+IMPORTRANGE(""https://docs.google.com/spreadsheets/d/10oOiF7loTyfsTkbd4MpaIm0HQ9SwB7IYHdIUvt-U1Uc/edit?usp=sharing"",""สระแก้ว!M77"")"&amp;"+IMPORTRANGE(""https://docs.google.com/spreadsheets/d/1xmPlrr1QbdSIKvl1dWUl9K4PjAfSL9oeMr_37QVzcxc/edit?usp=sharing"",""สระบุรี!M77"")+IMPORTRANGE(""https://docs.google.com/spreadsheets/d/1j51vR6CYVGhABJpv6tkstgok82RLpXieLzW1yOY5rHw/edit?usp=sharing"",""ส"&amp;"ิงห์บุรี!M77"")+IMPORTRANGE(""https://docs.google.com/spreadsheets/d/1H1EalTWKUSzO4Z1-1CwzoDUaVffgrThEBe2sl74kKG0/edit?usp=sharing"",""สุพรรณบุรี!M77"")+IMPORTRANGE(""https://docs.google.com/spreadsheets/d/1BmIruG_sIrJLYao_Pdr7zVArWsfoBt2692TMi6x_854/edit"&amp;"?usp=sharing"",""อ่างทอง!M77"")"),1184300)</f>
        <v>1184300</v>
      </c>
      <c r="N77" s="91">
        <f ca="1">IFERROR(__xludf.DUMMYFUNCTION("IMPORTRANGE(""https://docs.google.com/spreadsheets/d/13wPX838HrBrQMCywv1BsuMkt4PEKTChp52zj44s2izQ/edit?usp=sharing"",""กาญจนบุรี!N77"")+IMPORTRANGE(""https://docs.google.com/spreadsheets/d/1ddFKvqj1W1NEiWytbGlB1zMx_ykJDVtmfEQ-6-lIUBA/edit?usp=sharing"","""&amp;"จันทบุรี!N77"")+IMPORTRANGE(""https://docs.google.com/spreadsheets/d/1T1PQvRODqOBZk8BRht_U031fIS1beLA0Ub2CEytj2q0/edit?usp=sharing"",""ฉะเชิงเทรา!N77"")+IMPORTRANGE(""https://docs.google.com/spreadsheets/d/11tr1B-Bhyr79v2bkwVh5h_fR-PStkgjlZtkrZpYurG0/edit"&amp;"?usp=sharing"",""ชลบุรี!N77"")+IMPORTRANGE(""https://docs.google.com/spreadsheets/d/1hh-FVnSX0vozXhGluamEcS54Dw9_zqW0N7qJUWgJ0Sw/edit?usp=sharing"",""ชัยนาท!N77"")+IMPORTRANGE(""https://docs.google.com/spreadsheets/d/1jkqa6GXxSacMcY1eN8AHjMNJ_7dDXMJVRLDla"&amp;"FSOdPM/edit?usp=sharing"",""ตราด!N77"")+IMPORTRANGE(""https://docs.google.com/spreadsheets/d/18hSgUJ3VwClqi_qtULmmW3cLr0oe3OKaSYoKzdpTsYQ/edit?usp=sharing"",""นครนายก!N77"")+IMPORTRANGE(""https://docs.google.com/spreadsheets/d/1YTZo6WM2dQ6Ix6FSdnL5P7uVnVK"&amp;"u40sxZu975tgG10E/edit?usp=sharing"",""นครปฐม!N77"")+IMPORTRANGE(""https://docs.google.com/spreadsheets/d/1OYoGg4WDg5RIzwGeB10padOxJF9E_Vljuvvct_M7RDo/edit?usp=sharing"",""ปทุมธานี!N77"")+IMPORTRANGE(""https://docs.google.com/spreadsheets/d/1GbCIE4D4wk9FUo"&amp;"zzqk7SxfDMxDVBwVmI5zcaVUSzKAc/edit?usp=sharing"",""ประจวบคีรีขันธ์!N77"")+IMPORTRANGE(""https://docs.google.com/spreadsheets/d/1vVf6wykvW_lAyu7Yo9L4hUTqHqIeP_qcVuxCtosJEbg/edit?usp=sharing"",""ปราจีนบุรี!N77"")+IMPORTRANGE(""https://docs.google.com/spread"&amp;"sheets/d/1BIDqLLg5jk3v59G8NlR8rk5xfQDKne0sAvZHSj7TI6I/edit?usp=sharing"",""พระนครศรีอยุธยา!N77"")+IMPORTRANGE(""https://docs.google.com/spreadsheets/d/1YXvxf8Yu6_rV4hTBrwMqAcAnv6DfhUxh5emyM3CJp_w/edit?usp=sharing"",""เพชรบุรี!N77"")+IMPORTRANGE(""https://"&amp;"docs.google.com/spreadsheets/d/19KBlQQs7uwvsao6t2n-KvW3Ax8J8uRRfZPq1zPbXgKc/edit?usp=sharing"",""ระยอง!N77"")+IMPORTRANGE(""https://docs.google.com/spreadsheets/d/1jQ6P4QcrGM89YfqcC_PxOHGCMq5ezhucwJd8ci-NHng/edit?usp=sharing"",""ราชบุรี!N77"")+IMPORTRANGE"&amp;"(""https://docs.google.com/spreadsheets/d/1lufeA2cfFqM-elVq2hznhDzC6Pr7wkJ9ZG_sYNGCMCU/edit?usp=sharing"",""ลพบุรี!N77"")+IMPORTRANGE(""https://docs.google.com/spreadsheets/d/10oOiF7loTyfsTkbd4MpaIm0HQ9SwB7IYHdIUvt-U1Uc/edit?usp=sharing"",""สระแก้ว!N77"")"&amp;"+IMPORTRANGE(""https://docs.google.com/spreadsheets/d/1xmPlrr1QbdSIKvl1dWUl9K4PjAfSL9oeMr_37QVzcxc/edit?usp=sharing"",""สระบุรี!N77"")+IMPORTRANGE(""https://docs.google.com/spreadsheets/d/1j51vR6CYVGhABJpv6tkstgok82RLpXieLzW1yOY5rHw/edit?usp=sharing"",""ส"&amp;"ิงห์บุรี!N77"")+IMPORTRANGE(""https://docs.google.com/spreadsheets/d/1H1EalTWKUSzO4Z1-1CwzoDUaVffgrThEBe2sl74kKG0/edit?usp=sharing"",""สุพรรณบุรี!N77"")+IMPORTRANGE(""https://docs.google.com/spreadsheets/d/1BmIruG_sIrJLYao_Pdr7zVArWsfoBt2692TMi6x_854/edit"&amp;"?usp=sharing"",""อ่างทอง!N77"")"),927481.21)</f>
        <v>927481.21</v>
      </c>
      <c r="O77" s="91">
        <f t="shared" ca="1" si="54"/>
        <v>78.3147183990543</v>
      </c>
      <c r="P77" s="91">
        <f t="shared" ca="1" si="55"/>
        <v>78.3147183990543</v>
      </c>
      <c r="Q77" s="134">
        <f ca="1">IFERROR(__xludf.DUMMYFUNCTION("IMPORTRANGE(""https://docs.google.com/spreadsheets/d/13wPX838HrBrQMCywv1BsuMkt4PEKTChp52zj44s2izQ/edit?usp=sharing"",""กาญจนบุรี!Q77"")+IMPORTRANGE(""https://docs.google.com/spreadsheets/d/1ddFKvqj1W1NEiWytbGlB1zMx_ykJDVtmfEQ-6-lIUBA/edit?usp=sharing"","""&amp;"จันทบุรี!Q77"")+IMPORTRANGE(""https://docs.google.com/spreadsheets/d/1T1PQvRODqOBZk8BRht_U031fIS1beLA0Ub2CEytj2q0/edit?usp=sharing"",""ฉะเชิงเทรา!Q77"")+IMPORTRANGE(""https://docs.google.com/spreadsheets/d/11tr1B-Bhyr79v2bkwVh5h_fR-PStkgjlZtkrZpYurG0/edit"&amp;"?usp=sharing"",""ชลบุรี!Q77"")+IMPORTRANGE(""https://docs.google.com/spreadsheets/d/1hh-FVnSX0vozXhGluamEcS54Dw9_zqW0N7qJUWgJ0Sw/edit?usp=sharing"",""ชัยนาท!Q77"")+IMPORTRANGE(""https://docs.google.com/spreadsheets/d/1jkqa6GXxSacMcY1eN8AHjMNJ_7dDXMJVRLDla"&amp;"FSOdPM/edit?usp=sharing"",""ตราด!Q77"")+IMPORTRANGE(""https://docs.google.com/spreadsheets/d/18hSgUJ3VwClqi_qtULmmW3cLr0oe3OKaSYoKzdpTsYQ/edit?usp=sharing"",""นครนายก!Q77"")+IMPORTRANGE(""https://docs.google.com/spreadsheets/d/1YTZo6WM2dQ6Ix6FSdnL5P7uVnVK"&amp;"u40sxZu975tgG10E/edit?usp=sharing"",""นครปฐม!Q77"")+IMPORTRANGE(""https://docs.google.com/spreadsheets/d/1OYoGg4WDg5RIzwGeB10padOxJF9E_Vljuvvct_M7RDo/edit?usp=sharing"",""ปทุมธานี!Q77"")+IMPORTRANGE(""https://docs.google.com/spreadsheets/d/1GbCIE4D4wk9FUo"&amp;"zzqk7SxfDMxDVBwVmI5zcaVUSzKAc/edit?usp=sharing"",""ประจวบคีรีขันธ์!Q77"")+IMPORTRANGE(""https://docs.google.com/spreadsheets/d/1vVf6wykvW_lAyu7Yo9L4hUTqHqIeP_qcVuxCtosJEbg/edit?usp=sharing"",""ปราจีนบุรี!Q77"")+IMPORTRANGE(""https://docs.google.com/spread"&amp;"sheets/d/1BIDqLLg5jk3v59G8NlR8rk5xfQDKne0sAvZHSj7TI6I/edit?usp=sharing"",""พระนครศรีอยุธยา!Q77"")+IMPORTRANGE(""https://docs.google.com/spreadsheets/d/1YXvxf8Yu6_rV4hTBrwMqAcAnv6DfhUxh5emyM3CJp_w/edit?usp=sharing"",""เพชรบุรี!Q77"")+IMPORTRANGE(""https://"&amp;"docs.google.com/spreadsheets/d/19KBlQQs7uwvsao6t2n-KvW3Ax8J8uRRfZPq1zPbXgKc/edit?usp=sharing"",""ระยอง!Q77"")+IMPORTRANGE(""https://docs.google.com/spreadsheets/d/1jQ6P4QcrGM89YfqcC_PxOHGCMq5ezhucwJd8ci-NHng/edit?usp=sharing"",""ราชบุรี!Q77"")+IMPORTRANGE"&amp;"(""https://docs.google.com/spreadsheets/d/1lufeA2cfFqM-elVq2hznhDzC6Pr7wkJ9ZG_sYNGCMCU/edit?usp=sharing"",""ลพบุรี!Q77"")+IMPORTRANGE(""https://docs.google.com/spreadsheets/d/10oOiF7loTyfsTkbd4MpaIm0HQ9SwB7IYHdIUvt-U1Uc/edit?usp=sharing"",""สระแก้ว!Q77"")"&amp;"+IMPORTRANGE(""https://docs.google.com/spreadsheets/d/1xmPlrr1QbdSIKvl1dWUl9K4PjAfSL9oeMr_37QVzcxc/edit?usp=sharing"",""สระบุรี!Q77"")+IMPORTRANGE(""https://docs.google.com/spreadsheets/d/1j51vR6CYVGhABJpv6tkstgok82RLpXieLzW1yOY5rHw/edit?usp=sharing"",""ส"&amp;"ิงห์บุรี!Q77"")+IMPORTRANGE(""https://docs.google.com/spreadsheets/d/1H1EalTWKUSzO4Z1-1CwzoDUaVffgrThEBe2sl74kKG0/edit?usp=sharing"",""สุพรรณบุรี!Q77"")+IMPORTRANGE(""https://docs.google.com/spreadsheets/d/1BmIruG_sIrJLYao_Pdr7zVArWsfoBt2692TMi6x_854/edit"&amp;"?usp=sharing"",""อ่างทอง!Q77"")"),4339380)</f>
        <v>4339380</v>
      </c>
      <c r="R77" s="135">
        <f ca="1">IFERROR(__xludf.DUMMYFUNCTION("IMPORTRANGE(""https://docs.google.com/spreadsheets/d/13wPX838HrBrQMCywv1BsuMkt4PEKTChp52zj44s2izQ/edit?usp=sharing"",""กาญจนบุรี!R77"")+IMPORTRANGE(""https://docs.google.com/spreadsheets/d/1ddFKvqj1W1NEiWytbGlB1zMx_ykJDVtmfEQ-6-lIUBA/edit?usp=sharing"","""&amp;"จันทบุรี!R77"")+IMPORTRANGE(""https://docs.google.com/spreadsheets/d/1T1PQvRODqOBZk8BRht_U031fIS1beLA0Ub2CEytj2q0/edit?usp=sharing"",""ฉะเชิงเทรา!R77"")+IMPORTRANGE(""https://docs.google.com/spreadsheets/d/11tr1B-Bhyr79v2bkwVh5h_fR-PStkgjlZtkrZpYurG0/edit"&amp;"?usp=sharing"",""ชลบุรี!R77"")+IMPORTRANGE(""https://docs.google.com/spreadsheets/d/1hh-FVnSX0vozXhGluamEcS54Dw9_zqW0N7qJUWgJ0Sw/edit?usp=sharing"",""ชัยนาท!R77"")+IMPORTRANGE(""https://docs.google.com/spreadsheets/d/1jkqa6GXxSacMcY1eN8AHjMNJ_7dDXMJVRLDla"&amp;"FSOdPM/edit?usp=sharing"",""ตราด!R77"")+IMPORTRANGE(""https://docs.google.com/spreadsheets/d/18hSgUJ3VwClqi_qtULmmW3cLr0oe3OKaSYoKzdpTsYQ/edit?usp=sharing"",""นครนายก!R77"")+IMPORTRANGE(""https://docs.google.com/spreadsheets/d/1YTZo6WM2dQ6Ix6FSdnL5P7uVnVK"&amp;"u40sxZu975tgG10E/edit?usp=sharing"",""นครปฐม!R77"")+IMPORTRANGE(""https://docs.google.com/spreadsheets/d/1OYoGg4WDg5RIzwGeB10padOxJF9E_Vljuvvct_M7RDo/edit?usp=sharing"",""ปทุมธานี!R77"")+IMPORTRANGE(""https://docs.google.com/spreadsheets/d/1GbCIE4D4wk9FUo"&amp;"zzqk7SxfDMxDVBwVmI5zcaVUSzKAc/edit?usp=sharing"",""ประจวบคีรีขันธ์!R77"")+IMPORTRANGE(""https://docs.google.com/spreadsheets/d/1vVf6wykvW_lAyu7Yo9L4hUTqHqIeP_qcVuxCtosJEbg/edit?usp=sharing"",""ปราจีนบุรี!R77"")+IMPORTRANGE(""https://docs.google.com/spread"&amp;"sheets/d/1BIDqLLg5jk3v59G8NlR8rk5xfQDKne0sAvZHSj7TI6I/edit?usp=sharing"",""พระนครศรีอยุธยา!R77"")+IMPORTRANGE(""https://docs.google.com/spreadsheets/d/1YXvxf8Yu6_rV4hTBrwMqAcAnv6DfhUxh5emyM3CJp_w/edit?usp=sharing"",""เพชรบุรี!R77"")+IMPORTRANGE(""https://"&amp;"docs.google.com/spreadsheets/d/19KBlQQs7uwvsao6t2n-KvW3Ax8J8uRRfZPq1zPbXgKc/edit?usp=sharing"",""ระยอง!R77"")+IMPORTRANGE(""https://docs.google.com/spreadsheets/d/1jQ6P4QcrGM89YfqcC_PxOHGCMq5ezhucwJd8ci-NHng/edit?usp=sharing"",""ราชบุรี!R77"")+IMPORTRANGE"&amp;"(""https://docs.google.com/spreadsheets/d/1lufeA2cfFqM-elVq2hznhDzC6Pr7wkJ9ZG_sYNGCMCU/edit?usp=sharing"",""ลพบุรี!R77"")+IMPORTRANGE(""https://docs.google.com/spreadsheets/d/10oOiF7loTyfsTkbd4MpaIm0HQ9SwB7IYHdIUvt-U1Uc/edit?usp=sharing"",""สระแก้ว!R77"")"&amp;"+IMPORTRANGE(""https://docs.google.com/spreadsheets/d/1xmPlrr1QbdSIKvl1dWUl9K4PjAfSL9oeMr_37QVzcxc/edit?usp=sharing"",""สระบุรี!R77"")+IMPORTRANGE(""https://docs.google.com/spreadsheets/d/1j51vR6CYVGhABJpv6tkstgok82RLpXieLzW1yOY5rHw/edit?usp=sharing"",""ส"&amp;"ิงห์บุรี!R77"")+IMPORTRANGE(""https://docs.google.com/spreadsheets/d/1H1EalTWKUSzO4Z1-1CwzoDUaVffgrThEBe2sl74kKG0/edit?usp=sharing"",""สุพรรณบุรี!R77"")+IMPORTRANGE(""https://docs.google.com/spreadsheets/d/1BmIruG_sIrJLYao_Pdr7zVArWsfoBt2692TMi6x_854/edit"&amp;"?usp=sharing"",""อ่างทอง!R77"")"),4339380)</f>
        <v>4339380</v>
      </c>
      <c r="S77" s="135">
        <f ca="1">IFERROR(__xludf.DUMMYFUNCTION("IMPORTRANGE(""https://docs.google.com/spreadsheets/d/13wPX838HrBrQMCywv1BsuMkt4PEKTChp52zj44s2izQ/edit?usp=sharing"",""กาญจนบุรี!S77"")+IMPORTRANGE(""https://docs.google.com/spreadsheets/d/1ddFKvqj1W1NEiWytbGlB1zMx_ykJDVtmfEQ-6-lIUBA/edit?usp=sharing"","""&amp;"จันทบุรี!S77"")+IMPORTRANGE(""https://docs.google.com/spreadsheets/d/1T1PQvRODqOBZk8BRht_U031fIS1beLA0Ub2CEytj2q0/edit?usp=sharing"",""ฉะเชิงเทรา!S77"")+IMPORTRANGE(""https://docs.google.com/spreadsheets/d/11tr1B-Bhyr79v2bkwVh5h_fR-PStkgjlZtkrZpYurG0/edit"&amp;"?usp=sharing"",""ชลบุรี!S77"")+IMPORTRANGE(""https://docs.google.com/spreadsheets/d/1hh-FVnSX0vozXhGluamEcS54Dw9_zqW0N7qJUWgJ0Sw/edit?usp=sharing"",""ชัยนาท!S77"")+IMPORTRANGE(""https://docs.google.com/spreadsheets/d/1jkqa6GXxSacMcY1eN8AHjMNJ_7dDXMJVRLDla"&amp;"FSOdPM/edit?usp=sharing"",""ตราด!S77"")+IMPORTRANGE(""https://docs.google.com/spreadsheets/d/18hSgUJ3VwClqi_qtULmmW3cLr0oe3OKaSYoKzdpTsYQ/edit?usp=sharing"",""นครนายก!S77"")+IMPORTRANGE(""https://docs.google.com/spreadsheets/d/1YTZo6WM2dQ6Ix6FSdnL5P7uVnVK"&amp;"u40sxZu975tgG10E/edit?usp=sharing"",""นครปฐม!S77"")+IMPORTRANGE(""https://docs.google.com/spreadsheets/d/1OYoGg4WDg5RIzwGeB10padOxJF9E_Vljuvvct_M7RDo/edit?usp=sharing"",""ปทุมธานี!S77"")+IMPORTRANGE(""https://docs.google.com/spreadsheets/d/1GbCIE4D4wk9FUo"&amp;"zzqk7SxfDMxDVBwVmI5zcaVUSzKAc/edit?usp=sharing"",""ประจวบคีรีขันธ์!S77"")+IMPORTRANGE(""https://docs.google.com/spreadsheets/d/1vVf6wykvW_lAyu7Yo9L4hUTqHqIeP_qcVuxCtosJEbg/edit?usp=sharing"",""ปราจีนบุรี!S77"")+IMPORTRANGE(""https://docs.google.com/spread"&amp;"sheets/d/1BIDqLLg5jk3v59G8NlR8rk5xfQDKne0sAvZHSj7TI6I/edit?usp=sharing"",""พระนครศรีอยุธยา!S77"")+IMPORTRANGE(""https://docs.google.com/spreadsheets/d/1YXvxf8Yu6_rV4hTBrwMqAcAnv6DfhUxh5emyM3CJp_w/edit?usp=sharing"",""เพชรบุรี!S77"")+IMPORTRANGE(""https://"&amp;"docs.google.com/spreadsheets/d/19KBlQQs7uwvsao6t2n-KvW3Ax8J8uRRfZPq1zPbXgKc/edit?usp=sharing"",""ระยอง!S77"")+IMPORTRANGE(""https://docs.google.com/spreadsheets/d/1jQ6P4QcrGM89YfqcC_PxOHGCMq5ezhucwJd8ci-NHng/edit?usp=sharing"",""ราชบุรี!S77"")+IMPORTRANGE"&amp;"(""https://docs.google.com/spreadsheets/d/1lufeA2cfFqM-elVq2hznhDzC6Pr7wkJ9ZG_sYNGCMCU/edit?usp=sharing"",""ลพบุรี!S77"")+IMPORTRANGE(""https://docs.google.com/spreadsheets/d/10oOiF7loTyfsTkbd4MpaIm0HQ9SwB7IYHdIUvt-U1Uc/edit?usp=sharing"",""สระแก้ว!S77"")"&amp;"+IMPORTRANGE(""https://docs.google.com/spreadsheets/d/1xmPlrr1QbdSIKvl1dWUl9K4PjAfSL9oeMr_37QVzcxc/edit?usp=sharing"",""สระบุรี!S77"")+IMPORTRANGE(""https://docs.google.com/spreadsheets/d/1j51vR6CYVGhABJpv6tkstgok82RLpXieLzW1yOY5rHw/edit?usp=sharing"",""ส"&amp;"ิงห์บุรี!S77"")+IMPORTRANGE(""https://docs.google.com/spreadsheets/d/1H1EalTWKUSzO4Z1-1CwzoDUaVffgrThEBe2sl74kKG0/edit?usp=sharing"",""สุพรรณบุรี!S77"")+IMPORTRANGE(""https://docs.google.com/spreadsheets/d/1BmIruG_sIrJLYao_Pdr7zVArWsfoBt2692TMi6x_854/edit"&amp;"?usp=sharing"",""อ่างทอง!S77"")"),241620)</f>
        <v>241620</v>
      </c>
      <c r="T77" s="135">
        <f t="shared" ca="1" si="57"/>
        <v>5.5680765454972834</v>
      </c>
      <c r="U77" s="135">
        <f t="shared" ca="1" si="58"/>
        <v>5.5680765454972834</v>
      </c>
    </row>
    <row r="78" spans="1:21" ht="18.75" x14ac:dyDescent="0.25">
      <c r="A78" s="211"/>
      <c r="B78" s="70"/>
      <c r="C78" s="70"/>
      <c r="D78" s="71" t="s">
        <v>23</v>
      </c>
      <c r="E78" s="70"/>
      <c r="F78" s="70"/>
      <c r="G78" s="72"/>
      <c r="H78" s="223" t="s">
        <v>14</v>
      </c>
      <c r="I78" s="221"/>
      <c r="J78" s="221"/>
      <c r="K78" s="222"/>
      <c r="L78" s="91">
        <f t="shared" ref="L78:N78" ca="1" si="65">L79+L80</f>
        <v>0</v>
      </c>
      <c r="M78" s="91">
        <f t="shared" ca="1" si="65"/>
        <v>0</v>
      </c>
      <c r="N78" s="91">
        <f t="shared" ca="1" si="65"/>
        <v>0</v>
      </c>
      <c r="O78" s="91">
        <f t="shared" ca="1" si="54"/>
        <v>0</v>
      </c>
      <c r="P78" s="91">
        <f t="shared" ca="1" si="55"/>
        <v>0</v>
      </c>
      <c r="Q78" s="134">
        <f t="shared" ref="Q78:S78" ca="1" si="66">Q79+Q80</f>
        <v>0</v>
      </c>
      <c r="R78" s="135">
        <f t="shared" ca="1" si="66"/>
        <v>0</v>
      </c>
      <c r="S78" s="135">
        <f t="shared" ca="1" si="66"/>
        <v>0</v>
      </c>
      <c r="T78" s="135">
        <f t="shared" ca="1" si="57"/>
        <v>0</v>
      </c>
      <c r="U78" s="135">
        <f t="shared" ca="1" si="58"/>
        <v>0</v>
      </c>
    </row>
    <row r="79" spans="1:21" ht="18.75" x14ac:dyDescent="0.25">
      <c r="A79" s="211"/>
      <c r="B79" s="70"/>
      <c r="C79" s="70"/>
      <c r="D79" s="70"/>
      <c r="E79" s="78" t="s">
        <v>20</v>
      </c>
      <c r="F79" s="70"/>
      <c r="G79" s="72"/>
      <c r="H79" s="220" t="s">
        <v>14</v>
      </c>
      <c r="I79" s="221"/>
      <c r="J79" s="221"/>
      <c r="K79" s="222"/>
      <c r="L79" s="91">
        <f ca="1">IFERROR(__xludf.DUMMYFUNCTION("IMPORTRANGE(""https://docs.google.com/spreadsheets/d/13wPX838HrBrQMCywv1BsuMkt4PEKTChp52zj44s2izQ/edit?usp=sharing"",""กาญจนบุรี!L79"")+IMPORTRANGE(""https://docs.google.com/spreadsheets/d/1ddFKvqj1W1NEiWytbGlB1zMx_ykJDVtmfEQ-6-lIUBA/edit?usp=sharing"","""&amp;"จันทบุรี!L79"")+IMPORTRANGE(""https://docs.google.com/spreadsheets/d/1T1PQvRODqOBZk8BRht_U031fIS1beLA0Ub2CEytj2q0/edit?usp=sharing"",""ฉะเชิงเทรา!L79"")+IMPORTRANGE(""https://docs.google.com/spreadsheets/d/11tr1B-Bhyr79v2bkwVh5h_fR-PStkgjlZtkrZpYurG0/edit"&amp;"?usp=sharing"",""ชลบุรี!L79"")+IMPORTRANGE(""https://docs.google.com/spreadsheets/d/1hh-FVnSX0vozXhGluamEcS54Dw9_zqW0N7qJUWgJ0Sw/edit?usp=sharing"",""ชัยนาท!L79"")+IMPORTRANGE(""https://docs.google.com/spreadsheets/d/1jkqa6GXxSacMcY1eN8AHjMNJ_7dDXMJVRLDla"&amp;"FSOdPM/edit?usp=sharing"",""ตราด!L79"")+IMPORTRANGE(""https://docs.google.com/spreadsheets/d/18hSgUJ3VwClqi_qtULmmW3cLr0oe3OKaSYoKzdpTsYQ/edit?usp=sharing"",""นครนายก!L79"")+IMPORTRANGE(""https://docs.google.com/spreadsheets/d/1YTZo6WM2dQ6Ix6FSdnL5P7uVnVK"&amp;"u40sxZu975tgG10E/edit?usp=sharing"",""นครปฐม!L79"")+IMPORTRANGE(""https://docs.google.com/spreadsheets/d/1OYoGg4WDg5RIzwGeB10padOxJF9E_Vljuvvct_M7RDo/edit?usp=sharing"",""ปทุมธานี!L79"")+IMPORTRANGE(""https://docs.google.com/spreadsheets/d/1GbCIE4D4wk9FUo"&amp;"zzqk7SxfDMxDVBwVmI5zcaVUSzKAc/edit?usp=sharing"",""ประจวบคีรีขันธ์!L79"")+IMPORTRANGE(""https://docs.google.com/spreadsheets/d/1vVf6wykvW_lAyu7Yo9L4hUTqHqIeP_qcVuxCtosJEbg/edit?usp=sharing"",""ปราจีนบุรี!L79"")+IMPORTRANGE(""https://docs.google.com/spread"&amp;"sheets/d/1BIDqLLg5jk3v59G8NlR8rk5xfQDKne0sAvZHSj7TI6I/edit?usp=sharing"",""พระนครศรีอยุธยา!L79"")+IMPORTRANGE(""https://docs.google.com/spreadsheets/d/1YXvxf8Yu6_rV4hTBrwMqAcAnv6DfhUxh5emyM3CJp_w/edit?usp=sharing"",""เพชรบุรี!L79"")+IMPORTRANGE(""https://"&amp;"docs.google.com/spreadsheets/d/19KBlQQs7uwvsao6t2n-KvW3Ax8J8uRRfZPq1zPbXgKc/edit?usp=sharing"",""ระยอง!L79"")+IMPORTRANGE(""https://docs.google.com/spreadsheets/d/1jQ6P4QcrGM89YfqcC_PxOHGCMq5ezhucwJd8ci-NHng/edit?usp=sharing"",""ราชบุรี!L79"")+IMPORTRANGE"&amp;"(""https://docs.google.com/spreadsheets/d/1lufeA2cfFqM-elVq2hznhDzC6Pr7wkJ9ZG_sYNGCMCU/edit?usp=sharing"",""ลพบุรี!L79"")+IMPORTRANGE(""https://docs.google.com/spreadsheets/d/10oOiF7loTyfsTkbd4MpaIm0HQ9SwB7IYHdIUvt-U1Uc/edit?usp=sharing"",""สระแก้ว!L79"")"&amp;"+IMPORTRANGE(""https://docs.google.com/spreadsheets/d/1xmPlrr1QbdSIKvl1dWUl9K4PjAfSL9oeMr_37QVzcxc/edit?usp=sharing"",""สระบุรี!L79"")+IMPORTRANGE(""https://docs.google.com/spreadsheets/d/1j51vR6CYVGhABJpv6tkstgok82RLpXieLzW1yOY5rHw/edit?usp=sharing"",""ส"&amp;"ิงห์บุรี!L79"")+IMPORTRANGE(""https://docs.google.com/spreadsheets/d/1H1EalTWKUSzO4Z1-1CwzoDUaVffgrThEBe2sl74kKG0/edit?usp=sharing"",""สุพรรณบุรี!L79"")+IMPORTRANGE(""https://docs.google.com/spreadsheets/d/1BmIruG_sIrJLYao_Pdr7zVArWsfoBt2692TMi6x_854/edit"&amp;"?usp=sharing"",""อ่างทอง!L79"")"),0)</f>
        <v>0</v>
      </c>
      <c r="M79" s="91">
        <f ca="1">IFERROR(__xludf.DUMMYFUNCTION("IMPORTRANGE(""https://docs.google.com/spreadsheets/d/13wPX838HrBrQMCywv1BsuMkt4PEKTChp52zj44s2izQ/edit?usp=sharing"",""กาญจนบุรี!M79"")+IMPORTRANGE(""https://docs.google.com/spreadsheets/d/1ddFKvqj1W1NEiWytbGlB1zMx_ykJDVtmfEQ-6-lIUBA/edit?usp=sharing"","""&amp;"จันทบุรี!M79"")+IMPORTRANGE(""https://docs.google.com/spreadsheets/d/1T1PQvRODqOBZk8BRht_U031fIS1beLA0Ub2CEytj2q0/edit?usp=sharing"",""ฉะเชิงเทรา!M79"")+IMPORTRANGE(""https://docs.google.com/spreadsheets/d/11tr1B-Bhyr79v2bkwVh5h_fR-PStkgjlZtkrZpYurG0/edit"&amp;"?usp=sharing"",""ชลบุรี!M79"")+IMPORTRANGE(""https://docs.google.com/spreadsheets/d/1hh-FVnSX0vozXhGluamEcS54Dw9_zqW0N7qJUWgJ0Sw/edit?usp=sharing"",""ชัยนาท!M79"")+IMPORTRANGE(""https://docs.google.com/spreadsheets/d/1jkqa6GXxSacMcY1eN8AHjMNJ_7dDXMJVRLDla"&amp;"FSOdPM/edit?usp=sharing"",""ตราด!M79"")+IMPORTRANGE(""https://docs.google.com/spreadsheets/d/18hSgUJ3VwClqi_qtULmmW3cLr0oe3OKaSYoKzdpTsYQ/edit?usp=sharing"",""นครนายก!M79"")+IMPORTRANGE(""https://docs.google.com/spreadsheets/d/1YTZo6WM2dQ6Ix6FSdnL5P7uVnVK"&amp;"u40sxZu975tgG10E/edit?usp=sharing"",""นครปฐม!M79"")+IMPORTRANGE(""https://docs.google.com/spreadsheets/d/1OYoGg4WDg5RIzwGeB10padOxJF9E_Vljuvvct_M7RDo/edit?usp=sharing"",""ปทุมธานี!M79"")+IMPORTRANGE(""https://docs.google.com/spreadsheets/d/1GbCIE4D4wk9FUo"&amp;"zzqk7SxfDMxDVBwVmI5zcaVUSzKAc/edit?usp=sharing"",""ประจวบคีรีขันธ์!M79"")+IMPORTRANGE(""https://docs.google.com/spreadsheets/d/1vVf6wykvW_lAyu7Yo9L4hUTqHqIeP_qcVuxCtosJEbg/edit?usp=sharing"",""ปราจีนบุรี!M79"")+IMPORTRANGE(""https://docs.google.com/spread"&amp;"sheets/d/1BIDqLLg5jk3v59G8NlR8rk5xfQDKne0sAvZHSj7TI6I/edit?usp=sharing"",""พระนครศรีอยุธยา!M79"")+IMPORTRANGE(""https://docs.google.com/spreadsheets/d/1YXvxf8Yu6_rV4hTBrwMqAcAnv6DfhUxh5emyM3CJp_w/edit?usp=sharing"",""เพชรบุรี!M79"")+IMPORTRANGE(""https://"&amp;"docs.google.com/spreadsheets/d/19KBlQQs7uwvsao6t2n-KvW3Ax8J8uRRfZPq1zPbXgKc/edit?usp=sharing"",""ระยอง!M79"")+IMPORTRANGE(""https://docs.google.com/spreadsheets/d/1jQ6P4QcrGM89YfqcC_PxOHGCMq5ezhucwJd8ci-NHng/edit?usp=sharing"",""ราชบุรี!M79"")+IMPORTRANGE"&amp;"(""https://docs.google.com/spreadsheets/d/1lufeA2cfFqM-elVq2hznhDzC6Pr7wkJ9ZG_sYNGCMCU/edit?usp=sharing"",""ลพบุรี!M79"")+IMPORTRANGE(""https://docs.google.com/spreadsheets/d/10oOiF7loTyfsTkbd4MpaIm0HQ9SwB7IYHdIUvt-U1Uc/edit?usp=sharing"",""สระแก้ว!M79"")"&amp;"+IMPORTRANGE(""https://docs.google.com/spreadsheets/d/1xmPlrr1QbdSIKvl1dWUl9K4PjAfSL9oeMr_37QVzcxc/edit?usp=sharing"",""สระบุรี!M79"")+IMPORTRANGE(""https://docs.google.com/spreadsheets/d/1j51vR6CYVGhABJpv6tkstgok82RLpXieLzW1yOY5rHw/edit?usp=sharing"",""ส"&amp;"ิงห์บุรี!M79"")+IMPORTRANGE(""https://docs.google.com/spreadsheets/d/1H1EalTWKUSzO4Z1-1CwzoDUaVffgrThEBe2sl74kKG0/edit?usp=sharing"",""สุพรรณบุรี!M79"")+IMPORTRANGE(""https://docs.google.com/spreadsheets/d/1BmIruG_sIrJLYao_Pdr7zVArWsfoBt2692TMi6x_854/edit"&amp;"?usp=sharing"",""อ่างทอง!M79"")"),0)</f>
        <v>0</v>
      </c>
      <c r="N79" s="91">
        <f ca="1">IFERROR(__xludf.DUMMYFUNCTION("IMPORTRANGE(""https://docs.google.com/spreadsheets/d/13wPX838HrBrQMCywv1BsuMkt4PEKTChp52zj44s2izQ/edit?usp=sharing"",""กาญจนบุรี!N79"")+IMPORTRANGE(""https://docs.google.com/spreadsheets/d/1ddFKvqj1W1NEiWytbGlB1zMx_ykJDVtmfEQ-6-lIUBA/edit?usp=sharing"","""&amp;"จันทบุรี!N79"")+IMPORTRANGE(""https://docs.google.com/spreadsheets/d/1T1PQvRODqOBZk8BRht_U031fIS1beLA0Ub2CEytj2q0/edit?usp=sharing"",""ฉะเชิงเทรา!N79"")+IMPORTRANGE(""https://docs.google.com/spreadsheets/d/11tr1B-Bhyr79v2bkwVh5h_fR-PStkgjlZtkrZpYurG0/edit"&amp;"?usp=sharing"",""ชลบุรี!N79"")+IMPORTRANGE(""https://docs.google.com/spreadsheets/d/1hh-FVnSX0vozXhGluamEcS54Dw9_zqW0N7qJUWgJ0Sw/edit?usp=sharing"",""ชัยนาท!N79"")+IMPORTRANGE(""https://docs.google.com/spreadsheets/d/1jkqa6GXxSacMcY1eN8AHjMNJ_7dDXMJVRLDla"&amp;"FSOdPM/edit?usp=sharing"",""ตราด!N79"")+IMPORTRANGE(""https://docs.google.com/spreadsheets/d/18hSgUJ3VwClqi_qtULmmW3cLr0oe3OKaSYoKzdpTsYQ/edit?usp=sharing"",""นครนายก!N79"")+IMPORTRANGE(""https://docs.google.com/spreadsheets/d/1YTZo6WM2dQ6Ix6FSdnL5P7uVnVK"&amp;"u40sxZu975tgG10E/edit?usp=sharing"",""นครปฐม!N79"")+IMPORTRANGE(""https://docs.google.com/spreadsheets/d/1OYoGg4WDg5RIzwGeB10padOxJF9E_Vljuvvct_M7RDo/edit?usp=sharing"",""ปทุมธานี!N79"")+IMPORTRANGE(""https://docs.google.com/spreadsheets/d/1GbCIE4D4wk9FUo"&amp;"zzqk7SxfDMxDVBwVmI5zcaVUSzKAc/edit?usp=sharing"",""ประจวบคีรีขันธ์!N79"")+IMPORTRANGE(""https://docs.google.com/spreadsheets/d/1vVf6wykvW_lAyu7Yo9L4hUTqHqIeP_qcVuxCtosJEbg/edit?usp=sharing"",""ปราจีนบุรี!N79"")+IMPORTRANGE(""https://docs.google.com/spread"&amp;"sheets/d/1BIDqLLg5jk3v59G8NlR8rk5xfQDKne0sAvZHSj7TI6I/edit?usp=sharing"",""พระนครศรีอยุธยา!N79"")+IMPORTRANGE(""https://docs.google.com/spreadsheets/d/1YXvxf8Yu6_rV4hTBrwMqAcAnv6DfhUxh5emyM3CJp_w/edit?usp=sharing"",""เพชรบุรี!N79"")+IMPORTRANGE(""https://"&amp;"docs.google.com/spreadsheets/d/19KBlQQs7uwvsao6t2n-KvW3Ax8J8uRRfZPq1zPbXgKc/edit?usp=sharing"",""ระยอง!N79"")+IMPORTRANGE(""https://docs.google.com/spreadsheets/d/1jQ6P4QcrGM89YfqcC_PxOHGCMq5ezhucwJd8ci-NHng/edit?usp=sharing"",""ราชบุรี!N79"")+IMPORTRANGE"&amp;"(""https://docs.google.com/spreadsheets/d/1lufeA2cfFqM-elVq2hznhDzC6Pr7wkJ9ZG_sYNGCMCU/edit?usp=sharing"",""ลพบุรี!N79"")+IMPORTRANGE(""https://docs.google.com/spreadsheets/d/10oOiF7loTyfsTkbd4MpaIm0HQ9SwB7IYHdIUvt-U1Uc/edit?usp=sharing"",""สระแก้ว!N79"")"&amp;"+IMPORTRANGE(""https://docs.google.com/spreadsheets/d/1xmPlrr1QbdSIKvl1dWUl9K4PjAfSL9oeMr_37QVzcxc/edit?usp=sharing"",""สระบุรี!N79"")+IMPORTRANGE(""https://docs.google.com/spreadsheets/d/1j51vR6CYVGhABJpv6tkstgok82RLpXieLzW1yOY5rHw/edit?usp=sharing"",""ส"&amp;"ิงห์บุรี!N79"")+IMPORTRANGE(""https://docs.google.com/spreadsheets/d/1H1EalTWKUSzO4Z1-1CwzoDUaVffgrThEBe2sl74kKG0/edit?usp=sharing"",""สุพรรณบุรี!N79"")+IMPORTRANGE(""https://docs.google.com/spreadsheets/d/1BmIruG_sIrJLYao_Pdr7zVArWsfoBt2692TMi6x_854/edit"&amp;"?usp=sharing"",""อ่างทอง!N79"")"),0)</f>
        <v>0</v>
      </c>
      <c r="O79" s="91">
        <f t="shared" ca="1" si="54"/>
        <v>0</v>
      </c>
      <c r="P79" s="91">
        <f t="shared" ca="1" si="55"/>
        <v>0</v>
      </c>
      <c r="Q79" s="79">
        <f ca="1">IFERROR(__xludf.DUMMYFUNCTION("IMPORTRANGE(""https://docs.google.com/spreadsheets/d/13wPX838HrBrQMCywv1BsuMkt4PEKTChp52zj44s2izQ/edit?usp=sharing"",""กาญจนบุรี!Q79"")+IMPORTRANGE(""https://docs.google.com/spreadsheets/d/1ddFKvqj1W1NEiWytbGlB1zMx_ykJDVtmfEQ-6-lIUBA/edit?usp=sharing"","""&amp;"จันทบุรี!Q79"")+IMPORTRANGE(""https://docs.google.com/spreadsheets/d/1T1PQvRODqOBZk8BRht_U031fIS1beLA0Ub2CEytj2q0/edit?usp=sharing"",""ฉะเชิงเทรา!Q79"")+IMPORTRANGE(""https://docs.google.com/spreadsheets/d/11tr1B-Bhyr79v2bkwVh5h_fR-PStkgjlZtkrZpYurG0/edit"&amp;"?usp=sharing"",""ชลบุรี!Q79"")+IMPORTRANGE(""https://docs.google.com/spreadsheets/d/1hh-FVnSX0vozXhGluamEcS54Dw9_zqW0N7qJUWgJ0Sw/edit?usp=sharing"",""ชัยนาท!Q79"")+IMPORTRANGE(""https://docs.google.com/spreadsheets/d/1jkqa6GXxSacMcY1eN8AHjMNJ_7dDXMJVRLDla"&amp;"FSOdPM/edit?usp=sharing"",""ตราด!Q79"")+IMPORTRANGE(""https://docs.google.com/spreadsheets/d/18hSgUJ3VwClqi_qtULmmW3cLr0oe3OKaSYoKzdpTsYQ/edit?usp=sharing"",""นครนายก!Q79"")+IMPORTRANGE(""https://docs.google.com/spreadsheets/d/1YTZo6WM2dQ6Ix6FSdnL5P7uVnVK"&amp;"u40sxZu975tgG10E/edit?usp=sharing"",""นครปฐม!Q79"")+IMPORTRANGE(""https://docs.google.com/spreadsheets/d/1OYoGg4WDg5RIzwGeB10padOxJF9E_Vljuvvct_M7RDo/edit?usp=sharing"",""ปทุมธานี!Q79"")+IMPORTRANGE(""https://docs.google.com/spreadsheets/d/1GbCIE4D4wk9FUo"&amp;"zzqk7SxfDMxDVBwVmI5zcaVUSzKAc/edit?usp=sharing"",""ประจวบคีรีขันธ์!Q79"")+IMPORTRANGE(""https://docs.google.com/spreadsheets/d/1vVf6wykvW_lAyu7Yo9L4hUTqHqIeP_qcVuxCtosJEbg/edit?usp=sharing"",""ปราจีนบุรี!Q79"")+IMPORTRANGE(""https://docs.google.com/spread"&amp;"sheets/d/1BIDqLLg5jk3v59G8NlR8rk5xfQDKne0sAvZHSj7TI6I/edit?usp=sharing"",""พระนครศรีอยุธยา!Q79"")+IMPORTRANGE(""https://docs.google.com/spreadsheets/d/1YXvxf8Yu6_rV4hTBrwMqAcAnv6DfhUxh5emyM3CJp_w/edit?usp=sharing"",""เพชรบุรี!Q79"")+IMPORTRANGE(""https://"&amp;"docs.google.com/spreadsheets/d/19KBlQQs7uwvsao6t2n-KvW3Ax8J8uRRfZPq1zPbXgKc/edit?usp=sharing"",""ระยอง!Q79"")+IMPORTRANGE(""https://docs.google.com/spreadsheets/d/1jQ6P4QcrGM89YfqcC_PxOHGCMq5ezhucwJd8ci-NHng/edit?usp=sharing"",""ราชบุรี!Q79"")+IMPORTRANGE"&amp;"(""https://docs.google.com/spreadsheets/d/1lufeA2cfFqM-elVq2hznhDzC6Pr7wkJ9ZG_sYNGCMCU/edit?usp=sharing"",""ลพบุรี!Q79"")+IMPORTRANGE(""https://docs.google.com/spreadsheets/d/10oOiF7loTyfsTkbd4MpaIm0HQ9SwB7IYHdIUvt-U1Uc/edit?usp=sharing"",""สระแก้ว!Q79"")"&amp;"+IMPORTRANGE(""https://docs.google.com/spreadsheets/d/1xmPlrr1QbdSIKvl1dWUl9K4PjAfSL9oeMr_37QVzcxc/edit?usp=sharing"",""สระบุรี!Q79"")+IMPORTRANGE(""https://docs.google.com/spreadsheets/d/1j51vR6CYVGhABJpv6tkstgok82RLpXieLzW1yOY5rHw/edit?usp=sharing"",""ส"&amp;"ิงห์บุรี!Q79"")+IMPORTRANGE(""https://docs.google.com/spreadsheets/d/1H1EalTWKUSzO4Z1-1CwzoDUaVffgrThEBe2sl74kKG0/edit?usp=sharing"",""สุพรรณบุรี!Q79"")+IMPORTRANGE(""https://docs.google.com/spreadsheets/d/1BmIruG_sIrJLYao_Pdr7zVArWsfoBt2692TMi6x_854/edit"&amp;"?usp=sharing"",""อ่างทอง!Q79"")"),0)</f>
        <v>0</v>
      </c>
      <c r="R79" s="77">
        <f ca="1">IFERROR(__xludf.DUMMYFUNCTION("IMPORTRANGE(""https://docs.google.com/spreadsheets/d/13wPX838HrBrQMCywv1BsuMkt4PEKTChp52zj44s2izQ/edit?usp=sharing"",""กาญจนบุรี!R79"")+IMPORTRANGE(""https://docs.google.com/spreadsheets/d/1ddFKvqj1W1NEiWytbGlB1zMx_ykJDVtmfEQ-6-lIUBA/edit?usp=sharing"","""&amp;"จันทบุรี!R79"")+IMPORTRANGE(""https://docs.google.com/spreadsheets/d/1T1PQvRODqOBZk8BRht_U031fIS1beLA0Ub2CEytj2q0/edit?usp=sharing"",""ฉะเชิงเทรา!R79"")+IMPORTRANGE(""https://docs.google.com/spreadsheets/d/11tr1B-Bhyr79v2bkwVh5h_fR-PStkgjlZtkrZpYurG0/edit"&amp;"?usp=sharing"",""ชลบุรี!R79"")+IMPORTRANGE(""https://docs.google.com/spreadsheets/d/1hh-FVnSX0vozXhGluamEcS54Dw9_zqW0N7qJUWgJ0Sw/edit?usp=sharing"",""ชัยนาท!R79"")+IMPORTRANGE(""https://docs.google.com/spreadsheets/d/1jkqa6GXxSacMcY1eN8AHjMNJ_7dDXMJVRLDla"&amp;"FSOdPM/edit?usp=sharing"",""ตราด!R79"")+IMPORTRANGE(""https://docs.google.com/spreadsheets/d/18hSgUJ3VwClqi_qtULmmW3cLr0oe3OKaSYoKzdpTsYQ/edit?usp=sharing"",""นครนายก!R79"")+IMPORTRANGE(""https://docs.google.com/spreadsheets/d/1YTZo6WM2dQ6Ix6FSdnL5P7uVnVK"&amp;"u40sxZu975tgG10E/edit?usp=sharing"",""นครปฐม!R79"")+IMPORTRANGE(""https://docs.google.com/spreadsheets/d/1OYoGg4WDg5RIzwGeB10padOxJF9E_Vljuvvct_M7RDo/edit?usp=sharing"",""ปทุมธานี!R79"")+IMPORTRANGE(""https://docs.google.com/spreadsheets/d/1GbCIE4D4wk9FUo"&amp;"zzqk7SxfDMxDVBwVmI5zcaVUSzKAc/edit?usp=sharing"",""ประจวบคีรีขันธ์!R79"")+IMPORTRANGE(""https://docs.google.com/spreadsheets/d/1vVf6wykvW_lAyu7Yo9L4hUTqHqIeP_qcVuxCtosJEbg/edit?usp=sharing"",""ปราจีนบุรี!R79"")+IMPORTRANGE(""https://docs.google.com/spread"&amp;"sheets/d/1BIDqLLg5jk3v59G8NlR8rk5xfQDKne0sAvZHSj7TI6I/edit?usp=sharing"",""พระนครศรีอยุธยา!R79"")+IMPORTRANGE(""https://docs.google.com/spreadsheets/d/1YXvxf8Yu6_rV4hTBrwMqAcAnv6DfhUxh5emyM3CJp_w/edit?usp=sharing"",""เพชรบุรี!R79"")+IMPORTRANGE(""https://"&amp;"docs.google.com/spreadsheets/d/19KBlQQs7uwvsao6t2n-KvW3Ax8J8uRRfZPq1zPbXgKc/edit?usp=sharing"",""ระยอง!R79"")+IMPORTRANGE(""https://docs.google.com/spreadsheets/d/1jQ6P4QcrGM89YfqcC_PxOHGCMq5ezhucwJd8ci-NHng/edit?usp=sharing"",""ราชบุรี!R79"")+IMPORTRANGE"&amp;"(""https://docs.google.com/spreadsheets/d/1lufeA2cfFqM-elVq2hznhDzC6Pr7wkJ9ZG_sYNGCMCU/edit?usp=sharing"",""ลพบุรี!R79"")+IMPORTRANGE(""https://docs.google.com/spreadsheets/d/10oOiF7loTyfsTkbd4MpaIm0HQ9SwB7IYHdIUvt-U1Uc/edit?usp=sharing"",""สระแก้ว!R79"")"&amp;"+IMPORTRANGE(""https://docs.google.com/spreadsheets/d/1xmPlrr1QbdSIKvl1dWUl9K4PjAfSL9oeMr_37QVzcxc/edit?usp=sharing"",""สระบุรี!R79"")+IMPORTRANGE(""https://docs.google.com/spreadsheets/d/1j51vR6CYVGhABJpv6tkstgok82RLpXieLzW1yOY5rHw/edit?usp=sharing"",""ส"&amp;"ิงห์บุรี!R79"")+IMPORTRANGE(""https://docs.google.com/spreadsheets/d/1H1EalTWKUSzO4Z1-1CwzoDUaVffgrThEBe2sl74kKG0/edit?usp=sharing"",""สุพรรณบุรี!R79"")+IMPORTRANGE(""https://docs.google.com/spreadsheets/d/1BmIruG_sIrJLYao_Pdr7zVArWsfoBt2692TMi6x_854/edit"&amp;"?usp=sharing"",""อ่างทอง!R79"")"),0)</f>
        <v>0</v>
      </c>
      <c r="S79" s="77">
        <f ca="1">IFERROR(__xludf.DUMMYFUNCTION("IMPORTRANGE(""https://docs.google.com/spreadsheets/d/13wPX838HrBrQMCywv1BsuMkt4PEKTChp52zj44s2izQ/edit?usp=sharing"",""กาญจนบุรี!S79"")+IMPORTRANGE(""https://docs.google.com/spreadsheets/d/1ddFKvqj1W1NEiWytbGlB1zMx_ykJDVtmfEQ-6-lIUBA/edit?usp=sharing"","""&amp;"จันทบุรี!S79"")+IMPORTRANGE(""https://docs.google.com/spreadsheets/d/1T1PQvRODqOBZk8BRht_U031fIS1beLA0Ub2CEytj2q0/edit?usp=sharing"",""ฉะเชิงเทรา!S79"")+IMPORTRANGE(""https://docs.google.com/spreadsheets/d/11tr1B-Bhyr79v2bkwVh5h_fR-PStkgjlZtkrZpYurG0/edit"&amp;"?usp=sharing"",""ชลบุรี!S79"")+IMPORTRANGE(""https://docs.google.com/spreadsheets/d/1hh-FVnSX0vozXhGluamEcS54Dw9_zqW0N7qJUWgJ0Sw/edit?usp=sharing"",""ชัยนาท!S79"")+IMPORTRANGE(""https://docs.google.com/spreadsheets/d/1jkqa6GXxSacMcY1eN8AHjMNJ_7dDXMJVRLDla"&amp;"FSOdPM/edit?usp=sharing"",""ตราด!S79"")+IMPORTRANGE(""https://docs.google.com/spreadsheets/d/18hSgUJ3VwClqi_qtULmmW3cLr0oe3OKaSYoKzdpTsYQ/edit?usp=sharing"",""นครนายก!S79"")+IMPORTRANGE(""https://docs.google.com/spreadsheets/d/1YTZo6WM2dQ6Ix6FSdnL5P7uVnVK"&amp;"u40sxZu975tgG10E/edit?usp=sharing"",""นครปฐม!S79"")+IMPORTRANGE(""https://docs.google.com/spreadsheets/d/1OYoGg4WDg5RIzwGeB10padOxJF9E_Vljuvvct_M7RDo/edit?usp=sharing"",""ปทุมธานี!S79"")+IMPORTRANGE(""https://docs.google.com/spreadsheets/d/1GbCIE4D4wk9FUo"&amp;"zzqk7SxfDMxDVBwVmI5zcaVUSzKAc/edit?usp=sharing"",""ประจวบคีรีขันธ์!S79"")+IMPORTRANGE(""https://docs.google.com/spreadsheets/d/1vVf6wykvW_lAyu7Yo9L4hUTqHqIeP_qcVuxCtosJEbg/edit?usp=sharing"",""ปราจีนบุรี!S79"")+IMPORTRANGE(""https://docs.google.com/spread"&amp;"sheets/d/1BIDqLLg5jk3v59G8NlR8rk5xfQDKne0sAvZHSj7TI6I/edit?usp=sharing"",""พระนครศรีอยุธยา!S79"")+IMPORTRANGE(""https://docs.google.com/spreadsheets/d/1YXvxf8Yu6_rV4hTBrwMqAcAnv6DfhUxh5emyM3CJp_w/edit?usp=sharing"",""เพชรบุรี!S79"")+IMPORTRANGE(""https://"&amp;"docs.google.com/spreadsheets/d/19KBlQQs7uwvsao6t2n-KvW3Ax8J8uRRfZPq1zPbXgKc/edit?usp=sharing"",""ระยอง!S79"")+IMPORTRANGE(""https://docs.google.com/spreadsheets/d/1jQ6P4QcrGM89YfqcC_PxOHGCMq5ezhucwJd8ci-NHng/edit?usp=sharing"",""ราชบุรี!S79"")+IMPORTRANGE"&amp;"(""https://docs.google.com/spreadsheets/d/1lufeA2cfFqM-elVq2hznhDzC6Pr7wkJ9ZG_sYNGCMCU/edit?usp=sharing"",""ลพบุรี!S79"")+IMPORTRANGE(""https://docs.google.com/spreadsheets/d/10oOiF7loTyfsTkbd4MpaIm0HQ9SwB7IYHdIUvt-U1Uc/edit?usp=sharing"",""สระแก้ว!S79"")"&amp;"+IMPORTRANGE(""https://docs.google.com/spreadsheets/d/1xmPlrr1QbdSIKvl1dWUl9K4PjAfSL9oeMr_37QVzcxc/edit?usp=sharing"",""สระบุรี!S79"")+IMPORTRANGE(""https://docs.google.com/spreadsheets/d/1j51vR6CYVGhABJpv6tkstgok82RLpXieLzW1yOY5rHw/edit?usp=sharing"",""ส"&amp;"ิงห์บุรี!S79"")+IMPORTRANGE(""https://docs.google.com/spreadsheets/d/1H1EalTWKUSzO4Z1-1CwzoDUaVffgrThEBe2sl74kKG0/edit?usp=sharing"",""สุพรรณบุรี!S79"")+IMPORTRANGE(""https://docs.google.com/spreadsheets/d/1BmIruG_sIrJLYao_Pdr7zVArWsfoBt2692TMi6x_854/edit"&amp;"?usp=sharing"",""อ่างทอง!S79"")"),0)</f>
        <v>0</v>
      </c>
      <c r="T79" s="136">
        <f t="shared" ca="1" si="57"/>
        <v>0</v>
      </c>
      <c r="U79" s="136">
        <f t="shared" ca="1" si="58"/>
        <v>0</v>
      </c>
    </row>
    <row r="80" spans="1:21" ht="18.75" x14ac:dyDescent="0.25">
      <c r="A80" s="211"/>
      <c r="B80" s="70"/>
      <c r="C80" s="70"/>
      <c r="D80" s="70"/>
      <c r="E80" s="78" t="s">
        <v>21</v>
      </c>
      <c r="F80" s="70"/>
      <c r="G80" s="72"/>
      <c r="H80" s="223" t="s">
        <v>14</v>
      </c>
      <c r="I80" s="221"/>
      <c r="J80" s="221"/>
      <c r="K80" s="222"/>
      <c r="L80" s="91">
        <f ca="1">IFERROR(__xludf.DUMMYFUNCTION("IMPORTRANGE(""https://docs.google.com/spreadsheets/d/13wPX838HrBrQMCywv1BsuMkt4PEKTChp52zj44s2izQ/edit?usp=sharing"",""กาญจนบุรี!L80"")+IMPORTRANGE(""https://docs.google.com/spreadsheets/d/1ddFKvqj1W1NEiWytbGlB1zMx_ykJDVtmfEQ-6-lIUBA/edit?usp=sharing"","""&amp;"จันทบุรี!L80"")+IMPORTRANGE(""https://docs.google.com/spreadsheets/d/1T1PQvRODqOBZk8BRht_U031fIS1beLA0Ub2CEytj2q0/edit?usp=sharing"",""ฉะเชิงเทรา!L80"")+IMPORTRANGE(""https://docs.google.com/spreadsheets/d/11tr1B-Bhyr79v2bkwVh5h_fR-PStkgjlZtkrZpYurG0/edit"&amp;"?usp=sharing"",""ชลบุรี!L80"")+IMPORTRANGE(""https://docs.google.com/spreadsheets/d/1hh-FVnSX0vozXhGluamEcS54Dw9_zqW0N7qJUWgJ0Sw/edit?usp=sharing"",""ชัยนาท!L80"")+IMPORTRANGE(""https://docs.google.com/spreadsheets/d/1jkqa6GXxSacMcY1eN8AHjMNJ_7dDXMJVRLDla"&amp;"FSOdPM/edit?usp=sharing"",""ตราด!L80"")+IMPORTRANGE(""https://docs.google.com/spreadsheets/d/18hSgUJ3VwClqi_qtULmmW3cLr0oe3OKaSYoKzdpTsYQ/edit?usp=sharing"",""นครนายก!L80"")+IMPORTRANGE(""https://docs.google.com/spreadsheets/d/1YTZo6WM2dQ6Ix6FSdnL5P7uVnVK"&amp;"u40sxZu975tgG10E/edit?usp=sharing"",""นครปฐม!L80"")+IMPORTRANGE(""https://docs.google.com/spreadsheets/d/1OYoGg4WDg5RIzwGeB10padOxJF9E_Vljuvvct_M7RDo/edit?usp=sharing"",""ปทุมธานี!L80"")+IMPORTRANGE(""https://docs.google.com/spreadsheets/d/1GbCIE4D4wk9FUo"&amp;"zzqk7SxfDMxDVBwVmI5zcaVUSzKAc/edit?usp=sharing"",""ประจวบคีรีขันธ์!L80"")+IMPORTRANGE(""https://docs.google.com/spreadsheets/d/1vVf6wykvW_lAyu7Yo9L4hUTqHqIeP_qcVuxCtosJEbg/edit?usp=sharing"",""ปราจีนบุรี!L80"")+IMPORTRANGE(""https://docs.google.com/spread"&amp;"sheets/d/1BIDqLLg5jk3v59G8NlR8rk5xfQDKne0sAvZHSj7TI6I/edit?usp=sharing"",""พระนครศรีอยุธยา!L80"")+IMPORTRANGE(""https://docs.google.com/spreadsheets/d/1YXvxf8Yu6_rV4hTBrwMqAcAnv6DfhUxh5emyM3CJp_w/edit?usp=sharing"",""เพชรบุรี!L80"")+IMPORTRANGE(""https://"&amp;"docs.google.com/spreadsheets/d/19KBlQQs7uwvsao6t2n-KvW3Ax8J8uRRfZPq1zPbXgKc/edit?usp=sharing"",""ระยอง!L80"")+IMPORTRANGE(""https://docs.google.com/spreadsheets/d/1jQ6P4QcrGM89YfqcC_PxOHGCMq5ezhucwJd8ci-NHng/edit?usp=sharing"",""ราชบุรี!L80"")+IMPORTRANGE"&amp;"(""https://docs.google.com/spreadsheets/d/1lufeA2cfFqM-elVq2hznhDzC6Pr7wkJ9ZG_sYNGCMCU/edit?usp=sharing"",""ลพบุรี!L80"")+IMPORTRANGE(""https://docs.google.com/spreadsheets/d/10oOiF7loTyfsTkbd4MpaIm0HQ9SwB7IYHdIUvt-U1Uc/edit?usp=sharing"",""สระแก้ว!L80"")"&amp;"+IMPORTRANGE(""https://docs.google.com/spreadsheets/d/1xmPlrr1QbdSIKvl1dWUl9K4PjAfSL9oeMr_37QVzcxc/edit?usp=sharing"",""สระบุรี!L80"")+IMPORTRANGE(""https://docs.google.com/spreadsheets/d/1j51vR6CYVGhABJpv6tkstgok82RLpXieLzW1yOY5rHw/edit?usp=sharing"",""ส"&amp;"ิงห์บุรี!L80"")+IMPORTRANGE(""https://docs.google.com/spreadsheets/d/1H1EalTWKUSzO4Z1-1CwzoDUaVffgrThEBe2sl74kKG0/edit?usp=sharing"",""สุพรรณบุรี!L80"")+IMPORTRANGE(""https://docs.google.com/spreadsheets/d/1BmIruG_sIrJLYao_Pdr7zVArWsfoBt2692TMi6x_854/edit"&amp;"?usp=sharing"",""อ่างทอง!L80"")"),0)</f>
        <v>0</v>
      </c>
      <c r="M80" s="91">
        <f ca="1">IFERROR(__xludf.DUMMYFUNCTION("IMPORTRANGE(""https://docs.google.com/spreadsheets/d/13wPX838HrBrQMCywv1BsuMkt4PEKTChp52zj44s2izQ/edit?usp=sharing"",""กาญจนบุรี!M80"")+IMPORTRANGE(""https://docs.google.com/spreadsheets/d/1ddFKvqj1W1NEiWytbGlB1zMx_ykJDVtmfEQ-6-lIUBA/edit?usp=sharing"","""&amp;"จันทบุรี!M80"")+IMPORTRANGE(""https://docs.google.com/spreadsheets/d/1T1PQvRODqOBZk8BRht_U031fIS1beLA0Ub2CEytj2q0/edit?usp=sharing"",""ฉะเชิงเทรา!M80"")+IMPORTRANGE(""https://docs.google.com/spreadsheets/d/11tr1B-Bhyr79v2bkwVh5h_fR-PStkgjlZtkrZpYurG0/edit"&amp;"?usp=sharing"",""ชลบุรี!M80"")+IMPORTRANGE(""https://docs.google.com/spreadsheets/d/1hh-FVnSX0vozXhGluamEcS54Dw9_zqW0N7qJUWgJ0Sw/edit?usp=sharing"",""ชัยนาท!M80"")+IMPORTRANGE(""https://docs.google.com/spreadsheets/d/1jkqa6GXxSacMcY1eN8AHjMNJ_7dDXMJVRLDla"&amp;"FSOdPM/edit?usp=sharing"",""ตราด!M80"")+IMPORTRANGE(""https://docs.google.com/spreadsheets/d/18hSgUJ3VwClqi_qtULmmW3cLr0oe3OKaSYoKzdpTsYQ/edit?usp=sharing"",""นครนายก!M80"")+IMPORTRANGE(""https://docs.google.com/spreadsheets/d/1YTZo6WM2dQ6Ix6FSdnL5P7uVnVK"&amp;"u40sxZu975tgG10E/edit?usp=sharing"",""นครปฐม!M80"")+IMPORTRANGE(""https://docs.google.com/spreadsheets/d/1OYoGg4WDg5RIzwGeB10padOxJF9E_Vljuvvct_M7RDo/edit?usp=sharing"",""ปทุมธานี!M80"")+IMPORTRANGE(""https://docs.google.com/spreadsheets/d/1GbCIE4D4wk9FUo"&amp;"zzqk7SxfDMxDVBwVmI5zcaVUSzKAc/edit?usp=sharing"",""ประจวบคีรีขันธ์!M80"")+IMPORTRANGE(""https://docs.google.com/spreadsheets/d/1vVf6wykvW_lAyu7Yo9L4hUTqHqIeP_qcVuxCtosJEbg/edit?usp=sharing"",""ปราจีนบุรี!M80"")+IMPORTRANGE(""https://docs.google.com/spread"&amp;"sheets/d/1BIDqLLg5jk3v59G8NlR8rk5xfQDKne0sAvZHSj7TI6I/edit?usp=sharing"",""พระนครศรีอยุธยา!M80"")+IMPORTRANGE(""https://docs.google.com/spreadsheets/d/1YXvxf8Yu6_rV4hTBrwMqAcAnv6DfhUxh5emyM3CJp_w/edit?usp=sharing"",""เพชรบุรี!M80"")+IMPORTRANGE(""https://"&amp;"docs.google.com/spreadsheets/d/19KBlQQs7uwvsao6t2n-KvW3Ax8J8uRRfZPq1zPbXgKc/edit?usp=sharing"",""ระยอง!M80"")+IMPORTRANGE(""https://docs.google.com/spreadsheets/d/1jQ6P4QcrGM89YfqcC_PxOHGCMq5ezhucwJd8ci-NHng/edit?usp=sharing"",""ราชบุรี!M80"")+IMPORTRANGE"&amp;"(""https://docs.google.com/spreadsheets/d/1lufeA2cfFqM-elVq2hznhDzC6Pr7wkJ9ZG_sYNGCMCU/edit?usp=sharing"",""ลพบุรี!M80"")+IMPORTRANGE(""https://docs.google.com/spreadsheets/d/10oOiF7loTyfsTkbd4MpaIm0HQ9SwB7IYHdIUvt-U1Uc/edit?usp=sharing"",""สระแก้ว!M80"")"&amp;"+IMPORTRANGE(""https://docs.google.com/spreadsheets/d/1xmPlrr1QbdSIKvl1dWUl9K4PjAfSL9oeMr_37QVzcxc/edit?usp=sharing"",""สระบุรี!M80"")+IMPORTRANGE(""https://docs.google.com/spreadsheets/d/1j51vR6CYVGhABJpv6tkstgok82RLpXieLzW1yOY5rHw/edit?usp=sharing"",""ส"&amp;"ิงห์บุรี!M80"")+IMPORTRANGE(""https://docs.google.com/spreadsheets/d/1H1EalTWKUSzO4Z1-1CwzoDUaVffgrThEBe2sl74kKG0/edit?usp=sharing"",""สุพรรณบุรี!M80"")+IMPORTRANGE(""https://docs.google.com/spreadsheets/d/1BmIruG_sIrJLYao_Pdr7zVArWsfoBt2692TMi6x_854/edit"&amp;"?usp=sharing"",""อ่างทอง!M80"")"),0)</f>
        <v>0</v>
      </c>
      <c r="N80" s="91">
        <f ca="1">IFERROR(__xludf.DUMMYFUNCTION("IMPORTRANGE(""https://docs.google.com/spreadsheets/d/13wPX838HrBrQMCywv1BsuMkt4PEKTChp52zj44s2izQ/edit?usp=sharing"",""กาญจนบุรี!N80"")+IMPORTRANGE(""https://docs.google.com/spreadsheets/d/1ddFKvqj1W1NEiWytbGlB1zMx_ykJDVtmfEQ-6-lIUBA/edit?usp=sharing"","""&amp;"จันทบุรี!N80"")+IMPORTRANGE(""https://docs.google.com/spreadsheets/d/1T1PQvRODqOBZk8BRht_U031fIS1beLA0Ub2CEytj2q0/edit?usp=sharing"",""ฉะเชิงเทรา!N80"")+IMPORTRANGE(""https://docs.google.com/spreadsheets/d/11tr1B-Bhyr79v2bkwVh5h_fR-PStkgjlZtkrZpYurG0/edit"&amp;"?usp=sharing"",""ชลบุรี!N80"")+IMPORTRANGE(""https://docs.google.com/spreadsheets/d/1hh-FVnSX0vozXhGluamEcS54Dw9_zqW0N7qJUWgJ0Sw/edit?usp=sharing"",""ชัยนาท!N80"")+IMPORTRANGE(""https://docs.google.com/spreadsheets/d/1jkqa6GXxSacMcY1eN8AHjMNJ_7dDXMJVRLDla"&amp;"FSOdPM/edit?usp=sharing"",""ตราด!N80"")+IMPORTRANGE(""https://docs.google.com/spreadsheets/d/18hSgUJ3VwClqi_qtULmmW3cLr0oe3OKaSYoKzdpTsYQ/edit?usp=sharing"",""นครนายก!N80"")+IMPORTRANGE(""https://docs.google.com/spreadsheets/d/1YTZo6WM2dQ6Ix6FSdnL5P7uVnVK"&amp;"u40sxZu975tgG10E/edit?usp=sharing"",""นครปฐม!N80"")+IMPORTRANGE(""https://docs.google.com/spreadsheets/d/1OYoGg4WDg5RIzwGeB10padOxJF9E_Vljuvvct_M7RDo/edit?usp=sharing"",""ปทุมธานี!N80"")+IMPORTRANGE(""https://docs.google.com/spreadsheets/d/1GbCIE4D4wk9FUo"&amp;"zzqk7SxfDMxDVBwVmI5zcaVUSzKAc/edit?usp=sharing"",""ประจวบคีรีขันธ์!N80"")+IMPORTRANGE(""https://docs.google.com/spreadsheets/d/1vVf6wykvW_lAyu7Yo9L4hUTqHqIeP_qcVuxCtosJEbg/edit?usp=sharing"",""ปราจีนบุรี!N80"")+IMPORTRANGE(""https://docs.google.com/spread"&amp;"sheets/d/1BIDqLLg5jk3v59G8NlR8rk5xfQDKne0sAvZHSj7TI6I/edit?usp=sharing"",""พระนครศรีอยุธยา!N80"")+IMPORTRANGE(""https://docs.google.com/spreadsheets/d/1YXvxf8Yu6_rV4hTBrwMqAcAnv6DfhUxh5emyM3CJp_w/edit?usp=sharing"",""เพชรบุรี!N80"")+IMPORTRANGE(""https://"&amp;"docs.google.com/spreadsheets/d/19KBlQQs7uwvsao6t2n-KvW3Ax8J8uRRfZPq1zPbXgKc/edit?usp=sharing"",""ระยอง!N80"")+IMPORTRANGE(""https://docs.google.com/spreadsheets/d/1jQ6P4QcrGM89YfqcC_PxOHGCMq5ezhucwJd8ci-NHng/edit?usp=sharing"",""ราชบุรี!N80"")+IMPORTRANGE"&amp;"(""https://docs.google.com/spreadsheets/d/1lufeA2cfFqM-elVq2hznhDzC6Pr7wkJ9ZG_sYNGCMCU/edit?usp=sharing"",""ลพบุรี!N80"")+IMPORTRANGE(""https://docs.google.com/spreadsheets/d/10oOiF7loTyfsTkbd4MpaIm0HQ9SwB7IYHdIUvt-U1Uc/edit?usp=sharing"",""สระแก้ว!N80"")"&amp;"+IMPORTRANGE(""https://docs.google.com/spreadsheets/d/1xmPlrr1QbdSIKvl1dWUl9K4PjAfSL9oeMr_37QVzcxc/edit?usp=sharing"",""สระบุรี!N80"")+IMPORTRANGE(""https://docs.google.com/spreadsheets/d/1j51vR6CYVGhABJpv6tkstgok82RLpXieLzW1yOY5rHw/edit?usp=sharing"",""ส"&amp;"ิงห์บุรี!N80"")+IMPORTRANGE(""https://docs.google.com/spreadsheets/d/1H1EalTWKUSzO4Z1-1CwzoDUaVffgrThEBe2sl74kKG0/edit?usp=sharing"",""สุพรรณบุรี!N80"")+IMPORTRANGE(""https://docs.google.com/spreadsheets/d/1BmIruG_sIrJLYao_Pdr7zVArWsfoBt2692TMi6x_854/edit"&amp;"?usp=sharing"",""อ่างทอง!N80"")"),0)</f>
        <v>0</v>
      </c>
      <c r="O80" s="91">
        <f t="shared" ca="1" si="54"/>
        <v>0</v>
      </c>
      <c r="P80" s="91">
        <f t="shared" ca="1" si="55"/>
        <v>0</v>
      </c>
      <c r="Q80" s="76">
        <f ca="1">IFERROR(__xludf.DUMMYFUNCTION("IMPORTRANGE(""https://docs.google.com/spreadsheets/d/13wPX838HrBrQMCywv1BsuMkt4PEKTChp52zj44s2izQ/edit?usp=sharing"",""กาญจนบุรี!Q80"")+IMPORTRANGE(""https://docs.google.com/spreadsheets/d/1ddFKvqj1W1NEiWytbGlB1zMx_ykJDVtmfEQ-6-lIUBA/edit?usp=sharing"","""&amp;"จันทบุรี!Q80"")+IMPORTRANGE(""https://docs.google.com/spreadsheets/d/1T1PQvRODqOBZk8BRht_U031fIS1beLA0Ub2CEytj2q0/edit?usp=sharing"",""ฉะเชิงเทรา!Q80"")+IMPORTRANGE(""https://docs.google.com/spreadsheets/d/11tr1B-Bhyr79v2bkwVh5h_fR-PStkgjlZtkrZpYurG0/edit"&amp;"?usp=sharing"",""ชลบุรี!Q80"")+IMPORTRANGE(""https://docs.google.com/spreadsheets/d/1hh-FVnSX0vozXhGluamEcS54Dw9_zqW0N7qJUWgJ0Sw/edit?usp=sharing"",""ชัยนาท!Q80"")+IMPORTRANGE(""https://docs.google.com/spreadsheets/d/1jkqa6GXxSacMcY1eN8AHjMNJ_7dDXMJVRLDla"&amp;"FSOdPM/edit?usp=sharing"",""ตราด!Q80"")+IMPORTRANGE(""https://docs.google.com/spreadsheets/d/18hSgUJ3VwClqi_qtULmmW3cLr0oe3OKaSYoKzdpTsYQ/edit?usp=sharing"",""นครนายก!Q80"")+IMPORTRANGE(""https://docs.google.com/spreadsheets/d/1YTZo6WM2dQ6Ix6FSdnL5P7uVnVK"&amp;"u40sxZu975tgG10E/edit?usp=sharing"",""นครปฐม!Q80"")+IMPORTRANGE(""https://docs.google.com/spreadsheets/d/1OYoGg4WDg5RIzwGeB10padOxJF9E_Vljuvvct_M7RDo/edit?usp=sharing"",""ปทุมธานี!Q80"")+IMPORTRANGE(""https://docs.google.com/spreadsheets/d/1GbCIE4D4wk9FUo"&amp;"zzqk7SxfDMxDVBwVmI5zcaVUSzKAc/edit?usp=sharing"",""ประจวบคีรีขันธ์!Q80"")+IMPORTRANGE(""https://docs.google.com/spreadsheets/d/1vVf6wykvW_lAyu7Yo9L4hUTqHqIeP_qcVuxCtosJEbg/edit?usp=sharing"",""ปราจีนบุรี!Q80"")+IMPORTRANGE(""https://docs.google.com/spread"&amp;"sheets/d/1BIDqLLg5jk3v59G8NlR8rk5xfQDKne0sAvZHSj7TI6I/edit?usp=sharing"",""พระนครศรีอยุธยา!Q80"")+IMPORTRANGE(""https://docs.google.com/spreadsheets/d/1YXvxf8Yu6_rV4hTBrwMqAcAnv6DfhUxh5emyM3CJp_w/edit?usp=sharing"",""เพชรบุรี!Q80"")+IMPORTRANGE(""https://"&amp;"docs.google.com/spreadsheets/d/19KBlQQs7uwvsao6t2n-KvW3Ax8J8uRRfZPq1zPbXgKc/edit?usp=sharing"",""ระยอง!Q80"")+IMPORTRANGE(""https://docs.google.com/spreadsheets/d/1jQ6P4QcrGM89YfqcC_PxOHGCMq5ezhucwJd8ci-NHng/edit?usp=sharing"",""ราชบุรี!Q80"")+IMPORTRANGE"&amp;"(""https://docs.google.com/spreadsheets/d/1lufeA2cfFqM-elVq2hznhDzC6Pr7wkJ9ZG_sYNGCMCU/edit?usp=sharing"",""ลพบุรี!Q80"")+IMPORTRANGE(""https://docs.google.com/spreadsheets/d/10oOiF7loTyfsTkbd4MpaIm0HQ9SwB7IYHdIUvt-U1Uc/edit?usp=sharing"",""สระแก้ว!Q80"")"&amp;"+IMPORTRANGE(""https://docs.google.com/spreadsheets/d/1xmPlrr1QbdSIKvl1dWUl9K4PjAfSL9oeMr_37QVzcxc/edit?usp=sharing"",""สระบุรี!Q80"")+IMPORTRANGE(""https://docs.google.com/spreadsheets/d/1j51vR6CYVGhABJpv6tkstgok82RLpXieLzW1yOY5rHw/edit?usp=sharing"",""ส"&amp;"ิงห์บุรี!Q80"")+IMPORTRANGE(""https://docs.google.com/spreadsheets/d/1H1EalTWKUSzO4Z1-1CwzoDUaVffgrThEBe2sl74kKG0/edit?usp=sharing"",""สุพรรณบุรี!Q80"")+IMPORTRANGE(""https://docs.google.com/spreadsheets/d/1BmIruG_sIrJLYao_Pdr7zVArWsfoBt2692TMi6x_854/edit"&amp;"?usp=sharing"",""อ่างทอง!Q80"")"),0)</f>
        <v>0</v>
      </c>
      <c r="R80" s="77">
        <f ca="1">IFERROR(__xludf.DUMMYFUNCTION("IMPORTRANGE(""https://docs.google.com/spreadsheets/d/13wPX838HrBrQMCywv1BsuMkt4PEKTChp52zj44s2izQ/edit?usp=sharing"",""กาญจนบุรี!R80"")+IMPORTRANGE(""https://docs.google.com/spreadsheets/d/1ddFKvqj1W1NEiWytbGlB1zMx_ykJDVtmfEQ-6-lIUBA/edit?usp=sharing"","""&amp;"จันทบุรี!R80"")+IMPORTRANGE(""https://docs.google.com/spreadsheets/d/1T1PQvRODqOBZk8BRht_U031fIS1beLA0Ub2CEytj2q0/edit?usp=sharing"",""ฉะเชิงเทรา!R80"")+IMPORTRANGE(""https://docs.google.com/spreadsheets/d/11tr1B-Bhyr79v2bkwVh5h_fR-PStkgjlZtkrZpYurG0/edit"&amp;"?usp=sharing"",""ชลบุรี!R80"")+IMPORTRANGE(""https://docs.google.com/spreadsheets/d/1hh-FVnSX0vozXhGluamEcS54Dw9_zqW0N7qJUWgJ0Sw/edit?usp=sharing"",""ชัยนาท!R80"")+IMPORTRANGE(""https://docs.google.com/spreadsheets/d/1jkqa6GXxSacMcY1eN8AHjMNJ_7dDXMJVRLDla"&amp;"FSOdPM/edit?usp=sharing"",""ตราด!R80"")+IMPORTRANGE(""https://docs.google.com/spreadsheets/d/18hSgUJ3VwClqi_qtULmmW3cLr0oe3OKaSYoKzdpTsYQ/edit?usp=sharing"",""นครนายก!R80"")+IMPORTRANGE(""https://docs.google.com/spreadsheets/d/1YTZo6WM2dQ6Ix6FSdnL5P7uVnVK"&amp;"u40sxZu975tgG10E/edit?usp=sharing"",""นครปฐม!R80"")+IMPORTRANGE(""https://docs.google.com/spreadsheets/d/1OYoGg4WDg5RIzwGeB10padOxJF9E_Vljuvvct_M7RDo/edit?usp=sharing"",""ปทุมธานี!R80"")+IMPORTRANGE(""https://docs.google.com/spreadsheets/d/1GbCIE4D4wk9FUo"&amp;"zzqk7SxfDMxDVBwVmI5zcaVUSzKAc/edit?usp=sharing"",""ประจวบคีรีขันธ์!R80"")+IMPORTRANGE(""https://docs.google.com/spreadsheets/d/1vVf6wykvW_lAyu7Yo9L4hUTqHqIeP_qcVuxCtosJEbg/edit?usp=sharing"",""ปราจีนบุรี!R80"")+IMPORTRANGE(""https://docs.google.com/spread"&amp;"sheets/d/1BIDqLLg5jk3v59G8NlR8rk5xfQDKne0sAvZHSj7TI6I/edit?usp=sharing"",""พระนครศรีอยุธยา!R80"")+IMPORTRANGE(""https://docs.google.com/spreadsheets/d/1YXvxf8Yu6_rV4hTBrwMqAcAnv6DfhUxh5emyM3CJp_w/edit?usp=sharing"",""เพชรบุรี!R80"")+IMPORTRANGE(""https://"&amp;"docs.google.com/spreadsheets/d/19KBlQQs7uwvsao6t2n-KvW3Ax8J8uRRfZPq1zPbXgKc/edit?usp=sharing"",""ระยอง!R80"")+IMPORTRANGE(""https://docs.google.com/spreadsheets/d/1jQ6P4QcrGM89YfqcC_PxOHGCMq5ezhucwJd8ci-NHng/edit?usp=sharing"",""ราชบุรี!R80"")+IMPORTRANGE"&amp;"(""https://docs.google.com/spreadsheets/d/1lufeA2cfFqM-elVq2hznhDzC6Pr7wkJ9ZG_sYNGCMCU/edit?usp=sharing"",""ลพบุรี!R80"")+IMPORTRANGE(""https://docs.google.com/spreadsheets/d/10oOiF7loTyfsTkbd4MpaIm0HQ9SwB7IYHdIUvt-U1Uc/edit?usp=sharing"",""สระแก้ว!R80"")"&amp;"+IMPORTRANGE(""https://docs.google.com/spreadsheets/d/1xmPlrr1QbdSIKvl1dWUl9K4PjAfSL9oeMr_37QVzcxc/edit?usp=sharing"",""สระบุรี!R80"")+IMPORTRANGE(""https://docs.google.com/spreadsheets/d/1j51vR6CYVGhABJpv6tkstgok82RLpXieLzW1yOY5rHw/edit?usp=sharing"",""ส"&amp;"ิงห์บุรี!R80"")+IMPORTRANGE(""https://docs.google.com/spreadsheets/d/1H1EalTWKUSzO4Z1-1CwzoDUaVffgrThEBe2sl74kKG0/edit?usp=sharing"",""สุพรรณบุรี!R80"")+IMPORTRANGE(""https://docs.google.com/spreadsheets/d/1BmIruG_sIrJLYao_Pdr7zVArWsfoBt2692TMi6x_854/edit"&amp;"?usp=sharing"",""อ่างทอง!R80"")"),0)</f>
        <v>0</v>
      </c>
      <c r="S80" s="77">
        <f ca="1">IFERROR(__xludf.DUMMYFUNCTION("IMPORTRANGE(""https://docs.google.com/spreadsheets/d/13wPX838HrBrQMCywv1BsuMkt4PEKTChp52zj44s2izQ/edit?usp=sharing"",""กาญจนบุรี!S80"")+IMPORTRANGE(""https://docs.google.com/spreadsheets/d/1ddFKvqj1W1NEiWytbGlB1zMx_ykJDVtmfEQ-6-lIUBA/edit?usp=sharing"","""&amp;"จันทบุรี!S80"")+IMPORTRANGE(""https://docs.google.com/spreadsheets/d/1T1PQvRODqOBZk8BRht_U031fIS1beLA0Ub2CEytj2q0/edit?usp=sharing"",""ฉะเชิงเทรา!S80"")+IMPORTRANGE(""https://docs.google.com/spreadsheets/d/11tr1B-Bhyr79v2bkwVh5h_fR-PStkgjlZtkrZpYurG0/edit"&amp;"?usp=sharing"",""ชลบุรี!S80"")+IMPORTRANGE(""https://docs.google.com/spreadsheets/d/1hh-FVnSX0vozXhGluamEcS54Dw9_zqW0N7qJUWgJ0Sw/edit?usp=sharing"",""ชัยนาท!S80"")+IMPORTRANGE(""https://docs.google.com/spreadsheets/d/1jkqa6GXxSacMcY1eN8AHjMNJ_7dDXMJVRLDla"&amp;"FSOdPM/edit?usp=sharing"",""ตราด!S80"")+IMPORTRANGE(""https://docs.google.com/spreadsheets/d/18hSgUJ3VwClqi_qtULmmW3cLr0oe3OKaSYoKzdpTsYQ/edit?usp=sharing"",""นครนายก!S80"")+IMPORTRANGE(""https://docs.google.com/spreadsheets/d/1YTZo6WM2dQ6Ix6FSdnL5P7uVnVK"&amp;"u40sxZu975tgG10E/edit?usp=sharing"",""นครปฐม!S80"")+IMPORTRANGE(""https://docs.google.com/spreadsheets/d/1OYoGg4WDg5RIzwGeB10padOxJF9E_Vljuvvct_M7RDo/edit?usp=sharing"",""ปทุมธานี!S80"")+IMPORTRANGE(""https://docs.google.com/spreadsheets/d/1GbCIE4D4wk9FUo"&amp;"zzqk7SxfDMxDVBwVmI5zcaVUSzKAc/edit?usp=sharing"",""ประจวบคีรีขันธ์!S80"")+IMPORTRANGE(""https://docs.google.com/spreadsheets/d/1vVf6wykvW_lAyu7Yo9L4hUTqHqIeP_qcVuxCtosJEbg/edit?usp=sharing"",""ปราจีนบุรี!S80"")+IMPORTRANGE(""https://docs.google.com/spread"&amp;"sheets/d/1BIDqLLg5jk3v59G8NlR8rk5xfQDKne0sAvZHSj7TI6I/edit?usp=sharing"",""พระนครศรีอยุธยา!S80"")+IMPORTRANGE(""https://docs.google.com/spreadsheets/d/1YXvxf8Yu6_rV4hTBrwMqAcAnv6DfhUxh5emyM3CJp_w/edit?usp=sharing"",""เพชรบุรี!S80"")+IMPORTRANGE(""https://"&amp;"docs.google.com/spreadsheets/d/19KBlQQs7uwvsao6t2n-KvW3Ax8J8uRRfZPq1zPbXgKc/edit?usp=sharing"",""ระยอง!S80"")+IMPORTRANGE(""https://docs.google.com/spreadsheets/d/1jQ6P4QcrGM89YfqcC_PxOHGCMq5ezhucwJd8ci-NHng/edit?usp=sharing"",""ราชบุรี!S80"")+IMPORTRANGE"&amp;"(""https://docs.google.com/spreadsheets/d/1lufeA2cfFqM-elVq2hznhDzC6Pr7wkJ9ZG_sYNGCMCU/edit?usp=sharing"",""ลพบุรี!S80"")+IMPORTRANGE(""https://docs.google.com/spreadsheets/d/10oOiF7loTyfsTkbd4MpaIm0HQ9SwB7IYHdIUvt-U1Uc/edit?usp=sharing"",""สระแก้ว!S80"")"&amp;"+IMPORTRANGE(""https://docs.google.com/spreadsheets/d/1xmPlrr1QbdSIKvl1dWUl9K4PjAfSL9oeMr_37QVzcxc/edit?usp=sharing"",""สระบุรี!S80"")+IMPORTRANGE(""https://docs.google.com/spreadsheets/d/1j51vR6CYVGhABJpv6tkstgok82RLpXieLzW1yOY5rHw/edit?usp=sharing"",""ส"&amp;"ิงห์บุรี!S80"")+IMPORTRANGE(""https://docs.google.com/spreadsheets/d/1H1EalTWKUSzO4Z1-1CwzoDUaVffgrThEBe2sl74kKG0/edit?usp=sharing"",""สุพรรณบุรี!S80"")+IMPORTRANGE(""https://docs.google.com/spreadsheets/d/1BmIruG_sIrJLYao_Pdr7zVArWsfoBt2692TMi6x_854/edit"&amp;"?usp=sharing"",""อ่างทอง!S80"")"),0)</f>
        <v>0</v>
      </c>
      <c r="T80" s="135">
        <f t="shared" ca="1" si="57"/>
        <v>0</v>
      </c>
      <c r="U80" s="135">
        <f t="shared" ca="1" si="58"/>
        <v>0</v>
      </c>
    </row>
    <row r="81" spans="1:21" ht="19.5" x14ac:dyDescent="0.3">
      <c r="A81" s="224"/>
      <c r="B81" s="225"/>
      <c r="C81" s="212" t="s">
        <v>18</v>
      </c>
      <c r="D81" s="226" t="s">
        <v>38</v>
      </c>
      <c r="E81" s="227"/>
      <c r="F81" s="227"/>
      <c r="G81" s="228"/>
      <c r="H81" s="229"/>
      <c r="I81" s="221"/>
      <c r="J81" s="221"/>
      <c r="K81" s="222"/>
      <c r="L81" s="222"/>
      <c r="M81" s="222"/>
      <c r="N81" s="222"/>
      <c r="O81" s="222"/>
      <c r="P81" s="222"/>
      <c r="Q81" s="230"/>
      <c r="R81" s="231"/>
      <c r="S81" s="231"/>
      <c r="T81" s="231"/>
      <c r="U81" s="231"/>
    </row>
    <row r="82" spans="1:21" ht="19.5" x14ac:dyDescent="0.3">
      <c r="A82" s="224"/>
      <c r="B82" s="225"/>
      <c r="C82" s="225"/>
      <c r="D82" s="232" t="s">
        <v>39</v>
      </c>
      <c r="E82" s="233"/>
      <c r="F82" s="233"/>
      <c r="G82" s="229"/>
      <c r="H82" s="234" t="s">
        <v>34</v>
      </c>
      <c r="I82" s="235">
        <f t="shared" ref="I82:J82" ca="1" si="67">I84+I86+I88</f>
        <v>7</v>
      </c>
      <c r="J82" s="235">
        <f t="shared" ca="1" si="67"/>
        <v>2</v>
      </c>
      <c r="K82" s="236">
        <f t="shared" ref="K82:K90" ca="1" si="68">IF(I82&gt;0,J82*100/I82,0)</f>
        <v>28.571428571428573</v>
      </c>
      <c r="L82" s="222"/>
      <c r="M82" s="222"/>
      <c r="N82" s="222"/>
      <c r="O82" s="222"/>
      <c r="P82" s="222"/>
      <c r="Q82" s="230"/>
      <c r="R82" s="231"/>
      <c r="S82" s="231"/>
      <c r="T82" s="231"/>
      <c r="U82" s="231"/>
    </row>
    <row r="83" spans="1:21" ht="19.5" x14ac:dyDescent="0.3">
      <c r="A83" s="224"/>
      <c r="B83" s="225"/>
      <c r="C83" s="225"/>
      <c r="D83" s="225"/>
      <c r="E83" s="233"/>
      <c r="F83" s="233"/>
      <c r="G83" s="229"/>
      <c r="H83" s="234" t="s">
        <v>35</v>
      </c>
      <c r="I83" s="237">
        <f t="shared" ref="I83:J83" ca="1" si="69">I85+I87+I89</f>
        <v>340</v>
      </c>
      <c r="J83" s="235">
        <f t="shared" ca="1" si="69"/>
        <v>103</v>
      </c>
      <c r="K83" s="236">
        <f t="shared" ca="1" si="68"/>
        <v>30.294117647058822</v>
      </c>
      <c r="L83" s="222"/>
      <c r="M83" s="222"/>
      <c r="N83" s="222"/>
      <c r="O83" s="222"/>
      <c r="P83" s="222"/>
      <c r="Q83" s="230"/>
      <c r="R83" s="231"/>
      <c r="S83" s="231"/>
      <c r="T83" s="231"/>
      <c r="U83" s="231"/>
    </row>
    <row r="84" spans="1:21" ht="18.75" x14ac:dyDescent="0.25">
      <c r="A84" s="224"/>
      <c r="B84" s="225"/>
      <c r="C84" s="225"/>
      <c r="D84" s="225"/>
      <c r="E84" s="238" t="s">
        <v>40</v>
      </c>
      <c r="F84" s="233"/>
      <c r="G84" s="229"/>
      <c r="H84" s="239" t="s">
        <v>34</v>
      </c>
      <c r="I84" s="240">
        <f ca="1">IFERROR(__xludf.DUMMYFUNCTION("IMPORTRANGE(""https://docs.google.com/spreadsheets/d/13wPX838HrBrQMCywv1BsuMkt4PEKTChp52zj44s2izQ/edit?usp=sharing"",""กาญจนบุรี!I84"")+IMPORTRANGE(""https://docs.google.com/spreadsheets/d/1ddFKvqj1W1NEiWytbGlB1zMx_ykJDVtmfEQ-6-lIUBA/edit?usp=sharing"","""&amp;"จันทบุรี!I84"")+IMPORTRANGE(""https://docs.google.com/spreadsheets/d/1T1PQvRODqOBZk8BRht_U031fIS1beLA0Ub2CEytj2q0/edit?usp=sharing"",""ฉะเชิงเทรา!I84"")+IMPORTRANGE(""https://docs.google.com/spreadsheets/d/11tr1B-Bhyr79v2bkwVh5h_fR-PStkgjlZtkrZpYurG0/edit"&amp;"?usp=sharing"",""ชลบุรี!I84"")+IMPORTRANGE(""https://docs.google.com/spreadsheets/d/1hh-FVnSX0vozXhGluamEcS54Dw9_zqW0N7qJUWgJ0Sw/edit?usp=sharing"",""ชัยนาท!I84"")+IMPORTRANGE(""https://docs.google.com/spreadsheets/d/1jkqa6GXxSacMcY1eN8AHjMNJ_7dDXMJVRLDla"&amp;"FSOdPM/edit?usp=sharing"",""ตราด!I84"")+IMPORTRANGE(""https://docs.google.com/spreadsheets/d/18hSgUJ3VwClqi_qtULmmW3cLr0oe3OKaSYoKzdpTsYQ/edit?usp=sharing"",""นครนายก!I84"")+IMPORTRANGE(""https://docs.google.com/spreadsheets/d/1YTZo6WM2dQ6Ix6FSdnL5P7uVnVK"&amp;"u40sxZu975tgG10E/edit?usp=sharing"",""นครปฐม!I84"")+IMPORTRANGE(""https://docs.google.com/spreadsheets/d/1OYoGg4WDg5RIzwGeB10padOxJF9E_Vljuvvct_M7RDo/edit?usp=sharing"",""ปทุมธานี!I84"")+IMPORTRANGE(""https://docs.google.com/spreadsheets/d/1GbCIE4D4wk9FUo"&amp;"zzqk7SxfDMxDVBwVmI5zcaVUSzKAc/edit?usp=sharing"",""ประจวบคีรีขันธ์!I84"")+IMPORTRANGE(""https://docs.google.com/spreadsheets/d/1vVf6wykvW_lAyu7Yo9L4hUTqHqIeP_qcVuxCtosJEbg/edit?usp=sharing"",""ปราจีนบุรี!I84"")+IMPORTRANGE(""https://docs.google.com/spread"&amp;"sheets/d/1BIDqLLg5jk3v59G8NlR8rk5xfQDKne0sAvZHSj7TI6I/edit?usp=sharing"",""พระนครศรีอยุธยา!I84"")+IMPORTRANGE(""https://docs.google.com/spreadsheets/d/1YXvxf8Yu6_rV4hTBrwMqAcAnv6DfhUxh5emyM3CJp_w/edit?usp=sharing"",""เพชรบุรี!I84"")+IMPORTRANGE(""https://"&amp;"docs.google.com/spreadsheets/d/19KBlQQs7uwvsao6t2n-KvW3Ax8J8uRRfZPq1zPbXgKc/edit?usp=sharing"",""ระยอง!I84"")+IMPORTRANGE(""https://docs.google.com/spreadsheets/d/1jQ6P4QcrGM89YfqcC_PxOHGCMq5ezhucwJd8ci-NHng/edit?usp=sharing"",""ราชบุรี!I84"")+IMPORTRANGE"&amp;"(""https://docs.google.com/spreadsheets/d/1lufeA2cfFqM-elVq2hznhDzC6Pr7wkJ9ZG_sYNGCMCU/edit?usp=sharing"",""ลพบุรี!I84"")+IMPORTRANGE(""https://docs.google.com/spreadsheets/d/10oOiF7loTyfsTkbd4MpaIm0HQ9SwB7IYHdIUvt-U1Uc/edit?usp=sharing"",""สระแก้ว!I84"")"&amp;"+IMPORTRANGE(""https://docs.google.com/spreadsheets/d/1xmPlrr1QbdSIKvl1dWUl9K4PjAfSL9oeMr_37QVzcxc/edit?usp=sharing"",""สระบุรี!I84"")+IMPORTRANGE(""https://docs.google.com/spreadsheets/d/1j51vR6CYVGhABJpv6tkstgok82RLpXieLzW1yOY5rHw/edit?usp=sharing"",""ส"&amp;"ิงห์บุรี!I84"")+IMPORTRANGE(""https://docs.google.com/spreadsheets/d/1H1EalTWKUSzO4Z1-1CwzoDUaVffgrThEBe2sl74kKG0/edit?usp=sharing"",""สุพรรณบุรี!I84"")+IMPORTRANGE(""https://docs.google.com/spreadsheets/d/1BmIruG_sIrJLYao_Pdr7zVArWsfoBt2692TMi6x_854/edit"&amp;"?usp=sharing"",""อ่างทอง!I84"")"),1)</f>
        <v>1</v>
      </c>
      <c r="J84" s="241">
        <f ca="1">IFERROR(__xludf.DUMMYFUNCTION("IMPORTRANGE(""https://docs.google.com/spreadsheets/d/13wPX838HrBrQMCywv1BsuMkt4PEKTChp52zj44s2izQ/edit?usp=sharing"",""กาญจนบุรี!J84"")+IMPORTRANGE(""https://docs.google.com/spreadsheets/d/1ddFKvqj1W1NEiWytbGlB1zMx_ykJDVtmfEQ-6-lIUBA/edit?usp=sharing"","""&amp;"จันทบุรี!J84"")+IMPORTRANGE(""https://docs.google.com/spreadsheets/d/1T1PQvRODqOBZk8BRht_U031fIS1beLA0Ub2CEytj2q0/edit?usp=sharing"",""ฉะเชิงเทรา!J84"")+IMPORTRANGE(""https://docs.google.com/spreadsheets/d/11tr1B-Bhyr79v2bkwVh5h_fR-PStkgjlZtkrZpYurG0/edit"&amp;"?usp=sharing"",""ชลบุรี!J84"")+IMPORTRANGE(""https://docs.google.com/spreadsheets/d/1hh-FVnSX0vozXhGluamEcS54Dw9_zqW0N7qJUWgJ0Sw/edit?usp=sharing"",""ชัยนาท!J84"")+IMPORTRANGE(""https://docs.google.com/spreadsheets/d/1jkqa6GXxSacMcY1eN8AHjMNJ_7dDXMJVRLDla"&amp;"FSOdPM/edit?usp=sharing"",""ตราด!J84"")+IMPORTRANGE(""https://docs.google.com/spreadsheets/d/18hSgUJ3VwClqi_qtULmmW3cLr0oe3OKaSYoKzdpTsYQ/edit?usp=sharing"",""นครนายก!J84"")+IMPORTRANGE(""https://docs.google.com/spreadsheets/d/1YTZo6WM2dQ6Ix6FSdnL5P7uVnVK"&amp;"u40sxZu975tgG10E/edit?usp=sharing"",""นครปฐม!J84"")+IMPORTRANGE(""https://docs.google.com/spreadsheets/d/1OYoGg4WDg5RIzwGeB10padOxJF9E_Vljuvvct_M7RDo/edit?usp=sharing"",""ปทุมธานี!J84"")+IMPORTRANGE(""https://docs.google.com/spreadsheets/d/1GbCIE4D4wk9FUo"&amp;"zzqk7SxfDMxDVBwVmI5zcaVUSzKAc/edit?usp=sharing"",""ประจวบคีรีขันธ์!J84"")+IMPORTRANGE(""https://docs.google.com/spreadsheets/d/1vVf6wykvW_lAyu7Yo9L4hUTqHqIeP_qcVuxCtosJEbg/edit?usp=sharing"",""ปราจีนบุรี!J84"")+IMPORTRANGE(""https://docs.google.com/spread"&amp;"sheets/d/1BIDqLLg5jk3v59G8NlR8rk5xfQDKne0sAvZHSj7TI6I/edit?usp=sharing"",""พระนครศรีอยุธยา!J84"")+IMPORTRANGE(""https://docs.google.com/spreadsheets/d/1YXvxf8Yu6_rV4hTBrwMqAcAnv6DfhUxh5emyM3CJp_w/edit?usp=sharing"",""เพชรบุรี!J84"")+IMPORTRANGE(""https://"&amp;"docs.google.com/spreadsheets/d/19KBlQQs7uwvsao6t2n-KvW3Ax8J8uRRfZPq1zPbXgKc/edit?usp=sharing"",""ระยอง!J84"")+IMPORTRANGE(""https://docs.google.com/spreadsheets/d/1jQ6P4QcrGM89YfqcC_PxOHGCMq5ezhucwJd8ci-NHng/edit?usp=sharing"",""ราชบุรี!J84"")+IMPORTRANGE"&amp;"(""https://docs.google.com/spreadsheets/d/1lufeA2cfFqM-elVq2hznhDzC6Pr7wkJ9ZG_sYNGCMCU/edit?usp=sharing"",""ลพบุรี!J84"")+IMPORTRANGE(""https://docs.google.com/spreadsheets/d/10oOiF7loTyfsTkbd4MpaIm0HQ9SwB7IYHdIUvt-U1Uc/edit?usp=sharing"",""สระแก้ว!J84"")"&amp;"+IMPORTRANGE(""https://docs.google.com/spreadsheets/d/1xmPlrr1QbdSIKvl1dWUl9K4PjAfSL9oeMr_37QVzcxc/edit?usp=sharing"",""สระบุรี!J84"")+IMPORTRANGE(""https://docs.google.com/spreadsheets/d/1j51vR6CYVGhABJpv6tkstgok82RLpXieLzW1yOY5rHw/edit?usp=sharing"",""ส"&amp;"ิงห์บุรี!J84"")+IMPORTRANGE(""https://docs.google.com/spreadsheets/d/1H1EalTWKUSzO4Z1-1CwzoDUaVffgrThEBe2sl74kKG0/edit?usp=sharing"",""สุพรรณบุรี!J84"")+IMPORTRANGE(""https://docs.google.com/spreadsheets/d/1BmIruG_sIrJLYao_Pdr7zVArWsfoBt2692TMi6x_854/edit"&amp;"?usp=sharing"",""อ่างทอง!J84"")"),1)</f>
        <v>1</v>
      </c>
      <c r="K84" s="242">
        <f t="shared" ca="1" si="68"/>
        <v>100</v>
      </c>
      <c r="L84" s="222"/>
      <c r="M84" s="222"/>
      <c r="N84" s="222"/>
      <c r="O84" s="222"/>
      <c r="P84" s="222"/>
      <c r="Q84" s="230"/>
      <c r="R84" s="231"/>
      <c r="S84" s="231"/>
      <c r="T84" s="231"/>
      <c r="U84" s="231"/>
    </row>
    <row r="85" spans="1:21" ht="18.75" x14ac:dyDescent="0.25">
      <c r="A85" s="224"/>
      <c r="B85" s="225"/>
      <c r="C85" s="225"/>
      <c r="D85" s="225"/>
      <c r="E85" s="233"/>
      <c r="F85" s="233"/>
      <c r="G85" s="229"/>
      <c r="H85" s="239" t="s">
        <v>35</v>
      </c>
      <c r="I85" s="243">
        <f ca="1">IFERROR(__xludf.DUMMYFUNCTION("IMPORTRANGE(""https://docs.google.com/spreadsheets/d/13wPX838HrBrQMCywv1BsuMkt4PEKTChp52zj44s2izQ/edit?usp=sharing"",""กาญจนบุรี!I85"")+IMPORTRANGE(""https://docs.google.com/spreadsheets/d/1ddFKvqj1W1NEiWytbGlB1zMx_ykJDVtmfEQ-6-lIUBA/edit?usp=sharing"","""&amp;"จันทบุรี!I85"")+IMPORTRANGE(""https://docs.google.com/spreadsheets/d/1T1PQvRODqOBZk8BRht_U031fIS1beLA0Ub2CEytj2q0/edit?usp=sharing"",""ฉะเชิงเทรา!I85"")+IMPORTRANGE(""https://docs.google.com/spreadsheets/d/11tr1B-Bhyr79v2bkwVh5h_fR-PStkgjlZtkrZpYurG0/edit"&amp;"?usp=sharing"",""ชลบุรี!I85"")+IMPORTRANGE(""https://docs.google.com/spreadsheets/d/1hh-FVnSX0vozXhGluamEcS54Dw9_zqW0N7qJUWgJ0Sw/edit?usp=sharing"",""ชัยนาท!I85"")+IMPORTRANGE(""https://docs.google.com/spreadsheets/d/1jkqa6GXxSacMcY1eN8AHjMNJ_7dDXMJVRLDla"&amp;"FSOdPM/edit?usp=sharing"",""ตราด!I85"")+IMPORTRANGE(""https://docs.google.com/spreadsheets/d/18hSgUJ3VwClqi_qtULmmW3cLr0oe3OKaSYoKzdpTsYQ/edit?usp=sharing"",""นครนายก!I85"")+IMPORTRANGE(""https://docs.google.com/spreadsheets/d/1YTZo6WM2dQ6Ix6FSdnL5P7uVnVK"&amp;"u40sxZu975tgG10E/edit?usp=sharing"",""นครปฐม!I85"")+IMPORTRANGE(""https://docs.google.com/spreadsheets/d/1OYoGg4WDg5RIzwGeB10padOxJF9E_Vljuvvct_M7RDo/edit?usp=sharing"",""ปทุมธานี!I85"")+IMPORTRANGE(""https://docs.google.com/spreadsheets/d/1GbCIE4D4wk9FUo"&amp;"zzqk7SxfDMxDVBwVmI5zcaVUSzKAc/edit?usp=sharing"",""ประจวบคีรีขันธ์!I85"")+IMPORTRANGE(""https://docs.google.com/spreadsheets/d/1vVf6wykvW_lAyu7Yo9L4hUTqHqIeP_qcVuxCtosJEbg/edit?usp=sharing"",""ปราจีนบุรี!I85"")+IMPORTRANGE(""https://docs.google.com/spread"&amp;"sheets/d/1BIDqLLg5jk3v59G8NlR8rk5xfQDKne0sAvZHSj7TI6I/edit?usp=sharing"",""พระนครศรีอยุธยา!I85"")+IMPORTRANGE(""https://docs.google.com/spreadsheets/d/1YXvxf8Yu6_rV4hTBrwMqAcAnv6DfhUxh5emyM3CJp_w/edit?usp=sharing"",""เพชรบุรี!I85"")+IMPORTRANGE(""https://"&amp;"docs.google.com/spreadsheets/d/19KBlQQs7uwvsao6t2n-KvW3Ax8J8uRRfZPq1zPbXgKc/edit?usp=sharing"",""ระยอง!I85"")+IMPORTRANGE(""https://docs.google.com/spreadsheets/d/1jQ6P4QcrGM89YfqcC_PxOHGCMq5ezhucwJd8ci-NHng/edit?usp=sharing"",""ราชบุรี!I85"")+IMPORTRANGE"&amp;"(""https://docs.google.com/spreadsheets/d/1lufeA2cfFqM-elVq2hznhDzC6Pr7wkJ9ZG_sYNGCMCU/edit?usp=sharing"",""ลพบุรี!I85"")+IMPORTRANGE(""https://docs.google.com/spreadsheets/d/10oOiF7loTyfsTkbd4MpaIm0HQ9SwB7IYHdIUvt-U1Uc/edit?usp=sharing"",""สระแก้ว!I85"")"&amp;"+IMPORTRANGE(""https://docs.google.com/spreadsheets/d/1xmPlrr1QbdSIKvl1dWUl9K4PjAfSL9oeMr_37QVzcxc/edit?usp=sharing"",""สระบุรี!I85"")+IMPORTRANGE(""https://docs.google.com/spreadsheets/d/1j51vR6CYVGhABJpv6tkstgok82RLpXieLzW1yOY5rHw/edit?usp=sharing"",""ส"&amp;"ิงห์บุรี!I85"")+IMPORTRANGE(""https://docs.google.com/spreadsheets/d/1H1EalTWKUSzO4Z1-1CwzoDUaVffgrThEBe2sl74kKG0/edit?usp=sharing"",""สุพรรณบุรี!I85"")+IMPORTRANGE(""https://docs.google.com/spreadsheets/d/1BmIruG_sIrJLYao_Pdr7zVArWsfoBt2692TMi6x_854/edit"&amp;"?usp=sharing"",""อ่างทอง!I85"")"),50)</f>
        <v>50</v>
      </c>
      <c r="J85" s="241">
        <f ca="1">IFERROR(__xludf.DUMMYFUNCTION("IMPORTRANGE(""https://docs.google.com/spreadsheets/d/13wPX838HrBrQMCywv1BsuMkt4PEKTChp52zj44s2izQ/edit?usp=sharing"",""กาญจนบุรี!J85"")+IMPORTRANGE(""https://docs.google.com/spreadsheets/d/1ddFKvqj1W1NEiWytbGlB1zMx_ykJDVtmfEQ-6-lIUBA/edit?usp=sharing"","""&amp;"จันทบุรี!J85"")+IMPORTRANGE(""https://docs.google.com/spreadsheets/d/1T1PQvRODqOBZk8BRht_U031fIS1beLA0Ub2CEytj2q0/edit?usp=sharing"",""ฉะเชิงเทรา!J85"")+IMPORTRANGE(""https://docs.google.com/spreadsheets/d/11tr1B-Bhyr79v2bkwVh5h_fR-PStkgjlZtkrZpYurG0/edit"&amp;"?usp=sharing"",""ชลบุรี!J85"")+IMPORTRANGE(""https://docs.google.com/spreadsheets/d/1hh-FVnSX0vozXhGluamEcS54Dw9_zqW0N7qJUWgJ0Sw/edit?usp=sharing"",""ชัยนาท!J85"")+IMPORTRANGE(""https://docs.google.com/spreadsheets/d/1jkqa6GXxSacMcY1eN8AHjMNJ_7dDXMJVRLDla"&amp;"FSOdPM/edit?usp=sharing"",""ตราด!J85"")+IMPORTRANGE(""https://docs.google.com/spreadsheets/d/18hSgUJ3VwClqi_qtULmmW3cLr0oe3OKaSYoKzdpTsYQ/edit?usp=sharing"",""นครนายก!J85"")+IMPORTRANGE(""https://docs.google.com/spreadsheets/d/1YTZo6WM2dQ6Ix6FSdnL5P7uVnVK"&amp;"u40sxZu975tgG10E/edit?usp=sharing"",""นครปฐม!J85"")+IMPORTRANGE(""https://docs.google.com/spreadsheets/d/1OYoGg4WDg5RIzwGeB10padOxJF9E_Vljuvvct_M7RDo/edit?usp=sharing"",""ปทุมธานี!J85"")+IMPORTRANGE(""https://docs.google.com/spreadsheets/d/1GbCIE4D4wk9FUo"&amp;"zzqk7SxfDMxDVBwVmI5zcaVUSzKAc/edit?usp=sharing"",""ประจวบคีรีขันธ์!J85"")+IMPORTRANGE(""https://docs.google.com/spreadsheets/d/1vVf6wykvW_lAyu7Yo9L4hUTqHqIeP_qcVuxCtosJEbg/edit?usp=sharing"",""ปราจีนบุรี!J85"")+IMPORTRANGE(""https://docs.google.com/spread"&amp;"sheets/d/1BIDqLLg5jk3v59G8NlR8rk5xfQDKne0sAvZHSj7TI6I/edit?usp=sharing"",""พระนครศรีอยุธยา!J85"")+IMPORTRANGE(""https://docs.google.com/spreadsheets/d/1YXvxf8Yu6_rV4hTBrwMqAcAnv6DfhUxh5emyM3CJp_w/edit?usp=sharing"",""เพชรบุรี!J85"")+IMPORTRANGE(""https://"&amp;"docs.google.com/spreadsheets/d/19KBlQQs7uwvsao6t2n-KvW3Ax8J8uRRfZPq1zPbXgKc/edit?usp=sharing"",""ระยอง!J85"")+IMPORTRANGE(""https://docs.google.com/spreadsheets/d/1jQ6P4QcrGM89YfqcC_PxOHGCMq5ezhucwJd8ci-NHng/edit?usp=sharing"",""ราชบุรี!J85"")+IMPORTRANGE"&amp;"(""https://docs.google.com/spreadsheets/d/1lufeA2cfFqM-elVq2hznhDzC6Pr7wkJ9ZG_sYNGCMCU/edit?usp=sharing"",""ลพบุรี!J85"")+IMPORTRANGE(""https://docs.google.com/spreadsheets/d/10oOiF7loTyfsTkbd4MpaIm0HQ9SwB7IYHdIUvt-U1Uc/edit?usp=sharing"",""สระแก้ว!J85"")"&amp;"+IMPORTRANGE(""https://docs.google.com/spreadsheets/d/1xmPlrr1QbdSIKvl1dWUl9K4PjAfSL9oeMr_37QVzcxc/edit?usp=sharing"",""สระบุรี!J85"")+IMPORTRANGE(""https://docs.google.com/spreadsheets/d/1j51vR6CYVGhABJpv6tkstgok82RLpXieLzW1yOY5rHw/edit?usp=sharing"",""ส"&amp;"ิงห์บุรี!J85"")+IMPORTRANGE(""https://docs.google.com/spreadsheets/d/1H1EalTWKUSzO4Z1-1CwzoDUaVffgrThEBe2sl74kKG0/edit?usp=sharing"",""สุพรรณบุรี!J85"")+IMPORTRANGE(""https://docs.google.com/spreadsheets/d/1BmIruG_sIrJLYao_Pdr7zVArWsfoBt2692TMi6x_854/edit"&amp;"?usp=sharing"",""อ่างทอง!J85"")"),69)</f>
        <v>69</v>
      </c>
      <c r="K85" s="242">
        <f t="shared" ca="1" si="68"/>
        <v>138</v>
      </c>
      <c r="L85" s="222"/>
      <c r="M85" s="222"/>
      <c r="N85" s="222"/>
      <c r="O85" s="222"/>
      <c r="P85" s="222"/>
      <c r="Q85" s="230"/>
      <c r="R85" s="231"/>
      <c r="S85" s="231"/>
      <c r="T85" s="231"/>
      <c r="U85" s="231"/>
    </row>
    <row r="86" spans="1:21" ht="18.75" x14ac:dyDescent="0.25">
      <c r="A86" s="224"/>
      <c r="B86" s="225"/>
      <c r="C86" s="225"/>
      <c r="D86" s="225"/>
      <c r="E86" s="238" t="s">
        <v>41</v>
      </c>
      <c r="F86" s="233"/>
      <c r="G86" s="229"/>
      <c r="H86" s="239" t="s">
        <v>34</v>
      </c>
      <c r="I86" s="243">
        <f ca="1">IFERROR(__xludf.DUMMYFUNCTION("IMPORTRANGE(""https://docs.google.com/spreadsheets/d/13wPX838HrBrQMCywv1BsuMkt4PEKTChp52zj44s2izQ/edit?usp=sharing"",""กาญจนบุรี!I86"")+IMPORTRANGE(""https://docs.google.com/spreadsheets/d/1ddFKvqj1W1NEiWytbGlB1zMx_ykJDVtmfEQ-6-lIUBA/edit?usp=sharing"","""&amp;"จันทบุรี!I86"")+IMPORTRANGE(""https://docs.google.com/spreadsheets/d/1T1PQvRODqOBZk8BRht_U031fIS1beLA0Ub2CEytj2q0/edit?usp=sharing"",""ฉะเชิงเทรา!I86"")+IMPORTRANGE(""https://docs.google.com/spreadsheets/d/11tr1B-Bhyr79v2bkwVh5h_fR-PStkgjlZtkrZpYurG0/edit"&amp;"?usp=sharing"",""ชลบุรี!I86"")+IMPORTRANGE(""https://docs.google.com/spreadsheets/d/1hh-FVnSX0vozXhGluamEcS54Dw9_zqW0N7qJUWgJ0Sw/edit?usp=sharing"",""ชัยนาท!I86"")+IMPORTRANGE(""https://docs.google.com/spreadsheets/d/1jkqa6GXxSacMcY1eN8AHjMNJ_7dDXMJVRLDla"&amp;"FSOdPM/edit?usp=sharing"",""ตราด!I86"")+IMPORTRANGE(""https://docs.google.com/spreadsheets/d/18hSgUJ3VwClqi_qtULmmW3cLr0oe3OKaSYoKzdpTsYQ/edit?usp=sharing"",""นครนายก!I86"")+IMPORTRANGE(""https://docs.google.com/spreadsheets/d/1YTZo6WM2dQ6Ix6FSdnL5P7uVnVK"&amp;"u40sxZu975tgG10E/edit?usp=sharing"",""นครปฐม!I86"")+IMPORTRANGE(""https://docs.google.com/spreadsheets/d/1OYoGg4WDg5RIzwGeB10padOxJF9E_Vljuvvct_M7RDo/edit?usp=sharing"",""ปทุมธานี!I86"")+IMPORTRANGE(""https://docs.google.com/spreadsheets/d/1GbCIE4D4wk9FUo"&amp;"zzqk7SxfDMxDVBwVmI5zcaVUSzKAc/edit?usp=sharing"",""ประจวบคีรีขันธ์!I86"")+IMPORTRANGE(""https://docs.google.com/spreadsheets/d/1vVf6wykvW_lAyu7Yo9L4hUTqHqIeP_qcVuxCtosJEbg/edit?usp=sharing"",""ปราจีนบุรี!I86"")+IMPORTRANGE(""https://docs.google.com/spread"&amp;"sheets/d/1BIDqLLg5jk3v59G8NlR8rk5xfQDKne0sAvZHSj7TI6I/edit?usp=sharing"",""พระนครศรีอยุธยา!I86"")+IMPORTRANGE(""https://docs.google.com/spreadsheets/d/1YXvxf8Yu6_rV4hTBrwMqAcAnv6DfhUxh5emyM3CJp_w/edit?usp=sharing"",""เพชรบุรี!I86"")+IMPORTRANGE(""https://"&amp;"docs.google.com/spreadsheets/d/19KBlQQs7uwvsao6t2n-KvW3Ax8J8uRRfZPq1zPbXgKc/edit?usp=sharing"",""ระยอง!I86"")+IMPORTRANGE(""https://docs.google.com/spreadsheets/d/1jQ6P4QcrGM89YfqcC_PxOHGCMq5ezhucwJd8ci-NHng/edit?usp=sharing"",""ราชบุรี!I86"")+IMPORTRANGE"&amp;"(""https://docs.google.com/spreadsheets/d/1lufeA2cfFqM-elVq2hznhDzC6Pr7wkJ9ZG_sYNGCMCU/edit?usp=sharing"",""ลพบุรี!I86"")+IMPORTRANGE(""https://docs.google.com/spreadsheets/d/10oOiF7loTyfsTkbd4MpaIm0HQ9SwB7IYHdIUvt-U1Uc/edit?usp=sharing"",""สระแก้ว!I86"")"&amp;"+IMPORTRANGE(""https://docs.google.com/spreadsheets/d/1xmPlrr1QbdSIKvl1dWUl9K4PjAfSL9oeMr_37QVzcxc/edit?usp=sharing"",""สระบุรี!I86"")+IMPORTRANGE(""https://docs.google.com/spreadsheets/d/1j51vR6CYVGhABJpv6tkstgok82RLpXieLzW1yOY5rHw/edit?usp=sharing"",""ส"&amp;"ิงห์บุรี!I86"")+IMPORTRANGE(""https://docs.google.com/spreadsheets/d/1H1EalTWKUSzO4Z1-1CwzoDUaVffgrThEBe2sl74kKG0/edit?usp=sharing"",""สุพรรณบุรี!I86"")+IMPORTRANGE(""https://docs.google.com/spreadsheets/d/1BmIruG_sIrJLYao_Pdr7zVArWsfoBt2692TMi6x_854/edit"&amp;"?usp=sharing"",""อ่างทอง!I86"")"),4)</f>
        <v>4</v>
      </c>
      <c r="J86" s="241">
        <f ca="1">IFERROR(__xludf.DUMMYFUNCTION("IMPORTRANGE(""https://docs.google.com/spreadsheets/d/13wPX838HrBrQMCywv1BsuMkt4PEKTChp52zj44s2izQ/edit?usp=sharing"",""กาญจนบุรี!J86"")+IMPORTRANGE(""https://docs.google.com/spreadsheets/d/1ddFKvqj1W1NEiWytbGlB1zMx_ykJDVtmfEQ-6-lIUBA/edit?usp=sharing"","""&amp;"จันทบุรี!J86"")+IMPORTRANGE(""https://docs.google.com/spreadsheets/d/1T1PQvRODqOBZk8BRht_U031fIS1beLA0Ub2CEytj2q0/edit?usp=sharing"",""ฉะเชิงเทรา!J86"")+IMPORTRANGE(""https://docs.google.com/spreadsheets/d/11tr1B-Bhyr79v2bkwVh5h_fR-PStkgjlZtkrZpYurG0/edit"&amp;"?usp=sharing"",""ชลบุรี!J86"")+IMPORTRANGE(""https://docs.google.com/spreadsheets/d/1hh-FVnSX0vozXhGluamEcS54Dw9_zqW0N7qJUWgJ0Sw/edit?usp=sharing"",""ชัยนาท!J86"")+IMPORTRANGE(""https://docs.google.com/spreadsheets/d/1jkqa6GXxSacMcY1eN8AHjMNJ_7dDXMJVRLDla"&amp;"FSOdPM/edit?usp=sharing"",""ตราด!J86"")+IMPORTRANGE(""https://docs.google.com/spreadsheets/d/18hSgUJ3VwClqi_qtULmmW3cLr0oe3OKaSYoKzdpTsYQ/edit?usp=sharing"",""นครนายก!J86"")+IMPORTRANGE(""https://docs.google.com/spreadsheets/d/1YTZo6WM2dQ6Ix6FSdnL5P7uVnVK"&amp;"u40sxZu975tgG10E/edit?usp=sharing"",""นครปฐม!J86"")+IMPORTRANGE(""https://docs.google.com/spreadsheets/d/1OYoGg4WDg5RIzwGeB10padOxJF9E_Vljuvvct_M7RDo/edit?usp=sharing"",""ปทุมธานี!J86"")+IMPORTRANGE(""https://docs.google.com/spreadsheets/d/1GbCIE4D4wk9FUo"&amp;"zzqk7SxfDMxDVBwVmI5zcaVUSzKAc/edit?usp=sharing"",""ประจวบคีรีขันธ์!J86"")+IMPORTRANGE(""https://docs.google.com/spreadsheets/d/1vVf6wykvW_lAyu7Yo9L4hUTqHqIeP_qcVuxCtosJEbg/edit?usp=sharing"",""ปราจีนบุรี!J86"")+IMPORTRANGE(""https://docs.google.com/spread"&amp;"sheets/d/1BIDqLLg5jk3v59G8NlR8rk5xfQDKne0sAvZHSj7TI6I/edit?usp=sharing"",""พระนครศรีอยุธยา!J86"")+IMPORTRANGE(""https://docs.google.com/spreadsheets/d/1YXvxf8Yu6_rV4hTBrwMqAcAnv6DfhUxh5emyM3CJp_w/edit?usp=sharing"",""เพชรบุรี!J86"")+IMPORTRANGE(""https://"&amp;"docs.google.com/spreadsheets/d/19KBlQQs7uwvsao6t2n-KvW3Ax8J8uRRfZPq1zPbXgKc/edit?usp=sharing"",""ระยอง!J86"")+IMPORTRANGE(""https://docs.google.com/spreadsheets/d/1jQ6P4QcrGM89YfqcC_PxOHGCMq5ezhucwJd8ci-NHng/edit?usp=sharing"",""ราชบุรี!J86"")+IMPORTRANGE"&amp;"(""https://docs.google.com/spreadsheets/d/1lufeA2cfFqM-elVq2hznhDzC6Pr7wkJ9ZG_sYNGCMCU/edit?usp=sharing"",""ลพบุรี!J86"")+IMPORTRANGE(""https://docs.google.com/spreadsheets/d/10oOiF7loTyfsTkbd4MpaIm0HQ9SwB7IYHdIUvt-U1Uc/edit?usp=sharing"",""สระแก้ว!J86"")"&amp;"+IMPORTRANGE(""https://docs.google.com/spreadsheets/d/1xmPlrr1QbdSIKvl1dWUl9K4PjAfSL9oeMr_37QVzcxc/edit?usp=sharing"",""สระบุรี!J86"")+IMPORTRANGE(""https://docs.google.com/spreadsheets/d/1j51vR6CYVGhABJpv6tkstgok82RLpXieLzW1yOY5rHw/edit?usp=sharing"",""ส"&amp;"ิงห์บุรี!J86"")+IMPORTRANGE(""https://docs.google.com/spreadsheets/d/1H1EalTWKUSzO4Z1-1CwzoDUaVffgrThEBe2sl74kKG0/edit?usp=sharing"",""สุพรรณบุรี!J86"")+IMPORTRANGE(""https://docs.google.com/spreadsheets/d/1BmIruG_sIrJLYao_Pdr7zVArWsfoBt2692TMi6x_854/edit"&amp;"?usp=sharing"",""อ่างทอง!J86"")"),1)</f>
        <v>1</v>
      </c>
      <c r="K86" s="242">
        <f t="shared" ca="1" si="68"/>
        <v>25</v>
      </c>
      <c r="L86" s="222"/>
      <c r="M86" s="222"/>
      <c r="N86" s="222"/>
      <c r="O86" s="222"/>
      <c r="P86" s="222"/>
      <c r="Q86" s="230"/>
      <c r="R86" s="231"/>
      <c r="S86" s="231"/>
      <c r="T86" s="231"/>
      <c r="U86" s="231"/>
    </row>
    <row r="87" spans="1:21" ht="18.75" x14ac:dyDescent="0.25">
      <c r="A87" s="224"/>
      <c r="B87" s="225"/>
      <c r="C87" s="225"/>
      <c r="D87" s="225"/>
      <c r="E87" s="233"/>
      <c r="F87" s="233"/>
      <c r="G87" s="229"/>
      <c r="H87" s="239" t="s">
        <v>35</v>
      </c>
      <c r="I87" s="243">
        <f ca="1">IFERROR(__xludf.DUMMYFUNCTION("IMPORTRANGE(""https://docs.google.com/spreadsheets/d/13wPX838HrBrQMCywv1BsuMkt4PEKTChp52zj44s2izQ/edit?usp=sharing"",""กาญจนบุรี!I87"")+IMPORTRANGE(""https://docs.google.com/spreadsheets/d/1ddFKvqj1W1NEiWytbGlB1zMx_ykJDVtmfEQ-6-lIUBA/edit?usp=sharing"","""&amp;"จันทบุรี!I87"")+IMPORTRANGE(""https://docs.google.com/spreadsheets/d/1T1PQvRODqOBZk8BRht_U031fIS1beLA0Ub2CEytj2q0/edit?usp=sharing"",""ฉะเชิงเทรา!I87"")+IMPORTRANGE(""https://docs.google.com/spreadsheets/d/11tr1B-Bhyr79v2bkwVh5h_fR-PStkgjlZtkrZpYurG0/edit"&amp;"?usp=sharing"",""ชลบุรี!I87"")+IMPORTRANGE(""https://docs.google.com/spreadsheets/d/1hh-FVnSX0vozXhGluamEcS54Dw9_zqW0N7qJUWgJ0Sw/edit?usp=sharing"",""ชัยนาท!I87"")+IMPORTRANGE(""https://docs.google.com/spreadsheets/d/1jkqa6GXxSacMcY1eN8AHjMNJ_7dDXMJVRLDla"&amp;"FSOdPM/edit?usp=sharing"",""ตราด!I87"")+IMPORTRANGE(""https://docs.google.com/spreadsheets/d/18hSgUJ3VwClqi_qtULmmW3cLr0oe3OKaSYoKzdpTsYQ/edit?usp=sharing"",""นครนายก!I87"")+IMPORTRANGE(""https://docs.google.com/spreadsheets/d/1YTZo6WM2dQ6Ix6FSdnL5P7uVnVK"&amp;"u40sxZu975tgG10E/edit?usp=sharing"",""นครปฐม!I87"")+IMPORTRANGE(""https://docs.google.com/spreadsheets/d/1OYoGg4WDg5RIzwGeB10padOxJF9E_Vljuvvct_M7RDo/edit?usp=sharing"",""ปทุมธานี!I87"")+IMPORTRANGE(""https://docs.google.com/spreadsheets/d/1GbCIE4D4wk9FUo"&amp;"zzqk7SxfDMxDVBwVmI5zcaVUSzKAc/edit?usp=sharing"",""ประจวบคีรีขันธ์!I87"")+IMPORTRANGE(""https://docs.google.com/spreadsheets/d/1vVf6wykvW_lAyu7Yo9L4hUTqHqIeP_qcVuxCtosJEbg/edit?usp=sharing"",""ปราจีนบุรี!I87"")+IMPORTRANGE(""https://docs.google.com/spread"&amp;"sheets/d/1BIDqLLg5jk3v59G8NlR8rk5xfQDKne0sAvZHSj7TI6I/edit?usp=sharing"",""พระนครศรีอยุธยา!I87"")+IMPORTRANGE(""https://docs.google.com/spreadsheets/d/1YXvxf8Yu6_rV4hTBrwMqAcAnv6DfhUxh5emyM3CJp_w/edit?usp=sharing"",""เพชรบุรี!I87"")+IMPORTRANGE(""https://"&amp;"docs.google.com/spreadsheets/d/19KBlQQs7uwvsao6t2n-KvW3Ax8J8uRRfZPq1zPbXgKc/edit?usp=sharing"",""ระยอง!I87"")+IMPORTRANGE(""https://docs.google.com/spreadsheets/d/1jQ6P4QcrGM89YfqcC_PxOHGCMq5ezhucwJd8ci-NHng/edit?usp=sharing"",""ราชบุรี!I87"")+IMPORTRANGE"&amp;"(""https://docs.google.com/spreadsheets/d/1lufeA2cfFqM-elVq2hznhDzC6Pr7wkJ9ZG_sYNGCMCU/edit?usp=sharing"",""ลพบุรี!I87"")+IMPORTRANGE(""https://docs.google.com/spreadsheets/d/10oOiF7loTyfsTkbd4MpaIm0HQ9SwB7IYHdIUvt-U1Uc/edit?usp=sharing"",""สระแก้ว!I87"")"&amp;"+IMPORTRANGE(""https://docs.google.com/spreadsheets/d/1xmPlrr1QbdSIKvl1dWUl9K4PjAfSL9oeMr_37QVzcxc/edit?usp=sharing"",""สระบุรี!I87"")+IMPORTRANGE(""https://docs.google.com/spreadsheets/d/1j51vR6CYVGhABJpv6tkstgok82RLpXieLzW1yOY5rHw/edit?usp=sharing"",""ส"&amp;"ิงห์บุรี!I87"")+IMPORTRANGE(""https://docs.google.com/spreadsheets/d/1H1EalTWKUSzO4Z1-1CwzoDUaVffgrThEBe2sl74kKG0/edit?usp=sharing"",""สุพรรณบุรี!I87"")+IMPORTRANGE(""https://docs.google.com/spreadsheets/d/1BmIruG_sIrJLYao_Pdr7zVArWsfoBt2692TMi6x_854/edit"&amp;"?usp=sharing"",""อ่างทอง!I87"")"),170)</f>
        <v>170</v>
      </c>
      <c r="J87" s="241">
        <f ca="1">IFERROR(__xludf.DUMMYFUNCTION("IMPORTRANGE(""https://docs.google.com/spreadsheets/d/13wPX838HrBrQMCywv1BsuMkt4PEKTChp52zj44s2izQ/edit?usp=sharing"",""กาญจนบุรี!J87"")+IMPORTRANGE(""https://docs.google.com/spreadsheets/d/1ddFKvqj1W1NEiWytbGlB1zMx_ykJDVtmfEQ-6-lIUBA/edit?usp=sharing"","""&amp;"จันทบุรี!J87"")+IMPORTRANGE(""https://docs.google.com/spreadsheets/d/1T1PQvRODqOBZk8BRht_U031fIS1beLA0Ub2CEytj2q0/edit?usp=sharing"",""ฉะเชิงเทรา!J87"")+IMPORTRANGE(""https://docs.google.com/spreadsheets/d/11tr1B-Bhyr79v2bkwVh5h_fR-PStkgjlZtkrZpYurG0/edit"&amp;"?usp=sharing"",""ชลบุรี!J87"")+IMPORTRANGE(""https://docs.google.com/spreadsheets/d/1hh-FVnSX0vozXhGluamEcS54Dw9_zqW0N7qJUWgJ0Sw/edit?usp=sharing"",""ชัยนาท!J87"")+IMPORTRANGE(""https://docs.google.com/spreadsheets/d/1jkqa6GXxSacMcY1eN8AHjMNJ_7dDXMJVRLDla"&amp;"FSOdPM/edit?usp=sharing"",""ตราด!J87"")+IMPORTRANGE(""https://docs.google.com/spreadsheets/d/18hSgUJ3VwClqi_qtULmmW3cLr0oe3OKaSYoKzdpTsYQ/edit?usp=sharing"",""นครนายก!J87"")+IMPORTRANGE(""https://docs.google.com/spreadsheets/d/1YTZo6WM2dQ6Ix6FSdnL5P7uVnVK"&amp;"u40sxZu975tgG10E/edit?usp=sharing"",""นครปฐม!J87"")+IMPORTRANGE(""https://docs.google.com/spreadsheets/d/1OYoGg4WDg5RIzwGeB10padOxJF9E_Vljuvvct_M7RDo/edit?usp=sharing"",""ปทุมธานี!J87"")+IMPORTRANGE(""https://docs.google.com/spreadsheets/d/1GbCIE4D4wk9FUo"&amp;"zzqk7SxfDMxDVBwVmI5zcaVUSzKAc/edit?usp=sharing"",""ประจวบคีรีขันธ์!J87"")+IMPORTRANGE(""https://docs.google.com/spreadsheets/d/1vVf6wykvW_lAyu7Yo9L4hUTqHqIeP_qcVuxCtosJEbg/edit?usp=sharing"",""ปราจีนบุรี!J87"")+IMPORTRANGE(""https://docs.google.com/spread"&amp;"sheets/d/1BIDqLLg5jk3v59G8NlR8rk5xfQDKne0sAvZHSj7TI6I/edit?usp=sharing"",""พระนครศรีอยุธยา!J87"")+IMPORTRANGE(""https://docs.google.com/spreadsheets/d/1YXvxf8Yu6_rV4hTBrwMqAcAnv6DfhUxh5emyM3CJp_w/edit?usp=sharing"",""เพชรบุรี!J87"")+IMPORTRANGE(""https://"&amp;"docs.google.com/spreadsheets/d/19KBlQQs7uwvsao6t2n-KvW3Ax8J8uRRfZPq1zPbXgKc/edit?usp=sharing"",""ระยอง!J87"")+IMPORTRANGE(""https://docs.google.com/spreadsheets/d/1jQ6P4QcrGM89YfqcC_PxOHGCMq5ezhucwJd8ci-NHng/edit?usp=sharing"",""ราชบุรี!J87"")+IMPORTRANGE"&amp;"(""https://docs.google.com/spreadsheets/d/1lufeA2cfFqM-elVq2hznhDzC6Pr7wkJ9ZG_sYNGCMCU/edit?usp=sharing"",""ลพบุรี!J87"")+IMPORTRANGE(""https://docs.google.com/spreadsheets/d/10oOiF7loTyfsTkbd4MpaIm0HQ9SwB7IYHdIUvt-U1Uc/edit?usp=sharing"",""สระแก้ว!J87"")"&amp;"+IMPORTRANGE(""https://docs.google.com/spreadsheets/d/1xmPlrr1QbdSIKvl1dWUl9K4PjAfSL9oeMr_37QVzcxc/edit?usp=sharing"",""สระบุรี!J87"")+IMPORTRANGE(""https://docs.google.com/spreadsheets/d/1j51vR6CYVGhABJpv6tkstgok82RLpXieLzW1yOY5rHw/edit?usp=sharing"",""ส"&amp;"ิงห์บุรี!J87"")+IMPORTRANGE(""https://docs.google.com/spreadsheets/d/1H1EalTWKUSzO4Z1-1CwzoDUaVffgrThEBe2sl74kKG0/edit?usp=sharing"",""สุพรรณบุรี!J87"")+IMPORTRANGE(""https://docs.google.com/spreadsheets/d/1BmIruG_sIrJLYao_Pdr7zVArWsfoBt2692TMi6x_854/edit"&amp;"?usp=sharing"",""อ่างทอง!J87"")"),34)</f>
        <v>34</v>
      </c>
      <c r="K87" s="242">
        <f t="shared" ca="1" si="68"/>
        <v>20</v>
      </c>
      <c r="L87" s="222"/>
      <c r="M87" s="222"/>
      <c r="N87" s="222"/>
      <c r="O87" s="222"/>
      <c r="P87" s="222"/>
      <c r="Q87" s="230"/>
      <c r="R87" s="231"/>
      <c r="S87" s="231"/>
      <c r="T87" s="231"/>
      <c r="U87" s="231"/>
    </row>
    <row r="88" spans="1:21" ht="18.75" x14ac:dyDescent="0.25">
      <c r="A88" s="224"/>
      <c r="B88" s="225"/>
      <c r="C88" s="225"/>
      <c r="D88" s="225"/>
      <c r="E88" s="238" t="s">
        <v>42</v>
      </c>
      <c r="F88" s="233"/>
      <c r="G88" s="229"/>
      <c r="H88" s="239" t="s">
        <v>34</v>
      </c>
      <c r="I88" s="243">
        <f ca="1">IFERROR(__xludf.DUMMYFUNCTION("IMPORTRANGE(""https://docs.google.com/spreadsheets/d/13wPX838HrBrQMCywv1BsuMkt4PEKTChp52zj44s2izQ/edit?usp=sharing"",""กาญจนบุรี!I88"")+IMPORTRANGE(""https://docs.google.com/spreadsheets/d/1ddFKvqj1W1NEiWytbGlB1zMx_ykJDVtmfEQ-6-lIUBA/edit?usp=sharing"","""&amp;"จันทบุรี!I88"")+IMPORTRANGE(""https://docs.google.com/spreadsheets/d/1T1PQvRODqOBZk8BRht_U031fIS1beLA0Ub2CEytj2q0/edit?usp=sharing"",""ฉะเชิงเทรา!I88"")+IMPORTRANGE(""https://docs.google.com/spreadsheets/d/11tr1B-Bhyr79v2bkwVh5h_fR-PStkgjlZtkrZpYurG0/edit"&amp;"?usp=sharing"",""ชลบุรี!I88"")+IMPORTRANGE(""https://docs.google.com/spreadsheets/d/1hh-FVnSX0vozXhGluamEcS54Dw9_zqW0N7qJUWgJ0Sw/edit?usp=sharing"",""ชัยนาท!I88"")+IMPORTRANGE(""https://docs.google.com/spreadsheets/d/1jkqa6GXxSacMcY1eN8AHjMNJ_7dDXMJVRLDla"&amp;"FSOdPM/edit?usp=sharing"",""ตราด!I88"")+IMPORTRANGE(""https://docs.google.com/spreadsheets/d/18hSgUJ3VwClqi_qtULmmW3cLr0oe3OKaSYoKzdpTsYQ/edit?usp=sharing"",""นครนายก!I88"")+IMPORTRANGE(""https://docs.google.com/spreadsheets/d/1YTZo6WM2dQ6Ix6FSdnL5P7uVnVK"&amp;"u40sxZu975tgG10E/edit?usp=sharing"",""นครปฐม!I88"")+IMPORTRANGE(""https://docs.google.com/spreadsheets/d/1OYoGg4WDg5RIzwGeB10padOxJF9E_Vljuvvct_M7RDo/edit?usp=sharing"",""ปทุมธานี!I88"")+IMPORTRANGE(""https://docs.google.com/spreadsheets/d/1GbCIE4D4wk9FUo"&amp;"zzqk7SxfDMxDVBwVmI5zcaVUSzKAc/edit?usp=sharing"",""ประจวบคีรีขันธ์!I88"")+IMPORTRANGE(""https://docs.google.com/spreadsheets/d/1vVf6wykvW_lAyu7Yo9L4hUTqHqIeP_qcVuxCtosJEbg/edit?usp=sharing"",""ปราจีนบุรี!I88"")+IMPORTRANGE(""https://docs.google.com/spread"&amp;"sheets/d/1BIDqLLg5jk3v59G8NlR8rk5xfQDKne0sAvZHSj7TI6I/edit?usp=sharing"",""พระนครศรีอยุธยา!I88"")+IMPORTRANGE(""https://docs.google.com/spreadsheets/d/1YXvxf8Yu6_rV4hTBrwMqAcAnv6DfhUxh5emyM3CJp_w/edit?usp=sharing"",""เพชรบุรี!I88"")+IMPORTRANGE(""https://"&amp;"docs.google.com/spreadsheets/d/19KBlQQs7uwvsao6t2n-KvW3Ax8J8uRRfZPq1zPbXgKc/edit?usp=sharing"",""ระยอง!I88"")+IMPORTRANGE(""https://docs.google.com/spreadsheets/d/1jQ6P4QcrGM89YfqcC_PxOHGCMq5ezhucwJd8ci-NHng/edit?usp=sharing"",""ราชบุรี!I88"")+IMPORTRANGE"&amp;"(""https://docs.google.com/spreadsheets/d/1lufeA2cfFqM-elVq2hznhDzC6Pr7wkJ9ZG_sYNGCMCU/edit?usp=sharing"",""ลพบุรี!I88"")+IMPORTRANGE(""https://docs.google.com/spreadsheets/d/10oOiF7loTyfsTkbd4MpaIm0HQ9SwB7IYHdIUvt-U1Uc/edit?usp=sharing"",""สระแก้ว!I88"")"&amp;"+IMPORTRANGE(""https://docs.google.com/spreadsheets/d/1xmPlrr1QbdSIKvl1dWUl9K4PjAfSL9oeMr_37QVzcxc/edit?usp=sharing"",""สระบุรี!I88"")+IMPORTRANGE(""https://docs.google.com/spreadsheets/d/1j51vR6CYVGhABJpv6tkstgok82RLpXieLzW1yOY5rHw/edit?usp=sharing"",""ส"&amp;"ิงห์บุรี!I88"")+IMPORTRANGE(""https://docs.google.com/spreadsheets/d/1H1EalTWKUSzO4Z1-1CwzoDUaVffgrThEBe2sl74kKG0/edit?usp=sharing"",""สุพรรณบุรี!I88"")+IMPORTRANGE(""https://docs.google.com/spreadsheets/d/1BmIruG_sIrJLYao_Pdr7zVArWsfoBt2692TMi6x_854/edit"&amp;"?usp=sharing"",""อ่างทอง!I88"")"),2)</f>
        <v>2</v>
      </c>
      <c r="J88" s="241">
        <f ca="1">IFERROR(__xludf.DUMMYFUNCTION("IMPORTRANGE(""https://docs.google.com/spreadsheets/d/13wPX838HrBrQMCywv1BsuMkt4PEKTChp52zj44s2izQ/edit?usp=sharing"",""กาญจนบุรี!J88"")+IMPORTRANGE(""https://docs.google.com/spreadsheets/d/1ddFKvqj1W1NEiWytbGlB1zMx_ykJDVtmfEQ-6-lIUBA/edit?usp=sharing"","""&amp;"จันทบุรี!J88"")+IMPORTRANGE(""https://docs.google.com/spreadsheets/d/1T1PQvRODqOBZk8BRht_U031fIS1beLA0Ub2CEytj2q0/edit?usp=sharing"",""ฉะเชิงเทรา!J88"")+IMPORTRANGE(""https://docs.google.com/spreadsheets/d/11tr1B-Bhyr79v2bkwVh5h_fR-PStkgjlZtkrZpYurG0/edit"&amp;"?usp=sharing"",""ชลบุรี!J88"")+IMPORTRANGE(""https://docs.google.com/spreadsheets/d/1hh-FVnSX0vozXhGluamEcS54Dw9_zqW0N7qJUWgJ0Sw/edit?usp=sharing"",""ชัยนาท!J88"")+IMPORTRANGE(""https://docs.google.com/spreadsheets/d/1jkqa6GXxSacMcY1eN8AHjMNJ_7dDXMJVRLDla"&amp;"FSOdPM/edit?usp=sharing"",""ตราด!J88"")+IMPORTRANGE(""https://docs.google.com/spreadsheets/d/18hSgUJ3VwClqi_qtULmmW3cLr0oe3OKaSYoKzdpTsYQ/edit?usp=sharing"",""นครนายก!J88"")+IMPORTRANGE(""https://docs.google.com/spreadsheets/d/1YTZo6WM2dQ6Ix6FSdnL5P7uVnVK"&amp;"u40sxZu975tgG10E/edit?usp=sharing"",""นครปฐม!J88"")+IMPORTRANGE(""https://docs.google.com/spreadsheets/d/1OYoGg4WDg5RIzwGeB10padOxJF9E_Vljuvvct_M7RDo/edit?usp=sharing"",""ปทุมธานี!J88"")+IMPORTRANGE(""https://docs.google.com/spreadsheets/d/1GbCIE4D4wk9FUo"&amp;"zzqk7SxfDMxDVBwVmI5zcaVUSzKAc/edit?usp=sharing"",""ประจวบคีรีขันธ์!J88"")+IMPORTRANGE(""https://docs.google.com/spreadsheets/d/1vVf6wykvW_lAyu7Yo9L4hUTqHqIeP_qcVuxCtosJEbg/edit?usp=sharing"",""ปราจีนบุรี!J88"")+IMPORTRANGE(""https://docs.google.com/spread"&amp;"sheets/d/1BIDqLLg5jk3v59G8NlR8rk5xfQDKne0sAvZHSj7TI6I/edit?usp=sharing"",""พระนครศรีอยุธยา!J88"")+IMPORTRANGE(""https://docs.google.com/spreadsheets/d/1YXvxf8Yu6_rV4hTBrwMqAcAnv6DfhUxh5emyM3CJp_w/edit?usp=sharing"",""เพชรบุรี!J88"")+IMPORTRANGE(""https://"&amp;"docs.google.com/spreadsheets/d/19KBlQQs7uwvsao6t2n-KvW3Ax8J8uRRfZPq1zPbXgKc/edit?usp=sharing"",""ระยอง!J88"")+IMPORTRANGE(""https://docs.google.com/spreadsheets/d/1jQ6P4QcrGM89YfqcC_PxOHGCMq5ezhucwJd8ci-NHng/edit?usp=sharing"",""ราชบุรี!J88"")+IMPORTRANGE"&amp;"(""https://docs.google.com/spreadsheets/d/1lufeA2cfFqM-elVq2hznhDzC6Pr7wkJ9ZG_sYNGCMCU/edit?usp=sharing"",""ลพบุรี!J88"")+IMPORTRANGE(""https://docs.google.com/spreadsheets/d/10oOiF7loTyfsTkbd4MpaIm0HQ9SwB7IYHdIUvt-U1Uc/edit?usp=sharing"",""สระแก้ว!J88"")"&amp;"+IMPORTRANGE(""https://docs.google.com/spreadsheets/d/1xmPlrr1QbdSIKvl1dWUl9K4PjAfSL9oeMr_37QVzcxc/edit?usp=sharing"",""สระบุรี!J88"")+IMPORTRANGE(""https://docs.google.com/spreadsheets/d/1j51vR6CYVGhABJpv6tkstgok82RLpXieLzW1yOY5rHw/edit?usp=sharing"",""ส"&amp;"ิงห์บุรี!J88"")+IMPORTRANGE(""https://docs.google.com/spreadsheets/d/1H1EalTWKUSzO4Z1-1CwzoDUaVffgrThEBe2sl74kKG0/edit?usp=sharing"",""สุพรรณบุรี!J88"")+IMPORTRANGE(""https://docs.google.com/spreadsheets/d/1BmIruG_sIrJLYao_Pdr7zVArWsfoBt2692TMi6x_854/edit"&amp;"?usp=sharing"",""อ่างทอง!J88"")"),0)</f>
        <v>0</v>
      </c>
      <c r="K88" s="242">
        <f t="shared" ca="1" si="68"/>
        <v>0</v>
      </c>
      <c r="L88" s="222"/>
      <c r="M88" s="222"/>
      <c r="N88" s="222"/>
      <c r="O88" s="222"/>
      <c r="P88" s="222"/>
      <c r="Q88" s="230"/>
      <c r="R88" s="231"/>
      <c r="S88" s="231"/>
      <c r="T88" s="231"/>
      <c r="U88" s="231"/>
    </row>
    <row r="89" spans="1:21" ht="18.75" x14ac:dyDescent="0.25">
      <c r="A89" s="224"/>
      <c r="B89" s="225"/>
      <c r="C89" s="225"/>
      <c r="D89" s="225"/>
      <c r="E89" s="233"/>
      <c r="F89" s="233"/>
      <c r="G89" s="229"/>
      <c r="H89" s="239" t="s">
        <v>35</v>
      </c>
      <c r="I89" s="243">
        <f ca="1">IFERROR(__xludf.DUMMYFUNCTION("IMPORTRANGE(""https://docs.google.com/spreadsheets/d/13wPX838HrBrQMCywv1BsuMkt4PEKTChp52zj44s2izQ/edit?usp=sharing"",""กาญจนบุรี!I89"")+IMPORTRANGE(""https://docs.google.com/spreadsheets/d/1ddFKvqj1W1NEiWytbGlB1zMx_ykJDVtmfEQ-6-lIUBA/edit?usp=sharing"","""&amp;"จันทบุรี!I89"")+IMPORTRANGE(""https://docs.google.com/spreadsheets/d/1T1PQvRODqOBZk8BRht_U031fIS1beLA0Ub2CEytj2q0/edit?usp=sharing"",""ฉะเชิงเทรา!I89"")+IMPORTRANGE(""https://docs.google.com/spreadsheets/d/11tr1B-Bhyr79v2bkwVh5h_fR-PStkgjlZtkrZpYurG0/edit"&amp;"?usp=sharing"",""ชลบุรี!I89"")+IMPORTRANGE(""https://docs.google.com/spreadsheets/d/1hh-FVnSX0vozXhGluamEcS54Dw9_zqW0N7qJUWgJ0Sw/edit?usp=sharing"",""ชัยนาท!I89"")+IMPORTRANGE(""https://docs.google.com/spreadsheets/d/1jkqa6GXxSacMcY1eN8AHjMNJ_7dDXMJVRLDla"&amp;"FSOdPM/edit?usp=sharing"",""ตราด!I89"")+IMPORTRANGE(""https://docs.google.com/spreadsheets/d/18hSgUJ3VwClqi_qtULmmW3cLr0oe3OKaSYoKzdpTsYQ/edit?usp=sharing"",""นครนายก!I89"")+IMPORTRANGE(""https://docs.google.com/spreadsheets/d/1YTZo6WM2dQ6Ix6FSdnL5P7uVnVK"&amp;"u40sxZu975tgG10E/edit?usp=sharing"",""นครปฐม!I89"")+IMPORTRANGE(""https://docs.google.com/spreadsheets/d/1OYoGg4WDg5RIzwGeB10padOxJF9E_Vljuvvct_M7RDo/edit?usp=sharing"",""ปทุมธานี!I89"")+IMPORTRANGE(""https://docs.google.com/spreadsheets/d/1GbCIE4D4wk9FUo"&amp;"zzqk7SxfDMxDVBwVmI5zcaVUSzKAc/edit?usp=sharing"",""ประจวบคีรีขันธ์!I89"")+IMPORTRANGE(""https://docs.google.com/spreadsheets/d/1vVf6wykvW_lAyu7Yo9L4hUTqHqIeP_qcVuxCtosJEbg/edit?usp=sharing"",""ปราจีนบุรี!I89"")+IMPORTRANGE(""https://docs.google.com/spread"&amp;"sheets/d/1BIDqLLg5jk3v59G8NlR8rk5xfQDKne0sAvZHSj7TI6I/edit?usp=sharing"",""พระนครศรีอยุธยา!I89"")+IMPORTRANGE(""https://docs.google.com/spreadsheets/d/1YXvxf8Yu6_rV4hTBrwMqAcAnv6DfhUxh5emyM3CJp_w/edit?usp=sharing"",""เพชรบุรี!I89"")+IMPORTRANGE(""https://"&amp;"docs.google.com/spreadsheets/d/19KBlQQs7uwvsao6t2n-KvW3Ax8J8uRRfZPq1zPbXgKc/edit?usp=sharing"",""ระยอง!I89"")+IMPORTRANGE(""https://docs.google.com/spreadsheets/d/1jQ6P4QcrGM89YfqcC_PxOHGCMq5ezhucwJd8ci-NHng/edit?usp=sharing"",""ราชบุรี!I89"")+IMPORTRANGE"&amp;"(""https://docs.google.com/spreadsheets/d/1lufeA2cfFqM-elVq2hznhDzC6Pr7wkJ9ZG_sYNGCMCU/edit?usp=sharing"",""ลพบุรี!I89"")+IMPORTRANGE(""https://docs.google.com/spreadsheets/d/10oOiF7loTyfsTkbd4MpaIm0HQ9SwB7IYHdIUvt-U1Uc/edit?usp=sharing"",""สระแก้ว!I89"")"&amp;"+IMPORTRANGE(""https://docs.google.com/spreadsheets/d/1xmPlrr1QbdSIKvl1dWUl9K4PjAfSL9oeMr_37QVzcxc/edit?usp=sharing"",""สระบุรี!I89"")+IMPORTRANGE(""https://docs.google.com/spreadsheets/d/1j51vR6CYVGhABJpv6tkstgok82RLpXieLzW1yOY5rHw/edit?usp=sharing"",""ส"&amp;"ิงห์บุรี!I89"")+IMPORTRANGE(""https://docs.google.com/spreadsheets/d/1H1EalTWKUSzO4Z1-1CwzoDUaVffgrThEBe2sl74kKG0/edit?usp=sharing"",""สุพรรณบุรี!I89"")+IMPORTRANGE(""https://docs.google.com/spreadsheets/d/1BmIruG_sIrJLYao_Pdr7zVArWsfoBt2692TMi6x_854/edit"&amp;"?usp=sharing"",""อ่างทอง!I89"")"),120)</f>
        <v>120</v>
      </c>
      <c r="J89" s="241">
        <f ca="1">IFERROR(__xludf.DUMMYFUNCTION("IMPORTRANGE(""https://docs.google.com/spreadsheets/d/13wPX838HrBrQMCywv1BsuMkt4PEKTChp52zj44s2izQ/edit?usp=sharing"",""กาญจนบุรี!J89"")+IMPORTRANGE(""https://docs.google.com/spreadsheets/d/1ddFKvqj1W1NEiWytbGlB1zMx_ykJDVtmfEQ-6-lIUBA/edit?usp=sharing"","""&amp;"จันทบุรี!J89"")+IMPORTRANGE(""https://docs.google.com/spreadsheets/d/1T1PQvRODqOBZk8BRht_U031fIS1beLA0Ub2CEytj2q0/edit?usp=sharing"",""ฉะเชิงเทรา!J89"")+IMPORTRANGE(""https://docs.google.com/spreadsheets/d/11tr1B-Bhyr79v2bkwVh5h_fR-PStkgjlZtkrZpYurG0/edit"&amp;"?usp=sharing"",""ชลบุรี!J89"")+IMPORTRANGE(""https://docs.google.com/spreadsheets/d/1hh-FVnSX0vozXhGluamEcS54Dw9_zqW0N7qJUWgJ0Sw/edit?usp=sharing"",""ชัยนาท!J89"")+IMPORTRANGE(""https://docs.google.com/spreadsheets/d/1jkqa6GXxSacMcY1eN8AHjMNJ_7dDXMJVRLDla"&amp;"FSOdPM/edit?usp=sharing"",""ตราด!J89"")+IMPORTRANGE(""https://docs.google.com/spreadsheets/d/18hSgUJ3VwClqi_qtULmmW3cLr0oe3OKaSYoKzdpTsYQ/edit?usp=sharing"",""นครนายก!J89"")+IMPORTRANGE(""https://docs.google.com/spreadsheets/d/1YTZo6WM2dQ6Ix6FSdnL5P7uVnVK"&amp;"u40sxZu975tgG10E/edit?usp=sharing"",""นครปฐม!J89"")+IMPORTRANGE(""https://docs.google.com/spreadsheets/d/1OYoGg4WDg5RIzwGeB10padOxJF9E_Vljuvvct_M7RDo/edit?usp=sharing"",""ปทุมธานี!J89"")+IMPORTRANGE(""https://docs.google.com/spreadsheets/d/1GbCIE4D4wk9FUo"&amp;"zzqk7SxfDMxDVBwVmI5zcaVUSzKAc/edit?usp=sharing"",""ประจวบคีรีขันธ์!J89"")+IMPORTRANGE(""https://docs.google.com/spreadsheets/d/1vVf6wykvW_lAyu7Yo9L4hUTqHqIeP_qcVuxCtosJEbg/edit?usp=sharing"",""ปราจีนบุรี!J89"")+IMPORTRANGE(""https://docs.google.com/spread"&amp;"sheets/d/1BIDqLLg5jk3v59G8NlR8rk5xfQDKne0sAvZHSj7TI6I/edit?usp=sharing"",""พระนครศรีอยุธยา!J89"")+IMPORTRANGE(""https://docs.google.com/spreadsheets/d/1YXvxf8Yu6_rV4hTBrwMqAcAnv6DfhUxh5emyM3CJp_w/edit?usp=sharing"",""เพชรบุรี!J89"")+IMPORTRANGE(""https://"&amp;"docs.google.com/spreadsheets/d/19KBlQQs7uwvsao6t2n-KvW3Ax8J8uRRfZPq1zPbXgKc/edit?usp=sharing"",""ระยอง!J89"")+IMPORTRANGE(""https://docs.google.com/spreadsheets/d/1jQ6P4QcrGM89YfqcC_PxOHGCMq5ezhucwJd8ci-NHng/edit?usp=sharing"",""ราชบุรี!J89"")+IMPORTRANGE"&amp;"(""https://docs.google.com/spreadsheets/d/1lufeA2cfFqM-elVq2hznhDzC6Pr7wkJ9ZG_sYNGCMCU/edit?usp=sharing"",""ลพบุรี!J89"")+IMPORTRANGE(""https://docs.google.com/spreadsheets/d/10oOiF7loTyfsTkbd4MpaIm0HQ9SwB7IYHdIUvt-U1Uc/edit?usp=sharing"",""สระแก้ว!J89"")"&amp;"+IMPORTRANGE(""https://docs.google.com/spreadsheets/d/1xmPlrr1QbdSIKvl1dWUl9K4PjAfSL9oeMr_37QVzcxc/edit?usp=sharing"",""สระบุรี!J89"")+IMPORTRANGE(""https://docs.google.com/spreadsheets/d/1j51vR6CYVGhABJpv6tkstgok82RLpXieLzW1yOY5rHw/edit?usp=sharing"",""ส"&amp;"ิงห์บุรี!J89"")+IMPORTRANGE(""https://docs.google.com/spreadsheets/d/1H1EalTWKUSzO4Z1-1CwzoDUaVffgrThEBe2sl74kKG0/edit?usp=sharing"",""สุพรรณบุรี!J89"")+IMPORTRANGE(""https://docs.google.com/spreadsheets/d/1BmIruG_sIrJLYao_Pdr7zVArWsfoBt2692TMi6x_854/edit"&amp;"?usp=sharing"",""อ่างทอง!J89"")"),0)</f>
        <v>0</v>
      </c>
      <c r="K89" s="242">
        <f t="shared" ca="1" si="68"/>
        <v>0</v>
      </c>
      <c r="L89" s="222"/>
      <c r="M89" s="222"/>
      <c r="N89" s="222"/>
      <c r="O89" s="222"/>
      <c r="P89" s="222"/>
      <c r="Q89" s="230"/>
      <c r="R89" s="231"/>
      <c r="S89" s="231"/>
      <c r="T89" s="231"/>
      <c r="U89" s="231"/>
    </row>
    <row r="90" spans="1:21" ht="18.75" x14ac:dyDescent="0.25">
      <c r="A90" s="224"/>
      <c r="B90" s="225"/>
      <c r="C90" s="225"/>
      <c r="D90" s="232" t="s">
        <v>43</v>
      </c>
      <c r="E90" s="233"/>
      <c r="F90" s="233"/>
      <c r="G90" s="229"/>
      <c r="H90" s="244" t="s">
        <v>34</v>
      </c>
      <c r="I90" s="243">
        <f ca="1">IFERROR(__xludf.DUMMYFUNCTION("IMPORTRANGE(""https://docs.google.com/spreadsheets/d/13wPX838HrBrQMCywv1BsuMkt4PEKTChp52zj44s2izQ/edit?usp=sharing"",""กาญจนบุรี!I90"")+IMPORTRANGE(""https://docs.google.com/spreadsheets/d/1ddFKvqj1W1NEiWytbGlB1zMx_ykJDVtmfEQ-6-lIUBA/edit?usp=sharing"","""&amp;"จันทบุรี!I90"")+IMPORTRANGE(""https://docs.google.com/spreadsheets/d/1T1PQvRODqOBZk8BRht_U031fIS1beLA0Ub2CEytj2q0/edit?usp=sharing"",""ฉะเชิงเทรา!I90"")+IMPORTRANGE(""https://docs.google.com/spreadsheets/d/11tr1B-Bhyr79v2bkwVh5h_fR-PStkgjlZtkrZpYurG0/edit"&amp;"?usp=sharing"",""ชลบุรี!I90"")+IMPORTRANGE(""https://docs.google.com/spreadsheets/d/1hh-FVnSX0vozXhGluamEcS54Dw9_zqW0N7qJUWgJ0Sw/edit?usp=sharing"",""ชัยนาท!I90"")+IMPORTRANGE(""https://docs.google.com/spreadsheets/d/1jkqa6GXxSacMcY1eN8AHjMNJ_7dDXMJVRLDla"&amp;"FSOdPM/edit?usp=sharing"",""ตราด!I90"")+IMPORTRANGE(""https://docs.google.com/spreadsheets/d/18hSgUJ3VwClqi_qtULmmW3cLr0oe3OKaSYoKzdpTsYQ/edit?usp=sharing"",""นครนายก!I90"")+IMPORTRANGE(""https://docs.google.com/spreadsheets/d/1YTZo6WM2dQ6Ix6FSdnL5P7uVnVK"&amp;"u40sxZu975tgG10E/edit?usp=sharing"",""นครปฐม!I90"")+IMPORTRANGE(""https://docs.google.com/spreadsheets/d/1OYoGg4WDg5RIzwGeB10padOxJF9E_Vljuvvct_M7RDo/edit?usp=sharing"",""ปทุมธานี!I90"")+IMPORTRANGE(""https://docs.google.com/spreadsheets/d/1GbCIE4D4wk9FUo"&amp;"zzqk7SxfDMxDVBwVmI5zcaVUSzKAc/edit?usp=sharing"",""ประจวบคีรีขันธ์!I90"")+IMPORTRANGE(""https://docs.google.com/spreadsheets/d/1vVf6wykvW_lAyu7Yo9L4hUTqHqIeP_qcVuxCtosJEbg/edit?usp=sharing"",""ปราจีนบุรี!I90"")+IMPORTRANGE(""https://docs.google.com/spread"&amp;"sheets/d/1BIDqLLg5jk3v59G8NlR8rk5xfQDKne0sAvZHSj7TI6I/edit?usp=sharing"",""พระนครศรีอยุธยา!I90"")+IMPORTRANGE(""https://docs.google.com/spreadsheets/d/1YXvxf8Yu6_rV4hTBrwMqAcAnv6DfhUxh5emyM3CJp_w/edit?usp=sharing"",""เพชรบุรี!I90"")+IMPORTRANGE(""https://"&amp;"docs.google.com/spreadsheets/d/19KBlQQs7uwvsao6t2n-KvW3Ax8J8uRRfZPq1zPbXgKc/edit?usp=sharing"",""ระยอง!I90"")+IMPORTRANGE(""https://docs.google.com/spreadsheets/d/1jQ6P4QcrGM89YfqcC_PxOHGCMq5ezhucwJd8ci-NHng/edit?usp=sharing"",""ราชบุรี!I90"")+IMPORTRANGE"&amp;"(""https://docs.google.com/spreadsheets/d/1lufeA2cfFqM-elVq2hznhDzC6Pr7wkJ9ZG_sYNGCMCU/edit?usp=sharing"",""ลพบุรี!I90"")+IMPORTRANGE(""https://docs.google.com/spreadsheets/d/10oOiF7loTyfsTkbd4MpaIm0HQ9SwB7IYHdIUvt-U1Uc/edit?usp=sharing"",""สระแก้ว!I90"")"&amp;"+IMPORTRANGE(""https://docs.google.com/spreadsheets/d/1xmPlrr1QbdSIKvl1dWUl9K4PjAfSL9oeMr_37QVzcxc/edit?usp=sharing"",""สระบุรี!I90"")+IMPORTRANGE(""https://docs.google.com/spreadsheets/d/1j51vR6CYVGhABJpv6tkstgok82RLpXieLzW1yOY5rHw/edit?usp=sharing"",""ส"&amp;"ิงห์บุรี!I90"")+IMPORTRANGE(""https://docs.google.com/spreadsheets/d/1H1EalTWKUSzO4Z1-1CwzoDUaVffgrThEBe2sl74kKG0/edit?usp=sharing"",""สุพรรณบุรี!I90"")+IMPORTRANGE(""https://docs.google.com/spreadsheets/d/1BmIruG_sIrJLYao_Pdr7zVArWsfoBt2692TMi6x_854/edit"&amp;"?usp=sharing"",""อ่างทอง!I90"")"),7)</f>
        <v>7</v>
      </c>
      <c r="J90" s="241">
        <f ca="1">IFERROR(__xludf.DUMMYFUNCTION("IMPORTRANGE(""https://docs.google.com/spreadsheets/d/13wPX838HrBrQMCywv1BsuMkt4PEKTChp52zj44s2izQ/edit?usp=sharing"",""กาญจนบุรี!J90"")+IMPORTRANGE(""https://docs.google.com/spreadsheets/d/1ddFKvqj1W1NEiWytbGlB1zMx_ykJDVtmfEQ-6-lIUBA/edit?usp=sharing"","""&amp;"จันทบุรี!J90"")+IMPORTRANGE(""https://docs.google.com/spreadsheets/d/1T1PQvRODqOBZk8BRht_U031fIS1beLA0Ub2CEytj2q0/edit?usp=sharing"",""ฉะเชิงเทรา!J90"")+IMPORTRANGE(""https://docs.google.com/spreadsheets/d/11tr1B-Bhyr79v2bkwVh5h_fR-PStkgjlZtkrZpYurG0/edit"&amp;"?usp=sharing"",""ชลบุรี!J90"")+IMPORTRANGE(""https://docs.google.com/spreadsheets/d/1hh-FVnSX0vozXhGluamEcS54Dw9_zqW0N7qJUWgJ0Sw/edit?usp=sharing"",""ชัยนาท!J90"")+IMPORTRANGE(""https://docs.google.com/spreadsheets/d/1jkqa6GXxSacMcY1eN8AHjMNJ_7dDXMJVRLDla"&amp;"FSOdPM/edit?usp=sharing"",""ตราด!J90"")+IMPORTRANGE(""https://docs.google.com/spreadsheets/d/18hSgUJ3VwClqi_qtULmmW3cLr0oe3OKaSYoKzdpTsYQ/edit?usp=sharing"",""นครนายก!J90"")+IMPORTRANGE(""https://docs.google.com/spreadsheets/d/1YTZo6WM2dQ6Ix6FSdnL5P7uVnVK"&amp;"u40sxZu975tgG10E/edit?usp=sharing"",""นครปฐม!J90"")+IMPORTRANGE(""https://docs.google.com/spreadsheets/d/1OYoGg4WDg5RIzwGeB10padOxJF9E_Vljuvvct_M7RDo/edit?usp=sharing"",""ปทุมธานี!J90"")+IMPORTRANGE(""https://docs.google.com/spreadsheets/d/1GbCIE4D4wk9FUo"&amp;"zzqk7SxfDMxDVBwVmI5zcaVUSzKAc/edit?usp=sharing"",""ประจวบคีรีขันธ์!J90"")+IMPORTRANGE(""https://docs.google.com/spreadsheets/d/1vVf6wykvW_lAyu7Yo9L4hUTqHqIeP_qcVuxCtosJEbg/edit?usp=sharing"",""ปราจีนบุรี!J90"")+IMPORTRANGE(""https://docs.google.com/spread"&amp;"sheets/d/1BIDqLLg5jk3v59G8NlR8rk5xfQDKne0sAvZHSj7TI6I/edit?usp=sharing"",""พระนครศรีอยุธยา!J90"")+IMPORTRANGE(""https://docs.google.com/spreadsheets/d/1YXvxf8Yu6_rV4hTBrwMqAcAnv6DfhUxh5emyM3CJp_w/edit?usp=sharing"",""เพชรบุรี!J90"")+IMPORTRANGE(""https://"&amp;"docs.google.com/spreadsheets/d/19KBlQQs7uwvsao6t2n-KvW3Ax8J8uRRfZPq1zPbXgKc/edit?usp=sharing"",""ระยอง!J90"")+IMPORTRANGE(""https://docs.google.com/spreadsheets/d/1jQ6P4QcrGM89YfqcC_PxOHGCMq5ezhucwJd8ci-NHng/edit?usp=sharing"",""ราชบุรี!J90"")+IMPORTRANGE"&amp;"(""https://docs.google.com/spreadsheets/d/1lufeA2cfFqM-elVq2hznhDzC6Pr7wkJ9ZG_sYNGCMCU/edit?usp=sharing"",""ลพบุรี!J90"")+IMPORTRANGE(""https://docs.google.com/spreadsheets/d/10oOiF7loTyfsTkbd4MpaIm0HQ9SwB7IYHdIUvt-U1Uc/edit?usp=sharing"",""สระแก้ว!J90"")"&amp;"+IMPORTRANGE(""https://docs.google.com/spreadsheets/d/1xmPlrr1QbdSIKvl1dWUl9K4PjAfSL9oeMr_37QVzcxc/edit?usp=sharing"",""สระบุรี!J90"")+IMPORTRANGE(""https://docs.google.com/spreadsheets/d/1j51vR6CYVGhABJpv6tkstgok82RLpXieLzW1yOY5rHw/edit?usp=sharing"",""ส"&amp;"ิงห์บุรี!J90"")+IMPORTRANGE(""https://docs.google.com/spreadsheets/d/1H1EalTWKUSzO4Z1-1CwzoDUaVffgrThEBe2sl74kKG0/edit?usp=sharing"",""สุพรรณบุรี!J90"")+IMPORTRANGE(""https://docs.google.com/spreadsheets/d/1BmIruG_sIrJLYao_Pdr7zVArWsfoBt2692TMi6x_854/edit"&amp;"?usp=sharing"",""อ่างทอง!J90"")"),1)</f>
        <v>1</v>
      </c>
      <c r="K90" s="242">
        <f t="shared" ca="1" si="68"/>
        <v>14.285714285714286</v>
      </c>
      <c r="L90" s="222"/>
      <c r="M90" s="222"/>
      <c r="N90" s="222"/>
      <c r="O90" s="222"/>
      <c r="P90" s="222"/>
      <c r="Q90" s="230"/>
      <c r="R90" s="231"/>
      <c r="S90" s="231"/>
      <c r="T90" s="231"/>
      <c r="U90" s="231"/>
    </row>
    <row r="91" spans="1:21" ht="19.5" x14ac:dyDescent="0.3">
      <c r="A91" s="245" t="s">
        <v>44</v>
      </c>
      <c r="B91" s="246"/>
      <c r="C91" s="247"/>
      <c r="D91" s="246"/>
      <c r="E91" s="246"/>
      <c r="F91" s="246"/>
      <c r="G91" s="248"/>
      <c r="H91" s="249"/>
      <c r="I91" s="250"/>
      <c r="J91" s="250"/>
      <c r="K91" s="251"/>
      <c r="L91" s="251"/>
      <c r="M91" s="251"/>
      <c r="N91" s="251"/>
      <c r="O91" s="251"/>
      <c r="P91" s="251"/>
      <c r="Q91" s="202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t="shared" ref="I92:J92" ca="1" si="70">I108</f>
        <v>381</v>
      </c>
      <c r="J92" s="258">
        <f t="shared" ca="1" si="70"/>
        <v>102</v>
      </c>
      <c r="K92" s="62">
        <f t="shared" ref="K92:K93" ca="1" si="71">IF(I92&gt;0,J92*100/I92,0)</f>
        <v>26.771653543307085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t="shared" ref="I93:J93" ca="1" si="72">I109</f>
        <v>127</v>
      </c>
      <c r="J93" s="258">
        <f t="shared" ca="1" si="72"/>
        <v>34</v>
      </c>
      <c r="K93" s="62">
        <f t="shared" ca="1" si="71"/>
        <v>26.771653543307085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t="shared" ref="L94:N94" ca="1" si="73">L95+L96</f>
        <v>205600</v>
      </c>
      <c r="M94" s="266">
        <f t="shared" ca="1" si="73"/>
        <v>144420</v>
      </c>
      <c r="N94" s="266">
        <f t="shared" ca="1" si="73"/>
        <v>137174.5</v>
      </c>
      <c r="O94" s="266">
        <f t="shared" ref="O94:O102" ca="1" si="74">IF(L94&gt;0,N94*100/L94,0)</f>
        <v>66.719114785992218</v>
      </c>
      <c r="P94" s="266">
        <f t="shared" ref="P94:P102" ca="1" si="75">IF(M94&gt;0,N94*100/M94,0)</f>
        <v>94.983035590638423</v>
      </c>
      <c r="Q94" s="216">
        <f t="shared" ref="Q94:S94" ca="1" si="76">Q95+Q96</f>
        <v>985954</v>
      </c>
      <c r="R94" s="217">
        <f t="shared" ca="1" si="76"/>
        <v>985954</v>
      </c>
      <c r="S94" s="217">
        <f t="shared" ca="1" si="76"/>
        <v>143390</v>
      </c>
      <c r="T94" s="217">
        <f t="shared" ref="T94:T102" ca="1" si="77">IF(Q94&gt;0,S94*100/Q94,0)</f>
        <v>14.543274838379883</v>
      </c>
      <c r="U94" s="217">
        <f t="shared" ref="U94:U102" ca="1" si="78">IF(R94&gt;0,S94*100/R94,0)</f>
        <v>14.543274838379883</v>
      </c>
    </row>
    <row r="95" spans="1:21" ht="18.75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 t="shared" ref="L95:N95" ca="1" si="79">L98+L101</f>
        <v>0</v>
      </c>
      <c r="M95" s="80">
        <f t="shared" ca="1" si="79"/>
        <v>0</v>
      </c>
      <c r="N95" s="80">
        <f t="shared" ca="1" si="79"/>
        <v>0</v>
      </c>
      <c r="O95" s="80">
        <f t="shared" ca="1" si="74"/>
        <v>0</v>
      </c>
      <c r="P95" s="80">
        <f t="shared" ca="1" si="75"/>
        <v>0</v>
      </c>
      <c r="Q95" s="219">
        <f t="shared" ref="Q95:S95" ca="1" si="80">Q98+Q101</f>
        <v>0</v>
      </c>
      <c r="R95" s="136">
        <f t="shared" ca="1" si="80"/>
        <v>0</v>
      </c>
      <c r="S95" s="136">
        <f t="shared" ca="1" si="80"/>
        <v>0</v>
      </c>
      <c r="T95" s="136">
        <f t="shared" ca="1" si="77"/>
        <v>0</v>
      </c>
      <c r="U95" s="136">
        <f t="shared" ca="1" si="78"/>
        <v>0</v>
      </c>
    </row>
    <row r="96" spans="1:21" ht="18.75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t="shared" ref="L96:N96" ca="1" si="81">L99+L102</f>
        <v>205600</v>
      </c>
      <c r="M96" s="77">
        <f t="shared" ca="1" si="81"/>
        <v>144420</v>
      </c>
      <c r="N96" s="77">
        <f t="shared" ca="1" si="81"/>
        <v>137174.5</v>
      </c>
      <c r="O96" s="77">
        <f t="shared" ca="1" si="74"/>
        <v>66.719114785992218</v>
      </c>
      <c r="P96" s="77">
        <f t="shared" ca="1" si="75"/>
        <v>94.983035590638423</v>
      </c>
      <c r="Q96" s="134">
        <f t="shared" ref="Q96:S96" ca="1" si="82">Q99+Q102</f>
        <v>985954</v>
      </c>
      <c r="R96" s="135">
        <f t="shared" ca="1" si="82"/>
        <v>985954</v>
      </c>
      <c r="S96" s="135">
        <f t="shared" ca="1" si="82"/>
        <v>143390</v>
      </c>
      <c r="T96" s="135">
        <f t="shared" ca="1" si="77"/>
        <v>14.543274838379883</v>
      </c>
      <c r="U96" s="135">
        <f t="shared" ca="1" si="78"/>
        <v>14.543274838379883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t="shared" ref="L97:N97" ca="1" si="83">L98+L99</f>
        <v>205600</v>
      </c>
      <c r="M97" s="77">
        <f t="shared" ca="1" si="83"/>
        <v>144420</v>
      </c>
      <c r="N97" s="77">
        <f t="shared" ca="1" si="83"/>
        <v>137174.5</v>
      </c>
      <c r="O97" s="77">
        <f t="shared" ca="1" si="74"/>
        <v>66.719114785992218</v>
      </c>
      <c r="P97" s="77">
        <f t="shared" ca="1" si="75"/>
        <v>94.983035590638423</v>
      </c>
      <c r="Q97" s="134">
        <f t="shared" ref="Q97:S97" ca="1" si="84">Q98+Q99</f>
        <v>985954</v>
      </c>
      <c r="R97" s="135">
        <f t="shared" ca="1" si="84"/>
        <v>985954</v>
      </c>
      <c r="S97" s="135">
        <f t="shared" ca="1" si="84"/>
        <v>143390</v>
      </c>
      <c r="T97" s="135">
        <f t="shared" ca="1" si="77"/>
        <v>14.543274838379883</v>
      </c>
      <c r="U97" s="135">
        <f t="shared" ca="1" si="78"/>
        <v>14.543274838379883</v>
      </c>
    </row>
    <row r="98" spans="1:21" ht="18.75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f ca="1">IFERROR(__xludf.DUMMYFUNCTION("IMPORTRANGE(""https://docs.google.com/spreadsheets/d/13wPX838HrBrQMCywv1BsuMkt4PEKTChp52zj44s2izQ/edit?usp=sharing"",""กาญจนบุรี!L98"")+IMPORTRANGE(""https://docs.google.com/spreadsheets/d/1ddFKvqj1W1NEiWytbGlB1zMx_ykJDVtmfEQ-6-lIUBA/edit?usp=sharing"","""&amp;"จันทบุรี!L98"")+IMPORTRANGE(""https://docs.google.com/spreadsheets/d/1T1PQvRODqOBZk8BRht_U031fIS1beLA0Ub2CEytj2q0/edit?usp=sharing"",""ฉะเชิงเทรา!L98"")+IMPORTRANGE(""https://docs.google.com/spreadsheets/d/11tr1B-Bhyr79v2bkwVh5h_fR-PStkgjlZtkrZpYurG0/edit"&amp;"?usp=sharing"",""ชลบุรี!L98"")+IMPORTRANGE(""https://docs.google.com/spreadsheets/d/1hh-FVnSX0vozXhGluamEcS54Dw9_zqW0N7qJUWgJ0Sw/edit?usp=sharing"",""ชัยนาท!L98"")+IMPORTRANGE(""https://docs.google.com/spreadsheets/d/1jkqa6GXxSacMcY1eN8AHjMNJ_7dDXMJVRLDla"&amp;"FSOdPM/edit?usp=sharing"",""ตราด!L98"")+IMPORTRANGE(""https://docs.google.com/spreadsheets/d/18hSgUJ3VwClqi_qtULmmW3cLr0oe3OKaSYoKzdpTsYQ/edit?usp=sharing"",""นครนายก!L98"")+IMPORTRANGE(""https://docs.google.com/spreadsheets/d/1YTZo6WM2dQ6Ix6FSdnL5P7uVnVK"&amp;"u40sxZu975tgG10E/edit?usp=sharing"",""นครปฐม!L98"")+IMPORTRANGE(""https://docs.google.com/spreadsheets/d/1OYoGg4WDg5RIzwGeB10padOxJF9E_Vljuvvct_M7RDo/edit?usp=sharing"",""ปทุมธานี!L98"")+IMPORTRANGE(""https://docs.google.com/spreadsheets/d/1GbCIE4D4wk9FUo"&amp;"zzqk7SxfDMxDVBwVmI5zcaVUSzKAc/edit?usp=sharing"",""ประจวบคีรีขันธ์!L98"")+IMPORTRANGE(""https://docs.google.com/spreadsheets/d/1vVf6wykvW_lAyu7Yo9L4hUTqHqIeP_qcVuxCtosJEbg/edit?usp=sharing"",""ปราจีนบุรี!L98"")+IMPORTRANGE(""https://docs.google.com/spread"&amp;"sheets/d/1BIDqLLg5jk3v59G8NlR8rk5xfQDKne0sAvZHSj7TI6I/edit?usp=sharing"",""พระนครศรีอยุธยา!L98"")+IMPORTRANGE(""https://docs.google.com/spreadsheets/d/1YXvxf8Yu6_rV4hTBrwMqAcAnv6DfhUxh5emyM3CJp_w/edit?usp=sharing"",""เพชรบุรี!L98"")+IMPORTRANGE(""https://"&amp;"docs.google.com/spreadsheets/d/19KBlQQs7uwvsao6t2n-KvW3Ax8J8uRRfZPq1zPbXgKc/edit?usp=sharing"",""ระยอง!L98"")+IMPORTRANGE(""https://docs.google.com/spreadsheets/d/1jQ6P4QcrGM89YfqcC_PxOHGCMq5ezhucwJd8ci-NHng/edit?usp=sharing"",""ราชบุรี!L98"")+IMPORTRANGE"&amp;"(""https://docs.google.com/spreadsheets/d/1lufeA2cfFqM-elVq2hznhDzC6Pr7wkJ9ZG_sYNGCMCU/edit?usp=sharing"",""ลพบุรี!L98"")+IMPORTRANGE(""https://docs.google.com/spreadsheets/d/10oOiF7loTyfsTkbd4MpaIm0HQ9SwB7IYHdIUvt-U1Uc/edit?usp=sharing"",""สระแก้ว!L98"")"&amp;"+IMPORTRANGE(""https://docs.google.com/spreadsheets/d/1xmPlrr1QbdSIKvl1dWUl9K4PjAfSL9oeMr_37QVzcxc/edit?usp=sharing"",""สระบุรี!L98"")+IMPORTRANGE(""https://docs.google.com/spreadsheets/d/1j51vR6CYVGhABJpv6tkstgok82RLpXieLzW1yOY5rHw/edit?usp=sharing"",""ส"&amp;"ิงห์บุรี!L98"")+IMPORTRANGE(""https://docs.google.com/spreadsheets/d/1H1EalTWKUSzO4Z1-1CwzoDUaVffgrThEBe2sl74kKG0/edit?usp=sharing"",""สุพรรณบุรี!L98"")+IMPORTRANGE(""https://docs.google.com/spreadsheets/d/1BmIruG_sIrJLYao_Pdr7zVArWsfoBt2692TMi6x_854/edit"&amp;"?usp=sharing"",""อ่างทอง!L98"")"),0)</f>
        <v>0</v>
      </c>
      <c r="M98" s="80">
        <f ca="1">IFERROR(__xludf.DUMMYFUNCTION("IMPORTRANGE(""https://docs.google.com/spreadsheets/d/13wPX838HrBrQMCywv1BsuMkt4PEKTChp52zj44s2izQ/edit?usp=sharing"",""กาญจนบุรี!M98"")+IMPORTRANGE(""https://docs.google.com/spreadsheets/d/1ddFKvqj1W1NEiWytbGlB1zMx_ykJDVtmfEQ-6-lIUBA/edit?usp=sharing"","""&amp;"จันทบุรี!M98"")+IMPORTRANGE(""https://docs.google.com/spreadsheets/d/1T1PQvRODqOBZk8BRht_U031fIS1beLA0Ub2CEytj2q0/edit?usp=sharing"",""ฉะเชิงเทรา!M98"")+IMPORTRANGE(""https://docs.google.com/spreadsheets/d/11tr1B-Bhyr79v2bkwVh5h_fR-PStkgjlZtkrZpYurG0/edit"&amp;"?usp=sharing"",""ชลบุรี!M98"")+IMPORTRANGE(""https://docs.google.com/spreadsheets/d/1hh-FVnSX0vozXhGluamEcS54Dw9_zqW0N7qJUWgJ0Sw/edit?usp=sharing"",""ชัยนาท!M98"")+IMPORTRANGE(""https://docs.google.com/spreadsheets/d/1jkqa6GXxSacMcY1eN8AHjMNJ_7dDXMJVRLDla"&amp;"FSOdPM/edit?usp=sharing"",""ตราด!M98"")+IMPORTRANGE(""https://docs.google.com/spreadsheets/d/18hSgUJ3VwClqi_qtULmmW3cLr0oe3OKaSYoKzdpTsYQ/edit?usp=sharing"",""นครนายก!M98"")+IMPORTRANGE(""https://docs.google.com/spreadsheets/d/1YTZo6WM2dQ6Ix6FSdnL5P7uVnVK"&amp;"u40sxZu975tgG10E/edit?usp=sharing"",""นครปฐม!M98"")+IMPORTRANGE(""https://docs.google.com/spreadsheets/d/1OYoGg4WDg5RIzwGeB10padOxJF9E_Vljuvvct_M7RDo/edit?usp=sharing"",""ปทุมธานี!M98"")+IMPORTRANGE(""https://docs.google.com/spreadsheets/d/1GbCIE4D4wk9FUo"&amp;"zzqk7SxfDMxDVBwVmI5zcaVUSzKAc/edit?usp=sharing"",""ประจวบคีรีขันธ์!M98"")+IMPORTRANGE(""https://docs.google.com/spreadsheets/d/1vVf6wykvW_lAyu7Yo9L4hUTqHqIeP_qcVuxCtosJEbg/edit?usp=sharing"",""ปราจีนบุรี!M98"")+IMPORTRANGE(""https://docs.google.com/spread"&amp;"sheets/d/1BIDqLLg5jk3v59G8NlR8rk5xfQDKne0sAvZHSj7TI6I/edit?usp=sharing"",""พระนครศรีอยุธยา!M98"")+IMPORTRANGE(""https://docs.google.com/spreadsheets/d/1YXvxf8Yu6_rV4hTBrwMqAcAnv6DfhUxh5emyM3CJp_w/edit?usp=sharing"",""เพชรบุรี!M98"")+IMPORTRANGE(""https://"&amp;"docs.google.com/spreadsheets/d/19KBlQQs7uwvsao6t2n-KvW3Ax8J8uRRfZPq1zPbXgKc/edit?usp=sharing"",""ระยอง!M98"")+IMPORTRANGE(""https://docs.google.com/spreadsheets/d/1jQ6P4QcrGM89YfqcC_PxOHGCMq5ezhucwJd8ci-NHng/edit?usp=sharing"",""ราชบุรี!M98"")+IMPORTRANGE"&amp;"(""https://docs.google.com/spreadsheets/d/1lufeA2cfFqM-elVq2hznhDzC6Pr7wkJ9ZG_sYNGCMCU/edit?usp=sharing"",""ลพบุรี!M98"")+IMPORTRANGE(""https://docs.google.com/spreadsheets/d/10oOiF7loTyfsTkbd4MpaIm0HQ9SwB7IYHdIUvt-U1Uc/edit?usp=sharing"",""สระแก้ว!M98"")"&amp;"+IMPORTRANGE(""https://docs.google.com/spreadsheets/d/1xmPlrr1QbdSIKvl1dWUl9K4PjAfSL9oeMr_37QVzcxc/edit?usp=sharing"",""สระบุรี!M98"")+IMPORTRANGE(""https://docs.google.com/spreadsheets/d/1j51vR6CYVGhABJpv6tkstgok82RLpXieLzW1yOY5rHw/edit?usp=sharing"",""ส"&amp;"ิงห์บุรี!M98"")+IMPORTRANGE(""https://docs.google.com/spreadsheets/d/1H1EalTWKUSzO4Z1-1CwzoDUaVffgrThEBe2sl74kKG0/edit?usp=sharing"",""สุพรรณบุรี!M98"")+IMPORTRANGE(""https://docs.google.com/spreadsheets/d/1BmIruG_sIrJLYao_Pdr7zVArWsfoBt2692TMi6x_854/edit"&amp;"?usp=sharing"",""อ่างทอง!M98"")"),0)</f>
        <v>0</v>
      </c>
      <c r="N98" s="80">
        <f ca="1">IFERROR(__xludf.DUMMYFUNCTION("IMPORTRANGE(""https://docs.google.com/spreadsheets/d/13wPX838HrBrQMCywv1BsuMkt4PEKTChp52zj44s2izQ/edit?usp=sharing"",""กาญจนบุรี!N98"")+IMPORTRANGE(""https://docs.google.com/spreadsheets/d/1ddFKvqj1W1NEiWytbGlB1zMx_ykJDVtmfEQ-6-lIUBA/edit?usp=sharing"","""&amp;"จันทบุรี!N98"")+IMPORTRANGE(""https://docs.google.com/spreadsheets/d/1T1PQvRODqOBZk8BRht_U031fIS1beLA0Ub2CEytj2q0/edit?usp=sharing"",""ฉะเชิงเทรา!N98"")+IMPORTRANGE(""https://docs.google.com/spreadsheets/d/11tr1B-Bhyr79v2bkwVh5h_fR-PStkgjlZtkrZpYurG0/edit"&amp;"?usp=sharing"",""ชลบุรี!N98"")+IMPORTRANGE(""https://docs.google.com/spreadsheets/d/1hh-FVnSX0vozXhGluamEcS54Dw9_zqW0N7qJUWgJ0Sw/edit?usp=sharing"",""ชัยนาท!N98"")+IMPORTRANGE(""https://docs.google.com/spreadsheets/d/1jkqa6GXxSacMcY1eN8AHjMNJ_7dDXMJVRLDla"&amp;"FSOdPM/edit?usp=sharing"",""ตราด!N98"")+IMPORTRANGE(""https://docs.google.com/spreadsheets/d/18hSgUJ3VwClqi_qtULmmW3cLr0oe3OKaSYoKzdpTsYQ/edit?usp=sharing"",""นครนายก!N98"")+IMPORTRANGE(""https://docs.google.com/spreadsheets/d/1YTZo6WM2dQ6Ix6FSdnL5P7uVnVK"&amp;"u40sxZu975tgG10E/edit?usp=sharing"",""นครปฐม!N98"")+IMPORTRANGE(""https://docs.google.com/spreadsheets/d/1OYoGg4WDg5RIzwGeB10padOxJF9E_Vljuvvct_M7RDo/edit?usp=sharing"",""ปทุมธานี!N98"")+IMPORTRANGE(""https://docs.google.com/spreadsheets/d/1GbCIE4D4wk9FUo"&amp;"zzqk7SxfDMxDVBwVmI5zcaVUSzKAc/edit?usp=sharing"",""ประจวบคีรีขันธ์!N98"")+IMPORTRANGE(""https://docs.google.com/spreadsheets/d/1vVf6wykvW_lAyu7Yo9L4hUTqHqIeP_qcVuxCtosJEbg/edit?usp=sharing"",""ปราจีนบุรี!N98"")+IMPORTRANGE(""https://docs.google.com/spread"&amp;"sheets/d/1BIDqLLg5jk3v59G8NlR8rk5xfQDKne0sAvZHSj7TI6I/edit?usp=sharing"",""พระนครศรีอยุธยา!N98"")+IMPORTRANGE(""https://docs.google.com/spreadsheets/d/1YXvxf8Yu6_rV4hTBrwMqAcAnv6DfhUxh5emyM3CJp_w/edit?usp=sharing"",""เพชรบุรี!N98"")+IMPORTRANGE(""https://"&amp;"docs.google.com/spreadsheets/d/19KBlQQs7uwvsao6t2n-KvW3Ax8J8uRRfZPq1zPbXgKc/edit?usp=sharing"",""ระยอง!N98"")+IMPORTRANGE(""https://docs.google.com/spreadsheets/d/1jQ6P4QcrGM89YfqcC_PxOHGCMq5ezhucwJd8ci-NHng/edit?usp=sharing"",""ราชบุรี!N98"")+IMPORTRANGE"&amp;"(""https://docs.google.com/spreadsheets/d/1lufeA2cfFqM-elVq2hznhDzC6Pr7wkJ9ZG_sYNGCMCU/edit?usp=sharing"",""ลพบุรี!N98"")+IMPORTRANGE(""https://docs.google.com/spreadsheets/d/10oOiF7loTyfsTkbd4MpaIm0HQ9SwB7IYHdIUvt-U1Uc/edit?usp=sharing"",""สระแก้ว!N98"")"&amp;"+IMPORTRANGE(""https://docs.google.com/spreadsheets/d/1xmPlrr1QbdSIKvl1dWUl9K4PjAfSL9oeMr_37QVzcxc/edit?usp=sharing"",""สระบุรี!N98"")+IMPORTRANGE(""https://docs.google.com/spreadsheets/d/1j51vR6CYVGhABJpv6tkstgok82RLpXieLzW1yOY5rHw/edit?usp=sharing"",""ส"&amp;"ิงห์บุรี!N98"")+IMPORTRANGE(""https://docs.google.com/spreadsheets/d/1H1EalTWKUSzO4Z1-1CwzoDUaVffgrThEBe2sl74kKG0/edit?usp=sharing"",""สุพรรณบุรี!N98"")+IMPORTRANGE(""https://docs.google.com/spreadsheets/d/1BmIruG_sIrJLYao_Pdr7zVArWsfoBt2692TMi6x_854/edit"&amp;"?usp=sharing"",""อ่างทอง!N98"")"),0)</f>
        <v>0</v>
      </c>
      <c r="O98" s="80">
        <f t="shared" ca="1" si="74"/>
        <v>0</v>
      </c>
      <c r="P98" s="80">
        <f t="shared" ca="1" si="75"/>
        <v>0</v>
      </c>
      <c r="Q98" s="79">
        <f ca="1">IFERROR(__xludf.DUMMYFUNCTION("IMPORTRANGE(""https://docs.google.com/spreadsheets/d/13wPX838HrBrQMCywv1BsuMkt4PEKTChp52zj44s2izQ/edit?usp=sharing"",""กาญจนบุรี!Q98"")+IMPORTRANGE(""https://docs.google.com/spreadsheets/d/1ddFKvqj1W1NEiWytbGlB1zMx_ykJDVtmfEQ-6-lIUBA/edit?usp=sharing"","""&amp;"จันทบุรี!Q98"")+IMPORTRANGE(""https://docs.google.com/spreadsheets/d/1T1PQvRODqOBZk8BRht_U031fIS1beLA0Ub2CEytj2q0/edit?usp=sharing"",""ฉะเชิงเทรา!Q98"")+IMPORTRANGE(""https://docs.google.com/spreadsheets/d/11tr1B-Bhyr79v2bkwVh5h_fR-PStkgjlZtkrZpYurG0/edit"&amp;"?usp=sharing"",""ชลบุรี!Q98"")+IMPORTRANGE(""https://docs.google.com/spreadsheets/d/1hh-FVnSX0vozXhGluamEcS54Dw9_zqW0N7qJUWgJ0Sw/edit?usp=sharing"",""ชัยนาท!Q98"")+IMPORTRANGE(""https://docs.google.com/spreadsheets/d/1jkqa6GXxSacMcY1eN8AHjMNJ_7dDXMJVRLDla"&amp;"FSOdPM/edit?usp=sharing"",""ตราด!Q98"")+IMPORTRANGE(""https://docs.google.com/spreadsheets/d/18hSgUJ3VwClqi_qtULmmW3cLr0oe3OKaSYoKzdpTsYQ/edit?usp=sharing"",""นครนายก!Q98"")+IMPORTRANGE(""https://docs.google.com/spreadsheets/d/1YTZo6WM2dQ6Ix6FSdnL5P7uVnVK"&amp;"u40sxZu975tgG10E/edit?usp=sharing"",""นครปฐม!Q98"")+IMPORTRANGE(""https://docs.google.com/spreadsheets/d/1OYoGg4WDg5RIzwGeB10padOxJF9E_Vljuvvct_M7RDo/edit?usp=sharing"",""ปทุมธานี!Q98"")+IMPORTRANGE(""https://docs.google.com/spreadsheets/d/1GbCIE4D4wk9FUo"&amp;"zzqk7SxfDMxDVBwVmI5zcaVUSzKAc/edit?usp=sharing"",""ประจวบคีรีขันธ์!Q98"")+IMPORTRANGE(""https://docs.google.com/spreadsheets/d/1vVf6wykvW_lAyu7Yo9L4hUTqHqIeP_qcVuxCtosJEbg/edit?usp=sharing"",""ปราจีนบุรี!Q98"")+IMPORTRANGE(""https://docs.google.com/spread"&amp;"sheets/d/1BIDqLLg5jk3v59G8NlR8rk5xfQDKne0sAvZHSj7TI6I/edit?usp=sharing"",""พระนครศรีอยุธยา!Q98"")+IMPORTRANGE(""https://docs.google.com/spreadsheets/d/1YXvxf8Yu6_rV4hTBrwMqAcAnv6DfhUxh5emyM3CJp_w/edit?usp=sharing"",""เพชรบุรี!Q98"")+IMPORTRANGE(""https://"&amp;"docs.google.com/spreadsheets/d/19KBlQQs7uwvsao6t2n-KvW3Ax8J8uRRfZPq1zPbXgKc/edit?usp=sharing"",""ระยอง!Q98"")+IMPORTRANGE(""https://docs.google.com/spreadsheets/d/1jQ6P4QcrGM89YfqcC_PxOHGCMq5ezhucwJd8ci-NHng/edit?usp=sharing"",""ราชบุรี!Q98"")+IMPORTRANGE"&amp;"(""https://docs.google.com/spreadsheets/d/1lufeA2cfFqM-elVq2hznhDzC6Pr7wkJ9ZG_sYNGCMCU/edit?usp=sharing"",""ลพบุรี!Q98"")+IMPORTRANGE(""https://docs.google.com/spreadsheets/d/10oOiF7loTyfsTkbd4MpaIm0HQ9SwB7IYHdIUvt-U1Uc/edit?usp=sharing"",""สระแก้ว!Q98"")"&amp;"+IMPORTRANGE(""https://docs.google.com/spreadsheets/d/1xmPlrr1QbdSIKvl1dWUl9K4PjAfSL9oeMr_37QVzcxc/edit?usp=sharing"",""สระบุรี!Q98"")+IMPORTRANGE(""https://docs.google.com/spreadsheets/d/1j51vR6CYVGhABJpv6tkstgok82RLpXieLzW1yOY5rHw/edit?usp=sharing"",""ส"&amp;"ิงห์บุรี!Q98"")+IMPORTRANGE(""https://docs.google.com/spreadsheets/d/1H1EalTWKUSzO4Z1-1CwzoDUaVffgrThEBe2sl74kKG0/edit?usp=sharing"",""สุพรรณบุรี!Q98"")+IMPORTRANGE(""https://docs.google.com/spreadsheets/d/1BmIruG_sIrJLYao_Pdr7zVArWsfoBt2692TMi6x_854/edit"&amp;"?usp=sharing"",""อ่างทอง!Q98"")"),0)</f>
        <v>0</v>
      </c>
      <c r="R98" s="80">
        <f ca="1">IFERROR(__xludf.DUMMYFUNCTION("IMPORTRANGE(""https://docs.google.com/spreadsheets/d/13wPX838HrBrQMCywv1BsuMkt4PEKTChp52zj44s2izQ/edit?usp=sharing"",""กาญจนบุรี!R98"")+IMPORTRANGE(""https://docs.google.com/spreadsheets/d/1ddFKvqj1W1NEiWytbGlB1zMx_ykJDVtmfEQ-6-lIUBA/edit?usp=sharing"","""&amp;"จันทบุรี!R98"")+IMPORTRANGE(""https://docs.google.com/spreadsheets/d/1T1PQvRODqOBZk8BRht_U031fIS1beLA0Ub2CEytj2q0/edit?usp=sharing"",""ฉะเชิงเทรา!R98"")+IMPORTRANGE(""https://docs.google.com/spreadsheets/d/11tr1B-Bhyr79v2bkwVh5h_fR-PStkgjlZtkrZpYurG0/edit"&amp;"?usp=sharing"",""ชลบุรี!R98"")+IMPORTRANGE(""https://docs.google.com/spreadsheets/d/1hh-FVnSX0vozXhGluamEcS54Dw9_zqW0N7qJUWgJ0Sw/edit?usp=sharing"",""ชัยนาท!R98"")+IMPORTRANGE(""https://docs.google.com/spreadsheets/d/1jkqa6GXxSacMcY1eN8AHjMNJ_7dDXMJVRLDla"&amp;"FSOdPM/edit?usp=sharing"",""ตราด!R98"")+IMPORTRANGE(""https://docs.google.com/spreadsheets/d/18hSgUJ3VwClqi_qtULmmW3cLr0oe3OKaSYoKzdpTsYQ/edit?usp=sharing"",""นครนายก!R98"")+IMPORTRANGE(""https://docs.google.com/spreadsheets/d/1YTZo6WM2dQ6Ix6FSdnL5P7uVnVK"&amp;"u40sxZu975tgG10E/edit?usp=sharing"",""นครปฐม!R98"")+IMPORTRANGE(""https://docs.google.com/spreadsheets/d/1OYoGg4WDg5RIzwGeB10padOxJF9E_Vljuvvct_M7RDo/edit?usp=sharing"",""ปทุมธานี!R98"")+IMPORTRANGE(""https://docs.google.com/spreadsheets/d/1GbCIE4D4wk9FUo"&amp;"zzqk7SxfDMxDVBwVmI5zcaVUSzKAc/edit?usp=sharing"",""ประจวบคีรีขันธ์!R98"")+IMPORTRANGE(""https://docs.google.com/spreadsheets/d/1vVf6wykvW_lAyu7Yo9L4hUTqHqIeP_qcVuxCtosJEbg/edit?usp=sharing"",""ปราจีนบุรี!R98"")+IMPORTRANGE(""https://docs.google.com/spread"&amp;"sheets/d/1BIDqLLg5jk3v59G8NlR8rk5xfQDKne0sAvZHSj7TI6I/edit?usp=sharing"",""พระนครศรีอยุธยา!R98"")+IMPORTRANGE(""https://docs.google.com/spreadsheets/d/1YXvxf8Yu6_rV4hTBrwMqAcAnv6DfhUxh5emyM3CJp_w/edit?usp=sharing"",""เพชรบุรี!R98"")+IMPORTRANGE(""https://"&amp;"docs.google.com/spreadsheets/d/19KBlQQs7uwvsao6t2n-KvW3Ax8J8uRRfZPq1zPbXgKc/edit?usp=sharing"",""ระยอง!R98"")+IMPORTRANGE(""https://docs.google.com/spreadsheets/d/1jQ6P4QcrGM89YfqcC_PxOHGCMq5ezhucwJd8ci-NHng/edit?usp=sharing"",""ราชบุรี!R98"")+IMPORTRANGE"&amp;"(""https://docs.google.com/spreadsheets/d/1lufeA2cfFqM-elVq2hznhDzC6Pr7wkJ9ZG_sYNGCMCU/edit?usp=sharing"",""ลพบุรี!R98"")+IMPORTRANGE(""https://docs.google.com/spreadsheets/d/10oOiF7loTyfsTkbd4MpaIm0HQ9SwB7IYHdIUvt-U1Uc/edit?usp=sharing"",""สระแก้ว!R98"")"&amp;"+IMPORTRANGE(""https://docs.google.com/spreadsheets/d/1xmPlrr1QbdSIKvl1dWUl9K4PjAfSL9oeMr_37QVzcxc/edit?usp=sharing"",""สระบุรี!R98"")+IMPORTRANGE(""https://docs.google.com/spreadsheets/d/1j51vR6CYVGhABJpv6tkstgok82RLpXieLzW1yOY5rHw/edit?usp=sharing"",""ส"&amp;"ิงห์บุรี!R98"")+IMPORTRANGE(""https://docs.google.com/spreadsheets/d/1H1EalTWKUSzO4Z1-1CwzoDUaVffgrThEBe2sl74kKG0/edit?usp=sharing"",""สุพรรณบุรี!R98"")+IMPORTRANGE(""https://docs.google.com/spreadsheets/d/1BmIruG_sIrJLYao_Pdr7zVArWsfoBt2692TMi6x_854/edit"&amp;"?usp=sharing"",""อ่างทอง!R98"")"),0)</f>
        <v>0</v>
      </c>
      <c r="S98" s="80">
        <f ca="1">IFERROR(__xludf.DUMMYFUNCTION("IMPORTRANGE(""https://docs.google.com/spreadsheets/d/13wPX838HrBrQMCywv1BsuMkt4PEKTChp52zj44s2izQ/edit?usp=sharing"",""กาญจนบุรี!S98"")+IMPORTRANGE(""https://docs.google.com/spreadsheets/d/1ddFKvqj1W1NEiWytbGlB1zMx_ykJDVtmfEQ-6-lIUBA/edit?usp=sharing"","""&amp;"จันทบุรี!S98"")+IMPORTRANGE(""https://docs.google.com/spreadsheets/d/1T1PQvRODqOBZk8BRht_U031fIS1beLA0Ub2CEytj2q0/edit?usp=sharing"",""ฉะเชิงเทรา!S98"")+IMPORTRANGE(""https://docs.google.com/spreadsheets/d/11tr1B-Bhyr79v2bkwVh5h_fR-PStkgjlZtkrZpYurG0/edit"&amp;"?usp=sharing"",""ชลบุรี!S98"")+IMPORTRANGE(""https://docs.google.com/spreadsheets/d/1hh-FVnSX0vozXhGluamEcS54Dw9_zqW0N7qJUWgJ0Sw/edit?usp=sharing"",""ชัยนาท!S98"")+IMPORTRANGE(""https://docs.google.com/spreadsheets/d/1jkqa6GXxSacMcY1eN8AHjMNJ_7dDXMJVRLDla"&amp;"FSOdPM/edit?usp=sharing"",""ตราด!S98"")+IMPORTRANGE(""https://docs.google.com/spreadsheets/d/18hSgUJ3VwClqi_qtULmmW3cLr0oe3OKaSYoKzdpTsYQ/edit?usp=sharing"",""นครนายก!S98"")+IMPORTRANGE(""https://docs.google.com/spreadsheets/d/1YTZo6WM2dQ6Ix6FSdnL5P7uVnVK"&amp;"u40sxZu975tgG10E/edit?usp=sharing"",""นครปฐม!S98"")+IMPORTRANGE(""https://docs.google.com/spreadsheets/d/1OYoGg4WDg5RIzwGeB10padOxJF9E_Vljuvvct_M7RDo/edit?usp=sharing"",""ปทุมธานี!S98"")+IMPORTRANGE(""https://docs.google.com/spreadsheets/d/1GbCIE4D4wk9FUo"&amp;"zzqk7SxfDMxDVBwVmI5zcaVUSzKAc/edit?usp=sharing"",""ประจวบคีรีขันธ์!S98"")+IMPORTRANGE(""https://docs.google.com/spreadsheets/d/1vVf6wykvW_lAyu7Yo9L4hUTqHqIeP_qcVuxCtosJEbg/edit?usp=sharing"",""ปราจีนบุรี!S98"")+IMPORTRANGE(""https://docs.google.com/spread"&amp;"sheets/d/1BIDqLLg5jk3v59G8NlR8rk5xfQDKne0sAvZHSj7TI6I/edit?usp=sharing"",""พระนครศรีอยุธยา!S98"")+IMPORTRANGE(""https://docs.google.com/spreadsheets/d/1YXvxf8Yu6_rV4hTBrwMqAcAnv6DfhUxh5emyM3CJp_w/edit?usp=sharing"",""เพชรบุรี!S98"")+IMPORTRANGE(""https://"&amp;"docs.google.com/spreadsheets/d/19KBlQQs7uwvsao6t2n-KvW3Ax8J8uRRfZPq1zPbXgKc/edit?usp=sharing"",""ระยอง!S98"")+IMPORTRANGE(""https://docs.google.com/spreadsheets/d/1jQ6P4QcrGM89YfqcC_PxOHGCMq5ezhucwJd8ci-NHng/edit?usp=sharing"",""ราชบุรี!S98"")+IMPORTRANGE"&amp;"(""https://docs.google.com/spreadsheets/d/1lufeA2cfFqM-elVq2hznhDzC6Pr7wkJ9ZG_sYNGCMCU/edit?usp=sharing"",""ลพบุรี!S98"")+IMPORTRANGE(""https://docs.google.com/spreadsheets/d/10oOiF7loTyfsTkbd4MpaIm0HQ9SwB7IYHdIUvt-U1Uc/edit?usp=sharing"",""สระแก้ว!S98"")"&amp;"+IMPORTRANGE(""https://docs.google.com/spreadsheets/d/1xmPlrr1QbdSIKvl1dWUl9K4PjAfSL9oeMr_37QVzcxc/edit?usp=sharing"",""สระบุรี!S98"")+IMPORTRANGE(""https://docs.google.com/spreadsheets/d/1j51vR6CYVGhABJpv6tkstgok82RLpXieLzW1yOY5rHw/edit?usp=sharing"",""ส"&amp;"ิงห์บุรี!S98"")+IMPORTRANGE(""https://docs.google.com/spreadsheets/d/1H1EalTWKUSzO4Z1-1CwzoDUaVffgrThEBe2sl74kKG0/edit?usp=sharing"",""สุพรรณบุรี!S98"")+IMPORTRANGE(""https://docs.google.com/spreadsheets/d/1BmIruG_sIrJLYao_Pdr7zVArWsfoBt2692TMi6x_854/edit"&amp;"?usp=sharing"",""อ่างทอง!S98"")"),0)</f>
        <v>0</v>
      </c>
      <c r="T98" s="136">
        <f t="shared" ca="1" si="77"/>
        <v>0</v>
      </c>
      <c r="U98" s="136">
        <f t="shared" ca="1" si="78"/>
        <v>0</v>
      </c>
    </row>
    <row r="99" spans="1:21" ht="18.75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13wPX838HrBrQMCywv1BsuMkt4PEKTChp52zj44s2izQ/edit?usp=sharing"",""กาญจนบุรี!L99"")+IMPORTRANGE(""https://docs.google.com/spreadsheets/d/1ddFKvqj1W1NEiWytbGlB1zMx_ykJDVtmfEQ-6-lIUBA/edit?usp=sharing"","""&amp;"จันทบุรี!L99"")+IMPORTRANGE(""https://docs.google.com/spreadsheets/d/1T1PQvRODqOBZk8BRht_U031fIS1beLA0Ub2CEytj2q0/edit?usp=sharing"",""ฉะเชิงเทรา!L99"")+IMPORTRANGE(""https://docs.google.com/spreadsheets/d/11tr1B-Bhyr79v2bkwVh5h_fR-PStkgjlZtkrZpYurG0/edit"&amp;"?usp=sharing"",""ชลบุรี!L99"")+IMPORTRANGE(""https://docs.google.com/spreadsheets/d/1hh-FVnSX0vozXhGluamEcS54Dw9_zqW0N7qJUWgJ0Sw/edit?usp=sharing"",""ชัยนาท!L99"")+IMPORTRANGE(""https://docs.google.com/spreadsheets/d/1jkqa6GXxSacMcY1eN8AHjMNJ_7dDXMJVRLDla"&amp;"FSOdPM/edit?usp=sharing"",""ตราด!L99"")+IMPORTRANGE(""https://docs.google.com/spreadsheets/d/18hSgUJ3VwClqi_qtULmmW3cLr0oe3OKaSYoKzdpTsYQ/edit?usp=sharing"",""นครนายก!L99"")+IMPORTRANGE(""https://docs.google.com/spreadsheets/d/1YTZo6WM2dQ6Ix6FSdnL5P7uVnVK"&amp;"u40sxZu975tgG10E/edit?usp=sharing"",""นครปฐม!L99"")+IMPORTRANGE(""https://docs.google.com/spreadsheets/d/1OYoGg4WDg5RIzwGeB10padOxJF9E_Vljuvvct_M7RDo/edit?usp=sharing"",""ปทุมธานี!L99"")+IMPORTRANGE(""https://docs.google.com/spreadsheets/d/1GbCIE4D4wk9FUo"&amp;"zzqk7SxfDMxDVBwVmI5zcaVUSzKAc/edit?usp=sharing"",""ประจวบคีรีขันธ์!L99"")+IMPORTRANGE(""https://docs.google.com/spreadsheets/d/1vVf6wykvW_lAyu7Yo9L4hUTqHqIeP_qcVuxCtosJEbg/edit?usp=sharing"",""ปราจีนบุรี!L99"")+IMPORTRANGE(""https://docs.google.com/spread"&amp;"sheets/d/1BIDqLLg5jk3v59G8NlR8rk5xfQDKne0sAvZHSj7TI6I/edit?usp=sharing"",""พระนครศรีอยุธยา!L99"")+IMPORTRANGE(""https://docs.google.com/spreadsheets/d/1YXvxf8Yu6_rV4hTBrwMqAcAnv6DfhUxh5emyM3CJp_w/edit?usp=sharing"",""เพชรบุรี!L99"")+IMPORTRANGE(""https://"&amp;"docs.google.com/spreadsheets/d/19KBlQQs7uwvsao6t2n-KvW3Ax8J8uRRfZPq1zPbXgKc/edit?usp=sharing"",""ระยอง!L99"")+IMPORTRANGE(""https://docs.google.com/spreadsheets/d/1jQ6P4QcrGM89YfqcC_PxOHGCMq5ezhucwJd8ci-NHng/edit?usp=sharing"",""ราชบุรี!L99"")+IMPORTRANGE"&amp;"(""https://docs.google.com/spreadsheets/d/1lufeA2cfFqM-elVq2hznhDzC6Pr7wkJ9ZG_sYNGCMCU/edit?usp=sharing"",""ลพบุรี!L99"")+IMPORTRANGE(""https://docs.google.com/spreadsheets/d/10oOiF7loTyfsTkbd4MpaIm0HQ9SwB7IYHdIUvt-U1Uc/edit?usp=sharing"",""สระแก้ว!L99"")"&amp;"+IMPORTRANGE(""https://docs.google.com/spreadsheets/d/1xmPlrr1QbdSIKvl1dWUl9K4PjAfSL9oeMr_37QVzcxc/edit?usp=sharing"",""สระบุรี!L99"")+IMPORTRANGE(""https://docs.google.com/spreadsheets/d/1j51vR6CYVGhABJpv6tkstgok82RLpXieLzW1yOY5rHw/edit?usp=sharing"",""ส"&amp;"ิงห์บุรี!L99"")+IMPORTRANGE(""https://docs.google.com/spreadsheets/d/1H1EalTWKUSzO4Z1-1CwzoDUaVffgrThEBe2sl74kKG0/edit?usp=sharing"",""สุพรรณบุรี!L99"")+IMPORTRANGE(""https://docs.google.com/spreadsheets/d/1BmIruG_sIrJLYao_Pdr7zVArWsfoBt2692TMi6x_854/edit"&amp;"?usp=sharing"",""อ่างทอง!L99"")"),205600)</f>
        <v>205600</v>
      </c>
      <c r="M99" s="77">
        <f ca="1">IFERROR(__xludf.DUMMYFUNCTION("IMPORTRANGE(""https://docs.google.com/spreadsheets/d/13wPX838HrBrQMCywv1BsuMkt4PEKTChp52zj44s2izQ/edit?usp=sharing"",""กาญจนบุรี!M99"")+IMPORTRANGE(""https://docs.google.com/spreadsheets/d/1ddFKvqj1W1NEiWytbGlB1zMx_ykJDVtmfEQ-6-lIUBA/edit?usp=sharing"","""&amp;"จันทบุรี!M99"")+IMPORTRANGE(""https://docs.google.com/spreadsheets/d/1T1PQvRODqOBZk8BRht_U031fIS1beLA0Ub2CEytj2q0/edit?usp=sharing"",""ฉะเชิงเทรา!M99"")+IMPORTRANGE(""https://docs.google.com/spreadsheets/d/11tr1B-Bhyr79v2bkwVh5h_fR-PStkgjlZtkrZpYurG0/edit"&amp;"?usp=sharing"",""ชลบุรี!M99"")+IMPORTRANGE(""https://docs.google.com/spreadsheets/d/1hh-FVnSX0vozXhGluamEcS54Dw9_zqW0N7qJUWgJ0Sw/edit?usp=sharing"",""ชัยนาท!M99"")+IMPORTRANGE(""https://docs.google.com/spreadsheets/d/1jkqa6GXxSacMcY1eN8AHjMNJ_7dDXMJVRLDla"&amp;"FSOdPM/edit?usp=sharing"",""ตราด!M99"")+IMPORTRANGE(""https://docs.google.com/spreadsheets/d/18hSgUJ3VwClqi_qtULmmW3cLr0oe3OKaSYoKzdpTsYQ/edit?usp=sharing"",""นครนายก!M99"")+IMPORTRANGE(""https://docs.google.com/spreadsheets/d/1YTZo6WM2dQ6Ix6FSdnL5P7uVnVK"&amp;"u40sxZu975tgG10E/edit?usp=sharing"",""นครปฐม!M99"")+IMPORTRANGE(""https://docs.google.com/spreadsheets/d/1OYoGg4WDg5RIzwGeB10padOxJF9E_Vljuvvct_M7RDo/edit?usp=sharing"",""ปทุมธานี!M99"")+IMPORTRANGE(""https://docs.google.com/spreadsheets/d/1GbCIE4D4wk9FUo"&amp;"zzqk7SxfDMxDVBwVmI5zcaVUSzKAc/edit?usp=sharing"",""ประจวบคีรีขันธ์!M99"")+IMPORTRANGE(""https://docs.google.com/spreadsheets/d/1vVf6wykvW_lAyu7Yo9L4hUTqHqIeP_qcVuxCtosJEbg/edit?usp=sharing"",""ปราจีนบุรี!M99"")+IMPORTRANGE(""https://docs.google.com/spread"&amp;"sheets/d/1BIDqLLg5jk3v59G8NlR8rk5xfQDKne0sAvZHSj7TI6I/edit?usp=sharing"",""พระนครศรีอยุธยา!M99"")+IMPORTRANGE(""https://docs.google.com/spreadsheets/d/1YXvxf8Yu6_rV4hTBrwMqAcAnv6DfhUxh5emyM3CJp_w/edit?usp=sharing"",""เพชรบุรี!M99"")+IMPORTRANGE(""https://"&amp;"docs.google.com/spreadsheets/d/19KBlQQs7uwvsao6t2n-KvW3Ax8J8uRRfZPq1zPbXgKc/edit?usp=sharing"",""ระยอง!M99"")+IMPORTRANGE(""https://docs.google.com/spreadsheets/d/1jQ6P4QcrGM89YfqcC_PxOHGCMq5ezhucwJd8ci-NHng/edit?usp=sharing"",""ราชบุรี!M99"")+IMPORTRANGE"&amp;"(""https://docs.google.com/spreadsheets/d/1lufeA2cfFqM-elVq2hznhDzC6Pr7wkJ9ZG_sYNGCMCU/edit?usp=sharing"",""ลพบุรี!M99"")+IMPORTRANGE(""https://docs.google.com/spreadsheets/d/10oOiF7loTyfsTkbd4MpaIm0HQ9SwB7IYHdIUvt-U1Uc/edit?usp=sharing"",""สระแก้ว!M99"")"&amp;"+IMPORTRANGE(""https://docs.google.com/spreadsheets/d/1xmPlrr1QbdSIKvl1dWUl9K4PjAfSL9oeMr_37QVzcxc/edit?usp=sharing"",""สระบุรี!M99"")+IMPORTRANGE(""https://docs.google.com/spreadsheets/d/1j51vR6CYVGhABJpv6tkstgok82RLpXieLzW1yOY5rHw/edit?usp=sharing"",""ส"&amp;"ิงห์บุรี!M99"")+IMPORTRANGE(""https://docs.google.com/spreadsheets/d/1H1EalTWKUSzO4Z1-1CwzoDUaVffgrThEBe2sl74kKG0/edit?usp=sharing"",""สุพรรณบุรี!M99"")+IMPORTRANGE(""https://docs.google.com/spreadsheets/d/1BmIruG_sIrJLYao_Pdr7zVArWsfoBt2692TMi6x_854/edit"&amp;"?usp=sharing"",""อ่างทอง!M99"")"),144420)</f>
        <v>144420</v>
      </c>
      <c r="N99" s="77">
        <f ca="1">IFERROR(__xludf.DUMMYFUNCTION("IMPORTRANGE(""https://docs.google.com/spreadsheets/d/13wPX838HrBrQMCywv1BsuMkt4PEKTChp52zj44s2izQ/edit?usp=sharing"",""กาญจนบุรี!N99"")+IMPORTRANGE(""https://docs.google.com/spreadsheets/d/1ddFKvqj1W1NEiWytbGlB1zMx_ykJDVtmfEQ-6-lIUBA/edit?usp=sharing"","""&amp;"จันทบุรี!N99"")+IMPORTRANGE(""https://docs.google.com/spreadsheets/d/1T1PQvRODqOBZk8BRht_U031fIS1beLA0Ub2CEytj2q0/edit?usp=sharing"",""ฉะเชิงเทรา!N99"")+IMPORTRANGE(""https://docs.google.com/spreadsheets/d/11tr1B-Bhyr79v2bkwVh5h_fR-PStkgjlZtkrZpYurG0/edit"&amp;"?usp=sharing"",""ชลบุรี!N99"")+IMPORTRANGE(""https://docs.google.com/spreadsheets/d/1hh-FVnSX0vozXhGluamEcS54Dw9_zqW0N7qJUWgJ0Sw/edit?usp=sharing"",""ชัยนาท!N99"")+IMPORTRANGE(""https://docs.google.com/spreadsheets/d/1jkqa6GXxSacMcY1eN8AHjMNJ_7dDXMJVRLDla"&amp;"FSOdPM/edit?usp=sharing"",""ตราด!N99"")+IMPORTRANGE(""https://docs.google.com/spreadsheets/d/18hSgUJ3VwClqi_qtULmmW3cLr0oe3OKaSYoKzdpTsYQ/edit?usp=sharing"",""นครนายก!N99"")+IMPORTRANGE(""https://docs.google.com/spreadsheets/d/1YTZo6WM2dQ6Ix6FSdnL5P7uVnVK"&amp;"u40sxZu975tgG10E/edit?usp=sharing"",""นครปฐม!N99"")+IMPORTRANGE(""https://docs.google.com/spreadsheets/d/1OYoGg4WDg5RIzwGeB10padOxJF9E_Vljuvvct_M7RDo/edit?usp=sharing"",""ปทุมธานี!N99"")+IMPORTRANGE(""https://docs.google.com/spreadsheets/d/1GbCIE4D4wk9FUo"&amp;"zzqk7SxfDMxDVBwVmI5zcaVUSzKAc/edit?usp=sharing"",""ประจวบคีรีขันธ์!N99"")+IMPORTRANGE(""https://docs.google.com/spreadsheets/d/1vVf6wykvW_lAyu7Yo9L4hUTqHqIeP_qcVuxCtosJEbg/edit?usp=sharing"",""ปราจีนบุรี!N99"")+IMPORTRANGE(""https://docs.google.com/spread"&amp;"sheets/d/1BIDqLLg5jk3v59G8NlR8rk5xfQDKne0sAvZHSj7TI6I/edit?usp=sharing"",""พระนครศรีอยุธยา!N99"")+IMPORTRANGE(""https://docs.google.com/spreadsheets/d/1YXvxf8Yu6_rV4hTBrwMqAcAnv6DfhUxh5emyM3CJp_w/edit?usp=sharing"",""เพชรบุรี!N99"")+IMPORTRANGE(""https://"&amp;"docs.google.com/spreadsheets/d/19KBlQQs7uwvsao6t2n-KvW3Ax8J8uRRfZPq1zPbXgKc/edit?usp=sharing"",""ระยอง!N99"")+IMPORTRANGE(""https://docs.google.com/spreadsheets/d/1jQ6P4QcrGM89YfqcC_PxOHGCMq5ezhucwJd8ci-NHng/edit?usp=sharing"",""ราชบุรี!N99"")+IMPORTRANGE"&amp;"(""https://docs.google.com/spreadsheets/d/1lufeA2cfFqM-elVq2hznhDzC6Pr7wkJ9ZG_sYNGCMCU/edit?usp=sharing"",""ลพบุรี!N99"")+IMPORTRANGE(""https://docs.google.com/spreadsheets/d/10oOiF7loTyfsTkbd4MpaIm0HQ9SwB7IYHdIUvt-U1Uc/edit?usp=sharing"",""สระแก้ว!N99"")"&amp;"+IMPORTRANGE(""https://docs.google.com/spreadsheets/d/1xmPlrr1QbdSIKvl1dWUl9K4PjAfSL9oeMr_37QVzcxc/edit?usp=sharing"",""สระบุรี!N99"")+IMPORTRANGE(""https://docs.google.com/spreadsheets/d/1j51vR6CYVGhABJpv6tkstgok82RLpXieLzW1yOY5rHw/edit?usp=sharing"",""ส"&amp;"ิงห์บุรี!N99"")+IMPORTRANGE(""https://docs.google.com/spreadsheets/d/1H1EalTWKUSzO4Z1-1CwzoDUaVffgrThEBe2sl74kKG0/edit?usp=sharing"",""สุพรรณบุรี!N99"")+IMPORTRANGE(""https://docs.google.com/spreadsheets/d/1BmIruG_sIrJLYao_Pdr7zVArWsfoBt2692TMi6x_854/edit"&amp;"?usp=sharing"",""อ่างทอง!N99"")"),137174.5)</f>
        <v>137174.5</v>
      </c>
      <c r="O99" s="77">
        <f t="shared" ca="1" si="74"/>
        <v>66.719114785992218</v>
      </c>
      <c r="P99" s="77">
        <f t="shared" ca="1" si="75"/>
        <v>94.983035590638423</v>
      </c>
      <c r="Q99" s="134">
        <f ca="1">IFERROR(__xludf.DUMMYFUNCTION("IMPORTRANGE(""https://docs.google.com/spreadsheets/d/13wPX838HrBrQMCywv1BsuMkt4PEKTChp52zj44s2izQ/edit?usp=sharing"",""กาญจนบุรี!Q99"")+IMPORTRANGE(""https://docs.google.com/spreadsheets/d/1ddFKvqj1W1NEiWytbGlB1zMx_ykJDVtmfEQ-6-lIUBA/edit?usp=sharing"","""&amp;"จันทบุรี!Q99"")+IMPORTRANGE(""https://docs.google.com/spreadsheets/d/1T1PQvRODqOBZk8BRht_U031fIS1beLA0Ub2CEytj2q0/edit?usp=sharing"",""ฉะเชิงเทรา!Q99"")+IMPORTRANGE(""https://docs.google.com/spreadsheets/d/11tr1B-Bhyr79v2bkwVh5h_fR-PStkgjlZtkrZpYurG0/edit"&amp;"?usp=sharing"",""ชลบุรี!Q99"")+IMPORTRANGE(""https://docs.google.com/spreadsheets/d/1hh-FVnSX0vozXhGluamEcS54Dw9_zqW0N7qJUWgJ0Sw/edit?usp=sharing"",""ชัยนาท!Q99"")+IMPORTRANGE(""https://docs.google.com/spreadsheets/d/1jkqa6GXxSacMcY1eN8AHjMNJ_7dDXMJVRLDla"&amp;"FSOdPM/edit?usp=sharing"",""ตราด!Q99"")+IMPORTRANGE(""https://docs.google.com/spreadsheets/d/18hSgUJ3VwClqi_qtULmmW3cLr0oe3OKaSYoKzdpTsYQ/edit?usp=sharing"",""นครนายก!Q99"")+IMPORTRANGE(""https://docs.google.com/spreadsheets/d/1YTZo6WM2dQ6Ix6FSdnL5P7uVnVK"&amp;"u40sxZu975tgG10E/edit?usp=sharing"",""นครปฐม!Q99"")+IMPORTRANGE(""https://docs.google.com/spreadsheets/d/1OYoGg4WDg5RIzwGeB10padOxJF9E_Vljuvvct_M7RDo/edit?usp=sharing"",""ปทุมธานี!Q99"")+IMPORTRANGE(""https://docs.google.com/spreadsheets/d/1GbCIE4D4wk9FUo"&amp;"zzqk7SxfDMxDVBwVmI5zcaVUSzKAc/edit?usp=sharing"",""ประจวบคีรีขันธ์!Q99"")+IMPORTRANGE(""https://docs.google.com/spreadsheets/d/1vVf6wykvW_lAyu7Yo9L4hUTqHqIeP_qcVuxCtosJEbg/edit?usp=sharing"",""ปราจีนบุรี!Q99"")+IMPORTRANGE(""https://docs.google.com/spread"&amp;"sheets/d/1BIDqLLg5jk3v59G8NlR8rk5xfQDKne0sAvZHSj7TI6I/edit?usp=sharing"",""พระนครศรีอยุธยา!Q99"")+IMPORTRANGE(""https://docs.google.com/spreadsheets/d/1YXvxf8Yu6_rV4hTBrwMqAcAnv6DfhUxh5emyM3CJp_w/edit?usp=sharing"",""เพชรบุรี!Q99"")+IMPORTRANGE(""https://"&amp;"docs.google.com/spreadsheets/d/19KBlQQs7uwvsao6t2n-KvW3Ax8J8uRRfZPq1zPbXgKc/edit?usp=sharing"",""ระยอง!Q99"")+IMPORTRANGE(""https://docs.google.com/spreadsheets/d/1jQ6P4QcrGM89YfqcC_PxOHGCMq5ezhucwJd8ci-NHng/edit?usp=sharing"",""ราชบุรี!Q99"")+IMPORTRANGE"&amp;"(""https://docs.google.com/spreadsheets/d/1lufeA2cfFqM-elVq2hznhDzC6Pr7wkJ9ZG_sYNGCMCU/edit?usp=sharing"",""ลพบุรี!Q99"")+IMPORTRANGE(""https://docs.google.com/spreadsheets/d/10oOiF7loTyfsTkbd4MpaIm0HQ9SwB7IYHdIUvt-U1Uc/edit?usp=sharing"",""สระแก้ว!Q99"")"&amp;"+IMPORTRANGE(""https://docs.google.com/spreadsheets/d/1xmPlrr1QbdSIKvl1dWUl9K4PjAfSL9oeMr_37QVzcxc/edit?usp=sharing"",""สระบุรี!Q99"")+IMPORTRANGE(""https://docs.google.com/spreadsheets/d/1j51vR6CYVGhABJpv6tkstgok82RLpXieLzW1yOY5rHw/edit?usp=sharing"",""ส"&amp;"ิงห์บุรี!Q99"")+IMPORTRANGE(""https://docs.google.com/spreadsheets/d/1H1EalTWKUSzO4Z1-1CwzoDUaVffgrThEBe2sl74kKG0/edit?usp=sharing"",""สุพรรณบุรี!Q99"")+IMPORTRANGE(""https://docs.google.com/spreadsheets/d/1BmIruG_sIrJLYao_Pdr7zVArWsfoBt2692TMi6x_854/edit"&amp;"?usp=sharing"",""อ่างทอง!Q99"")"),985954)</f>
        <v>985954</v>
      </c>
      <c r="R99" s="135">
        <f ca="1">IFERROR(__xludf.DUMMYFUNCTION("IMPORTRANGE(""https://docs.google.com/spreadsheets/d/13wPX838HrBrQMCywv1BsuMkt4PEKTChp52zj44s2izQ/edit?usp=sharing"",""กาญจนบุรี!R99"")+IMPORTRANGE(""https://docs.google.com/spreadsheets/d/1ddFKvqj1W1NEiWytbGlB1zMx_ykJDVtmfEQ-6-lIUBA/edit?usp=sharing"","""&amp;"จันทบุรี!R99"")+IMPORTRANGE(""https://docs.google.com/spreadsheets/d/1T1PQvRODqOBZk8BRht_U031fIS1beLA0Ub2CEytj2q0/edit?usp=sharing"",""ฉะเชิงเทรา!R99"")+IMPORTRANGE(""https://docs.google.com/spreadsheets/d/11tr1B-Bhyr79v2bkwVh5h_fR-PStkgjlZtkrZpYurG0/edit"&amp;"?usp=sharing"",""ชลบุรี!R99"")+IMPORTRANGE(""https://docs.google.com/spreadsheets/d/1hh-FVnSX0vozXhGluamEcS54Dw9_zqW0N7qJUWgJ0Sw/edit?usp=sharing"",""ชัยนาท!R99"")+IMPORTRANGE(""https://docs.google.com/spreadsheets/d/1jkqa6GXxSacMcY1eN8AHjMNJ_7dDXMJVRLDla"&amp;"FSOdPM/edit?usp=sharing"",""ตราด!R99"")+IMPORTRANGE(""https://docs.google.com/spreadsheets/d/18hSgUJ3VwClqi_qtULmmW3cLr0oe3OKaSYoKzdpTsYQ/edit?usp=sharing"",""นครนายก!R99"")+IMPORTRANGE(""https://docs.google.com/spreadsheets/d/1YTZo6WM2dQ6Ix6FSdnL5P7uVnVK"&amp;"u40sxZu975tgG10E/edit?usp=sharing"",""นครปฐม!R99"")+IMPORTRANGE(""https://docs.google.com/spreadsheets/d/1OYoGg4WDg5RIzwGeB10padOxJF9E_Vljuvvct_M7RDo/edit?usp=sharing"",""ปทุมธานี!R99"")+IMPORTRANGE(""https://docs.google.com/spreadsheets/d/1GbCIE4D4wk9FUo"&amp;"zzqk7SxfDMxDVBwVmI5zcaVUSzKAc/edit?usp=sharing"",""ประจวบคีรีขันธ์!R99"")+IMPORTRANGE(""https://docs.google.com/spreadsheets/d/1vVf6wykvW_lAyu7Yo9L4hUTqHqIeP_qcVuxCtosJEbg/edit?usp=sharing"",""ปราจีนบุรี!R99"")+IMPORTRANGE(""https://docs.google.com/spread"&amp;"sheets/d/1BIDqLLg5jk3v59G8NlR8rk5xfQDKne0sAvZHSj7TI6I/edit?usp=sharing"",""พระนครศรีอยุธยา!R99"")+IMPORTRANGE(""https://docs.google.com/spreadsheets/d/1YXvxf8Yu6_rV4hTBrwMqAcAnv6DfhUxh5emyM3CJp_w/edit?usp=sharing"",""เพชรบุรี!R99"")+IMPORTRANGE(""https://"&amp;"docs.google.com/spreadsheets/d/19KBlQQs7uwvsao6t2n-KvW3Ax8J8uRRfZPq1zPbXgKc/edit?usp=sharing"",""ระยอง!R99"")+IMPORTRANGE(""https://docs.google.com/spreadsheets/d/1jQ6P4QcrGM89YfqcC_PxOHGCMq5ezhucwJd8ci-NHng/edit?usp=sharing"",""ราชบุรี!R99"")+IMPORTRANGE"&amp;"(""https://docs.google.com/spreadsheets/d/1lufeA2cfFqM-elVq2hznhDzC6Pr7wkJ9ZG_sYNGCMCU/edit?usp=sharing"",""ลพบุรี!R99"")+IMPORTRANGE(""https://docs.google.com/spreadsheets/d/10oOiF7loTyfsTkbd4MpaIm0HQ9SwB7IYHdIUvt-U1Uc/edit?usp=sharing"",""สระแก้ว!R99"")"&amp;"+IMPORTRANGE(""https://docs.google.com/spreadsheets/d/1xmPlrr1QbdSIKvl1dWUl9K4PjAfSL9oeMr_37QVzcxc/edit?usp=sharing"",""สระบุรี!R99"")+IMPORTRANGE(""https://docs.google.com/spreadsheets/d/1j51vR6CYVGhABJpv6tkstgok82RLpXieLzW1yOY5rHw/edit?usp=sharing"",""ส"&amp;"ิงห์บุรี!R99"")+IMPORTRANGE(""https://docs.google.com/spreadsheets/d/1H1EalTWKUSzO4Z1-1CwzoDUaVffgrThEBe2sl74kKG0/edit?usp=sharing"",""สุพรรณบุรี!R99"")+IMPORTRANGE(""https://docs.google.com/spreadsheets/d/1BmIruG_sIrJLYao_Pdr7zVArWsfoBt2692TMi6x_854/edit"&amp;"?usp=sharing"",""อ่างทอง!R99"")"),985954)</f>
        <v>985954</v>
      </c>
      <c r="S99" s="135">
        <f ca="1">IFERROR(__xludf.DUMMYFUNCTION("IMPORTRANGE(""https://docs.google.com/spreadsheets/d/13wPX838HrBrQMCywv1BsuMkt4PEKTChp52zj44s2izQ/edit?usp=sharing"",""กาญจนบุรี!S99"")+IMPORTRANGE(""https://docs.google.com/spreadsheets/d/1ddFKvqj1W1NEiWytbGlB1zMx_ykJDVtmfEQ-6-lIUBA/edit?usp=sharing"","""&amp;"จันทบุรี!S99"")+IMPORTRANGE(""https://docs.google.com/spreadsheets/d/1T1PQvRODqOBZk8BRht_U031fIS1beLA0Ub2CEytj2q0/edit?usp=sharing"",""ฉะเชิงเทรา!S99"")+IMPORTRANGE(""https://docs.google.com/spreadsheets/d/11tr1B-Bhyr79v2bkwVh5h_fR-PStkgjlZtkrZpYurG0/edit"&amp;"?usp=sharing"",""ชลบุรี!S99"")+IMPORTRANGE(""https://docs.google.com/spreadsheets/d/1hh-FVnSX0vozXhGluamEcS54Dw9_zqW0N7qJUWgJ0Sw/edit?usp=sharing"",""ชัยนาท!S99"")+IMPORTRANGE(""https://docs.google.com/spreadsheets/d/1jkqa6GXxSacMcY1eN8AHjMNJ_7dDXMJVRLDla"&amp;"FSOdPM/edit?usp=sharing"",""ตราด!S99"")+IMPORTRANGE(""https://docs.google.com/spreadsheets/d/18hSgUJ3VwClqi_qtULmmW3cLr0oe3OKaSYoKzdpTsYQ/edit?usp=sharing"",""นครนายก!S99"")+IMPORTRANGE(""https://docs.google.com/spreadsheets/d/1YTZo6WM2dQ6Ix6FSdnL5P7uVnVK"&amp;"u40sxZu975tgG10E/edit?usp=sharing"",""นครปฐม!S99"")+IMPORTRANGE(""https://docs.google.com/spreadsheets/d/1OYoGg4WDg5RIzwGeB10padOxJF9E_Vljuvvct_M7RDo/edit?usp=sharing"",""ปทุมธานี!S99"")+IMPORTRANGE(""https://docs.google.com/spreadsheets/d/1GbCIE4D4wk9FUo"&amp;"zzqk7SxfDMxDVBwVmI5zcaVUSzKAc/edit?usp=sharing"",""ประจวบคีรีขันธ์!S99"")+IMPORTRANGE(""https://docs.google.com/spreadsheets/d/1vVf6wykvW_lAyu7Yo9L4hUTqHqIeP_qcVuxCtosJEbg/edit?usp=sharing"",""ปราจีนบุรี!S99"")+IMPORTRANGE(""https://docs.google.com/spread"&amp;"sheets/d/1BIDqLLg5jk3v59G8NlR8rk5xfQDKne0sAvZHSj7TI6I/edit?usp=sharing"",""พระนครศรีอยุธยา!S99"")+IMPORTRANGE(""https://docs.google.com/spreadsheets/d/1YXvxf8Yu6_rV4hTBrwMqAcAnv6DfhUxh5emyM3CJp_w/edit?usp=sharing"",""เพชรบุรี!S99"")+IMPORTRANGE(""https://"&amp;"docs.google.com/spreadsheets/d/19KBlQQs7uwvsao6t2n-KvW3Ax8J8uRRfZPq1zPbXgKc/edit?usp=sharing"",""ระยอง!S99"")+IMPORTRANGE(""https://docs.google.com/spreadsheets/d/1jQ6P4QcrGM89YfqcC_PxOHGCMq5ezhucwJd8ci-NHng/edit?usp=sharing"",""ราชบุรี!S99"")+IMPORTRANGE"&amp;"(""https://docs.google.com/spreadsheets/d/1lufeA2cfFqM-elVq2hznhDzC6Pr7wkJ9ZG_sYNGCMCU/edit?usp=sharing"",""ลพบุรี!S99"")+IMPORTRANGE(""https://docs.google.com/spreadsheets/d/10oOiF7loTyfsTkbd4MpaIm0HQ9SwB7IYHdIUvt-U1Uc/edit?usp=sharing"",""สระแก้ว!S99"")"&amp;"+IMPORTRANGE(""https://docs.google.com/spreadsheets/d/1xmPlrr1QbdSIKvl1dWUl9K4PjAfSL9oeMr_37QVzcxc/edit?usp=sharing"",""สระบุรี!S99"")+IMPORTRANGE(""https://docs.google.com/spreadsheets/d/1j51vR6CYVGhABJpv6tkstgok82RLpXieLzW1yOY5rHw/edit?usp=sharing"",""ส"&amp;"ิงห์บุรี!S99"")+IMPORTRANGE(""https://docs.google.com/spreadsheets/d/1H1EalTWKUSzO4Z1-1CwzoDUaVffgrThEBe2sl74kKG0/edit?usp=sharing"",""สุพรรณบุรี!S99"")+IMPORTRANGE(""https://docs.google.com/spreadsheets/d/1BmIruG_sIrJLYao_Pdr7zVArWsfoBt2692TMi6x_854/edit"&amp;"?usp=sharing"",""อ่างทอง!S99"")"),143390)</f>
        <v>143390</v>
      </c>
      <c r="T99" s="135">
        <f t="shared" ca="1" si="77"/>
        <v>14.543274838379883</v>
      </c>
      <c r="U99" s="135">
        <f t="shared" ca="1" si="78"/>
        <v>14.543274838379883</v>
      </c>
    </row>
    <row r="100" spans="1:21" ht="18.75" x14ac:dyDescent="0.25">
      <c r="A100" s="259"/>
      <c r="B100" s="271"/>
      <c r="C100" s="271"/>
      <c r="D100" s="276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t="shared" ref="L100:N100" ca="1" si="85">L101+L102</f>
        <v>0</v>
      </c>
      <c r="M100" s="77">
        <f t="shared" ca="1" si="85"/>
        <v>0</v>
      </c>
      <c r="N100" s="77">
        <f t="shared" ca="1" si="85"/>
        <v>0</v>
      </c>
      <c r="O100" s="77">
        <f t="shared" ca="1" si="74"/>
        <v>0</v>
      </c>
      <c r="P100" s="77">
        <f t="shared" ca="1" si="75"/>
        <v>0</v>
      </c>
      <c r="Q100" s="134">
        <f t="shared" ref="Q100:S100" ca="1" si="86">Q101+Q102</f>
        <v>0</v>
      </c>
      <c r="R100" s="135">
        <f t="shared" ca="1" si="86"/>
        <v>0</v>
      </c>
      <c r="S100" s="135">
        <f t="shared" ca="1" si="86"/>
        <v>0</v>
      </c>
      <c r="T100" s="135">
        <f t="shared" ca="1" si="77"/>
        <v>0</v>
      </c>
      <c r="U100" s="135">
        <f t="shared" ca="1" si="78"/>
        <v>0</v>
      </c>
    </row>
    <row r="101" spans="1:21" ht="18.75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f ca="1">IFERROR(__xludf.DUMMYFUNCTION("IMPORTRANGE(""https://docs.google.com/spreadsheets/d/13wPX838HrBrQMCywv1BsuMkt4PEKTChp52zj44s2izQ/edit?usp=sharing"",""กาญจนบุรี!L101"")+IMPORTRANGE(""https://docs.google.com/spreadsheets/d/1ddFKvqj1W1NEiWytbGlB1zMx_ykJDVtmfEQ-6-lIUBA/edit?usp=sharing"","&amp;"""จันทบุรี!L101"")+IMPORTRANGE(""https://docs.google.com/spreadsheets/d/1T1PQvRODqOBZk8BRht_U031fIS1beLA0Ub2CEytj2q0/edit?usp=sharing"",""ฉะเชิงเทรา!L101"")+IMPORTRANGE(""https://docs.google.com/spreadsheets/d/11tr1B-Bhyr79v2bkwVh5h_fR-PStkgjlZtkrZpYurG0/"&amp;"edit?usp=sharing"",""ชลบุรี!L101"")+IMPORTRANGE(""https://docs.google.com/spreadsheets/d/1hh-FVnSX0vozXhGluamEcS54Dw9_zqW0N7qJUWgJ0Sw/edit?usp=sharing"",""ชัยนาท!L101"")+IMPORTRANGE(""https://docs.google.com/spreadsheets/d/1jkqa6GXxSacMcY1eN8AHjMNJ_7dDXMJ"&amp;"VRLDlaFSOdPM/edit?usp=sharing"",""ตราด!L101"")+IMPORTRANGE(""https://docs.google.com/spreadsheets/d/18hSgUJ3VwClqi_qtULmmW3cLr0oe3OKaSYoKzdpTsYQ/edit?usp=sharing"",""นครนายก!L101"")+IMPORTRANGE(""https://docs.google.com/spreadsheets/d/1YTZo6WM2dQ6Ix6FSdnL"&amp;"5P7uVnVKu40sxZu975tgG10E/edit?usp=sharing"",""นครปฐม!L101"")+IMPORTRANGE(""https://docs.google.com/spreadsheets/d/1OYoGg4WDg5RIzwGeB10padOxJF9E_Vljuvvct_M7RDo/edit?usp=sharing"",""ปทุมธานี!L101"")+IMPORTRANGE(""https://docs.google.com/spreadsheets/d/1GbCI"&amp;"E4D4wk9FUozzqk7SxfDMxDVBwVmI5zcaVUSzKAc/edit?usp=sharing"",""ประจวบคีรีขันธ์!L101"")+IMPORTRANGE(""https://docs.google.com/spreadsheets/d/1vVf6wykvW_lAyu7Yo9L4hUTqHqIeP_qcVuxCtosJEbg/edit?usp=sharing"",""ปราจีนบุรี!L101"")+IMPORTRANGE(""https://docs.googl"&amp;"e.com/spreadsheets/d/1BIDqLLg5jk3v59G8NlR8rk5xfQDKne0sAvZHSj7TI6I/edit?usp=sharing"",""พระนครศรีอยุธยา!L101"")+IMPORTRANGE(""https://docs.google.com/spreadsheets/d/1YXvxf8Yu6_rV4hTBrwMqAcAnv6DfhUxh5emyM3CJp_w/edit?usp=sharing"",""เพชรบุรี!L101"")+IMPORTRA"&amp;"NGE(""https://docs.google.com/spreadsheets/d/19KBlQQs7uwvsao6t2n-KvW3Ax8J8uRRfZPq1zPbXgKc/edit?usp=sharing"",""ระยอง!L101"")+IMPORTRANGE(""https://docs.google.com/spreadsheets/d/1jQ6P4QcrGM89YfqcC_PxOHGCMq5ezhucwJd8ci-NHng/edit?usp=sharing"",""ราชบุรี!L10"&amp;"1"")+IMPORTRANGE(""https://docs.google.com/spreadsheets/d/1lufeA2cfFqM-elVq2hznhDzC6Pr7wkJ9ZG_sYNGCMCU/edit?usp=sharing"",""ลพบุรี!L101"")+IMPORTRANGE(""https://docs.google.com/spreadsheets/d/10oOiF7loTyfsTkbd4MpaIm0HQ9SwB7IYHdIUvt-U1Uc/edit?usp=sharing"""&amp;",""สระแก้ว!L101"")+IMPORTRANGE(""https://docs.google.com/spreadsheets/d/1xmPlrr1QbdSIKvl1dWUl9K4PjAfSL9oeMr_37QVzcxc/edit?usp=sharing"",""สระบุรี!L101"")+IMPORTRANGE(""https://docs.google.com/spreadsheets/d/1j51vR6CYVGhABJpv6tkstgok82RLpXieLzW1yOY5rHw/edi"&amp;"t?usp=sharing"",""สิงห์บุรี!L101"")+IMPORTRANGE(""https://docs.google.com/spreadsheets/d/1H1EalTWKUSzO4Z1-1CwzoDUaVffgrThEBe2sl74kKG0/edit?usp=sharing"",""สุพรรณบุรี!L101"")+IMPORTRANGE(""https://docs.google.com/spreadsheets/d/1BmIruG_sIrJLYao_Pdr7zVArWsf"&amp;"oBt2692TMi6x_854/edit?usp=sharing"",""อ่างทอง!L101"")"),0)</f>
        <v>0</v>
      </c>
      <c r="M101" s="80">
        <f ca="1">IFERROR(__xludf.DUMMYFUNCTION("IMPORTRANGE(""https://docs.google.com/spreadsheets/d/13wPX838HrBrQMCywv1BsuMkt4PEKTChp52zj44s2izQ/edit?usp=sharing"",""กาญจนบุรี!M101"")+IMPORTRANGE(""https://docs.google.com/spreadsheets/d/1ddFKvqj1W1NEiWytbGlB1zMx_ykJDVtmfEQ-6-lIUBA/edit?usp=sharing"","&amp;"""จันทบุรี!M101"")+IMPORTRANGE(""https://docs.google.com/spreadsheets/d/1T1PQvRODqOBZk8BRht_U031fIS1beLA0Ub2CEytj2q0/edit?usp=sharing"",""ฉะเชิงเทรา!M101"")+IMPORTRANGE(""https://docs.google.com/spreadsheets/d/11tr1B-Bhyr79v2bkwVh5h_fR-PStkgjlZtkrZpYurG0/"&amp;"edit?usp=sharing"",""ชลบุรี!M101"")+IMPORTRANGE(""https://docs.google.com/spreadsheets/d/1hh-FVnSX0vozXhGluamEcS54Dw9_zqW0N7qJUWgJ0Sw/edit?usp=sharing"",""ชัยนาท!M101"")+IMPORTRANGE(""https://docs.google.com/spreadsheets/d/1jkqa6GXxSacMcY1eN8AHjMNJ_7dDXMJ"&amp;"VRLDlaFSOdPM/edit?usp=sharing"",""ตราด!M101"")+IMPORTRANGE(""https://docs.google.com/spreadsheets/d/18hSgUJ3VwClqi_qtULmmW3cLr0oe3OKaSYoKzdpTsYQ/edit?usp=sharing"",""นครนายก!M101"")+IMPORTRANGE(""https://docs.google.com/spreadsheets/d/1YTZo6WM2dQ6Ix6FSdnL"&amp;"5P7uVnVKu40sxZu975tgG10E/edit?usp=sharing"",""นครปฐม!M101"")+IMPORTRANGE(""https://docs.google.com/spreadsheets/d/1OYoGg4WDg5RIzwGeB10padOxJF9E_Vljuvvct_M7RDo/edit?usp=sharing"",""ปทุมธานี!M101"")+IMPORTRANGE(""https://docs.google.com/spreadsheets/d/1GbCI"&amp;"E4D4wk9FUozzqk7SxfDMxDVBwVmI5zcaVUSzKAc/edit?usp=sharing"",""ประจวบคีรีขันธ์!M101"")+IMPORTRANGE(""https://docs.google.com/spreadsheets/d/1vVf6wykvW_lAyu7Yo9L4hUTqHqIeP_qcVuxCtosJEbg/edit?usp=sharing"",""ปราจีนบุรี!M101"")+IMPORTRANGE(""https://docs.googl"&amp;"e.com/spreadsheets/d/1BIDqLLg5jk3v59G8NlR8rk5xfQDKne0sAvZHSj7TI6I/edit?usp=sharing"",""พระนครศรีอยุธยา!M101"")+IMPORTRANGE(""https://docs.google.com/spreadsheets/d/1YXvxf8Yu6_rV4hTBrwMqAcAnv6DfhUxh5emyM3CJp_w/edit?usp=sharing"",""เพชรบุรี!M101"")+IMPORTRA"&amp;"NGE(""https://docs.google.com/spreadsheets/d/19KBlQQs7uwvsao6t2n-KvW3Ax8J8uRRfZPq1zPbXgKc/edit?usp=sharing"",""ระยอง!M101"")+IMPORTRANGE(""https://docs.google.com/spreadsheets/d/1jQ6P4QcrGM89YfqcC_PxOHGCMq5ezhucwJd8ci-NHng/edit?usp=sharing"",""ราชบุรี!M10"&amp;"1"")+IMPORTRANGE(""https://docs.google.com/spreadsheets/d/1lufeA2cfFqM-elVq2hznhDzC6Pr7wkJ9ZG_sYNGCMCU/edit?usp=sharing"",""ลพบุรี!M101"")+IMPORTRANGE(""https://docs.google.com/spreadsheets/d/10oOiF7loTyfsTkbd4MpaIm0HQ9SwB7IYHdIUvt-U1Uc/edit?usp=sharing"""&amp;",""สระแก้ว!M101"")+IMPORTRANGE(""https://docs.google.com/spreadsheets/d/1xmPlrr1QbdSIKvl1dWUl9K4PjAfSL9oeMr_37QVzcxc/edit?usp=sharing"",""สระบุรี!M101"")+IMPORTRANGE(""https://docs.google.com/spreadsheets/d/1j51vR6CYVGhABJpv6tkstgok82RLpXieLzW1yOY5rHw/edi"&amp;"t?usp=sharing"",""สิงห์บุรี!M101"")+IMPORTRANGE(""https://docs.google.com/spreadsheets/d/1H1EalTWKUSzO4Z1-1CwzoDUaVffgrThEBe2sl74kKG0/edit?usp=sharing"",""สุพรรณบุรี!M101"")+IMPORTRANGE(""https://docs.google.com/spreadsheets/d/1BmIruG_sIrJLYao_Pdr7zVArWsf"&amp;"oBt2692TMi6x_854/edit?usp=sharing"",""อ่างทอง!M101"")"),0)</f>
        <v>0</v>
      </c>
      <c r="N101" s="80">
        <f ca="1">IFERROR(__xludf.DUMMYFUNCTION("IMPORTRANGE(""https://docs.google.com/spreadsheets/d/13wPX838HrBrQMCywv1BsuMkt4PEKTChp52zj44s2izQ/edit?usp=sharing"",""กาญจนบุรี!N101"")+IMPORTRANGE(""https://docs.google.com/spreadsheets/d/1ddFKvqj1W1NEiWytbGlB1zMx_ykJDVtmfEQ-6-lIUBA/edit?usp=sharing"","&amp;"""จันทบุรี!N101"")+IMPORTRANGE(""https://docs.google.com/spreadsheets/d/1T1PQvRODqOBZk8BRht_U031fIS1beLA0Ub2CEytj2q0/edit?usp=sharing"",""ฉะเชิงเทรา!N101"")+IMPORTRANGE(""https://docs.google.com/spreadsheets/d/11tr1B-Bhyr79v2bkwVh5h_fR-PStkgjlZtkrZpYurG0/"&amp;"edit?usp=sharing"",""ชลบุรี!N101"")+IMPORTRANGE(""https://docs.google.com/spreadsheets/d/1hh-FVnSX0vozXhGluamEcS54Dw9_zqW0N7qJUWgJ0Sw/edit?usp=sharing"",""ชัยนาท!N101"")+IMPORTRANGE(""https://docs.google.com/spreadsheets/d/1jkqa6GXxSacMcY1eN8AHjMNJ_7dDXMJ"&amp;"VRLDlaFSOdPM/edit?usp=sharing"",""ตราด!N101"")+IMPORTRANGE(""https://docs.google.com/spreadsheets/d/18hSgUJ3VwClqi_qtULmmW3cLr0oe3OKaSYoKzdpTsYQ/edit?usp=sharing"",""นครนายก!N101"")+IMPORTRANGE(""https://docs.google.com/spreadsheets/d/1YTZo6WM2dQ6Ix6FSdnL"&amp;"5P7uVnVKu40sxZu975tgG10E/edit?usp=sharing"",""นครปฐม!N101"")+IMPORTRANGE(""https://docs.google.com/spreadsheets/d/1OYoGg4WDg5RIzwGeB10padOxJF9E_Vljuvvct_M7RDo/edit?usp=sharing"",""ปทุมธานี!N101"")+IMPORTRANGE(""https://docs.google.com/spreadsheets/d/1GbCI"&amp;"E4D4wk9FUozzqk7SxfDMxDVBwVmI5zcaVUSzKAc/edit?usp=sharing"",""ประจวบคีรีขันธ์!N101"")+IMPORTRANGE(""https://docs.google.com/spreadsheets/d/1vVf6wykvW_lAyu7Yo9L4hUTqHqIeP_qcVuxCtosJEbg/edit?usp=sharing"",""ปราจีนบุรี!N101"")+IMPORTRANGE(""https://docs.googl"&amp;"e.com/spreadsheets/d/1BIDqLLg5jk3v59G8NlR8rk5xfQDKne0sAvZHSj7TI6I/edit?usp=sharing"",""พระนครศรีอยุธยา!N101"")+IMPORTRANGE(""https://docs.google.com/spreadsheets/d/1YXvxf8Yu6_rV4hTBrwMqAcAnv6DfhUxh5emyM3CJp_w/edit?usp=sharing"",""เพชรบุรี!N101"")+IMPORTRA"&amp;"NGE(""https://docs.google.com/spreadsheets/d/19KBlQQs7uwvsao6t2n-KvW3Ax8J8uRRfZPq1zPbXgKc/edit?usp=sharing"",""ระยอง!N101"")+IMPORTRANGE(""https://docs.google.com/spreadsheets/d/1jQ6P4QcrGM89YfqcC_PxOHGCMq5ezhucwJd8ci-NHng/edit?usp=sharing"",""ราชบุรี!N10"&amp;"1"")+IMPORTRANGE(""https://docs.google.com/spreadsheets/d/1lufeA2cfFqM-elVq2hznhDzC6Pr7wkJ9ZG_sYNGCMCU/edit?usp=sharing"",""ลพบุรี!N101"")+IMPORTRANGE(""https://docs.google.com/spreadsheets/d/10oOiF7loTyfsTkbd4MpaIm0HQ9SwB7IYHdIUvt-U1Uc/edit?usp=sharing"""&amp;",""สระแก้ว!N101"")+IMPORTRANGE(""https://docs.google.com/spreadsheets/d/1xmPlrr1QbdSIKvl1dWUl9K4PjAfSL9oeMr_37QVzcxc/edit?usp=sharing"",""สระบุรี!N101"")+IMPORTRANGE(""https://docs.google.com/spreadsheets/d/1j51vR6CYVGhABJpv6tkstgok82RLpXieLzW1yOY5rHw/edi"&amp;"t?usp=sharing"",""สิงห์บุรี!N101"")+IMPORTRANGE(""https://docs.google.com/spreadsheets/d/1H1EalTWKUSzO4Z1-1CwzoDUaVffgrThEBe2sl74kKG0/edit?usp=sharing"",""สุพรรณบุรี!N101"")+IMPORTRANGE(""https://docs.google.com/spreadsheets/d/1BmIruG_sIrJLYao_Pdr7zVArWsf"&amp;"oBt2692TMi6x_854/edit?usp=sharing"",""อ่างทอง!N101"")"),0)</f>
        <v>0</v>
      </c>
      <c r="O101" s="80">
        <f t="shared" ca="1" si="74"/>
        <v>0</v>
      </c>
      <c r="P101" s="80">
        <f t="shared" ca="1" si="75"/>
        <v>0</v>
      </c>
      <c r="Q101" s="79">
        <f ca="1">IFERROR(__xludf.DUMMYFUNCTION("IMPORTRANGE(""https://docs.google.com/spreadsheets/d/13wPX838HrBrQMCywv1BsuMkt4PEKTChp52zj44s2izQ/edit?usp=sharing"",""กาญจนบุรี!Q101"")+IMPORTRANGE(""https://docs.google.com/spreadsheets/d/1ddFKvqj1W1NEiWytbGlB1zMx_ykJDVtmfEQ-6-lIUBA/edit?usp=sharing"","&amp;"""จันทบุรี!Q101"")+IMPORTRANGE(""https://docs.google.com/spreadsheets/d/1T1PQvRODqOBZk8BRht_U031fIS1beLA0Ub2CEytj2q0/edit?usp=sharing"",""ฉะเชิงเทรา!Q101"")+IMPORTRANGE(""https://docs.google.com/spreadsheets/d/11tr1B-Bhyr79v2bkwVh5h_fR-PStkgjlZtkrZpYurG0/"&amp;"edit?usp=sharing"",""ชลบุรี!Q101"")+IMPORTRANGE(""https://docs.google.com/spreadsheets/d/1hh-FVnSX0vozXhGluamEcS54Dw9_zqW0N7qJUWgJ0Sw/edit?usp=sharing"",""ชัยนาท!Q101"")+IMPORTRANGE(""https://docs.google.com/spreadsheets/d/1jkqa6GXxSacMcY1eN8AHjMNJ_7dDXMJ"&amp;"VRLDlaFSOdPM/edit?usp=sharing"",""ตราด!Q101"")+IMPORTRANGE(""https://docs.google.com/spreadsheets/d/18hSgUJ3VwClqi_qtULmmW3cLr0oe3OKaSYoKzdpTsYQ/edit?usp=sharing"",""นครนายก!Q101"")+IMPORTRANGE(""https://docs.google.com/spreadsheets/d/1YTZo6WM2dQ6Ix6FSdnL"&amp;"5P7uVnVKu40sxZu975tgG10E/edit?usp=sharing"",""นครปฐม!Q101"")+IMPORTRANGE(""https://docs.google.com/spreadsheets/d/1OYoGg4WDg5RIzwGeB10padOxJF9E_Vljuvvct_M7RDo/edit?usp=sharing"",""ปทุมธานี!Q101"")+IMPORTRANGE(""https://docs.google.com/spreadsheets/d/1GbCI"&amp;"E4D4wk9FUozzqk7SxfDMxDVBwVmI5zcaVUSzKAc/edit?usp=sharing"",""ประจวบคีรีขันธ์!Q101"")+IMPORTRANGE(""https://docs.google.com/spreadsheets/d/1vVf6wykvW_lAyu7Yo9L4hUTqHqIeP_qcVuxCtosJEbg/edit?usp=sharing"",""ปราจีนบุรี!Q101"")+IMPORTRANGE(""https://docs.googl"&amp;"e.com/spreadsheets/d/1BIDqLLg5jk3v59G8NlR8rk5xfQDKne0sAvZHSj7TI6I/edit?usp=sharing"",""พระนครศรีอยุธยา!Q101"")+IMPORTRANGE(""https://docs.google.com/spreadsheets/d/1YXvxf8Yu6_rV4hTBrwMqAcAnv6DfhUxh5emyM3CJp_w/edit?usp=sharing"",""เพชรบุรี!Q101"")+IMPORTRA"&amp;"NGE(""https://docs.google.com/spreadsheets/d/19KBlQQs7uwvsao6t2n-KvW3Ax8J8uRRfZPq1zPbXgKc/edit?usp=sharing"",""ระยอง!Q101"")+IMPORTRANGE(""https://docs.google.com/spreadsheets/d/1jQ6P4QcrGM89YfqcC_PxOHGCMq5ezhucwJd8ci-NHng/edit?usp=sharing"",""ราชบุรี!Q10"&amp;"1"")+IMPORTRANGE(""https://docs.google.com/spreadsheets/d/1lufeA2cfFqM-elVq2hznhDzC6Pr7wkJ9ZG_sYNGCMCU/edit?usp=sharing"",""ลพบุรี!Q101"")+IMPORTRANGE(""https://docs.google.com/spreadsheets/d/10oOiF7loTyfsTkbd4MpaIm0HQ9SwB7IYHdIUvt-U1Uc/edit?usp=sharing"""&amp;",""สระแก้ว!Q101"")+IMPORTRANGE(""https://docs.google.com/spreadsheets/d/1xmPlrr1QbdSIKvl1dWUl9K4PjAfSL9oeMr_37QVzcxc/edit?usp=sharing"",""สระบุรี!Q101"")+IMPORTRANGE(""https://docs.google.com/spreadsheets/d/1j51vR6CYVGhABJpv6tkstgok82RLpXieLzW1yOY5rHw/edi"&amp;"t?usp=sharing"",""สิงห์บุรี!Q101"")+IMPORTRANGE(""https://docs.google.com/spreadsheets/d/1H1EalTWKUSzO4Z1-1CwzoDUaVffgrThEBe2sl74kKG0/edit?usp=sharing"",""สุพรรณบุรี!Q101"")+IMPORTRANGE(""https://docs.google.com/spreadsheets/d/1BmIruG_sIrJLYao_Pdr7zVArWsf"&amp;"oBt2692TMi6x_854/edit?usp=sharing"",""อ่างทอง!Q101"")"),0)</f>
        <v>0</v>
      </c>
      <c r="R101" s="80">
        <f ca="1">IFERROR(__xludf.DUMMYFUNCTION("IMPORTRANGE(""https://docs.google.com/spreadsheets/d/13wPX838HrBrQMCywv1BsuMkt4PEKTChp52zj44s2izQ/edit?usp=sharing"",""กาญจนบุรี!R101"")+IMPORTRANGE(""https://docs.google.com/spreadsheets/d/1ddFKvqj1W1NEiWytbGlB1zMx_ykJDVtmfEQ-6-lIUBA/edit?usp=sharing"","&amp;"""จันทบุรี!R101"")+IMPORTRANGE(""https://docs.google.com/spreadsheets/d/1T1PQvRODqOBZk8BRht_U031fIS1beLA0Ub2CEytj2q0/edit?usp=sharing"",""ฉะเชิงเทรา!R101"")+IMPORTRANGE(""https://docs.google.com/spreadsheets/d/11tr1B-Bhyr79v2bkwVh5h_fR-PStkgjlZtkrZpYurG0/"&amp;"edit?usp=sharing"",""ชลบุรี!R101"")+IMPORTRANGE(""https://docs.google.com/spreadsheets/d/1hh-FVnSX0vozXhGluamEcS54Dw9_zqW0N7qJUWgJ0Sw/edit?usp=sharing"",""ชัยนาท!R101"")+IMPORTRANGE(""https://docs.google.com/spreadsheets/d/1jkqa6GXxSacMcY1eN8AHjMNJ_7dDXMJ"&amp;"VRLDlaFSOdPM/edit?usp=sharing"",""ตราด!R101"")+IMPORTRANGE(""https://docs.google.com/spreadsheets/d/18hSgUJ3VwClqi_qtULmmW3cLr0oe3OKaSYoKzdpTsYQ/edit?usp=sharing"",""นครนายก!R101"")+IMPORTRANGE(""https://docs.google.com/spreadsheets/d/1YTZo6WM2dQ6Ix6FSdnL"&amp;"5P7uVnVKu40sxZu975tgG10E/edit?usp=sharing"",""นครปฐม!R101"")+IMPORTRANGE(""https://docs.google.com/spreadsheets/d/1OYoGg4WDg5RIzwGeB10padOxJF9E_Vljuvvct_M7RDo/edit?usp=sharing"",""ปทุมธานี!R101"")+IMPORTRANGE(""https://docs.google.com/spreadsheets/d/1GbCI"&amp;"E4D4wk9FUozzqk7SxfDMxDVBwVmI5zcaVUSzKAc/edit?usp=sharing"",""ประจวบคีรีขันธ์!R101"")+IMPORTRANGE(""https://docs.google.com/spreadsheets/d/1vVf6wykvW_lAyu7Yo9L4hUTqHqIeP_qcVuxCtosJEbg/edit?usp=sharing"",""ปราจีนบุรี!R101"")+IMPORTRANGE(""https://docs.googl"&amp;"e.com/spreadsheets/d/1BIDqLLg5jk3v59G8NlR8rk5xfQDKne0sAvZHSj7TI6I/edit?usp=sharing"",""พระนครศรีอยุธยา!R101"")+IMPORTRANGE(""https://docs.google.com/spreadsheets/d/1YXvxf8Yu6_rV4hTBrwMqAcAnv6DfhUxh5emyM3CJp_w/edit?usp=sharing"",""เพชรบุรี!R101"")+IMPORTRA"&amp;"NGE(""https://docs.google.com/spreadsheets/d/19KBlQQs7uwvsao6t2n-KvW3Ax8J8uRRfZPq1zPbXgKc/edit?usp=sharing"",""ระยอง!R101"")+IMPORTRANGE(""https://docs.google.com/spreadsheets/d/1jQ6P4QcrGM89YfqcC_PxOHGCMq5ezhucwJd8ci-NHng/edit?usp=sharing"",""ราชบุรี!R10"&amp;"1"")+IMPORTRANGE(""https://docs.google.com/spreadsheets/d/1lufeA2cfFqM-elVq2hznhDzC6Pr7wkJ9ZG_sYNGCMCU/edit?usp=sharing"",""ลพบุรี!R101"")+IMPORTRANGE(""https://docs.google.com/spreadsheets/d/10oOiF7loTyfsTkbd4MpaIm0HQ9SwB7IYHdIUvt-U1Uc/edit?usp=sharing"""&amp;",""สระแก้ว!R101"")+IMPORTRANGE(""https://docs.google.com/spreadsheets/d/1xmPlrr1QbdSIKvl1dWUl9K4PjAfSL9oeMr_37QVzcxc/edit?usp=sharing"",""สระบุรี!R101"")+IMPORTRANGE(""https://docs.google.com/spreadsheets/d/1j51vR6CYVGhABJpv6tkstgok82RLpXieLzW1yOY5rHw/edi"&amp;"t?usp=sharing"",""สิงห์บุรี!R101"")+IMPORTRANGE(""https://docs.google.com/spreadsheets/d/1H1EalTWKUSzO4Z1-1CwzoDUaVffgrThEBe2sl74kKG0/edit?usp=sharing"",""สุพรรณบุรี!R101"")+IMPORTRANGE(""https://docs.google.com/spreadsheets/d/1BmIruG_sIrJLYao_Pdr7zVArWsf"&amp;"oBt2692TMi6x_854/edit?usp=sharing"",""อ่างทอง!R101"")"),0)</f>
        <v>0</v>
      </c>
      <c r="S101" s="80">
        <f ca="1">IFERROR(__xludf.DUMMYFUNCTION("IMPORTRANGE(""https://docs.google.com/spreadsheets/d/13wPX838HrBrQMCywv1BsuMkt4PEKTChp52zj44s2izQ/edit?usp=sharing"",""กาญจนบุรี!S101"")+IMPORTRANGE(""https://docs.google.com/spreadsheets/d/1ddFKvqj1W1NEiWytbGlB1zMx_ykJDVtmfEQ-6-lIUBA/edit?usp=sharing"","&amp;"""จันทบุรี!S101"")+IMPORTRANGE(""https://docs.google.com/spreadsheets/d/1T1PQvRODqOBZk8BRht_U031fIS1beLA0Ub2CEytj2q0/edit?usp=sharing"",""ฉะเชิงเทรา!S101"")+IMPORTRANGE(""https://docs.google.com/spreadsheets/d/11tr1B-Bhyr79v2bkwVh5h_fR-PStkgjlZtkrZpYurG0/"&amp;"edit?usp=sharing"",""ชลบุรี!S101"")+IMPORTRANGE(""https://docs.google.com/spreadsheets/d/1hh-FVnSX0vozXhGluamEcS54Dw9_zqW0N7qJUWgJ0Sw/edit?usp=sharing"",""ชัยนาท!S101"")+IMPORTRANGE(""https://docs.google.com/spreadsheets/d/1jkqa6GXxSacMcY1eN8AHjMNJ_7dDXMJ"&amp;"VRLDlaFSOdPM/edit?usp=sharing"",""ตราด!S101"")+IMPORTRANGE(""https://docs.google.com/spreadsheets/d/18hSgUJ3VwClqi_qtULmmW3cLr0oe3OKaSYoKzdpTsYQ/edit?usp=sharing"",""นครนายก!S101"")+IMPORTRANGE(""https://docs.google.com/spreadsheets/d/1YTZo6WM2dQ6Ix6FSdnL"&amp;"5P7uVnVKu40sxZu975tgG10E/edit?usp=sharing"",""นครปฐม!S101"")+IMPORTRANGE(""https://docs.google.com/spreadsheets/d/1OYoGg4WDg5RIzwGeB10padOxJF9E_Vljuvvct_M7RDo/edit?usp=sharing"",""ปทุมธานี!S101"")+IMPORTRANGE(""https://docs.google.com/spreadsheets/d/1GbCI"&amp;"E4D4wk9FUozzqk7SxfDMxDVBwVmI5zcaVUSzKAc/edit?usp=sharing"",""ประจวบคีรีขันธ์!S101"")+IMPORTRANGE(""https://docs.google.com/spreadsheets/d/1vVf6wykvW_lAyu7Yo9L4hUTqHqIeP_qcVuxCtosJEbg/edit?usp=sharing"",""ปราจีนบุรี!S101"")+IMPORTRANGE(""https://docs.googl"&amp;"e.com/spreadsheets/d/1BIDqLLg5jk3v59G8NlR8rk5xfQDKne0sAvZHSj7TI6I/edit?usp=sharing"",""พระนครศรีอยุธยา!S101"")+IMPORTRANGE(""https://docs.google.com/spreadsheets/d/1YXvxf8Yu6_rV4hTBrwMqAcAnv6DfhUxh5emyM3CJp_w/edit?usp=sharing"",""เพชรบุรี!S101"")+IMPORTRA"&amp;"NGE(""https://docs.google.com/spreadsheets/d/19KBlQQs7uwvsao6t2n-KvW3Ax8J8uRRfZPq1zPbXgKc/edit?usp=sharing"",""ระยอง!S101"")+IMPORTRANGE(""https://docs.google.com/spreadsheets/d/1jQ6P4QcrGM89YfqcC_PxOHGCMq5ezhucwJd8ci-NHng/edit?usp=sharing"",""ราชบุรี!S10"&amp;"1"")+IMPORTRANGE(""https://docs.google.com/spreadsheets/d/1lufeA2cfFqM-elVq2hznhDzC6Pr7wkJ9ZG_sYNGCMCU/edit?usp=sharing"",""ลพบุรี!S101"")+IMPORTRANGE(""https://docs.google.com/spreadsheets/d/10oOiF7loTyfsTkbd4MpaIm0HQ9SwB7IYHdIUvt-U1Uc/edit?usp=sharing"""&amp;",""สระแก้ว!S101"")+IMPORTRANGE(""https://docs.google.com/spreadsheets/d/1xmPlrr1QbdSIKvl1dWUl9K4PjAfSL9oeMr_37QVzcxc/edit?usp=sharing"",""สระบุรี!S101"")+IMPORTRANGE(""https://docs.google.com/spreadsheets/d/1j51vR6CYVGhABJpv6tkstgok82RLpXieLzW1yOY5rHw/edi"&amp;"t?usp=sharing"",""สิงห์บุรี!S101"")+IMPORTRANGE(""https://docs.google.com/spreadsheets/d/1H1EalTWKUSzO4Z1-1CwzoDUaVffgrThEBe2sl74kKG0/edit?usp=sharing"",""สุพรรณบุรี!S101"")+IMPORTRANGE(""https://docs.google.com/spreadsheets/d/1BmIruG_sIrJLYao_Pdr7zVArWsf"&amp;"oBt2692TMi6x_854/edit?usp=sharing"",""อ่างทอง!S101"")"),0)</f>
        <v>0</v>
      </c>
      <c r="T101" s="136">
        <f t="shared" ca="1" si="77"/>
        <v>0</v>
      </c>
      <c r="U101" s="136">
        <f t="shared" ca="1" si="78"/>
        <v>0</v>
      </c>
    </row>
    <row r="102" spans="1:21" ht="18.75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13wPX838HrBrQMCywv1BsuMkt4PEKTChp52zj44s2izQ/edit?usp=sharing"",""กาญจนบุรี!L102"")+IMPORTRANGE(""https://docs.google.com/spreadsheets/d/1ddFKvqj1W1NEiWytbGlB1zMx_ykJDVtmfEQ-6-lIUBA/edit?usp=sharing"","&amp;"""จันทบุรี!L102"")+IMPORTRANGE(""https://docs.google.com/spreadsheets/d/1T1PQvRODqOBZk8BRht_U031fIS1beLA0Ub2CEytj2q0/edit?usp=sharing"",""ฉะเชิงเทรา!L102"")+IMPORTRANGE(""https://docs.google.com/spreadsheets/d/11tr1B-Bhyr79v2bkwVh5h_fR-PStkgjlZtkrZpYurG0/"&amp;"edit?usp=sharing"",""ชลบุรี!L102"")+IMPORTRANGE(""https://docs.google.com/spreadsheets/d/1hh-FVnSX0vozXhGluamEcS54Dw9_zqW0N7qJUWgJ0Sw/edit?usp=sharing"",""ชัยนาท!L102"")+IMPORTRANGE(""https://docs.google.com/spreadsheets/d/1jkqa6GXxSacMcY1eN8AHjMNJ_7dDXMJ"&amp;"VRLDlaFSOdPM/edit?usp=sharing"",""ตราด!L102"")+IMPORTRANGE(""https://docs.google.com/spreadsheets/d/18hSgUJ3VwClqi_qtULmmW3cLr0oe3OKaSYoKzdpTsYQ/edit?usp=sharing"",""นครนายก!L102"")+IMPORTRANGE(""https://docs.google.com/spreadsheets/d/1YTZo6WM2dQ6Ix6FSdnL"&amp;"5P7uVnVKu40sxZu975tgG10E/edit?usp=sharing"",""นครปฐม!L102"")+IMPORTRANGE(""https://docs.google.com/spreadsheets/d/1OYoGg4WDg5RIzwGeB10padOxJF9E_Vljuvvct_M7RDo/edit?usp=sharing"",""ปทุมธานี!L102"")+IMPORTRANGE(""https://docs.google.com/spreadsheets/d/1GbCI"&amp;"E4D4wk9FUozzqk7SxfDMxDVBwVmI5zcaVUSzKAc/edit?usp=sharing"",""ประจวบคีรีขันธ์!L102"")+IMPORTRANGE(""https://docs.google.com/spreadsheets/d/1vVf6wykvW_lAyu7Yo9L4hUTqHqIeP_qcVuxCtosJEbg/edit?usp=sharing"",""ปราจีนบุรี!L102"")+IMPORTRANGE(""https://docs.googl"&amp;"e.com/spreadsheets/d/1BIDqLLg5jk3v59G8NlR8rk5xfQDKne0sAvZHSj7TI6I/edit?usp=sharing"",""พระนครศรีอยุธยา!L102"")+IMPORTRANGE(""https://docs.google.com/spreadsheets/d/1YXvxf8Yu6_rV4hTBrwMqAcAnv6DfhUxh5emyM3CJp_w/edit?usp=sharing"",""เพชรบุรี!L102"")+IMPORTRA"&amp;"NGE(""https://docs.google.com/spreadsheets/d/19KBlQQs7uwvsao6t2n-KvW3Ax8J8uRRfZPq1zPbXgKc/edit?usp=sharing"",""ระยอง!L102"")+IMPORTRANGE(""https://docs.google.com/spreadsheets/d/1jQ6P4QcrGM89YfqcC_PxOHGCMq5ezhucwJd8ci-NHng/edit?usp=sharing"",""ราชบุรี!L10"&amp;"2"")+IMPORTRANGE(""https://docs.google.com/spreadsheets/d/1lufeA2cfFqM-elVq2hznhDzC6Pr7wkJ9ZG_sYNGCMCU/edit?usp=sharing"",""ลพบุรี!L102"")+IMPORTRANGE(""https://docs.google.com/spreadsheets/d/10oOiF7loTyfsTkbd4MpaIm0HQ9SwB7IYHdIUvt-U1Uc/edit?usp=sharing"""&amp;",""สระแก้ว!L102"")+IMPORTRANGE(""https://docs.google.com/spreadsheets/d/1xmPlrr1QbdSIKvl1dWUl9K4PjAfSL9oeMr_37QVzcxc/edit?usp=sharing"",""สระบุรี!L102"")+IMPORTRANGE(""https://docs.google.com/spreadsheets/d/1j51vR6CYVGhABJpv6tkstgok82RLpXieLzW1yOY5rHw/edi"&amp;"t?usp=sharing"",""สิงห์บุรี!L102"")+IMPORTRANGE(""https://docs.google.com/spreadsheets/d/1H1EalTWKUSzO4Z1-1CwzoDUaVffgrThEBe2sl74kKG0/edit?usp=sharing"",""สุพรรณบุรี!L102"")+IMPORTRANGE(""https://docs.google.com/spreadsheets/d/1BmIruG_sIrJLYao_Pdr7zVArWsf"&amp;"oBt2692TMi6x_854/edit?usp=sharing"",""อ่างทอง!L102"")"),0)</f>
        <v>0</v>
      </c>
      <c r="M102" s="77">
        <f ca="1">IFERROR(__xludf.DUMMYFUNCTION("IMPORTRANGE(""https://docs.google.com/spreadsheets/d/13wPX838HrBrQMCywv1BsuMkt4PEKTChp52zj44s2izQ/edit?usp=sharing"",""กาญจนบุรี!M102"")+IMPORTRANGE(""https://docs.google.com/spreadsheets/d/1ddFKvqj1W1NEiWytbGlB1zMx_ykJDVtmfEQ-6-lIUBA/edit?usp=sharing"","&amp;"""จันทบุรี!M102"")+IMPORTRANGE(""https://docs.google.com/spreadsheets/d/1T1PQvRODqOBZk8BRht_U031fIS1beLA0Ub2CEytj2q0/edit?usp=sharing"",""ฉะเชิงเทรา!M102"")+IMPORTRANGE(""https://docs.google.com/spreadsheets/d/11tr1B-Bhyr79v2bkwVh5h_fR-PStkgjlZtkrZpYurG0/"&amp;"edit?usp=sharing"",""ชลบุรี!M102"")+IMPORTRANGE(""https://docs.google.com/spreadsheets/d/1hh-FVnSX0vozXhGluamEcS54Dw9_zqW0N7qJUWgJ0Sw/edit?usp=sharing"",""ชัยนาท!M102"")+IMPORTRANGE(""https://docs.google.com/spreadsheets/d/1jkqa6GXxSacMcY1eN8AHjMNJ_7dDXMJ"&amp;"VRLDlaFSOdPM/edit?usp=sharing"",""ตราด!M102"")+IMPORTRANGE(""https://docs.google.com/spreadsheets/d/18hSgUJ3VwClqi_qtULmmW3cLr0oe3OKaSYoKzdpTsYQ/edit?usp=sharing"",""นครนายก!M102"")+IMPORTRANGE(""https://docs.google.com/spreadsheets/d/1YTZo6WM2dQ6Ix6FSdnL"&amp;"5P7uVnVKu40sxZu975tgG10E/edit?usp=sharing"",""นครปฐม!M102"")+IMPORTRANGE(""https://docs.google.com/spreadsheets/d/1OYoGg4WDg5RIzwGeB10padOxJF9E_Vljuvvct_M7RDo/edit?usp=sharing"",""ปทุมธานี!M102"")+IMPORTRANGE(""https://docs.google.com/spreadsheets/d/1GbCI"&amp;"E4D4wk9FUozzqk7SxfDMxDVBwVmI5zcaVUSzKAc/edit?usp=sharing"",""ประจวบคีรีขันธ์!M102"")+IMPORTRANGE(""https://docs.google.com/spreadsheets/d/1vVf6wykvW_lAyu7Yo9L4hUTqHqIeP_qcVuxCtosJEbg/edit?usp=sharing"",""ปราจีนบุรี!M102"")+IMPORTRANGE(""https://docs.googl"&amp;"e.com/spreadsheets/d/1BIDqLLg5jk3v59G8NlR8rk5xfQDKne0sAvZHSj7TI6I/edit?usp=sharing"",""พระนครศรีอยุธยา!M102"")+IMPORTRANGE(""https://docs.google.com/spreadsheets/d/1YXvxf8Yu6_rV4hTBrwMqAcAnv6DfhUxh5emyM3CJp_w/edit?usp=sharing"",""เพชรบุรี!M102"")+IMPORTRA"&amp;"NGE(""https://docs.google.com/spreadsheets/d/19KBlQQs7uwvsao6t2n-KvW3Ax8J8uRRfZPq1zPbXgKc/edit?usp=sharing"",""ระยอง!M102"")+IMPORTRANGE(""https://docs.google.com/spreadsheets/d/1jQ6P4QcrGM89YfqcC_PxOHGCMq5ezhucwJd8ci-NHng/edit?usp=sharing"",""ราชบุรี!M10"&amp;"2"")+IMPORTRANGE(""https://docs.google.com/spreadsheets/d/1lufeA2cfFqM-elVq2hznhDzC6Pr7wkJ9ZG_sYNGCMCU/edit?usp=sharing"",""ลพบุรี!M102"")+IMPORTRANGE(""https://docs.google.com/spreadsheets/d/10oOiF7loTyfsTkbd4MpaIm0HQ9SwB7IYHdIUvt-U1Uc/edit?usp=sharing"""&amp;",""สระแก้ว!M102"")+IMPORTRANGE(""https://docs.google.com/spreadsheets/d/1xmPlrr1QbdSIKvl1dWUl9K4PjAfSL9oeMr_37QVzcxc/edit?usp=sharing"",""สระบุรี!M102"")+IMPORTRANGE(""https://docs.google.com/spreadsheets/d/1j51vR6CYVGhABJpv6tkstgok82RLpXieLzW1yOY5rHw/edi"&amp;"t?usp=sharing"",""สิงห์บุรี!M102"")+IMPORTRANGE(""https://docs.google.com/spreadsheets/d/1H1EalTWKUSzO4Z1-1CwzoDUaVffgrThEBe2sl74kKG0/edit?usp=sharing"",""สุพรรณบุรี!M102"")+IMPORTRANGE(""https://docs.google.com/spreadsheets/d/1BmIruG_sIrJLYao_Pdr7zVArWsf"&amp;"oBt2692TMi6x_854/edit?usp=sharing"",""อ่างทอง!M102"")"),0)</f>
        <v>0</v>
      </c>
      <c r="N102" s="77">
        <f ca="1">IFERROR(__xludf.DUMMYFUNCTION("IMPORTRANGE(""https://docs.google.com/spreadsheets/d/13wPX838HrBrQMCywv1BsuMkt4PEKTChp52zj44s2izQ/edit?usp=sharing"",""กาญจนบุรี!N102"")+IMPORTRANGE(""https://docs.google.com/spreadsheets/d/1ddFKvqj1W1NEiWytbGlB1zMx_ykJDVtmfEQ-6-lIUBA/edit?usp=sharing"","&amp;"""จันทบุรี!N102"")+IMPORTRANGE(""https://docs.google.com/spreadsheets/d/1T1PQvRODqOBZk8BRht_U031fIS1beLA0Ub2CEytj2q0/edit?usp=sharing"",""ฉะเชิงเทรา!N102"")+IMPORTRANGE(""https://docs.google.com/spreadsheets/d/11tr1B-Bhyr79v2bkwVh5h_fR-PStkgjlZtkrZpYurG0/"&amp;"edit?usp=sharing"",""ชลบุรี!N102"")+IMPORTRANGE(""https://docs.google.com/spreadsheets/d/1hh-FVnSX0vozXhGluamEcS54Dw9_zqW0N7qJUWgJ0Sw/edit?usp=sharing"",""ชัยนาท!N102"")+IMPORTRANGE(""https://docs.google.com/spreadsheets/d/1jkqa6GXxSacMcY1eN8AHjMNJ_7dDXMJ"&amp;"VRLDlaFSOdPM/edit?usp=sharing"",""ตราด!N102"")+IMPORTRANGE(""https://docs.google.com/spreadsheets/d/18hSgUJ3VwClqi_qtULmmW3cLr0oe3OKaSYoKzdpTsYQ/edit?usp=sharing"",""นครนายก!N102"")+IMPORTRANGE(""https://docs.google.com/spreadsheets/d/1YTZo6WM2dQ6Ix6FSdnL"&amp;"5P7uVnVKu40sxZu975tgG10E/edit?usp=sharing"",""นครปฐม!N102"")+IMPORTRANGE(""https://docs.google.com/spreadsheets/d/1OYoGg4WDg5RIzwGeB10padOxJF9E_Vljuvvct_M7RDo/edit?usp=sharing"",""ปทุมธานี!N102"")+IMPORTRANGE(""https://docs.google.com/spreadsheets/d/1GbCI"&amp;"E4D4wk9FUozzqk7SxfDMxDVBwVmI5zcaVUSzKAc/edit?usp=sharing"",""ประจวบคีรีขันธ์!N102"")+IMPORTRANGE(""https://docs.google.com/spreadsheets/d/1vVf6wykvW_lAyu7Yo9L4hUTqHqIeP_qcVuxCtosJEbg/edit?usp=sharing"",""ปราจีนบุรี!N102"")+IMPORTRANGE(""https://docs.googl"&amp;"e.com/spreadsheets/d/1BIDqLLg5jk3v59G8NlR8rk5xfQDKne0sAvZHSj7TI6I/edit?usp=sharing"",""พระนครศรีอยุธยา!N102"")+IMPORTRANGE(""https://docs.google.com/spreadsheets/d/1YXvxf8Yu6_rV4hTBrwMqAcAnv6DfhUxh5emyM3CJp_w/edit?usp=sharing"",""เพชรบุรี!N102"")+IMPORTRA"&amp;"NGE(""https://docs.google.com/spreadsheets/d/19KBlQQs7uwvsao6t2n-KvW3Ax8J8uRRfZPq1zPbXgKc/edit?usp=sharing"",""ระยอง!N102"")+IMPORTRANGE(""https://docs.google.com/spreadsheets/d/1jQ6P4QcrGM89YfqcC_PxOHGCMq5ezhucwJd8ci-NHng/edit?usp=sharing"",""ราชบุรี!N10"&amp;"2"")+IMPORTRANGE(""https://docs.google.com/spreadsheets/d/1lufeA2cfFqM-elVq2hznhDzC6Pr7wkJ9ZG_sYNGCMCU/edit?usp=sharing"",""ลพบุรี!N102"")+IMPORTRANGE(""https://docs.google.com/spreadsheets/d/10oOiF7loTyfsTkbd4MpaIm0HQ9SwB7IYHdIUvt-U1Uc/edit?usp=sharing"""&amp;",""สระแก้ว!N102"")+IMPORTRANGE(""https://docs.google.com/spreadsheets/d/1xmPlrr1QbdSIKvl1dWUl9K4PjAfSL9oeMr_37QVzcxc/edit?usp=sharing"",""สระบุรี!N102"")+IMPORTRANGE(""https://docs.google.com/spreadsheets/d/1j51vR6CYVGhABJpv6tkstgok82RLpXieLzW1yOY5rHw/edi"&amp;"t?usp=sharing"",""สิงห์บุรี!N102"")+IMPORTRANGE(""https://docs.google.com/spreadsheets/d/1H1EalTWKUSzO4Z1-1CwzoDUaVffgrThEBe2sl74kKG0/edit?usp=sharing"",""สุพรรณบุรี!N102"")+IMPORTRANGE(""https://docs.google.com/spreadsheets/d/1BmIruG_sIrJLYao_Pdr7zVArWsf"&amp;"oBt2692TMi6x_854/edit?usp=sharing"",""อ่างทอง!N102"")"),0)</f>
        <v>0</v>
      </c>
      <c r="O102" s="77">
        <f t="shared" ca="1" si="74"/>
        <v>0</v>
      </c>
      <c r="P102" s="77">
        <f t="shared" ca="1" si="75"/>
        <v>0</v>
      </c>
      <c r="Q102" s="76">
        <f ca="1">IFERROR(__xludf.DUMMYFUNCTION("IMPORTRANGE(""https://docs.google.com/spreadsheets/d/13wPX838HrBrQMCywv1BsuMkt4PEKTChp52zj44s2izQ/edit?usp=sharing"",""กาญจนบุรี!Q102"")+IMPORTRANGE(""https://docs.google.com/spreadsheets/d/1ddFKvqj1W1NEiWytbGlB1zMx_ykJDVtmfEQ-6-lIUBA/edit?usp=sharing"","&amp;"""จันทบุรี!Q102"")+IMPORTRANGE(""https://docs.google.com/spreadsheets/d/1T1PQvRODqOBZk8BRht_U031fIS1beLA0Ub2CEytj2q0/edit?usp=sharing"",""ฉะเชิงเทรา!Q102"")+IMPORTRANGE(""https://docs.google.com/spreadsheets/d/11tr1B-Bhyr79v2bkwVh5h_fR-PStkgjlZtkrZpYurG0/"&amp;"edit?usp=sharing"",""ชลบุรี!Q102"")+IMPORTRANGE(""https://docs.google.com/spreadsheets/d/1hh-FVnSX0vozXhGluamEcS54Dw9_zqW0N7qJUWgJ0Sw/edit?usp=sharing"",""ชัยนาท!Q102"")+IMPORTRANGE(""https://docs.google.com/spreadsheets/d/1jkqa6GXxSacMcY1eN8AHjMNJ_7dDXMJ"&amp;"VRLDlaFSOdPM/edit?usp=sharing"",""ตราด!Q102"")+IMPORTRANGE(""https://docs.google.com/spreadsheets/d/18hSgUJ3VwClqi_qtULmmW3cLr0oe3OKaSYoKzdpTsYQ/edit?usp=sharing"",""นครนายก!Q102"")+IMPORTRANGE(""https://docs.google.com/spreadsheets/d/1YTZo6WM2dQ6Ix6FSdnL"&amp;"5P7uVnVKu40sxZu975tgG10E/edit?usp=sharing"",""นครปฐม!Q102"")+IMPORTRANGE(""https://docs.google.com/spreadsheets/d/1OYoGg4WDg5RIzwGeB10padOxJF9E_Vljuvvct_M7RDo/edit?usp=sharing"",""ปทุมธานี!Q102"")+IMPORTRANGE(""https://docs.google.com/spreadsheets/d/1GbCI"&amp;"E4D4wk9FUozzqk7SxfDMxDVBwVmI5zcaVUSzKAc/edit?usp=sharing"",""ประจวบคีรีขันธ์!Q102"")+IMPORTRANGE(""https://docs.google.com/spreadsheets/d/1vVf6wykvW_lAyu7Yo9L4hUTqHqIeP_qcVuxCtosJEbg/edit?usp=sharing"",""ปราจีนบุรี!Q102"")+IMPORTRANGE(""https://docs.googl"&amp;"e.com/spreadsheets/d/1BIDqLLg5jk3v59G8NlR8rk5xfQDKne0sAvZHSj7TI6I/edit?usp=sharing"",""พระนครศรีอยุธยา!Q102"")+IMPORTRANGE(""https://docs.google.com/spreadsheets/d/1YXvxf8Yu6_rV4hTBrwMqAcAnv6DfhUxh5emyM3CJp_w/edit?usp=sharing"",""เพชรบุรี!Q102"")+IMPORTRA"&amp;"NGE(""https://docs.google.com/spreadsheets/d/19KBlQQs7uwvsao6t2n-KvW3Ax8J8uRRfZPq1zPbXgKc/edit?usp=sharing"",""ระยอง!Q102"")+IMPORTRANGE(""https://docs.google.com/spreadsheets/d/1jQ6P4QcrGM89YfqcC_PxOHGCMq5ezhucwJd8ci-NHng/edit?usp=sharing"",""ราชบุรี!Q10"&amp;"2"")+IMPORTRANGE(""https://docs.google.com/spreadsheets/d/1lufeA2cfFqM-elVq2hznhDzC6Pr7wkJ9ZG_sYNGCMCU/edit?usp=sharing"",""ลพบุรี!Q102"")+IMPORTRANGE(""https://docs.google.com/spreadsheets/d/10oOiF7loTyfsTkbd4MpaIm0HQ9SwB7IYHdIUvt-U1Uc/edit?usp=sharing"""&amp;",""สระแก้ว!Q102"")+IMPORTRANGE(""https://docs.google.com/spreadsheets/d/1xmPlrr1QbdSIKvl1dWUl9K4PjAfSL9oeMr_37QVzcxc/edit?usp=sharing"",""สระบุรี!Q102"")+IMPORTRANGE(""https://docs.google.com/spreadsheets/d/1j51vR6CYVGhABJpv6tkstgok82RLpXieLzW1yOY5rHw/edi"&amp;"t?usp=sharing"",""สิงห์บุรี!Q102"")+IMPORTRANGE(""https://docs.google.com/spreadsheets/d/1H1EalTWKUSzO4Z1-1CwzoDUaVffgrThEBe2sl74kKG0/edit?usp=sharing"",""สุพรรณบุรี!Q102"")+IMPORTRANGE(""https://docs.google.com/spreadsheets/d/1BmIruG_sIrJLYao_Pdr7zVArWsf"&amp;"oBt2692TMi6x_854/edit?usp=sharing"",""อ่างทอง!Q102"")"),0)</f>
        <v>0</v>
      </c>
      <c r="R102" s="77">
        <f ca="1">IFERROR(__xludf.DUMMYFUNCTION("IMPORTRANGE(""https://docs.google.com/spreadsheets/d/13wPX838HrBrQMCywv1BsuMkt4PEKTChp52zj44s2izQ/edit?usp=sharing"",""กาญจนบุรี!R102"")+IMPORTRANGE(""https://docs.google.com/spreadsheets/d/1ddFKvqj1W1NEiWytbGlB1zMx_ykJDVtmfEQ-6-lIUBA/edit?usp=sharing"","&amp;"""จันทบุรี!R102"")+IMPORTRANGE(""https://docs.google.com/spreadsheets/d/1T1PQvRODqOBZk8BRht_U031fIS1beLA0Ub2CEytj2q0/edit?usp=sharing"",""ฉะเชิงเทรา!R102"")+IMPORTRANGE(""https://docs.google.com/spreadsheets/d/11tr1B-Bhyr79v2bkwVh5h_fR-PStkgjlZtkrZpYurG0/"&amp;"edit?usp=sharing"",""ชลบุรี!R102"")+IMPORTRANGE(""https://docs.google.com/spreadsheets/d/1hh-FVnSX0vozXhGluamEcS54Dw9_zqW0N7qJUWgJ0Sw/edit?usp=sharing"",""ชัยนาท!R102"")+IMPORTRANGE(""https://docs.google.com/spreadsheets/d/1jkqa6GXxSacMcY1eN8AHjMNJ_7dDXMJ"&amp;"VRLDlaFSOdPM/edit?usp=sharing"",""ตราด!R102"")+IMPORTRANGE(""https://docs.google.com/spreadsheets/d/18hSgUJ3VwClqi_qtULmmW3cLr0oe3OKaSYoKzdpTsYQ/edit?usp=sharing"",""นครนายก!R102"")+IMPORTRANGE(""https://docs.google.com/spreadsheets/d/1YTZo6WM2dQ6Ix6FSdnL"&amp;"5P7uVnVKu40sxZu975tgG10E/edit?usp=sharing"",""นครปฐม!R102"")+IMPORTRANGE(""https://docs.google.com/spreadsheets/d/1OYoGg4WDg5RIzwGeB10padOxJF9E_Vljuvvct_M7RDo/edit?usp=sharing"",""ปทุมธานี!R102"")+IMPORTRANGE(""https://docs.google.com/spreadsheets/d/1GbCI"&amp;"E4D4wk9FUozzqk7SxfDMxDVBwVmI5zcaVUSzKAc/edit?usp=sharing"",""ประจวบคีรีขันธ์!R102"")+IMPORTRANGE(""https://docs.google.com/spreadsheets/d/1vVf6wykvW_lAyu7Yo9L4hUTqHqIeP_qcVuxCtosJEbg/edit?usp=sharing"",""ปราจีนบุรี!R102"")+IMPORTRANGE(""https://docs.googl"&amp;"e.com/spreadsheets/d/1BIDqLLg5jk3v59G8NlR8rk5xfQDKne0sAvZHSj7TI6I/edit?usp=sharing"",""พระนครศรีอยุธยา!R102"")+IMPORTRANGE(""https://docs.google.com/spreadsheets/d/1YXvxf8Yu6_rV4hTBrwMqAcAnv6DfhUxh5emyM3CJp_w/edit?usp=sharing"",""เพชรบุรี!R102"")+IMPORTRA"&amp;"NGE(""https://docs.google.com/spreadsheets/d/19KBlQQs7uwvsao6t2n-KvW3Ax8J8uRRfZPq1zPbXgKc/edit?usp=sharing"",""ระยอง!R102"")+IMPORTRANGE(""https://docs.google.com/spreadsheets/d/1jQ6P4QcrGM89YfqcC_PxOHGCMq5ezhucwJd8ci-NHng/edit?usp=sharing"",""ราชบุรี!R10"&amp;"2"")+IMPORTRANGE(""https://docs.google.com/spreadsheets/d/1lufeA2cfFqM-elVq2hznhDzC6Pr7wkJ9ZG_sYNGCMCU/edit?usp=sharing"",""ลพบุรี!R102"")+IMPORTRANGE(""https://docs.google.com/spreadsheets/d/10oOiF7loTyfsTkbd4MpaIm0HQ9SwB7IYHdIUvt-U1Uc/edit?usp=sharing"""&amp;",""สระแก้ว!R102"")+IMPORTRANGE(""https://docs.google.com/spreadsheets/d/1xmPlrr1QbdSIKvl1dWUl9K4PjAfSL9oeMr_37QVzcxc/edit?usp=sharing"",""สระบุรี!R102"")+IMPORTRANGE(""https://docs.google.com/spreadsheets/d/1j51vR6CYVGhABJpv6tkstgok82RLpXieLzW1yOY5rHw/edi"&amp;"t?usp=sharing"",""สิงห์บุรี!R102"")+IMPORTRANGE(""https://docs.google.com/spreadsheets/d/1H1EalTWKUSzO4Z1-1CwzoDUaVffgrThEBe2sl74kKG0/edit?usp=sharing"",""สุพรรณบุรี!R102"")+IMPORTRANGE(""https://docs.google.com/spreadsheets/d/1BmIruG_sIrJLYao_Pdr7zVArWsf"&amp;"oBt2692TMi6x_854/edit?usp=sharing"",""อ่างทอง!R102"")"),0)</f>
        <v>0</v>
      </c>
      <c r="S102" s="77">
        <f ca="1">IFERROR(__xludf.DUMMYFUNCTION("IMPORTRANGE(""https://docs.google.com/spreadsheets/d/13wPX838HrBrQMCywv1BsuMkt4PEKTChp52zj44s2izQ/edit?usp=sharing"",""กาญจนบุรี!S102"")+IMPORTRANGE(""https://docs.google.com/spreadsheets/d/1ddFKvqj1W1NEiWytbGlB1zMx_ykJDVtmfEQ-6-lIUBA/edit?usp=sharing"","&amp;"""จันทบุรี!S102"")+IMPORTRANGE(""https://docs.google.com/spreadsheets/d/1T1PQvRODqOBZk8BRht_U031fIS1beLA0Ub2CEytj2q0/edit?usp=sharing"",""ฉะเชิงเทรา!S102"")+IMPORTRANGE(""https://docs.google.com/spreadsheets/d/11tr1B-Bhyr79v2bkwVh5h_fR-PStkgjlZtkrZpYurG0/"&amp;"edit?usp=sharing"",""ชลบุรี!S102"")+IMPORTRANGE(""https://docs.google.com/spreadsheets/d/1hh-FVnSX0vozXhGluamEcS54Dw9_zqW0N7qJUWgJ0Sw/edit?usp=sharing"",""ชัยนาท!S102"")+IMPORTRANGE(""https://docs.google.com/spreadsheets/d/1jkqa6GXxSacMcY1eN8AHjMNJ_7dDXMJ"&amp;"VRLDlaFSOdPM/edit?usp=sharing"",""ตราด!S102"")+IMPORTRANGE(""https://docs.google.com/spreadsheets/d/18hSgUJ3VwClqi_qtULmmW3cLr0oe3OKaSYoKzdpTsYQ/edit?usp=sharing"",""นครนายก!S102"")+IMPORTRANGE(""https://docs.google.com/spreadsheets/d/1YTZo6WM2dQ6Ix6FSdnL"&amp;"5P7uVnVKu40sxZu975tgG10E/edit?usp=sharing"",""นครปฐม!S102"")+IMPORTRANGE(""https://docs.google.com/spreadsheets/d/1OYoGg4WDg5RIzwGeB10padOxJF9E_Vljuvvct_M7RDo/edit?usp=sharing"",""ปทุมธานี!S102"")+IMPORTRANGE(""https://docs.google.com/spreadsheets/d/1GbCI"&amp;"E4D4wk9FUozzqk7SxfDMxDVBwVmI5zcaVUSzKAc/edit?usp=sharing"",""ประจวบคีรีขันธ์!S102"")+IMPORTRANGE(""https://docs.google.com/spreadsheets/d/1vVf6wykvW_lAyu7Yo9L4hUTqHqIeP_qcVuxCtosJEbg/edit?usp=sharing"",""ปราจีนบุรี!S102"")+IMPORTRANGE(""https://docs.googl"&amp;"e.com/spreadsheets/d/1BIDqLLg5jk3v59G8NlR8rk5xfQDKne0sAvZHSj7TI6I/edit?usp=sharing"",""พระนครศรีอยุธยา!S102"")+IMPORTRANGE(""https://docs.google.com/spreadsheets/d/1YXvxf8Yu6_rV4hTBrwMqAcAnv6DfhUxh5emyM3CJp_w/edit?usp=sharing"",""เพชรบุรี!S102"")+IMPORTRA"&amp;"NGE(""https://docs.google.com/spreadsheets/d/19KBlQQs7uwvsao6t2n-KvW3Ax8J8uRRfZPq1zPbXgKc/edit?usp=sharing"",""ระยอง!S102"")+IMPORTRANGE(""https://docs.google.com/spreadsheets/d/1jQ6P4QcrGM89YfqcC_PxOHGCMq5ezhucwJd8ci-NHng/edit?usp=sharing"",""ราชบุรี!S10"&amp;"2"")+IMPORTRANGE(""https://docs.google.com/spreadsheets/d/1lufeA2cfFqM-elVq2hznhDzC6Pr7wkJ9ZG_sYNGCMCU/edit?usp=sharing"",""ลพบุรี!S102"")+IMPORTRANGE(""https://docs.google.com/spreadsheets/d/10oOiF7loTyfsTkbd4MpaIm0HQ9SwB7IYHdIUvt-U1Uc/edit?usp=sharing"""&amp;",""สระแก้ว!S102"")+IMPORTRANGE(""https://docs.google.com/spreadsheets/d/1xmPlrr1QbdSIKvl1dWUl9K4PjAfSL9oeMr_37QVzcxc/edit?usp=sharing"",""สระบุรี!S102"")+IMPORTRANGE(""https://docs.google.com/spreadsheets/d/1j51vR6CYVGhABJpv6tkstgok82RLpXieLzW1yOY5rHw/edi"&amp;"t?usp=sharing"",""สิงห์บุรี!S102"")+IMPORTRANGE(""https://docs.google.com/spreadsheets/d/1H1EalTWKUSzO4Z1-1CwzoDUaVffgrThEBe2sl74kKG0/edit?usp=sharing"",""สุพรรณบุรี!S102"")+IMPORTRANGE(""https://docs.google.com/spreadsheets/d/1BmIruG_sIrJLYao_Pdr7zVArWsf"&amp;"oBt2692TMi6x_854/edit?usp=sharing"",""อ่างทอง!S102"")"),0)</f>
        <v>0</v>
      </c>
      <c r="T102" s="135">
        <f t="shared" ca="1" si="77"/>
        <v>0</v>
      </c>
      <c r="U102" s="135">
        <f t="shared" ca="1" si="78"/>
        <v>0</v>
      </c>
    </row>
    <row r="103" spans="1:21" ht="19.5" x14ac:dyDescent="0.3">
      <c r="A103" s="278"/>
      <c r="B103" s="279"/>
      <c r="C103" s="280" t="s">
        <v>18</v>
      </c>
      <c r="D103" s="281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13wPX838HrBrQMCywv1BsuMkt4PEKTChp52zj44s2izQ/edit?usp=sharing"",""กาญจนบุรี!I108"")+IMPORTRANGE(""https://docs.google.com/spreadsheets/d/1ddFKvqj1W1NEiWytbGlB1zMx_ykJDVtmfEQ-6-lIUBA/edit?usp=sharing"","&amp;"""จันทบุรี!I108"")+IMPORTRANGE(""https://docs.google.com/spreadsheets/d/1T1PQvRODqOBZk8BRht_U031fIS1beLA0Ub2CEytj2q0/edit?usp=sharing"",""ฉะเชิงเทรา!I108"")+IMPORTRANGE(""https://docs.google.com/spreadsheets/d/11tr1B-Bhyr79v2bkwVh5h_fR-PStkgjlZtkrZpYurG0/"&amp;"edit?usp=sharing"",""ชลบุรี!I108"")+IMPORTRANGE(""https://docs.google.com/spreadsheets/d/1hh-FVnSX0vozXhGluamEcS54Dw9_zqW0N7qJUWgJ0Sw/edit?usp=sharing"",""ชัยนาท!I108"")+IMPORTRANGE(""https://docs.google.com/spreadsheets/d/1jkqa6GXxSacMcY1eN8AHjMNJ_7dDXMJ"&amp;"VRLDlaFSOdPM/edit?usp=sharing"",""ตราด!I108"")+IMPORTRANGE(""https://docs.google.com/spreadsheets/d/18hSgUJ3VwClqi_qtULmmW3cLr0oe3OKaSYoKzdpTsYQ/edit?usp=sharing"",""นครนายก!I108"")+IMPORTRANGE(""https://docs.google.com/spreadsheets/d/1YTZo6WM2dQ6Ix6FSdnL"&amp;"5P7uVnVKu40sxZu975tgG10E/edit?usp=sharing"",""นครปฐม!I108"")+IMPORTRANGE(""https://docs.google.com/spreadsheets/d/1OYoGg4WDg5RIzwGeB10padOxJF9E_Vljuvvct_M7RDo/edit?usp=sharing"",""ปทุมธานี!I108"")+IMPORTRANGE(""https://docs.google.com/spreadsheets/d/1GbCI"&amp;"E4D4wk9FUozzqk7SxfDMxDVBwVmI5zcaVUSzKAc/edit?usp=sharing"",""ประจวบคีรีขันธ์!I108"")+IMPORTRANGE(""https://docs.google.com/spreadsheets/d/1vVf6wykvW_lAyu7Yo9L4hUTqHqIeP_qcVuxCtosJEbg/edit?usp=sharing"",""ปราจีนบุรี!I108"")+IMPORTRANGE(""https://docs.googl"&amp;"e.com/spreadsheets/d/1BIDqLLg5jk3v59G8NlR8rk5xfQDKne0sAvZHSj7TI6I/edit?usp=sharing"",""พระนครศรีอยุธยา!I108"")+IMPORTRANGE(""https://docs.google.com/spreadsheets/d/1YXvxf8Yu6_rV4hTBrwMqAcAnv6DfhUxh5emyM3CJp_w/edit?usp=sharing"",""เพชรบุรี!I108"")+IMPORTRA"&amp;"NGE(""https://docs.google.com/spreadsheets/d/19KBlQQs7uwvsao6t2n-KvW3Ax8J8uRRfZPq1zPbXgKc/edit?usp=sharing"",""ระยอง!I108"")+IMPORTRANGE(""https://docs.google.com/spreadsheets/d/1jQ6P4QcrGM89YfqcC_PxOHGCMq5ezhucwJd8ci-NHng/edit?usp=sharing"",""ราชบุรี!I10"&amp;"8"")+IMPORTRANGE(""https://docs.google.com/spreadsheets/d/1lufeA2cfFqM-elVq2hznhDzC6Pr7wkJ9ZG_sYNGCMCU/edit?usp=sharing"",""ลพบุรี!I108"")+IMPORTRANGE(""https://docs.google.com/spreadsheets/d/10oOiF7loTyfsTkbd4MpaIm0HQ9SwB7IYHdIUvt-U1Uc/edit?usp=sharing"""&amp;",""สระแก้ว!I108"")+IMPORTRANGE(""https://docs.google.com/spreadsheets/d/1xmPlrr1QbdSIKvl1dWUl9K4PjAfSL9oeMr_37QVzcxc/edit?usp=sharing"",""สระบุรี!I108"")+IMPORTRANGE(""https://docs.google.com/spreadsheets/d/1j51vR6CYVGhABJpv6tkstgok82RLpXieLzW1yOY5rHw/edi"&amp;"t?usp=sharing"",""สิงห์บุรี!I108"")+IMPORTRANGE(""https://docs.google.com/spreadsheets/d/1H1EalTWKUSzO4Z1-1CwzoDUaVffgrThEBe2sl74kKG0/edit?usp=sharing"",""สุพรรณบุรี!I108"")+IMPORTRANGE(""https://docs.google.com/spreadsheets/d/1BmIruG_sIrJLYao_Pdr7zVArWsf"&amp;"oBt2692TMi6x_854/edit?usp=sharing"",""อ่างทอง!I108"")"),381)</f>
        <v>381</v>
      </c>
      <c r="J108" s="296">
        <f ca="1">IFERROR(__xludf.DUMMYFUNCTION("IMPORTRANGE(""https://docs.google.com/spreadsheets/d/13wPX838HrBrQMCywv1BsuMkt4PEKTChp52zj44s2izQ/edit?usp=sharing"",""กาญจนบุรี!J108"")+IMPORTRANGE(""https://docs.google.com/spreadsheets/d/1ddFKvqj1W1NEiWytbGlB1zMx_ykJDVtmfEQ-6-lIUBA/edit?usp=sharing"","&amp;"""จันทบุรี!J108"")+IMPORTRANGE(""https://docs.google.com/spreadsheets/d/1T1PQvRODqOBZk8BRht_U031fIS1beLA0Ub2CEytj2q0/edit?usp=sharing"",""ฉะเชิงเทรา!J108"")+IMPORTRANGE(""https://docs.google.com/spreadsheets/d/11tr1B-Bhyr79v2bkwVh5h_fR-PStkgjlZtkrZpYurG0/"&amp;"edit?usp=sharing"",""ชลบุรี!J108"")+IMPORTRANGE(""https://docs.google.com/spreadsheets/d/1hh-FVnSX0vozXhGluamEcS54Dw9_zqW0N7qJUWgJ0Sw/edit?usp=sharing"",""ชัยนาท!J108"")+IMPORTRANGE(""https://docs.google.com/spreadsheets/d/1jkqa6GXxSacMcY1eN8AHjMNJ_7dDXMJ"&amp;"VRLDlaFSOdPM/edit?usp=sharing"",""ตราด!J108"")+IMPORTRANGE(""https://docs.google.com/spreadsheets/d/18hSgUJ3VwClqi_qtULmmW3cLr0oe3OKaSYoKzdpTsYQ/edit?usp=sharing"",""นครนายก!J108"")+IMPORTRANGE(""https://docs.google.com/spreadsheets/d/1YTZo6WM2dQ6Ix6FSdnL"&amp;"5P7uVnVKu40sxZu975tgG10E/edit?usp=sharing"",""นครปฐม!J108"")+IMPORTRANGE(""https://docs.google.com/spreadsheets/d/1OYoGg4WDg5RIzwGeB10padOxJF9E_Vljuvvct_M7RDo/edit?usp=sharing"",""ปทุมธานี!J108"")+IMPORTRANGE(""https://docs.google.com/spreadsheets/d/1GbCI"&amp;"E4D4wk9FUozzqk7SxfDMxDVBwVmI5zcaVUSzKAc/edit?usp=sharing"",""ประจวบคีรีขันธ์!J108"")+IMPORTRANGE(""https://docs.google.com/spreadsheets/d/1vVf6wykvW_lAyu7Yo9L4hUTqHqIeP_qcVuxCtosJEbg/edit?usp=sharing"",""ปราจีนบุรี!J108"")+IMPORTRANGE(""https://docs.googl"&amp;"e.com/spreadsheets/d/1BIDqLLg5jk3v59G8NlR8rk5xfQDKne0sAvZHSj7TI6I/edit?usp=sharing"",""พระนครศรีอยุธยา!J108"")+IMPORTRANGE(""https://docs.google.com/spreadsheets/d/1YXvxf8Yu6_rV4hTBrwMqAcAnv6DfhUxh5emyM3CJp_w/edit?usp=sharing"",""เพชรบุรี!J108"")+IMPORTRA"&amp;"NGE(""https://docs.google.com/spreadsheets/d/19KBlQQs7uwvsao6t2n-KvW3Ax8J8uRRfZPq1zPbXgKc/edit?usp=sharing"",""ระยอง!J108"")+IMPORTRANGE(""https://docs.google.com/spreadsheets/d/1jQ6P4QcrGM89YfqcC_PxOHGCMq5ezhucwJd8ci-NHng/edit?usp=sharing"",""ราชบุรี!J10"&amp;"8"")+IMPORTRANGE(""https://docs.google.com/spreadsheets/d/1lufeA2cfFqM-elVq2hznhDzC6Pr7wkJ9ZG_sYNGCMCU/edit?usp=sharing"",""ลพบุรี!J108"")+IMPORTRANGE(""https://docs.google.com/spreadsheets/d/10oOiF7loTyfsTkbd4MpaIm0HQ9SwB7IYHdIUvt-U1Uc/edit?usp=sharing"""&amp;",""สระแก้ว!J108"")+IMPORTRANGE(""https://docs.google.com/spreadsheets/d/1xmPlrr1QbdSIKvl1dWUl9K4PjAfSL9oeMr_37QVzcxc/edit?usp=sharing"",""สระบุรี!J108"")+IMPORTRANGE(""https://docs.google.com/spreadsheets/d/1j51vR6CYVGhABJpv6tkstgok82RLpXieLzW1yOY5rHw/edi"&amp;"t?usp=sharing"",""สิงห์บุรี!J108"")+IMPORTRANGE(""https://docs.google.com/spreadsheets/d/1H1EalTWKUSzO4Z1-1CwzoDUaVffgrThEBe2sl74kKG0/edit?usp=sharing"",""สุพรรณบุรี!J108"")+IMPORTRANGE(""https://docs.google.com/spreadsheets/d/1BmIruG_sIrJLYao_Pdr7zVArWsf"&amp;"oBt2692TMi6x_854/edit?usp=sharing"",""อ่างทอง!J108"")"),102)</f>
        <v>102</v>
      </c>
      <c r="K108" s="77">
        <f t="shared" ref="K108:K109" ca="1" si="87">IF(I108&gt;0,J108*100/I108,0)</f>
        <v>26.771653543307085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13wPX838HrBrQMCywv1BsuMkt4PEKTChp52zj44s2izQ/edit?usp=sharing"",""กาญจนบุรี!I109"")+IMPORTRANGE(""https://docs.google.com/spreadsheets/d/1ddFKvqj1W1NEiWytbGlB1zMx_ykJDVtmfEQ-6-lIUBA/edit?usp=sharing"","&amp;"""จันทบุรี!I109"")+IMPORTRANGE(""https://docs.google.com/spreadsheets/d/1T1PQvRODqOBZk8BRht_U031fIS1beLA0Ub2CEytj2q0/edit?usp=sharing"",""ฉะเชิงเทรา!I109"")+IMPORTRANGE(""https://docs.google.com/spreadsheets/d/11tr1B-Bhyr79v2bkwVh5h_fR-PStkgjlZtkrZpYurG0/"&amp;"edit?usp=sharing"",""ชลบุรี!I109"")+IMPORTRANGE(""https://docs.google.com/spreadsheets/d/1hh-FVnSX0vozXhGluamEcS54Dw9_zqW0N7qJUWgJ0Sw/edit?usp=sharing"",""ชัยนาท!I109"")+IMPORTRANGE(""https://docs.google.com/spreadsheets/d/1jkqa6GXxSacMcY1eN8AHjMNJ_7dDXMJ"&amp;"VRLDlaFSOdPM/edit?usp=sharing"",""ตราด!I109"")+IMPORTRANGE(""https://docs.google.com/spreadsheets/d/18hSgUJ3VwClqi_qtULmmW3cLr0oe3OKaSYoKzdpTsYQ/edit?usp=sharing"",""นครนายก!I109"")+IMPORTRANGE(""https://docs.google.com/spreadsheets/d/1YTZo6WM2dQ6Ix6FSdnL"&amp;"5P7uVnVKu40sxZu975tgG10E/edit?usp=sharing"",""นครปฐม!I109"")+IMPORTRANGE(""https://docs.google.com/spreadsheets/d/1OYoGg4WDg5RIzwGeB10padOxJF9E_Vljuvvct_M7RDo/edit?usp=sharing"",""ปทุมธานี!I109"")+IMPORTRANGE(""https://docs.google.com/spreadsheets/d/1GbCI"&amp;"E4D4wk9FUozzqk7SxfDMxDVBwVmI5zcaVUSzKAc/edit?usp=sharing"",""ประจวบคีรีขันธ์!I109"")+IMPORTRANGE(""https://docs.google.com/spreadsheets/d/1vVf6wykvW_lAyu7Yo9L4hUTqHqIeP_qcVuxCtosJEbg/edit?usp=sharing"",""ปราจีนบุรี!I109"")+IMPORTRANGE(""https://docs.googl"&amp;"e.com/spreadsheets/d/1BIDqLLg5jk3v59G8NlR8rk5xfQDKne0sAvZHSj7TI6I/edit?usp=sharing"",""พระนครศรีอยุธยา!I109"")+IMPORTRANGE(""https://docs.google.com/spreadsheets/d/1YXvxf8Yu6_rV4hTBrwMqAcAnv6DfhUxh5emyM3CJp_w/edit?usp=sharing"",""เพชรบุรี!I109"")+IMPORTRA"&amp;"NGE(""https://docs.google.com/spreadsheets/d/19KBlQQs7uwvsao6t2n-KvW3Ax8J8uRRfZPq1zPbXgKc/edit?usp=sharing"",""ระยอง!I109"")+IMPORTRANGE(""https://docs.google.com/spreadsheets/d/1jQ6P4QcrGM89YfqcC_PxOHGCMq5ezhucwJd8ci-NHng/edit?usp=sharing"",""ราชบุรี!I10"&amp;"9"")+IMPORTRANGE(""https://docs.google.com/spreadsheets/d/1lufeA2cfFqM-elVq2hznhDzC6Pr7wkJ9ZG_sYNGCMCU/edit?usp=sharing"",""ลพบุรี!I109"")+IMPORTRANGE(""https://docs.google.com/spreadsheets/d/10oOiF7loTyfsTkbd4MpaIm0HQ9SwB7IYHdIUvt-U1Uc/edit?usp=sharing"""&amp;",""สระแก้ว!I109"")+IMPORTRANGE(""https://docs.google.com/spreadsheets/d/1xmPlrr1QbdSIKvl1dWUl9K4PjAfSL9oeMr_37QVzcxc/edit?usp=sharing"",""สระบุรี!I109"")+IMPORTRANGE(""https://docs.google.com/spreadsheets/d/1j51vR6CYVGhABJpv6tkstgok82RLpXieLzW1yOY5rHw/edi"&amp;"t?usp=sharing"",""สิงห์บุรี!I109"")+IMPORTRANGE(""https://docs.google.com/spreadsheets/d/1H1EalTWKUSzO4Z1-1CwzoDUaVffgrThEBe2sl74kKG0/edit?usp=sharing"",""สุพรรณบุรี!I109"")+IMPORTRANGE(""https://docs.google.com/spreadsheets/d/1BmIruG_sIrJLYao_Pdr7zVArWsf"&amp;"oBt2692TMi6x_854/edit?usp=sharing"",""อ่างทอง!I109"")"),127)</f>
        <v>127</v>
      </c>
      <c r="J109" s="296">
        <f ca="1">IFERROR(__xludf.DUMMYFUNCTION("IMPORTRANGE(""https://docs.google.com/spreadsheets/d/13wPX838HrBrQMCywv1BsuMkt4PEKTChp52zj44s2izQ/edit?usp=sharing"",""กาญจนบุรี!J109"")+IMPORTRANGE(""https://docs.google.com/spreadsheets/d/1ddFKvqj1W1NEiWytbGlB1zMx_ykJDVtmfEQ-6-lIUBA/edit?usp=sharing"","&amp;"""จันทบุรี!J109"")+IMPORTRANGE(""https://docs.google.com/spreadsheets/d/1T1PQvRODqOBZk8BRht_U031fIS1beLA0Ub2CEytj2q0/edit?usp=sharing"",""ฉะเชิงเทรา!J109"")+IMPORTRANGE(""https://docs.google.com/spreadsheets/d/11tr1B-Bhyr79v2bkwVh5h_fR-PStkgjlZtkrZpYurG0/"&amp;"edit?usp=sharing"",""ชลบุรี!J109"")+IMPORTRANGE(""https://docs.google.com/spreadsheets/d/1hh-FVnSX0vozXhGluamEcS54Dw9_zqW0N7qJUWgJ0Sw/edit?usp=sharing"",""ชัยนาท!J109"")+IMPORTRANGE(""https://docs.google.com/spreadsheets/d/1jkqa6GXxSacMcY1eN8AHjMNJ_7dDXMJ"&amp;"VRLDlaFSOdPM/edit?usp=sharing"",""ตราด!J109"")+IMPORTRANGE(""https://docs.google.com/spreadsheets/d/18hSgUJ3VwClqi_qtULmmW3cLr0oe3OKaSYoKzdpTsYQ/edit?usp=sharing"",""นครนายก!J109"")+IMPORTRANGE(""https://docs.google.com/spreadsheets/d/1YTZo6WM2dQ6Ix6FSdnL"&amp;"5P7uVnVKu40sxZu975tgG10E/edit?usp=sharing"",""นครปฐม!J109"")+IMPORTRANGE(""https://docs.google.com/spreadsheets/d/1OYoGg4WDg5RIzwGeB10padOxJF9E_Vljuvvct_M7RDo/edit?usp=sharing"",""ปทุมธานี!J109"")+IMPORTRANGE(""https://docs.google.com/spreadsheets/d/1GbCI"&amp;"E4D4wk9FUozzqk7SxfDMxDVBwVmI5zcaVUSzKAc/edit?usp=sharing"",""ประจวบคีรีขันธ์!J109"")+IMPORTRANGE(""https://docs.google.com/spreadsheets/d/1vVf6wykvW_lAyu7Yo9L4hUTqHqIeP_qcVuxCtosJEbg/edit?usp=sharing"",""ปราจีนบุรี!J109"")+IMPORTRANGE(""https://docs.googl"&amp;"e.com/spreadsheets/d/1BIDqLLg5jk3v59G8NlR8rk5xfQDKne0sAvZHSj7TI6I/edit?usp=sharing"",""พระนครศรีอยุธยา!J109"")+IMPORTRANGE(""https://docs.google.com/spreadsheets/d/1YXvxf8Yu6_rV4hTBrwMqAcAnv6DfhUxh5emyM3CJp_w/edit?usp=sharing"",""เพชรบุรี!J109"")+IMPORTRA"&amp;"NGE(""https://docs.google.com/spreadsheets/d/19KBlQQs7uwvsao6t2n-KvW3Ax8J8uRRfZPq1zPbXgKc/edit?usp=sharing"",""ระยอง!J109"")+IMPORTRANGE(""https://docs.google.com/spreadsheets/d/1jQ6P4QcrGM89YfqcC_PxOHGCMq5ezhucwJd8ci-NHng/edit?usp=sharing"",""ราชบุรี!J10"&amp;"9"")+IMPORTRANGE(""https://docs.google.com/spreadsheets/d/1lufeA2cfFqM-elVq2hznhDzC6Pr7wkJ9ZG_sYNGCMCU/edit?usp=sharing"",""ลพบุรี!J109"")+IMPORTRANGE(""https://docs.google.com/spreadsheets/d/10oOiF7loTyfsTkbd4MpaIm0HQ9SwB7IYHdIUvt-U1Uc/edit?usp=sharing"""&amp;",""สระแก้ว!J109"")+IMPORTRANGE(""https://docs.google.com/spreadsheets/d/1xmPlrr1QbdSIKvl1dWUl9K4PjAfSL9oeMr_37QVzcxc/edit?usp=sharing"",""สระบุรี!J109"")+IMPORTRANGE(""https://docs.google.com/spreadsheets/d/1j51vR6CYVGhABJpv6tkstgok82RLpXieLzW1yOY5rHw/edi"&amp;"t?usp=sharing"",""สิงห์บุรี!J109"")+IMPORTRANGE(""https://docs.google.com/spreadsheets/d/1H1EalTWKUSzO4Z1-1CwzoDUaVffgrThEBe2sl74kKG0/edit?usp=sharing"",""สุพรรณบุรี!J109"")+IMPORTRANGE(""https://docs.google.com/spreadsheets/d/1BmIruG_sIrJLYao_Pdr7zVArWsf"&amp;"oBt2692TMi6x_854/edit?usp=sharing"",""อ่างทอง!J109"")"),34)</f>
        <v>34</v>
      </c>
      <c r="K109" s="77">
        <f t="shared" ca="1" si="87"/>
        <v>26.771653543307085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8.75" x14ac:dyDescent="0.25">
      <c r="A113" s="278"/>
      <c r="B113" s="279"/>
      <c r="C113" s="279"/>
      <c r="D113" s="293" t="s">
        <v>50</v>
      </c>
      <c r="E113" s="292"/>
      <c r="F113" s="292"/>
      <c r="G113" s="284"/>
      <c r="H113" s="297" t="s">
        <v>46</v>
      </c>
      <c r="I113" s="298">
        <f ca="1">IFERROR(__xludf.DUMMYFUNCTION("IMPORTRANGE(""https://docs.google.com/spreadsheets/d/13wPX838HrBrQMCywv1BsuMkt4PEKTChp52zj44s2izQ/edit?usp=sharing"",""กาญจนบุรี!I113"")+IMPORTRANGE(""https://docs.google.com/spreadsheets/d/1ddFKvqj1W1NEiWytbGlB1zMx_ykJDVtmfEQ-6-lIUBA/edit?usp=sharing"","&amp;"""จันทบุรี!I113"")+IMPORTRANGE(""https://docs.google.com/spreadsheets/d/1T1PQvRODqOBZk8BRht_U031fIS1beLA0Ub2CEytj2q0/edit?usp=sharing"",""ฉะเชิงเทรา!I113"")+IMPORTRANGE(""https://docs.google.com/spreadsheets/d/11tr1B-Bhyr79v2bkwVh5h_fR-PStkgjlZtkrZpYurG0/"&amp;"edit?usp=sharing"",""ชลบุรี!I113"")+IMPORTRANGE(""https://docs.google.com/spreadsheets/d/1hh-FVnSX0vozXhGluamEcS54Dw9_zqW0N7qJUWgJ0Sw/edit?usp=sharing"",""ชัยนาท!I113"")+IMPORTRANGE(""https://docs.google.com/spreadsheets/d/1jkqa6GXxSacMcY1eN8AHjMNJ_7dDXMJ"&amp;"VRLDlaFSOdPM/edit?usp=sharing"",""ตราด!I113"")+IMPORTRANGE(""https://docs.google.com/spreadsheets/d/18hSgUJ3VwClqi_qtULmmW3cLr0oe3OKaSYoKzdpTsYQ/edit?usp=sharing"",""นครนายก!I113"")+IMPORTRANGE(""https://docs.google.com/spreadsheets/d/1YTZo6WM2dQ6Ix6FSdnL"&amp;"5P7uVnVKu40sxZu975tgG10E/edit?usp=sharing"",""นครปฐม!I113"")+IMPORTRANGE(""https://docs.google.com/spreadsheets/d/1OYoGg4WDg5RIzwGeB10padOxJF9E_Vljuvvct_M7RDo/edit?usp=sharing"",""ปทุมธานี!I113"")+IMPORTRANGE(""https://docs.google.com/spreadsheets/d/1GbCI"&amp;"E4D4wk9FUozzqk7SxfDMxDVBwVmI5zcaVUSzKAc/edit?usp=sharing"",""ประจวบคีรีขันธ์!I113"")+IMPORTRANGE(""https://docs.google.com/spreadsheets/d/1vVf6wykvW_lAyu7Yo9L4hUTqHqIeP_qcVuxCtosJEbg/edit?usp=sharing"",""ปราจีนบุรี!I113"")+IMPORTRANGE(""https://docs.googl"&amp;"e.com/spreadsheets/d/1BIDqLLg5jk3v59G8NlR8rk5xfQDKne0sAvZHSj7TI6I/edit?usp=sharing"",""พระนครศรีอยุธยา!I113"")+IMPORTRANGE(""https://docs.google.com/spreadsheets/d/1YXvxf8Yu6_rV4hTBrwMqAcAnv6DfhUxh5emyM3CJp_w/edit?usp=sharing"",""เพชรบุรี!I113"")+IMPORTRA"&amp;"NGE(""https://docs.google.com/spreadsheets/d/19KBlQQs7uwvsao6t2n-KvW3Ax8J8uRRfZPq1zPbXgKc/edit?usp=sharing"",""ระยอง!I113"")+IMPORTRANGE(""https://docs.google.com/spreadsheets/d/1jQ6P4QcrGM89YfqcC_PxOHGCMq5ezhucwJd8ci-NHng/edit?usp=sharing"",""ราชบุรี!I11"&amp;"3"")+IMPORTRANGE(""https://docs.google.com/spreadsheets/d/1lufeA2cfFqM-elVq2hznhDzC6Pr7wkJ9ZG_sYNGCMCU/edit?usp=sharing"",""ลพบุรี!I113"")+IMPORTRANGE(""https://docs.google.com/spreadsheets/d/10oOiF7loTyfsTkbd4MpaIm0HQ9SwB7IYHdIUvt-U1Uc/edit?usp=sharing"""&amp;",""สระแก้ว!I113"")+IMPORTRANGE(""https://docs.google.com/spreadsheets/d/1xmPlrr1QbdSIKvl1dWUl9K4PjAfSL9oeMr_37QVzcxc/edit?usp=sharing"",""สระบุรี!I113"")+IMPORTRANGE(""https://docs.google.com/spreadsheets/d/1j51vR6CYVGhABJpv6tkstgok82RLpXieLzW1yOY5rHw/edi"&amp;"t?usp=sharing"",""สิงห์บุรี!I113"")+IMPORTRANGE(""https://docs.google.com/spreadsheets/d/1H1EalTWKUSzO4Z1-1CwzoDUaVffgrThEBe2sl74kKG0/edit?usp=sharing"",""สุพรรณบุรี!I113"")+IMPORTRANGE(""https://docs.google.com/spreadsheets/d/1BmIruG_sIrJLYao_Pdr7zVArWsf"&amp;"oBt2692TMi6x_854/edit?usp=sharing"",""อ่างทอง!I113"")"),381)</f>
        <v>381</v>
      </c>
      <c r="J113" s="296">
        <f ca="1">IFERROR(__xludf.DUMMYFUNCTION("IMPORTRANGE(""https://docs.google.com/spreadsheets/d/13wPX838HrBrQMCywv1BsuMkt4PEKTChp52zj44s2izQ/edit?usp=sharing"",""กาญจนบุรี!J113"")+IMPORTRANGE(""https://docs.google.com/spreadsheets/d/1ddFKvqj1W1NEiWytbGlB1zMx_ykJDVtmfEQ-6-lIUBA/edit?usp=sharing"","&amp;"""จันทบุรี!J113"")+IMPORTRANGE(""https://docs.google.com/spreadsheets/d/1T1PQvRODqOBZk8BRht_U031fIS1beLA0Ub2CEytj2q0/edit?usp=sharing"",""ฉะเชิงเทรา!J113"")+IMPORTRANGE(""https://docs.google.com/spreadsheets/d/11tr1B-Bhyr79v2bkwVh5h_fR-PStkgjlZtkrZpYurG0/"&amp;"edit?usp=sharing"",""ชลบุรี!J113"")+IMPORTRANGE(""https://docs.google.com/spreadsheets/d/1hh-FVnSX0vozXhGluamEcS54Dw9_zqW0N7qJUWgJ0Sw/edit?usp=sharing"",""ชัยนาท!J113"")+IMPORTRANGE(""https://docs.google.com/spreadsheets/d/1jkqa6GXxSacMcY1eN8AHjMNJ_7dDXMJ"&amp;"VRLDlaFSOdPM/edit?usp=sharing"",""ตราด!J113"")+IMPORTRANGE(""https://docs.google.com/spreadsheets/d/18hSgUJ3VwClqi_qtULmmW3cLr0oe3OKaSYoKzdpTsYQ/edit?usp=sharing"",""นครนายก!J113"")+IMPORTRANGE(""https://docs.google.com/spreadsheets/d/1YTZo6WM2dQ6Ix6FSdnL"&amp;"5P7uVnVKu40sxZu975tgG10E/edit?usp=sharing"",""นครปฐม!J113"")+IMPORTRANGE(""https://docs.google.com/spreadsheets/d/1OYoGg4WDg5RIzwGeB10padOxJF9E_Vljuvvct_M7RDo/edit?usp=sharing"",""ปทุมธานี!J113"")+IMPORTRANGE(""https://docs.google.com/spreadsheets/d/1GbCI"&amp;"E4D4wk9FUozzqk7SxfDMxDVBwVmI5zcaVUSzKAc/edit?usp=sharing"",""ประจวบคีรีขันธ์!J113"")+IMPORTRANGE(""https://docs.google.com/spreadsheets/d/1vVf6wykvW_lAyu7Yo9L4hUTqHqIeP_qcVuxCtosJEbg/edit?usp=sharing"",""ปราจีนบุรี!J113"")+IMPORTRANGE(""https://docs.googl"&amp;"e.com/spreadsheets/d/1BIDqLLg5jk3v59G8NlR8rk5xfQDKne0sAvZHSj7TI6I/edit?usp=sharing"",""พระนครศรีอยุธยา!J113"")+IMPORTRANGE(""https://docs.google.com/spreadsheets/d/1YXvxf8Yu6_rV4hTBrwMqAcAnv6DfhUxh5emyM3CJp_w/edit?usp=sharing"",""เพชรบุรี!J113"")+IMPORTRA"&amp;"NGE(""https://docs.google.com/spreadsheets/d/19KBlQQs7uwvsao6t2n-KvW3Ax8J8uRRfZPq1zPbXgKc/edit?usp=sharing"",""ระยอง!J113"")+IMPORTRANGE(""https://docs.google.com/spreadsheets/d/1jQ6P4QcrGM89YfqcC_PxOHGCMq5ezhucwJd8ci-NHng/edit?usp=sharing"",""ราชบุรี!J11"&amp;"3"")+IMPORTRANGE(""https://docs.google.com/spreadsheets/d/1lufeA2cfFqM-elVq2hznhDzC6Pr7wkJ9ZG_sYNGCMCU/edit?usp=sharing"",""ลพบุรี!J113"")+IMPORTRANGE(""https://docs.google.com/spreadsheets/d/10oOiF7loTyfsTkbd4MpaIm0HQ9SwB7IYHdIUvt-U1Uc/edit?usp=sharing"""&amp;",""สระแก้ว!J113"")+IMPORTRANGE(""https://docs.google.com/spreadsheets/d/1xmPlrr1QbdSIKvl1dWUl9K4PjAfSL9oeMr_37QVzcxc/edit?usp=sharing"",""สระบุรี!J113"")+IMPORTRANGE(""https://docs.google.com/spreadsheets/d/1j51vR6CYVGhABJpv6tkstgok82RLpXieLzW1yOY5rHw/edi"&amp;"t?usp=sharing"",""สิงห์บุรี!J113"")+IMPORTRANGE(""https://docs.google.com/spreadsheets/d/1H1EalTWKUSzO4Z1-1CwzoDUaVffgrThEBe2sl74kKG0/edit?usp=sharing"",""สุพรรณบุรี!J113"")+IMPORTRANGE(""https://docs.google.com/spreadsheets/d/1BmIruG_sIrJLYao_Pdr7zVArWsf"&amp;"oBt2692TMi6x_854/edit?usp=sharing"",""อ่างทอง!J113"")"),0)</f>
        <v>0</v>
      </c>
      <c r="K113" s="77">
        <f t="shared" ref="K113:K114" ca="1" si="88">IF(I113&gt;0,J113*100/I113,0)</f>
        <v>0</v>
      </c>
      <c r="L113" s="90"/>
      <c r="M113" s="90"/>
      <c r="N113" s="90"/>
      <c r="O113" s="231"/>
      <c r="P113" s="231"/>
      <c r="Q113" s="89"/>
      <c r="R113" s="90"/>
      <c r="S113" s="90"/>
      <c r="T113" s="231"/>
      <c r="U113" s="231"/>
    </row>
    <row r="114" spans="1:21" ht="18.75" x14ac:dyDescent="0.25">
      <c r="A114" s="278"/>
      <c r="B114" s="279"/>
      <c r="C114" s="279"/>
      <c r="D114" s="293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13wPX838HrBrQMCywv1BsuMkt4PEKTChp52zj44s2izQ/edit?usp=sharing"",""กาญจนบุรี!I114"")+IMPORTRANGE(""https://docs.google.com/spreadsheets/d/1ddFKvqj1W1NEiWytbGlB1zMx_ykJDVtmfEQ-6-lIUBA/edit?usp=sharing"","&amp;"""จันทบุรี!I114"")+IMPORTRANGE(""https://docs.google.com/spreadsheets/d/1T1PQvRODqOBZk8BRht_U031fIS1beLA0Ub2CEytj2q0/edit?usp=sharing"",""ฉะเชิงเทรา!I114"")+IMPORTRANGE(""https://docs.google.com/spreadsheets/d/11tr1B-Bhyr79v2bkwVh5h_fR-PStkgjlZtkrZpYurG0/"&amp;"edit?usp=sharing"",""ชลบุรี!I114"")+IMPORTRANGE(""https://docs.google.com/spreadsheets/d/1hh-FVnSX0vozXhGluamEcS54Dw9_zqW0N7qJUWgJ0Sw/edit?usp=sharing"",""ชัยนาท!I114"")+IMPORTRANGE(""https://docs.google.com/spreadsheets/d/1jkqa6GXxSacMcY1eN8AHjMNJ_7dDXMJ"&amp;"VRLDlaFSOdPM/edit?usp=sharing"",""ตราด!I114"")+IMPORTRANGE(""https://docs.google.com/spreadsheets/d/18hSgUJ3VwClqi_qtULmmW3cLr0oe3OKaSYoKzdpTsYQ/edit?usp=sharing"",""นครนายก!I114"")+IMPORTRANGE(""https://docs.google.com/spreadsheets/d/1YTZo6WM2dQ6Ix6FSdnL"&amp;"5P7uVnVKu40sxZu975tgG10E/edit?usp=sharing"",""นครปฐม!I114"")+IMPORTRANGE(""https://docs.google.com/spreadsheets/d/1OYoGg4WDg5RIzwGeB10padOxJF9E_Vljuvvct_M7RDo/edit?usp=sharing"",""ปทุมธานี!I114"")+IMPORTRANGE(""https://docs.google.com/spreadsheets/d/1GbCI"&amp;"E4D4wk9FUozzqk7SxfDMxDVBwVmI5zcaVUSzKAc/edit?usp=sharing"",""ประจวบคีรีขันธ์!I114"")+IMPORTRANGE(""https://docs.google.com/spreadsheets/d/1vVf6wykvW_lAyu7Yo9L4hUTqHqIeP_qcVuxCtosJEbg/edit?usp=sharing"",""ปราจีนบุรี!I114"")+IMPORTRANGE(""https://docs.googl"&amp;"e.com/spreadsheets/d/1BIDqLLg5jk3v59G8NlR8rk5xfQDKne0sAvZHSj7TI6I/edit?usp=sharing"",""พระนครศรีอยุธยา!I114"")+IMPORTRANGE(""https://docs.google.com/spreadsheets/d/1YXvxf8Yu6_rV4hTBrwMqAcAnv6DfhUxh5emyM3CJp_w/edit?usp=sharing"",""เพชรบุรี!I114"")+IMPORTRA"&amp;"NGE(""https://docs.google.com/spreadsheets/d/19KBlQQs7uwvsao6t2n-KvW3Ax8J8uRRfZPq1zPbXgKc/edit?usp=sharing"",""ระยอง!I114"")+IMPORTRANGE(""https://docs.google.com/spreadsheets/d/1jQ6P4QcrGM89YfqcC_PxOHGCMq5ezhucwJd8ci-NHng/edit?usp=sharing"",""ราชบุรี!I11"&amp;"4"")+IMPORTRANGE(""https://docs.google.com/spreadsheets/d/1lufeA2cfFqM-elVq2hznhDzC6Pr7wkJ9ZG_sYNGCMCU/edit?usp=sharing"",""ลพบุรี!I114"")+IMPORTRANGE(""https://docs.google.com/spreadsheets/d/10oOiF7loTyfsTkbd4MpaIm0HQ9SwB7IYHdIUvt-U1Uc/edit?usp=sharing"""&amp;",""สระแก้ว!I114"")+IMPORTRANGE(""https://docs.google.com/spreadsheets/d/1xmPlrr1QbdSIKvl1dWUl9K4PjAfSL9oeMr_37QVzcxc/edit?usp=sharing"",""สระบุรี!I114"")+IMPORTRANGE(""https://docs.google.com/spreadsheets/d/1j51vR6CYVGhABJpv6tkstgok82RLpXieLzW1yOY5rHw/edi"&amp;"t?usp=sharing"",""สิงห์บุรี!I114"")+IMPORTRANGE(""https://docs.google.com/spreadsheets/d/1H1EalTWKUSzO4Z1-1CwzoDUaVffgrThEBe2sl74kKG0/edit?usp=sharing"",""สุพรรณบุรี!I114"")+IMPORTRANGE(""https://docs.google.com/spreadsheets/d/1BmIruG_sIrJLYao_Pdr7zVArWsf"&amp;"oBt2692TMi6x_854/edit?usp=sharing"",""อ่างทอง!I114"")"),127)</f>
        <v>127</v>
      </c>
      <c r="J114" s="296">
        <f ca="1">IFERROR(__xludf.DUMMYFUNCTION("IMPORTRANGE(""https://docs.google.com/spreadsheets/d/13wPX838HrBrQMCywv1BsuMkt4PEKTChp52zj44s2izQ/edit?usp=sharing"",""กาญจนบุรี!J114"")+IMPORTRANGE(""https://docs.google.com/spreadsheets/d/1ddFKvqj1W1NEiWytbGlB1zMx_ykJDVtmfEQ-6-lIUBA/edit?usp=sharing"","&amp;"""จันทบุรี!J114"")+IMPORTRANGE(""https://docs.google.com/spreadsheets/d/1T1PQvRODqOBZk8BRht_U031fIS1beLA0Ub2CEytj2q0/edit?usp=sharing"",""ฉะเชิงเทรา!J114"")+IMPORTRANGE(""https://docs.google.com/spreadsheets/d/11tr1B-Bhyr79v2bkwVh5h_fR-PStkgjlZtkrZpYurG0/"&amp;"edit?usp=sharing"",""ชลบุรี!J114"")+IMPORTRANGE(""https://docs.google.com/spreadsheets/d/1hh-FVnSX0vozXhGluamEcS54Dw9_zqW0N7qJUWgJ0Sw/edit?usp=sharing"",""ชัยนาท!J114"")+IMPORTRANGE(""https://docs.google.com/spreadsheets/d/1jkqa6GXxSacMcY1eN8AHjMNJ_7dDXMJ"&amp;"VRLDlaFSOdPM/edit?usp=sharing"",""ตราด!J114"")+IMPORTRANGE(""https://docs.google.com/spreadsheets/d/18hSgUJ3VwClqi_qtULmmW3cLr0oe3OKaSYoKzdpTsYQ/edit?usp=sharing"",""นครนายก!J114"")+IMPORTRANGE(""https://docs.google.com/spreadsheets/d/1YTZo6WM2dQ6Ix6FSdnL"&amp;"5P7uVnVKu40sxZu975tgG10E/edit?usp=sharing"",""นครปฐม!J114"")+IMPORTRANGE(""https://docs.google.com/spreadsheets/d/1OYoGg4WDg5RIzwGeB10padOxJF9E_Vljuvvct_M7RDo/edit?usp=sharing"",""ปทุมธานี!J114"")+IMPORTRANGE(""https://docs.google.com/spreadsheets/d/1GbCI"&amp;"E4D4wk9FUozzqk7SxfDMxDVBwVmI5zcaVUSzKAc/edit?usp=sharing"",""ประจวบคีรีขันธ์!J114"")+IMPORTRANGE(""https://docs.google.com/spreadsheets/d/1vVf6wykvW_lAyu7Yo9L4hUTqHqIeP_qcVuxCtosJEbg/edit?usp=sharing"",""ปราจีนบุรี!J114"")+IMPORTRANGE(""https://docs.googl"&amp;"e.com/spreadsheets/d/1BIDqLLg5jk3v59G8NlR8rk5xfQDKne0sAvZHSj7TI6I/edit?usp=sharing"",""พระนครศรีอยุธยา!J114"")+IMPORTRANGE(""https://docs.google.com/spreadsheets/d/1YXvxf8Yu6_rV4hTBrwMqAcAnv6DfhUxh5emyM3CJp_w/edit?usp=sharing"",""เพชรบุรี!J114"")+IMPORTRA"&amp;"NGE(""https://docs.google.com/spreadsheets/d/19KBlQQs7uwvsao6t2n-KvW3Ax8J8uRRfZPq1zPbXgKc/edit?usp=sharing"",""ระยอง!J114"")+IMPORTRANGE(""https://docs.google.com/spreadsheets/d/1jQ6P4QcrGM89YfqcC_PxOHGCMq5ezhucwJd8ci-NHng/edit?usp=sharing"",""ราชบุรี!J11"&amp;"4"")+IMPORTRANGE(""https://docs.google.com/spreadsheets/d/1lufeA2cfFqM-elVq2hznhDzC6Pr7wkJ9ZG_sYNGCMCU/edit?usp=sharing"",""ลพบุรี!J114"")+IMPORTRANGE(""https://docs.google.com/spreadsheets/d/10oOiF7loTyfsTkbd4MpaIm0HQ9SwB7IYHdIUvt-U1Uc/edit?usp=sharing"""&amp;",""สระแก้ว!J114"")+IMPORTRANGE(""https://docs.google.com/spreadsheets/d/1xmPlrr1QbdSIKvl1dWUl9K4PjAfSL9oeMr_37QVzcxc/edit?usp=sharing"",""สระบุรี!J114"")+IMPORTRANGE(""https://docs.google.com/spreadsheets/d/1j51vR6CYVGhABJpv6tkstgok82RLpXieLzW1yOY5rHw/edi"&amp;"t?usp=sharing"",""สิงห์บุรี!J114"")+IMPORTRANGE(""https://docs.google.com/spreadsheets/d/1H1EalTWKUSzO4Z1-1CwzoDUaVffgrThEBe2sl74kKG0/edit?usp=sharing"",""สุพรรณบุรี!J114"")+IMPORTRANGE(""https://docs.google.com/spreadsheets/d/1BmIruG_sIrJLYao_Pdr7zVArWsf"&amp;"oBt2692TMi6x_854/edit?usp=sharing"",""อ่างทอง!J114"")"),0)</f>
        <v>0</v>
      </c>
      <c r="K114" s="77">
        <f t="shared" ca="1" si="88"/>
        <v>0</v>
      </c>
      <c r="L114" s="90"/>
      <c r="M114" s="90"/>
      <c r="N114" s="90"/>
      <c r="O114" s="231"/>
      <c r="P114" s="231"/>
      <c r="Q114" s="89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51"/>
      <c r="M115" s="251"/>
      <c r="N115" s="251"/>
      <c r="O115" s="251"/>
      <c r="P115" s="251"/>
      <c r="Q115" s="202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t="shared" ref="I116:J116" ca="1" si="89">I127</f>
        <v>421</v>
      </c>
      <c r="J116" s="258">
        <f t="shared" ca="1" si="89"/>
        <v>375</v>
      </c>
      <c r="K116" s="62">
        <f ca="1">IF(I116&gt;0,J116*100/I116,0)</f>
        <v>89.073634204275535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t="shared" ref="L117:N117" ca="1" si="90">L118+L119</f>
        <v>0</v>
      </c>
      <c r="M117" s="266">
        <f t="shared" ca="1" si="90"/>
        <v>0</v>
      </c>
      <c r="N117" s="266">
        <f t="shared" ca="1" si="90"/>
        <v>0</v>
      </c>
      <c r="O117" s="266">
        <f t="shared" ref="O117:O125" ca="1" si="91">IF(L117&gt;0,N117*100/L117,0)</f>
        <v>0</v>
      </c>
      <c r="P117" s="266">
        <f t="shared" ref="P117:P125" ca="1" si="92">IF(M117&gt;0,N117*100/M117,0)</f>
        <v>0</v>
      </c>
      <c r="Q117" s="216">
        <f t="shared" ref="Q117:S117" ca="1" si="93">Q118+Q119</f>
        <v>4203090</v>
      </c>
      <c r="R117" s="217">
        <f t="shared" ca="1" si="93"/>
        <v>4203090</v>
      </c>
      <c r="S117" s="217">
        <f t="shared" ca="1" si="93"/>
        <v>1873264.77</v>
      </c>
      <c r="T117" s="217">
        <f t="shared" ref="T117:T125" ca="1" si="94">IF(Q117&gt;0,S117*100/Q117,0)</f>
        <v>44.568752275111883</v>
      </c>
      <c r="U117" s="217">
        <f t="shared" ref="U117:U125" ca="1" si="95">IF(R117&gt;0,S117*100/R117,0)</f>
        <v>44.568752275111883</v>
      </c>
    </row>
    <row r="118" spans="1:21" ht="18.75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 t="shared" ref="L118:N118" ca="1" si="96">L121+L124</f>
        <v>0</v>
      </c>
      <c r="M118" s="80">
        <f t="shared" ca="1" si="96"/>
        <v>0</v>
      </c>
      <c r="N118" s="80">
        <f t="shared" ca="1" si="96"/>
        <v>0</v>
      </c>
      <c r="O118" s="80">
        <f t="shared" ca="1" si="91"/>
        <v>0</v>
      </c>
      <c r="P118" s="80">
        <f t="shared" ca="1" si="92"/>
        <v>0</v>
      </c>
      <c r="Q118" s="219">
        <f t="shared" ref="Q118:S118" ca="1" si="97">Q121+Q124</f>
        <v>0</v>
      </c>
      <c r="R118" s="136">
        <f t="shared" ca="1" si="97"/>
        <v>0</v>
      </c>
      <c r="S118" s="136">
        <f t="shared" ca="1" si="97"/>
        <v>0</v>
      </c>
      <c r="T118" s="136">
        <f t="shared" ca="1" si="94"/>
        <v>0</v>
      </c>
      <c r="U118" s="136">
        <f t="shared" ca="1" si="95"/>
        <v>0</v>
      </c>
    </row>
    <row r="119" spans="1:21" ht="18.75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t="shared" ref="L119:N119" ca="1" si="98">L122+L125</f>
        <v>0</v>
      </c>
      <c r="M119" s="77">
        <f t="shared" ca="1" si="98"/>
        <v>0</v>
      </c>
      <c r="N119" s="77">
        <f t="shared" ca="1" si="98"/>
        <v>0</v>
      </c>
      <c r="O119" s="77">
        <f t="shared" ca="1" si="91"/>
        <v>0</v>
      </c>
      <c r="P119" s="77">
        <f t="shared" ca="1" si="92"/>
        <v>0</v>
      </c>
      <c r="Q119" s="134">
        <f t="shared" ref="Q119:S119" ca="1" si="99">Q122+Q125</f>
        <v>4203090</v>
      </c>
      <c r="R119" s="135">
        <f t="shared" ca="1" si="99"/>
        <v>4203090</v>
      </c>
      <c r="S119" s="135">
        <f t="shared" ca="1" si="99"/>
        <v>1873264.77</v>
      </c>
      <c r="T119" s="135">
        <f t="shared" ca="1" si="94"/>
        <v>44.568752275111883</v>
      </c>
      <c r="U119" s="135">
        <f t="shared" ca="1" si="95"/>
        <v>44.568752275111883</v>
      </c>
    </row>
    <row r="120" spans="1:21" ht="18.75" x14ac:dyDescent="0.25">
      <c r="A120" s="259"/>
      <c r="B120" s="271"/>
      <c r="C120" s="305"/>
      <c r="D120" s="276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t="shared" ref="L120:N120" ca="1" si="100">L121+L122</f>
        <v>0</v>
      </c>
      <c r="M120" s="77">
        <f t="shared" ca="1" si="100"/>
        <v>0</v>
      </c>
      <c r="N120" s="77">
        <f t="shared" ca="1" si="100"/>
        <v>0</v>
      </c>
      <c r="O120" s="77">
        <f t="shared" ca="1" si="91"/>
        <v>0</v>
      </c>
      <c r="P120" s="77">
        <f t="shared" ca="1" si="92"/>
        <v>0</v>
      </c>
      <c r="Q120" s="134">
        <f t="shared" ref="Q120:S120" ca="1" si="101">Q121+Q122</f>
        <v>4203090</v>
      </c>
      <c r="R120" s="135">
        <f t="shared" ca="1" si="101"/>
        <v>4203090</v>
      </c>
      <c r="S120" s="135">
        <f t="shared" ca="1" si="101"/>
        <v>1873264.77</v>
      </c>
      <c r="T120" s="135">
        <f t="shared" ca="1" si="94"/>
        <v>44.568752275111883</v>
      </c>
      <c r="U120" s="135">
        <f t="shared" ca="1" si="95"/>
        <v>44.568752275111883</v>
      </c>
    </row>
    <row r="121" spans="1:21" ht="18.75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f ca="1">IFERROR(__xludf.DUMMYFUNCTION("IMPORTRANGE(""https://docs.google.com/spreadsheets/d/13wPX838HrBrQMCywv1BsuMkt4PEKTChp52zj44s2izQ/edit?usp=sharing"",""กาญจนบุรี!L121"")+IMPORTRANGE(""https://docs.google.com/spreadsheets/d/1ddFKvqj1W1NEiWytbGlB1zMx_ykJDVtmfEQ-6-lIUBA/edit?usp=sharing"","&amp;"""จันทบุรี!L121"")+IMPORTRANGE(""https://docs.google.com/spreadsheets/d/1T1PQvRODqOBZk8BRht_U031fIS1beLA0Ub2CEytj2q0/edit?usp=sharing"",""ฉะเชิงเทรา!L121"")+IMPORTRANGE(""https://docs.google.com/spreadsheets/d/11tr1B-Bhyr79v2bkwVh5h_fR-PStkgjlZtkrZpYurG0/"&amp;"edit?usp=sharing"",""ชลบุรี!L121"")+IMPORTRANGE(""https://docs.google.com/spreadsheets/d/1hh-FVnSX0vozXhGluamEcS54Dw9_zqW0N7qJUWgJ0Sw/edit?usp=sharing"",""ชัยนาท!L121"")+IMPORTRANGE(""https://docs.google.com/spreadsheets/d/1jkqa6GXxSacMcY1eN8AHjMNJ_7dDXMJ"&amp;"VRLDlaFSOdPM/edit?usp=sharing"",""ตราด!L121"")+IMPORTRANGE(""https://docs.google.com/spreadsheets/d/18hSgUJ3VwClqi_qtULmmW3cLr0oe3OKaSYoKzdpTsYQ/edit?usp=sharing"",""นครนายก!L121"")+IMPORTRANGE(""https://docs.google.com/spreadsheets/d/1YTZo6WM2dQ6Ix6FSdnL"&amp;"5P7uVnVKu40sxZu975tgG10E/edit?usp=sharing"",""นครปฐม!L121"")+IMPORTRANGE(""https://docs.google.com/spreadsheets/d/1OYoGg4WDg5RIzwGeB10padOxJF9E_Vljuvvct_M7RDo/edit?usp=sharing"",""ปทุมธานี!L121"")+IMPORTRANGE(""https://docs.google.com/spreadsheets/d/1GbCI"&amp;"E4D4wk9FUozzqk7SxfDMxDVBwVmI5zcaVUSzKAc/edit?usp=sharing"",""ประจวบคีรีขันธ์!L121"")+IMPORTRANGE(""https://docs.google.com/spreadsheets/d/1vVf6wykvW_lAyu7Yo9L4hUTqHqIeP_qcVuxCtosJEbg/edit?usp=sharing"",""ปราจีนบุรี!L121"")+IMPORTRANGE(""https://docs.googl"&amp;"e.com/spreadsheets/d/1BIDqLLg5jk3v59G8NlR8rk5xfQDKne0sAvZHSj7TI6I/edit?usp=sharing"",""พระนครศรีอยุธยา!L121"")+IMPORTRANGE(""https://docs.google.com/spreadsheets/d/1YXvxf8Yu6_rV4hTBrwMqAcAnv6DfhUxh5emyM3CJp_w/edit?usp=sharing"",""เพชรบุรี!L121"")+IMPORTRA"&amp;"NGE(""https://docs.google.com/spreadsheets/d/19KBlQQs7uwvsao6t2n-KvW3Ax8J8uRRfZPq1zPbXgKc/edit?usp=sharing"",""ระยอง!L121"")+IMPORTRANGE(""https://docs.google.com/spreadsheets/d/1jQ6P4QcrGM89YfqcC_PxOHGCMq5ezhucwJd8ci-NHng/edit?usp=sharing"",""ราชบุรี!L12"&amp;"1"")+IMPORTRANGE(""https://docs.google.com/spreadsheets/d/1lufeA2cfFqM-elVq2hznhDzC6Pr7wkJ9ZG_sYNGCMCU/edit?usp=sharing"",""ลพบุรี!L121"")+IMPORTRANGE(""https://docs.google.com/spreadsheets/d/10oOiF7loTyfsTkbd4MpaIm0HQ9SwB7IYHdIUvt-U1Uc/edit?usp=sharing"""&amp;",""สระแก้ว!L121"")+IMPORTRANGE(""https://docs.google.com/spreadsheets/d/1xmPlrr1QbdSIKvl1dWUl9K4PjAfSL9oeMr_37QVzcxc/edit?usp=sharing"",""สระบุรี!L121"")+IMPORTRANGE(""https://docs.google.com/spreadsheets/d/1j51vR6CYVGhABJpv6tkstgok82RLpXieLzW1yOY5rHw/edi"&amp;"t?usp=sharing"",""สิงห์บุรี!L121"")+IMPORTRANGE(""https://docs.google.com/spreadsheets/d/1H1EalTWKUSzO4Z1-1CwzoDUaVffgrThEBe2sl74kKG0/edit?usp=sharing"",""สุพรรณบุรี!L121"")+IMPORTRANGE(""https://docs.google.com/spreadsheets/d/1BmIruG_sIrJLYao_Pdr7zVArWsf"&amp;"oBt2692TMi6x_854/edit?usp=sharing"",""อ่างทอง!L121"")"),0)</f>
        <v>0</v>
      </c>
      <c r="M121" s="80">
        <f ca="1">IFERROR(__xludf.DUMMYFUNCTION("IMPORTRANGE(""https://docs.google.com/spreadsheets/d/13wPX838HrBrQMCywv1BsuMkt4PEKTChp52zj44s2izQ/edit?usp=sharing"",""กาญจนบุรี!M121"")+IMPORTRANGE(""https://docs.google.com/spreadsheets/d/1ddFKvqj1W1NEiWytbGlB1zMx_ykJDVtmfEQ-6-lIUBA/edit?usp=sharing"","&amp;"""จันทบุรี!M121"")+IMPORTRANGE(""https://docs.google.com/spreadsheets/d/1T1PQvRODqOBZk8BRht_U031fIS1beLA0Ub2CEytj2q0/edit?usp=sharing"",""ฉะเชิงเทรา!M121"")+IMPORTRANGE(""https://docs.google.com/spreadsheets/d/11tr1B-Bhyr79v2bkwVh5h_fR-PStkgjlZtkrZpYurG0/"&amp;"edit?usp=sharing"",""ชลบุรี!M121"")+IMPORTRANGE(""https://docs.google.com/spreadsheets/d/1hh-FVnSX0vozXhGluamEcS54Dw9_zqW0N7qJUWgJ0Sw/edit?usp=sharing"",""ชัยนาท!M121"")+IMPORTRANGE(""https://docs.google.com/spreadsheets/d/1jkqa6GXxSacMcY1eN8AHjMNJ_7dDXMJ"&amp;"VRLDlaFSOdPM/edit?usp=sharing"",""ตราด!M121"")+IMPORTRANGE(""https://docs.google.com/spreadsheets/d/18hSgUJ3VwClqi_qtULmmW3cLr0oe3OKaSYoKzdpTsYQ/edit?usp=sharing"",""นครนายก!M121"")+IMPORTRANGE(""https://docs.google.com/spreadsheets/d/1YTZo6WM2dQ6Ix6FSdnL"&amp;"5P7uVnVKu40sxZu975tgG10E/edit?usp=sharing"",""นครปฐม!M121"")+IMPORTRANGE(""https://docs.google.com/spreadsheets/d/1OYoGg4WDg5RIzwGeB10padOxJF9E_Vljuvvct_M7RDo/edit?usp=sharing"",""ปทุมธานี!M121"")+IMPORTRANGE(""https://docs.google.com/spreadsheets/d/1GbCI"&amp;"E4D4wk9FUozzqk7SxfDMxDVBwVmI5zcaVUSzKAc/edit?usp=sharing"",""ประจวบคีรีขันธ์!M121"")+IMPORTRANGE(""https://docs.google.com/spreadsheets/d/1vVf6wykvW_lAyu7Yo9L4hUTqHqIeP_qcVuxCtosJEbg/edit?usp=sharing"",""ปราจีนบุรี!M121"")+IMPORTRANGE(""https://docs.googl"&amp;"e.com/spreadsheets/d/1BIDqLLg5jk3v59G8NlR8rk5xfQDKne0sAvZHSj7TI6I/edit?usp=sharing"",""พระนครศรีอยุธยา!M121"")+IMPORTRANGE(""https://docs.google.com/spreadsheets/d/1YXvxf8Yu6_rV4hTBrwMqAcAnv6DfhUxh5emyM3CJp_w/edit?usp=sharing"",""เพชรบุรี!M121"")+IMPORTRA"&amp;"NGE(""https://docs.google.com/spreadsheets/d/19KBlQQs7uwvsao6t2n-KvW3Ax8J8uRRfZPq1zPbXgKc/edit?usp=sharing"",""ระยอง!M121"")+IMPORTRANGE(""https://docs.google.com/spreadsheets/d/1jQ6P4QcrGM89YfqcC_PxOHGCMq5ezhucwJd8ci-NHng/edit?usp=sharing"",""ราชบุรี!M12"&amp;"1"")+IMPORTRANGE(""https://docs.google.com/spreadsheets/d/1lufeA2cfFqM-elVq2hznhDzC6Pr7wkJ9ZG_sYNGCMCU/edit?usp=sharing"",""ลพบุรี!M121"")+IMPORTRANGE(""https://docs.google.com/spreadsheets/d/10oOiF7loTyfsTkbd4MpaIm0HQ9SwB7IYHdIUvt-U1Uc/edit?usp=sharing"""&amp;",""สระแก้ว!M121"")+IMPORTRANGE(""https://docs.google.com/spreadsheets/d/1xmPlrr1QbdSIKvl1dWUl9K4PjAfSL9oeMr_37QVzcxc/edit?usp=sharing"",""สระบุรี!M121"")+IMPORTRANGE(""https://docs.google.com/spreadsheets/d/1j51vR6CYVGhABJpv6tkstgok82RLpXieLzW1yOY5rHw/edi"&amp;"t?usp=sharing"",""สิงห์บุรี!M121"")+IMPORTRANGE(""https://docs.google.com/spreadsheets/d/1H1EalTWKUSzO4Z1-1CwzoDUaVffgrThEBe2sl74kKG0/edit?usp=sharing"",""สุพรรณบุรี!M121"")+IMPORTRANGE(""https://docs.google.com/spreadsheets/d/1BmIruG_sIrJLYao_Pdr7zVArWsf"&amp;"oBt2692TMi6x_854/edit?usp=sharing"",""อ่างทอง!M121"")"),0)</f>
        <v>0</v>
      </c>
      <c r="N121" s="80">
        <f ca="1">IFERROR(__xludf.DUMMYFUNCTION("IMPORTRANGE(""https://docs.google.com/spreadsheets/d/13wPX838HrBrQMCywv1BsuMkt4PEKTChp52zj44s2izQ/edit?usp=sharing"",""กาญจนบุรี!N121"")+IMPORTRANGE(""https://docs.google.com/spreadsheets/d/1ddFKvqj1W1NEiWytbGlB1zMx_ykJDVtmfEQ-6-lIUBA/edit?usp=sharing"","&amp;"""จันทบุรี!N121"")+IMPORTRANGE(""https://docs.google.com/spreadsheets/d/1T1PQvRODqOBZk8BRht_U031fIS1beLA0Ub2CEytj2q0/edit?usp=sharing"",""ฉะเชิงเทรา!N121"")+IMPORTRANGE(""https://docs.google.com/spreadsheets/d/11tr1B-Bhyr79v2bkwVh5h_fR-PStkgjlZtkrZpYurG0/"&amp;"edit?usp=sharing"",""ชลบุรี!N121"")+IMPORTRANGE(""https://docs.google.com/spreadsheets/d/1hh-FVnSX0vozXhGluamEcS54Dw9_zqW0N7qJUWgJ0Sw/edit?usp=sharing"",""ชัยนาท!N121"")+IMPORTRANGE(""https://docs.google.com/spreadsheets/d/1jkqa6GXxSacMcY1eN8AHjMNJ_7dDXMJ"&amp;"VRLDlaFSOdPM/edit?usp=sharing"",""ตราด!N121"")+IMPORTRANGE(""https://docs.google.com/spreadsheets/d/18hSgUJ3VwClqi_qtULmmW3cLr0oe3OKaSYoKzdpTsYQ/edit?usp=sharing"",""นครนายก!N121"")+IMPORTRANGE(""https://docs.google.com/spreadsheets/d/1YTZo6WM2dQ6Ix6FSdnL"&amp;"5P7uVnVKu40sxZu975tgG10E/edit?usp=sharing"",""นครปฐม!N121"")+IMPORTRANGE(""https://docs.google.com/spreadsheets/d/1OYoGg4WDg5RIzwGeB10padOxJF9E_Vljuvvct_M7RDo/edit?usp=sharing"",""ปทุมธานี!N121"")+IMPORTRANGE(""https://docs.google.com/spreadsheets/d/1GbCI"&amp;"E4D4wk9FUozzqk7SxfDMxDVBwVmI5zcaVUSzKAc/edit?usp=sharing"",""ประจวบคีรีขันธ์!N121"")+IMPORTRANGE(""https://docs.google.com/spreadsheets/d/1vVf6wykvW_lAyu7Yo9L4hUTqHqIeP_qcVuxCtosJEbg/edit?usp=sharing"",""ปราจีนบุรี!N121"")+IMPORTRANGE(""https://docs.googl"&amp;"e.com/spreadsheets/d/1BIDqLLg5jk3v59G8NlR8rk5xfQDKne0sAvZHSj7TI6I/edit?usp=sharing"",""พระนครศรีอยุธยา!N121"")+IMPORTRANGE(""https://docs.google.com/spreadsheets/d/1YXvxf8Yu6_rV4hTBrwMqAcAnv6DfhUxh5emyM3CJp_w/edit?usp=sharing"",""เพชรบุรี!N121"")+IMPORTRA"&amp;"NGE(""https://docs.google.com/spreadsheets/d/19KBlQQs7uwvsao6t2n-KvW3Ax8J8uRRfZPq1zPbXgKc/edit?usp=sharing"",""ระยอง!N121"")+IMPORTRANGE(""https://docs.google.com/spreadsheets/d/1jQ6P4QcrGM89YfqcC_PxOHGCMq5ezhucwJd8ci-NHng/edit?usp=sharing"",""ราชบุรี!N12"&amp;"1"")+IMPORTRANGE(""https://docs.google.com/spreadsheets/d/1lufeA2cfFqM-elVq2hznhDzC6Pr7wkJ9ZG_sYNGCMCU/edit?usp=sharing"",""ลพบุรี!N121"")+IMPORTRANGE(""https://docs.google.com/spreadsheets/d/10oOiF7loTyfsTkbd4MpaIm0HQ9SwB7IYHdIUvt-U1Uc/edit?usp=sharing"""&amp;",""สระแก้ว!N121"")+IMPORTRANGE(""https://docs.google.com/spreadsheets/d/1xmPlrr1QbdSIKvl1dWUl9K4PjAfSL9oeMr_37QVzcxc/edit?usp=sharing"",""สระบุรี!N121"")+IMPORTRANGE(""https://docs.google.com/spreadsheets/d/1j51vR6CYVGhABJpv6tkstgok82RLpXieLzW1yOY5rHw/edi"&amp;"t?usp=sharing"",""สิงห์บุรี!N121"")+IMPORTRANGE(""https://docs.google.com/spreadsheets/d/1H1EalTWKUSzO4Z1-1CwzoDUaVffgrThEBe2sl74kKG0/edit?usp=sharing"",""สุพรรณบุรี!N121"")+IMPORTRANGE(""https://docs.google.com/spreadsheets/d/1BmIruG_sIrJLYao_Pdr7zVArWsf"&amp;"oBt2692TMi6x_854/edit?usp=sharing"",""อ่างทอง!N121"")"),0)</f>
        <v>0</v>
      </c>
      <c r="O121" s="80">
        <f t="shared" ca="1" si="91"/>
        <v>0</v>
      </c>
      <c r="P121" s="80">
        <f t="shared" ca="1" si="92"/>
        <v>0</v>
      </c>
      <c r="Q121" s="79">
        <f ca="1">IFERROR(__xludf.DUMMYFUNCTION("IMPORTRANGE(""https://docs.google.com/spreadsheets/d/13wPX838HrBrQMCywv1BsuMkt4PEKTChp52zj44s2izQ/edit?usp=sharing"",""กาญจนบุรี!Q121"")+IMPORTRANGE(""https://docs.google.com/spreadsheets/d/1ddFKvqj1W1NEiWytbGlB1zMx_ykJDVtmfEQ-6-lIUBA/edit?usp=sharing"","&amp;"""จันทบุรี!Q121"")+IMPORTRANGE(""https://docs.google.com/spreadsheets/d/1T1PQvRODqOBZk8BRht_U031fIS1beLA0Ub2CEytj2q0/edit?usp=sharing"",""ฉะเชิงเทรา!Q121"")+IMPORTRANGE(""https://docs.google.com/spreadsheets/d/11tr1B-Bhyr79v2bkwVh5h_fR-PStkgjlZtkrZpYurG0/"&amp;"edit?usp=sharing"",""ชลบุรี!Q121"")+IMPORTRANGE(""https://docs.google.com/spreadsheets/d/1hh-FVnSX0vozXhGluamEcS54Dw9_zqW0N7qJUWgJ0Sw/edit?usp=sharing"",""ชัยนาท!Q121"")+IMPORTRANGE(""https://docs.google.com/spreadsheets/d/1jkqa6GXxSacMcY1eN8AHjMNJ_7dDXMJ"&amp;"VRLDlaFSOdPM/edit?usp=sharing"",""ตราด!Q121"")+IMPORTRANGE(""https://docs.google.com/spreadsheets/d/18hSgUJ3VwClqi_qtULmmW3cLr0oe3OKaSYoKzdpTsYQ/edit?usp=sharing"",""นครนายก!Q121"")+IMPORTRANGE(""https://docs.google.com/spreadsheets/d/1YTZo6WM2dQ6Ix6FSdnL"&amp;"5P7uVnVKu40sxZu975tgG10E/edit?usp=sharing"",""นครปฐม!Q121"")+IMPORTRANGE(""https://docs.google.com/spreadsheets/d/1OYoGg4WDg5RIzwGeB10padOxJF9E_Vljuvvct_M7RDo/edit?usp=sharing"",""ปทุมธานี!Q121"")+IMPORTRANGE(""https://docs.google.com/spreadsheets/d/1GbCI"&amp;"E4D4wk9FUozzqk7SxfDMxDVBwVmI5zcaVUSzKAc/edit?usp=sharing"",""ประจวบคีรีขันธ์!Q121"")+IMPORTRANGE(""https://docs.google.com/spreadsheets/d/1vVf6wykvW_lAyu7Yo9L4hUTqHqIeP_qcVuxCtosJEbg/edit?usp=sharing"",""ปราจีนบุรี!Q121"")+IMPORTRANGE(""https://docs.googl"&amp;"e.com/spreadsheets/d/1BIDqLLg5jk3v59G8NlR8rk5xfQDKne0sAvZHSj7TI6I/edit?usp=sharing"",""พระนครศรีอยุธยา!Q121"")+IMPORTRANGE(""https://docs.google.com/spreadsheets/d/1YXvxf8Yu6_rV4hTBrwMqAcAnv6DfhUxh5emyM3CJp_w/edit?usp=sharing"",""เพชรบุรี!Q121"")+IMPORTRA"&amp;"NGE(""https://docs.google.com/spreadsheets/d/19KBlQQs7uwvsao6t2n-KvW3Ax8J8uRRfZPq1zPbXgKc/edit?usp=sharing"",""ระยอง!Q121"")+IMPORTRANGE(""https://docs.google.com/spreadsheets/d/1jQ6P4QcrGM89YfqcC_PxOHGCMq5ezhucwJd8ci-NHng/edit?usp=sharing"",""ราชบุรี!Q12"&amp;"1"")+IMPORTRANGE(""https://docs.google.com/spreadsheets/d/1lufeA2cfFqM-elVq2hznhDzC6Pr7wkJ9ZG_sYNGCMCU/edit?usp=sharing"",""ลพบุรี!Q121"")+IMPORTRANGE(""https://docs.google.com/spreadsheets/d/10oOiF7loTyfsTkbd4MpaIm0HQ9SwB7IYHdIUvt-U1Uc/edit?usp=sharing"""&amp;",""สระแก้ว!Q121"")+IMPORTRANGE(""https://docs.google.com/spreadsheets/d/1xmPlrr1QbdSIKvl1dWUl9K4PjAfSL9oeMr_37QVzcxc/edit?usp=sharing"",""สระบุรี!Q121"")+IMPORTRANGE(""https://docs.google.com/spreadsheets/d/1j51vR6CYVGhABJpv6tkstgok82RLpXieLzW1yOY5rHw/edi"&amp;"t?usp=sharing"",""สิงห์บุรี!Q121"")+IMPORTRANGE(""https://docs.google.com/spreadsheets/d/1H1EalTWKUSzO4Z1-1CwzoDUaVffgrThEBe2sl74kKG0/edit?usp=sharing"",""สุพรรณบุรี!Q121"")+IMPORTRANGE(""https://docs.google.com/spreadsheets/d/1BmIruG_sIrJLYao_Pdr7zVArWsf"&amp;"oBt2692TMi6x_854/edit?usp=sharing"",""อ่างทอง!Q121"")"),0)</f>
        <v>0</v>
      </c>
      <c r="R121" s="80">
        <f ca="1">IFERROR(__xludf.DUMMYFUNCTION("IMPORTRANGE(""https://docs.google.com/spreadsheets/d/13wPX838HrBrQMCywv1BsuMkt4PEKTChp52zj44s2izQ/edit?usp=sharing"",""กาญจนบุรี!R121"")+IMPORTRANGE(""https://docs.google.com/spreadsheets/d/1ddFKvqj1W1NEiWytbGlB1zMx_ykJDVtmfEQ-6-lIUBA/edit?usp=sharing"","&amp;"""จันทบุรี!R121"")+IMPORTRANGE(""https://docs.google.com/spreadsheets/d/1T1PQvRODqOBZk8BRht_U031fIS1beLA0Ub2CEytj2q0/edit?usp=sharing"",""ฉะเชิงเทรา!R121"")+IMPORTRANGE(""https://docs.google.com/spreadsheets/d/11tr1B-Bhyr79v2bkwVh5h_fR-PStkgjlZtkrZpYurG0/"&amp;"edit?usp=sharing"",""ชลบุรี!R121"")+IMPORTRANGE(""https://docs.google.com/spreadsheets/d/1hh-FVnSX0vozXhGluamEcS54Dw9_zqW0N7qJUWgJ0Sw/edit?usp=sharing"",""ชัยนาท!R121"")+IMPORTRANGE(""https://docs.google.com/spreadsheets/d/1jkqa6GXxSacMcY1eN8AHjMNJ_7dDXMJ"&amp;"VRLDlaFSOdPM/edit?usp=sharing"",""ตราด!R121"")+IMPORTRANGE(""https://docs.google.com/spreadsheets/d/18hSgUJ3VwClqi_qtULmmW3cLr0oe3OKaSYoKzdpTsYQ/edit?usp=sharing"",""นครนายก!R121"")+IMPORTRANGE(""https://docs.google.com/spreadsheets/d/1YTZo6WM2dQ6Ix6FSdnL"&amp;"5P7uVnVKu40sxZu975tgG10E/edit?usp=sharing"",""นครปฐม!R121"")+IMPORTRANGE(""https://docs.google.com/spreadsheets/d/1OYoGg4WDg5RIzwGeB10padOxJF9E_Vljuvvct_M7RDo/edit?usp=sharing"",""ปทุมธานี!R121"")+IMPORTRANGE(""https://docs.google.com/spreadsheets/d/1GbCI"&amp;"E4D4wk9FUozzqk7SxfDMxDVBwVmI5zcaVUSzKAc/edit?usp=sharing"",""ประจวบคีรีขันธ์!R121"")+IMPORTRANGE(""https://docs.google.com/spreadsheets/d/1vVf6wykvW_lAyu7Yo9L4hUTqHqIeP_qcVuxCtosJEbg/edit?usp=sharing"",""ปราจีนบุรี!R121"")+IMPORTRANGE(""https://docs.googl"&amp;"e.com/spreadsheets/d/1BIDqLLg5jk3v59G8NlR8rk5xfQDKne0sAvZHSj7TI6I/edit?usp=sharing"",""พระนครศรีอยุธยา!R121"")+IMPORTRANGE(""https://docs.google.com/spreadsheets/d/1YXvxf8Yu6_rV4hTBrwMqAcAnv6DfhUxh5emyM3CJp_w/edit?usp=sharing"",""เพชรบุรี!R121"")+IMPORTRA"&amp;"NGE(""https://docs.google.com/spreadsheets/d/19KBlQQs7uwvsao6t2n-KvW3Ax8J8uRRfZPq1zPbXgKc/edit?usp=sharing"",""ระยอง!R121"")+IMPORTRANGE(""https://docs.google.com/spreadsheets/d/1jQ6P4QcrGM89YfqcC_PxOHGCMq5ezhucwJd8ci-NHng/edit?usp=sharing"",""ราชบุรี!R12"&amp;"1"")+IMPORTRANGE(""https://docs.google.com/spreadsheets/d/1lufeA2cfFqM-elVq2hznhDzC6Pr7wkJ9ZG_sYNGCMCU/edit?usp=sharing"",""ลพบุรี!R121"")+IMPORTRANGE(""https://docs.google.com/spreadsheets/d/10oOiF7loTyfsTkbd4MpaIm0HQ9SwB7IYHdIUvt-U1Uc/edit?usp=sharing"""&amp;",""สระแก้ว!R121"")+IMPORTRANGE(""https://docs.google.com/spreadsheets/d/1xmPlrr1QbdSIKvl1dWUl9K4PjAfSL9oeMr_37QVzcxc/edit?usp=sharing"",""สระบุรี!R121"")+IMPORTRANGE(""https://docs.google.com/spreadsheets/d/1j51vR6CYVGhABJpv6tkstgok82RLpXieLzW1yOY5rHw/edi"&amp;"t?usp=sharing"",""สิงห์บุรี!R121"")+IMPORTRANGE(""https://docs.google.com/spreadsheets/d/1H1EalTWKUSzO4Z1-1CwzoDUaVffgrThEBe2sl74kKG0/edit?usp=sharing"",""สุพรรณบุรี!R121"")+IMPORTRANGE(""https://docs.google.com/spreadsheets/d/1BmIruG_sIrJLYao_Pdr7zVArWsf"&amp;"oBt2692TMi6x_854/edit?usp=sharing"",""อ่างทอง!R121"")"),0)</f>
        <v>0</v>
      </c>
      <c r="S121" s="80">
        <f ca="1">IFERROR(__xludf.DUMMYFUNCTION("IMPORTRANGE(""https://docs.google.com/spreadsheets/d/13wPX838HrBrQMCywv1BsuMkt4PEKTChp52zj44s2izQ/edit?usp=sharing"",""กาญจนบุรี!S121"")+IMPORTRANGE(""https://docs.google.com/spreadsheets/d/1ddFKvqj1W1NEiWytbGlB1zMx_ykJDVtmfEQ-6-lIUBA/edit?usp=sharing"","&amp;"""จันทบุรี!S121"")+IMPORTRANGE(""https://docs.google.com/spreadsheets/d/1T1PQvRODqOBZk8BRht_U031fIS1beLA0Ub2CEytj2q0/edit?usp=sharing"",""ฉะเชิงเทรา!S121"")+IMPORTRANGE(""https://docs.google.com/spreadsheets/d/11tr1B-Bhyr79v2bkwVh5h_fR-PStkgjlZtkrZpYurG0/"&amp;"edit?usp=sharing"",""ชลบุรี!S121"")+IMPORTRANGE(""https://docs.google.com/spreadsheets/d/1hh-FVnSX0vozXhGluamEcS54Dw9_zqW0N7qJUWgJ0Sw/edit?usp=sharing"",""ชัยนาท!S121"")+IMPORTRANGE(""https://docs.google.com/spreadsheets/d/1jkqa6GXxSacMcY1eN8AHjMNJ_7dDXMJ"&amp;"VRLDlaFSOdPM/edit?usp=sharing"",""ตราด!S121"")+IMPORTRANGE(""https://docs.google.com/spreadsheets/d/18hSgUJ3VwClqi_qtULmmW3cLr0oe3OKaSYoKzdpTsYQ/edit?usp=sharing"",""นครนายก!S121"")+IMPORTRANGE(""https://docs.google.com/spreadsheets/d/1YTZo6WM2dQ6Ix6FSdnL"&amp;"5P7uVnVKu40sxZu975tgG10E/edit?usp=sharing"",""นครปฐม!S121"")+IMPORTRANGE(""https://docs.google.com/spreadsheets/d/1OYoGg4WDg5RIzwGeB10padOxJF9E_Vljuvvct_M7RDo/edit?usp=sharing"",""ปทุมธานี!S121"")+IMPORTRANGE(""https://docs.google.com/spreadsheets/d/1GbCI"&amp;"E4D4wk9FUozzqk7SxfDMxDVBwVmI5zcaVUSzKAc/edit?usp=sharing"",""ประจวบคีรีขันธ์!S121"")+IMPORTRANGE(""https://docs.google.com/spreadsheets/d/1vVf6wykvW_lAyu7Yo9L4hUTqHqIeP_qcVuxCtosJEbg/edit?usp=sharing"",""ปราจีนบุรี!S121"")+IMPORTRANGE(""https://docs.googl"&amp;"e.com/spreadsheets/d/1BIDqLLg5jk3v59G8NlR8rk5xfQDKne0sAvZHSj7TI6I/edit?usp=sharing"",""พระนครศรีอยุธยา!S121"")+IMPORTRANGE(""https://docs.google.com/spreadsheets/d/1YXvxf8Yu6_rV4hTBrwMqAcAnv6DfhUxh5emyM3CJp_w/edit?usp=sharing"",""เพชรบุรี!S121"")+IMPORTRA"&amp;"NGE(""https://docs.google.com/spreadsheets/d/19KBlQQs7uwvsao6t2n-KvW3Ax8J8uRRfZPq1zPbXgKc/edit?usp=sharing"",""ระยอง!S121"")+IMPORTRANGE(""https://docs.google.com/spreadsheets/d/1jQ6P4QcrGM89YfqcC_PxOHGCMq5ezhucwJd8ci-NHng/edit?usp=sharing"",""ราชบุรี!S12"&amp;"1"")+IMPORTRANGE(""https://docs.google.com/spreadsheets/d/1lufeA2cfFqM-elVq2hznhDzC6Pr7wkJ9ZG_sYNGCMCU/edit?usp=sharing"",""ลพบุรี!S121"")+IMPORTRANGE(""https://docs.google.com/spreadsheets/d/10oOiF7loTyfsTkbd4MpaIm0HQ9SwB7IYHdIUvt-U1Uc/edit?usp=sharing"""&amp;",""สระแก้ว!S121"")+IMPORTRANGE(""https://docs.google.com/spreadsheets/d/1xmPlrr1QbdSIKvl1dWUl9K4PjAfSL9oeMr_37QVzcxc/edit?usp=sharing"",""สระบุรี!S121"")+IMPORTRANGE(""https://docs.google.com/spreadsheets/d/1j51vR6CYVGhABJpv6tkstgok82RLpXieLzW1yOY5rHw/edi"&amp;"t?usp=sharing"",""สิงห์บุรี!S121"")+IMPORTRANGE(""https://docs.google.com/spreadsheets/d/1H1EalTWKUSzO4Z1-1CwzoDUaVffgrThEBe2sl74kKG0/edit?usp=sharing"",""สุพรรณบุรี!S121"")+IMPORTRANGE(""https://docs.google.com/spreadsheets/d/1BmIruG_sIrJLYao_Pdr7zVArWsf"&amp;"oBt2692TMi6x_854/edit?usp=sharing"",""อ่างทอง!S121"")"),0)</f>
        <v>0</v>
      </c>
      <c r="T121" s="136">
        <f t="shared" ca="1" si="94"/>
        <v>0</v>
      </c>
      <c r="U121" s="136">
        <f t="shared" ca="1" si="95"/>
        <v>0</v>
      </c>
    </row>
    <row r="122" spans="1:21" ht="18.75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13wPX838HrBrQMCywv1BsuMkt4PEKTChp52zj44s2izQ/edit?usp=sharing"",""กาญจนบุรี!L122"")+IMPORTRANGE(""https://docs.google.com/spreadsheets/d/1ddFKvqj1W1NEiWytbGlB1zMx_ykJDVtmfEQ-6-lIUBA/edit?usp=sharing"","&amp;"""จันทบุรี!L122"")+IMPORTRANGE(""https://docs.google.com/spreadsheets/d/1T1PQvRODqOBZk8BRht_U031fIS1beLA0Ub2CEytj2q0/edit?usp=sharing"",""ฉะเชิงเทรา!L122"")+IMPORTRANGE(""https://docs.google.com/spreadsheets/d/11tr1B-Bhyr79v2bkwVh5h_fR-PStkgjlZtkrZpYurG0/"&amp;"edit?usp=sharing"",""ชลบุรี!L122"")+IMPORTRANGE(""https://docs.google.com/spreadsheets/d/1hh-FVnSX0vozXhGluamEcS54Dw9_zqW0N7qJUWgJ0Sw/edit?usp=sharing"",""ชัยนาท!L122"")+IMPORTRANGE(""https://docs.google.com/spreadsheets/d/1jkqa6GXxSacMcY1eN8AHjMNJ_7dDXMJ"&amp;"VRLDlaFSOdPM/edit?usp=sharing"",""ตราด!L122"")+IMPORTRANGE(""https://docs.google.com/spreadsheets/d/18hSgUJ3VwClqi_qtULmmW3cLr0oe3OKaSYoKzdpTsYQ/edit?usp=sharing"",""นครนายก!L122"")+IMPORTRANGE(""https://docs.google.com/spreadsheets/d/1YTZo6WM2dQ6Ix6FSdnL"&amp;"5P7uVnVKu40sxZu975tgG10E/edit?usp=sharing"",""นครปฐม!L122"")+IMPORTRANGE(""https://docs.google.com/spreadsheets/d/1OYoGg4WDg5RIzwGeB10padOxJF9E_Vljuvvct_M7RDo/edit?usp=sharing"",""ปทุมธานี!L122"")+IMPORTRANGE(""https://docs.google.com/spreadsheets/d/1GbCI"&amp;"E4D4wk9FUozzqk7SxfDMxDVBwVmI5zcaVUSzKAc/edit?usp=sharing"",""ประจวบคีรีขันธ์!L122"")+IMPORTRANGE(""https://docs.google.com/spreadsheets/d/1vVf6wykvW_lAyu7Yo9L4hUTqHqIeP_qcVuxCtosJEbg/edit?usp=sharing"",""ปราจีนบุรี!L122"")+IMPORTRANGE(""https://docs.googl"&amp;"e.com/spreadsheets/d/1BIDqLLg5jk3v59G8NlR8rk5xfQDKne0sAvZHSj7TI6I/edit?usp=sharing"",""พระนครศรีอยุธยา!L122"")+IMPORTRANGE(""https://docs.google.com/spreadsheets/d/1YXvxf8Yu6_rV4hTBrwMqAcAnv6DfhUxh5emyM3CJp_w/edit?usp=sharing"",""เพชรบุรี!L122"")+IMPORTRA"&amp;"NGE(""https://docs.google.com/spreadsheets/d/19KBlQQs7uwvsao6t2n-KvW3Ax8J8uRRfZPq1zPbXgKc/edit?usp=sharing"",""ระยอง!L122"")+IMPORTRANGE(""https://docs.google.com/spreadsheets/d/1jQ6P4QcrGM89YfqcC_PxOHGCMq5ezhucwJd8ci-NHng/edit?usp=sharing"",""ราชบุรี!L12"&amp;"2"")+IMPORTRANGE(""https://docs.google.com/spreadsheets/d/1lufeA2cfFqM-elVq2hznhDzC6Pr7wkJ9ZG_sYNGCMCU/edit?usp=sharing"",""ลพบุรี!L122"")+IMPORTRANGE(""https://docs.google.com/spreadsheets/d/10oOiF7loTyfsTkbd4MpaIm0HQ9SwB7IYHdIUvt-U1Uc/edit?usp=sharing"""&amp;",""สระแก้ว!L122"")+IMPORTRANGE(""https://docs.google.com/spreadsheets/d/1xmPlrr1QbdSIKvl1dWUl9K4PjAfSL9oeMr_37QVzcxc/edit?usp=sharing"",""สระบุรี!L122"")+IMPORTRANGE(""https://docs.google.com/spreadsheets/d/1j51vR6CYVGhABJpv6tkstgok82RLpXieLzW1yOY5rHw/edi"&amp;"t?usp=sharing"",""สิงห์บุรี!L122"")+IMPORTRANGE(""https://docs.google.com/spreadsheets/d/1H1EalTWKUSzO4Z1-1CwzoDUaVffgrThEBe2sl74kKG0/edit?usp=sharing"",""สุพรรณบุรี!L122"")+IMPORTRANGE(""https://docs.google.com/spreadsheets/d/1BmIruG_sIrJLYao_Pdr7zVArWsf"&amp;"oBt2692TMi6x_854/edit?usp=sharing"",""อ่างทอง!L122"")"),0)</f>
        <v>0</v>
      </c>
      <c r="M122" s="77">
        <f ca="1">IFERROR(__xludf.DUMMYFUNCTION("IMPORTRANGE(""https://docs.google.com/spreadsheets/d/13wPX838HrBrQMCywv1BsuMkt4PEKTChp52zj44s2izQ/edit?usp=sharing"",""กาญจนบุรี!M122"")+IMPORTRANGE(""https://docs.google.com/spreadsheets/d/1ddFKvqj1W1NEiWytbGlB1zMx_ykJDVtmfEQ-6-lIUBA/edit?usp=sharing"","&amp;"""จันทบุรี!M122"")+IMPORTRANGE(""https://docs.google.com/spreadsheets/d/1T1PQvRODqOBZk8BRht_U031fIS1beLA0Ub2CEytj2q0/edit?usp=sharing"",""ฉะเชิงเทรา!M122"")+IMPORTRANGE(""https://docs.google.com/spreadsheets/d/11tr1B-Bhyr79v2bkwVh5h_fR-PStkgjlZtkrZpYurG0/"&amp;"edit?usp=sharing"",""ชลบุรี!M122"")+IMPORTRANGE(""https://docs.google.com/spreadsheets/d/1hh-FVnSX0vozXhGluamEcS54Dw9_zqW0N7qJUWgJ0Sw/edit?usp=sharing"",""ชัยนาท!M122"")+IMPORTRANGE(""https://docs.google.com/spreadsheets/d/1jkqa6GXxSacMcY1eN8AHjMNJ_7dDXMJ"&amp;"VRLDlaFSOdPM/edit?usp=sharing"",""ตราด!M122"")+IMPORTRANGE(""https://docs.google.com/spreadsheets/d/18hSgUJ3VwClqi_qtULmmW3cLr0oe3OKaSYoKzdpTsYQ/edit?usp=sharing"",""นครนายก!M122"")+IMPORTRANGE(""https://docs.google.com/spreadsheets/d/1YTZo6WM2dQ6Ix6FSdnL"&amp;"5P7uVnVKu40sxZu975tgG10E/edit?usp=sharing"",""นครปฐม!M122"")+IMPORTRANGE(""https://docs.google.com/spreadsheets/d/1OYoGg4WDg5RIzwGeB10padOxJF9E_Vljuvvct_M7RDo/edit?usp=sharing"",""ปทุมธานี!M122"")+IMPORTRANGE(""https://docs.google.com/spreadsheets/d/1GbCI"&amp;"E4D4wk9FUozzqk7SxfDMxDVBwVmI5zcaVUSzKAc/edit?usp=sharing"",""ประจวบคีรีขันธ์!M122"")+IMPORTRANGE(""https://docs.google.com/spreadsheets/d/1vVf6wykvW_lAyu7Yo9L4hUTqHqIeP_qcVuxCtosJEbg/edit?usp=sharing"",""ปราจีนบุรี!M122"")+IMPORTRANGE(""https://docs.googl"&amp;"e.com/spreadsheets/d/1BIDqLLg5jk3v59G8NlR8rk5xfQDKne0sAvZHSj7TI6I/edit?usp=sharing"",""พระนครศรีอยุธยา!M122"")+IMPORTRANGE(""https://docs.google.com/spreadsheets/d/1YXvxf8Yu6_rV4hTBrwMqAcAnv6DfhUxh5emyM3CJp_w/edit?usp=sharing"",""เพชรบุรี!M122"")+IMPORTRA"&amp;"NGE(""https://docs.google.com/spreadsheets/d/19KBlQQs7uwvsao6t2n-KvW3Ax8J8uRRfZPq1zPbXgKc/edit?usp=sharing"",""ระยอง!M122"")+IMPORTRANGE(""https://docs.google.com/spreadsheets/d/1jQ6P4QcrGM89YfqcC_PxOHGCMq5ezhucwJd8ci-NHng/edit?usp=sharing"",""ราชบุรี!M12"&amp;"2"")+IMPORTRANGE(""https://docs.google.com/spreadsheets/d/1lufeA2cfFqM-elVq2hznhDzC6Pr7wkJ9ZG_sYNGCMCU/edit?usp=sharing"",""ลพบุรี!M122"")+IMPORTRANGE(""https://docs.google.com/spreadsheets/d/10oOiF7loTyfsTkbd4MpaIm0HQ9SwB7IYHdIUvt-U1Uc/edit?usp=sharing"""&amp;",""สระแก้ว!M122"")+IMPORTRANGE(""https://docs.google.com/spreadsheets/d/1xmPlrr1QbdSIKvl1dWUl9K4PjAfSL9oeMr_37QVzcxc/edit?usp=sharing"",""สระบุรี!M122"")+IMPORTRANGE(""https://docs.google.com/spreadsheets/d/1j51vR6CYVGhABJpv6tkstgok82RLpXieLzW1yOY5rHw/edi"&amp;"t?usp=sharing"",""สิงห์บุรี!M122"")+IMPORTRANGE(""https://docs.google.com/spreadsheets/d/1H1EalTWKUSzO4Z1-1CwzoDUaVffgrThEBe2sl74kKG0/edit?usp=sharing"",""สุพรรณบุรี!M122"")+IMPORTRANGE(""https://docs.google.com/spreadsheets/d/1BmIruG_sIrJLYao_Pdr7zVArWsf"&amp;"oBt2692TMi6x_854/edit?usp=sharing"",""อ่างทอง!M122"")"),0)</f>
        <v>0</v>
      </c>
      <c r="N122" s="77">
        <f ca="1">IFERROR(__xludf.DUMMYFUNCTION("IMPORTRANGE(""https://docs.google.com/spreadsheets/d/13wPX838HrBrQMCywv1BsuMkt4PEKTChp52zj44s2izQ/edit?usp=sharing"",""กาญจนบุรี!N122"")+IMPORTRANGE(""https://docs.google.com/spreadsheets/d/1ddFKvqj1W1NEiWytbGlB1zMx_ykJDVtmfEQ-6-lIUBA/edit?usp=sharing"","&amp;"""จันทบุรี!N122"")+IMPORTRANGE(""https://docs.google.com/spreadsheets/d/1T1PQvRODqOBZk8BRht_U031fIS1beLA0Ub2CEytj2q0/edit?usp=sharing"",""ฉะเชิงเทรา!N122"")+IMPORTRANGE(""https://docs.google.com/spreadsheets/d/11tr1B-Bhyr79v2bkwVh5h_fR-PStkgjlZtkrZpYurG0/"&amp;"edit?usp=sharing"",""ชลบุรี!N122"")+IMPORTRANGE(""https://docs.google.com/spreadsheets/d/1hh-FVnSX0vozXhGluamEcS54Dw9_zqW0N7qJUWgJ0Sw/edit?usp=sharing"",""ชัยนาท!N122"")+IMPORTRANGE(""https://docs.google.com/spreadsheets/d/1jkqa6GXxSacMcY1eN8AHjMNJ_7dDXMJ"&amp;"VRLDlaFSOdPM/edit?usp=sharing"",""ตราด!N122"")+IMPORTRANGE(""https://docs.google.com/spreadsheets/d/18hSgUJ3VwClqi_qtULmmW3cLr0oe3OKaSYoKzdpTsYQ/edit?usp=sharing"",""นครนายก!N122"")+IMPORTRANGE(""https://docs.google.com/spreadsheets/d/1YTZo6WM2dQ6Ix6FSdnL"&amp;"5P7uVnVKu40sxZu975tgG10E/edit?usp=sharing"",""นครปฐม!N122"")+IMPORTRANGE(""https://docs.google.com/spreadsheets/d/1OYoGg4WDg5RIzwGeB10padOxJF9E_Vljuvvct_M7RDo/edit?usp=sharing"",""ปทุมธานี!N122"")+IMPORTRANGE(""https://docs.google.com/spreadsheets/d/1GbCI"&amp;"E4D4wk9FUozzqk7SxfDMxDVBwVmI5zcaVUSzKAc/edit?usp=sharing"",""ประจวบคีรีขันธ์!N122"")+IMPORTRANGE(""https://docs.google.com/spreadsheets/d/1vVf6wykvW_lAyu7Yo9L4hUTqHqIeP_qcVuxCtosJEbg/edit?usp=sharing"",""ปราจีนบุรี!N122"")+IMPORTRANGE(""https://docs.googl"&amp;"e.com/spreadsheets/d/1BIDqLLg5jk3v59G8NlR8rk5xfQDKne0sAvZHSj7TI6I/edit?usp=sharing"",""พระนครศรีอยุธยา!N122"")+IMPORTRANGE(""https://docs.google.com/spreadsheets/d/1YXvxf8Yu6_rV4hTBrwMqAcAnv6DfhUxh5emyM3CJp_w/edit?usp=sharing"",""เพชรบุรี!N122"")+IMPORTRA"&amp;"NGE(""https://docs.google.com/spreadsheets/d/19KBlQQs7uwvsao6t2n-KvW3Ax8J8uRRfZPq1zPbXgKc/edit?usp=sharing"",""ระยอง!N122"")+IMPORTRANGE(""https://docs.google.com/spreadsheets/d/1jQ6P4QcrGM89YfqcC_PxOHGCMq5ezhucwJd8ci-NHng/edit?usp=sharing"",""ราชบุรี!N12"&amp;"2"")+IMPORTRANGE(""https://docs.google.com/spreadsheets/d/1lufeA2cfFqM-elVq2hznhDzC6Pr7wkJ9ZG_sYNGCMCU/edit?usp=sharing"",""ลพบุรี!N122"")+IMPORTRANGE(""https://docs.google.com/spreadsheets/d/10oOiF7loTyfsTkbd4MpaIm0HQ9SwB7IYHdIUvt-U1Uc/edit?usp=sharing"""&amp;",""สระแก้ว!N122"")+IMPORTRANGE(""https://docs.google.com/spreadsheets/d/1xmPlrr1QbdSIKvl1dWUl9K4PjAfSL9oeMr_37QVzcxc/edit?usp=sharing"",""สระบุรี!N122"")+IMPORTRANGE(""https://docs.google.com/spreadsheets/d/1j51vR6CYVGhABJpv6tkstgok82RLpXieLzW1yOY5rHw/edi"&amp;"t?usp=sharing"",""สิงห์บุรี!N122"")+IMPORTRANGE(""https://docs.google.com/spreadsheets/d/1H1EalTWKUSzO4Z1-1CwzoDUaVffgrThEBe2sl74kKG0/edit?usp=sharing"",""สุพรรณบุรี!N122"")+IMPORTRANGE(""https://docs.google.com/spreadsheets/d/1BmIruG_sIrJLYao_Pdr7zVArWsf"&amp;"oBt2692TMi6x_854/edit?usp=sharing"",""อ่างทอง!N122"")"),0)</f>
        <v>0</v>
      </c>
      <c r="O122" s="77">
        <f t="shared" ca="1" si="91"/>
        <v>0</v>
      </c>
      <c r="P122" s="77">
        <f t="shared" ca="1" si="92"/>
        <v>0</v>
      </c>
      <c r="Q122" s="134">
        <f ca="1">IFERROR(__xludf.DUMMYFUNCTION("IMPORTRANGE(""https://docs.google.com/spreadsheets/d/13wPX838HrBrQMCywv1BsuMkt4PEKTChp52zj44s2izQ/edit?usp=sharing"",""กาญจนบุรี!Q122"")+IMPORTRANGE(""https://docs.google.com/spreadsheets/d/1ddFKvqj1W1NEiWytbGlB1zMx_ykJDVtmfEQ-6-lIUBA/edit?usp=sharing"","&amp;"""จันทบุรี!Q122"")+IMPORTRANGE(""https://docs.google.com/spreadsheets/d/1T1PQvRODqOBZk8BRht_U031fIS1beLA0Ub2CEytj2q0/edit?usp=sharing"",""ฉะเชิงเทรา!Q122"")+IMPORTRANGE(""https://docs.google.com/spreadsheets/d/11tr1B-Bhyr79v2bkwVh5h_fR-PStkgjlZtkrZpYurG0/"&amp;"edit?usp=sharing"",""ชลบุรี!Q122"")+IMPORTRANGE(""https://docs.google.com/spreadsheets/d/1hh-FVnSX0vozXhGluamEcS54Dw9_zqW0N7qJUWgJ0Sw/edit?usp=sharing"",""ชัยนาท!Q122"")+IMPORTRANGE(""https://docs.google.com/spreadsheets/d/1jkqa6GXxSacMcY1eN8AHjMNJ_7dDXMJ"&amp;"VRLDlaFSOdPM/edit?usp=sharing"",""ตราด!Q122"")+IMPORTRANGE(""https://docs.google.com/spreadsheets/d/18hSgUJ3VwClqi_qtULmmW3cLr0oe3OKaSYoKzdpTsYQ/edit?usp=sharing"",""นครนายก!Q122"")+IMPORTRANGE(""https://docs.google.com/spreadsheets/d/1YTZo6WM2dQ6Ix6FSdnL"&amp;"5P7uVnVKu40sxZu975tgG10E/edit?usp=sharing"",""นครปฐม!Q122"")+IMPORTRANGE(""https://docs.google.com/spreadsheets/d/1OYoGg4WDg5RIzwGeB10padOxJF9E_Vljuvvct_M7RDo/edit?usp=sharing"",""ปทุมธานี!Q122"")+IMPORTRANGE(""https://docs.google.com/spreadsheets/d/1GbCI"&amp;"E4D4wk9FUozzqk7SxfDMxDVBwVmI5zcaVUSzKAc/edit?usp=sharing"",""ประจวบคีรีขันธ์!Q122"")+IMPORTRANGE(""https://docs.google.com/spreadsheets/d/1vVf6wykvW_lAyu7Yo9L4hUTqHqIeP_qcVuxCtosJEbg/edit?usp=sharing"",""ปราจีนบุรี!Q122"")+IMPORTRANGE(""https://docs.googl"&amp;"e.com/spreadsheets/d/1BIDqLLg5jk3v59G8NlR8rk5xfQDKne0sAvZHSj7TI6I/edit?usp=sharing"",""พระนครศรีอยุธยา!Q122"")+IMPORTRANGE(""https://docs.google.com/spreadsheets/d/1YXvxf8Yu6_rV4hTBrwMqAcAnv6DfhUxh5emyM3CJp_w/edit?usp=sharing"",""เพชรบุรี!Q122"")+IMPORTRA"&amp;"NGE(""https://docs.google.com/spreadsheets/d/19KBlQQs7uwvsao6t2n-KvW3Ax8J8uRRfZPq1zPbXgKc/edit?usp=sharing"",""ระยอง!Q122"")+IMPORTRANGE(""https://docs.google.com/spreadsheets/d/1jQ6P4QcrGM89YfqcC_PxOHGCMq5ezhucwJd8ci-NHng/edit?usp=sharing"",""ราชบุรี!Q12"&amp;"2"")+IMPORTRANGE(""https://docs.google.com/spreadsheets/d/1lufeA2cfFqM-elVq2hznhDzC6Pr7wkJ9ZG_sYNGCMCU/edit?usp=sharing"",""ลพบุรี!Q122"")+IMPORTRANGE(""https://docs.google.com/spreadsheets/d/10oOiF7loTyfsTkbd4MpaIm0HQ9SwB7IYHdIUvt-U1Uc/edit?usp=sharing"""&amp;",""สระแก้ว!Q122"")+IMPORTRANGE(""https://docs.google.com/spreadsheets/d/1xmPlrr1QbdSIKvl1dWUl9K4PjAfSL9oeMr_37QVzcxc/edit?usp=sharing"",""สระบุรี!Q122"")+IMPORTRANGE(""https://docs.google.com/spreadsheets/d/1j51vR6CYVGhABJpv6tkstgok82RLpXieLzW1yOY5rHw/edi"&amp;"t?usp=sharing"",""สิงห์บุรี!Q122"")+IMPORTRANGE(""https://docs.google.com/spreadsheets/d/1H1EalTWKUSzO4Z1-1CwzoDUaVffgrThEBe2sl74kKG0/edit?usp=sharing"",""สุพรรณบุรี!Q122"")+IMPORTRANGE(""https://docs.google.com/spreadsheets/d/1BmIruG_sIrJLYao_Pdr7zVArWsf"&amp;"oBt2692TMi6x_854/edit?usp=sharing"",""อ่างทอง!Q122"")"),4203090)</f>
        <v>4203090</v>
      </c>
      <c r="R122" s="135">
        <f ca="1">IFERROR(__xludf.DUMMYFUNCTION("IMPORTRANGE(""https://docs.google.com/spreadsheets/d/13wPX838HrBrQMCywv1BsuMkt4PEKTChp52zj44s2izQ/edit?usp=sharing"",""กาญจนบุรี!R122"")+IMPORTRANGE(""https://docs.google.com/spreadsheets/d/1ddFKvqj1W1NEiWytbGlB1zMx_ykJDVtmfEQ-6-lIUBA/edit?usp=sharing"","&amp;"""จันทบุรี!R122"")+IMPORTRANGE(""https://docs.google.com/spreadsheets/d/1T1PQvRODqOBZk8BRht_U031fIS1beLA0Ub2CEytj2q0/edit?usp=sharing"",""ฉะเชิงเทรา!R122"")+IMPORTRANGE(""https://docs.google.com/spreadsheets/d/11tr1B-Bhyr79v2bkwVh5h_fR-PStkgjlZtkrZpYurG0/"&amp;"edit?usp=sharing"",""ชลบุรี!R122"")+IMPORTRANGE(""https://docs.google.com/spreadsheets/d/1hh-FVnSX0vozXhGluamEcS54Dw9_zqW0N7qJUWgJ0Sw/edit?usp=sharing"",""ชัยนาท!R122"")+IMPORTRANGE(""https://docs.google.com/spreadsheets/d/1jkqa6GXxSacMcY1eN8AHjMNJ_7dDXMJ"&amp;"VRLDlaFSOdPM/edit?usp=sharing"",""ตราด!R122"")+IMPORTRANGE(""https://docs.google.com/spreadsheets/d/18hSgUJ3VwClqi_qtULmmW3cLr0oe3OKaSYoKzdpTsYQ/edit?usp=sharing"",""นครนายก!R122"")+IMPORTRANGE(""https://docs.google.com/spreadsheets/d/1YTZo6WM2dQ6Ix6FSdnL"&amp;"5P7uVnVKu40sxZu975tgG10E/edit?usp=sharing"",""นครปฐม!R122"")+IMPORTRANGE(""https://docs.google.com/spreadsheets/d/1OYoGg4WDg5RIzwGeB10padOxJF9E_Vljuvvct_M7RDo/edit?usp=sharing"",""ปทุมธานี!R122"")+IMPORTRANGE(""https://docs.google.com/spreadsheets/d/1GbCI"&amp;"E4D4wk9FUozzqk7SxfDMxDVBwVmI5zcaVUSzKAc/edit?usp=sharing"",""ประจวบคีรีขันธ์!R122"")+IMPORTRANGE(""https://docs.google.com/spreadsheets/d/1vVf6wykvW_lAyu7Yo9L4hUTqHqIeP_qcVuxCtosJEbg/edit?usp=sharing"",""ปราจีนบุรี!R122"")+IMPORTRANGE(""https://docs.googl"&amp;"e.com/spreadsheets/d/1BIDqLLg5jk3v59G8NlR8rk5xfQDKne0sAvZHSj7TI6I/edit?usp=sharing"",""พระนครศรีอยุธยา!R122"")+IMPORTRANGE(""https://docs.google.com/spreadsheets/d/1YXvxf8Yu6_rV4hTBrwMqAcAnv6DfhUxh5emyM3CJp_w/edit?usp=sharing"",""เพชรบุรี!R122"")+IMPORTRA"&amp;"NGE(""https://docs.google.com/spreadsheets/d/19KBlQQs7uwvsao6t2n-KvW3Ax8J8uRRfZPq1zPbXgKc/edit?usp=sharing"",""ระยอง!R122"")+IMPORTRANGE(""https://docs.google.com/spreadsheets/d/1jQ6P4QcrGM89YfqcC_PxOHGCMq5ezhucwJd8ci-NHng/edit?usp=sharing"",""ราชบุรี!R12"&amp;"2"")+IMPORTRANGE(""https://docs.google.com/spreadsheets/d/1lufeA2cfFqM-elVq2hznhDzC6Pr7wkJ9ZG_sYNGCMCU/edit?usp=sharing"",""ลพบุรี!R122"")+IMPORTRANGE(""https://docs.google.com/spreadsheets/d/10oOiF7loTyfsTkbd4MpaIm0HQ9SwB7IYHdIUvt-U1Uc/edit?usp=sharing"""&amp;",""สระแก้ว!R122"")+IMPORTRANGE(""https://docs.google.com/spreadsheets/d/1xmPlrr1QbdSIKvl1dWUl9K4PjAfSL9oeMr_37QVzcxc/edit?usp=sharing"",""สระบุรี!R122"")+IMPORTRANGE(""https://docs.google.com/spreadsheets/d/1j51vR6CYVGhABJpv6tkstgok82RLpXieLzW1yOY5rHw/edi"&amp;"t?usp=sharing"",""สิงห์บุรี!R122"")+IMPORTRANGE(""https://docs.google.com/spreadsheets/d/1H1EalTWKUSzO4Z1-1CwzoDUaVffgrThEBe2sl74kKG0/edit?usp=sharing"",""สุพรรณบุรี!R122"")+IMPORTRANGE(""https://docs.google.com/spreadsheets/d/1BmIruG_sIrJLYao_Pdr7zVArWsf"&amp;"oBt2692TMi6x_854/edit?usp=sharing"",""อ่างทอง!R122"")"),4203090)</f>
        <v>4203090</v>
      </c>
      <c r="S122" s="135">
        <f ca="1">IFERROR(__xludf.DUMMYFUNCTION("IMPORTRANGE(""https://docs.google.com/spreadsheets/d/13wPX838HrBrQMCywv1BsuMkt4PEKTChp52zj44s2izQ/edit?usp=sharing"",""กาญจนบุรี!S122"")+IMPORTRANGE(""https://docs.google.com/spreadsheets/d/1ddFKvqj1W1NEiWytbGlB1zMx_ykJDVtmfEQ-6-lIUBA/edit?usp=sharing"","&amp;"""จันทบุรี!S122"")+IMPORTRANGE(""https://docs.google.com/spreadsheets/d/1T1PQvRODqOBZk8BRht_U031fIS1beLA0Ub2CEytj2q0/edit?usp=sharing"",""ฉะเชิงเทรา!S122"")+IMPORTRANGE(""https://docs.google.com/spreadsheets/d/11tr1B-Bhyr79v2bkwVh5h_fR-PStkgjlZtkrZpYurG0/"&amp;"edit?usp=sharing"",""ชลบุรี!S122"")+IMPORTRANGE(""https://docs.google.com/spreadsheets/d/1hh-FVnSX0vozXhGluamEcS54Dw9_zqW0N7qJUWgJ0Sw/edit?usp=sharing"",""ชัยนาท!S122"")+IMPORTRANGE(""https://docs.google.com/spreadsheets/d/1jkqa6GXxSacMcY1eN8AHjMNJ_7dDXMJ"&amp;"VRLDlaFSOdPM/edit?usp=sharing"",""ตราด!S122"")+IMPORTRANGE(""https://docs.google.com/spreadsheets/d/18hSgUJ3VwClqi_qtULmmW3cLr0oe3OKaSYoKzdpTsYQ/edit?usp=sharing"",""นครนายก!S122"")+IMPORTRANGE(""https://docs.google.com/spreadsheets/d/1YTZo6WM2dQ6Ix6FSdnL"&amp;"5P7uVnVKu40sxZu975tgG10E/edit?usp=sharing"",""นครปฐม!S122"")+IMPORTRANGE(""https://docs.google.com/spreadsheets/d/1OYoGg4WDg5RIzwGeB10padOxJF9E_Vljuvvct_M7RDo/edit?usp=sharing"",""ปทุมธานี!S122"")+IMPORTRANGE(""https://docs.google.com/spreadsheets/d/1GbCI"&amp;"E4D4wk9FUozzqk7SxfDMxDVBwVmI5zcaVUSzKAc/edit?usp=sharing"",""ประจวบคีรีขันธ์!S122"")+IMPORTRANGE(""https://docs.google.com/spreadsheets/d/1vVf6wykvW_lAyu7Yo9L4hUTqHqIeP_qcVuxCtosJEbg/edit?usp=sharing"",""ปราจีนบุรี!S122"")+IMPORTRANGE(""https://docs.googl"&amp;"e.com/spreadsheets/d/1BIDqLLg5jk3v59G8NlR8rk5xfQDKne0sAvZHSj7TI6I/edit?usp=sharing"",""พระนครศรีอยุธยา!S122"")+IMPORTRANGE(""https://docs.google.com/spreadsheets/d/1YXvxf8Yu6_rV4hTBrwMqAcAnv6DfhUxh5emyM3CJp_w/edit?usp=sharing"",""เพชรบุรี!S122"")+IMPORTRA"&amp;"NGE(""https://docs.google.com/spreadsheets/d/19KBlQQs7uwvsao6t2n-KvW3Ax8J8uRRfZPq1zPbXgKc/edit?usp=sharing"",""ระยอง!S122"")+IMPORTRANGE(""https://docs.google.com/spreadsheets/d/1jQ6P4QcrGM89YfqcC_PxOHGCMq5ezhucwJd8ci-NHng/edit?usp=sharing"",""ราชบุรี!S12"&amp;"2"")+IMPORTRANGE(""https://docs.google.com/spreadsheets/d/1lufeA2cfFqM-elVq2hznhDzC6Pr7wkJ9ZG_sYNGCMCU/edit?usp=sharing"",""ลพบุรี!S122"")+IMPORTRANGE(""https://docs.google.com/spreadsheets/d/10oOiF7loTyfsTkbd4MpaIm0HQ9SwB7IYHdIUvt-U1Uc/edit?usp=sharing"""&amp;",""สระแก้ว!S122"")+IMPORTRANGE(""https://docs.google.com/spreadsheets/d/1xmPlrr1QbdSIKvl1dWUl9K4PjAfSL9oeMr_37QVzcxc/edit?usp=sharing"",""สระบุรี!S122"")+IMPORTRANGE(""https://docs.google.com/spreadsheets/d/1j51vR6CYVGhABJpv6tkstgok82RLpXieLzW1yOY5rHw/edi"&amp;"t?usp=sharing"",""สิงห์บุรี!S122"")+IMPORTRANGE(""https://docs.google.com/spreadsheets/d/1H1EalTWKUSzO4Z1-1CwzoDUaVffgrThEBe2sl74kKG0/edit?usp=sharing"",""สุพรรณบุรี!S122"")+IMPORTRANGE(""https://docs.google.com/spreadsheets/d/1BmIruG_sIrJLYao_Pdr7zVArWsf"&amp;"oBt2692TMi6x_854/edit?usp=sharing"",""อ่างทอง!S122"")"),1873264.77)</f>
        <v>1873264.77</v>
      </c>
      <c r="T122" s="135">
        <f t="shared" ca="1" si="94"/>
        <v>44.568752275111883</v>
      </c>
      <c r="U122" s="135">
        <f t="shared" ca="1" si="95"/>
        <v>44.568752275111883</v>
      </c>
    </row>
    <row r="123" spans="1:21" ht="18.75" x14ac:dyDescent="0.25">
      <c r="A123" s="259"/>
      <c r="B123" s="260"/>
      <c r="C123" s="305"/>
      <c r="D123" s="276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t="shared" ref="L123:N123" ca="1" si="102">L124+L125</f>
        <v>0</v>
      </c>
      <c r="M123" s="77">
        <f t="shared" ca="1" si="102"/>
        <v>0</v>
      </c>
      <c r="N123" s="77">
        <f t="shared" ca="1" si="102"/>
        <v>0</v>
      </c>
      <c r="O123" s="77">
        <f t="shared" ca="1" si="91"/>
        <v>0</v>
      </c>
      <c r="P123" s="77">
        <f t="shared" ca="1" si="92"/>
        <v>0</v>
      </c>
      <c r="Q123" s="134">
        <f t="shared" ref="Q123:S123" ca="1" si="103">Q124+Q125</f>
        <v>0</v>
      </c>
      <c r="R123" s="135">
        <f t="shared" ca="1" si="103"/>
        <v>0</v>
      </c>
      <c r="S123" s="135">
        <f t="shared" ca="1" si="103"/>
        <v>0</v>
      </c>
      <c r="T123" s="135">
        <f t="shared" ca="1" si="94"/>
        <v>0</v>
      </c>
      <c r="U123" s="135">
        <f t="shared" ca="1" si="95"/>
        <v>0</v>
      </c>
    </row>
    <row r="124" spans="1:21" ht="18.75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f ca="1">IFERROR(__xludf.DUMMYFUNCTION("IMPORTRANGE(""https://docs.google.com/spreadsheets/d/13wPX838HrBrQMCywv1BsuMkt4PEKTChp52zj44s2izQ/edit?usp=sharing"",""กาญจนบุรี!L124"")+IMPORTRANGE(""https://docs.google.com/spreadsheets/d/1ddFKvqj1W1NEiWytbGlB1zMx_ykJDVtmfEQ-6-lIUBA/edit?usp=sharing"","&amp;"""จันทบุรี!L124"")+IMPORTRANGE(""https://docs.google.com/spreadsheets/d/1T1PQvRODqOBZk8BRht_U031fIS1beLA0Ub2CEytj2q0/edit?usp=sharing"",""ฉะเชิงเทรา!L124"")+IMPORTRANGE(""https://docs.google.com/spreadsheets/d/11tr1B-Bhyr79v2bkwVh5h_fR-PStkgjlZtkrZpYurG0/"&amp;"edit?usp=sharing"",""ชลบุรี!L124"")+IMPORTRANGE(""https://docs.google.com/spreadsheets/d/1hh-FVnSX0vozXhGluamEcS54Dw9_zqW0N7qJUWgJ0Sw/edit?usp=sharing"",""ชัยนาท!L124"")+IMPORTRANGE(""https://docs.google.com/spreadsheets/d/1jkqa6GXxSacMcY1eN8AHjMNJ_7dDXMJ"&amp;"VRLDlaFSOdPM/edit?usp=sharing"",""ตราด!L124"")+IMPORTRANGE(""https://docs.google.com/spreadsheets/d/18hSgUJ3VwClqi_qtULmmW3cLr0oe3OKaSYoKzdpTsYQ/edit?usp=sharing"",""นครนายก!L124"")+IMPORTRANGE(""https://docs.google.com/spreadsheets/d/1YTZo6WM2dQ6Ix6FSdnL"&amp;"5P7uVnVKu40sxZu975tgG10E/edit?usp=sharing"",""นครปฐม!L124"")+IMPORTRANGE(""https://docs.google.com/spreadsheets/d/1OYoGg4WDg5RIzwGeB10padOxJF9E_Vljuvvct_M7RDo/edit?usp=sharing"",""ปทุมธานี!L124"")+IMPORTRANGE(""https://docs.google.com/spreadsheets/d/1GbCI"&amp;"E4D4wk9FUozzqk7SxfDMxDVBwVmI5zcaVUSzKAc/edit?usp=sharing"",""ประจวบคีรีขันธ์!L124"")+IMPORTRANGE(""https://docs.google.com/spreadsheets/d/1vVf6wykvW_lAyu7Yo9L4hUTqHqIeP_qcVuxCtosJEbg/edit?usp=sharing"",""ปราจีนบุรี!L124"")+IMPORTRANGE(""https://docs.googl"&amp;"e.com/spreadsheets/d/1BIDqLLg5jk3v59G8NlR8rk5xfQDKne0sAvZHSj7TI6I/edit?usp=sharing"",""พระนครศรีอยุธยา!L124"")+IMPORTRANGE(""https://docs.google.com/spreadsheets/d/1YXvxf8Yu6_rV4hTBrwMqAcAnv6DfhUxh5emyM3CJp_w/edit?usp=sharing"",""เพชรบุรี!L124"")+IMPORTRA"&amp;"NGE(""https://docs.google.com/spreadsheets/d/19KBlQQs7uwvsao6t2n-KvW3Ax8J8uRRfZPq1zPbXgKc/edit?usp=sharing"",""ระยอง!L124"")+IMPORTRANGE(""https://docs.google.com/spreadsheets/d/1jQ6P4QcrGM89YfqcC_PxOHGCMq5ezhucwJd8ci-NHng/edit?usp=sharing"",""ราชบุรี!L12"&amp;"4"")+IMPORTRANGE(""https://docs.google.com/spreadsheets/d/1lufeA2cfFqM-elVq2hznhDzC6Pr7wkJ9ZG_sYNGCMCU/edit?usp=sharing"",""ลพบุรี!L124"")+IMPORTRANGE(""https://docs.google.com/spreadsheets/d/10oOiF7loTyfsTkbd4MpaIm0HQ9SwB7IYHdIUvt-U1Uc/edit?usp=sharing"""&amp;",""สระแก้ว!L124"")+IMPORTRANGE(""https://docs.google.com/spreadsheets/d/1xmPlrr1QbdSIKvl1dWUl9K4PjAfSL9oeMr_37QVzcxc/edit?usp=sharing"",""สระบุรี!L124"")+IMPORTRANGE(""https://docs.google.com/spreadsheets/d/1j51vR6CYVGhABJpv6tkstgok82RLpXieLzW1yOY5rHw/edi"&amp;"t?usp=sharing"",""สิงห์บุรี!L124"")+IMPORTRANGE(""https://docs.google.com/spreadsheets/d/1H1EalTWKUSzO4Z1-1CwzoDUaVffgrThEBe2sl74kKG0/edit?usp=sharing"",""สุพรรณบุรี!L124"")+IMPORTRANGE(""https://docs.google.com/spreadsheets/d/1BmIruG_sIrJLYao_Pdr7zVArWsf"&amp;"oBt2692TMi6x_854/edit?usp=sharing"",""อ่างทอง!L124"")"),0)</f>
        <v>0</v>
      </c>
      <c r="M124" s="80">
        <f ca="1">IFERROR(__xludf.DUMMYFUNCTION("IMPORTRANGE(""https://docs.google.com/spreadsheets/d/13wPX838HrBrQMCywv1BsuMkt4PEKTChp52zj44s2izQ/edit?usp=sharing"",""กาญจนบุรี!M124"")+IMPORTRANGE(""https://docs.google.com/spreadsheets/d/1ddFKvqj1W1NEiWytbGlB1zMx_ykJDVtmfEQ-6-lIUBA/edit?usp=sharing"","&amp;"""จันทบุรี!M124"")+IMPORTRANGE(""https://docs.google.com/spreadsheets/d/1T1PQvRODqOBZk8BRht_U031fIS1beLA0Ub2CEytj2q0/edit?usp=sharing"",""ฉะเชิงเทรา!M124"")+IMPORTRANGE(""https://docs.google.com/spreadsheets/d/11tr1B-Bhyr79v2bkwVh5h_fR-PStkgjlZtkrZpYurG0/"&amp;"edit?usp=sharing"",""ชลบุรี!M124"")+IMPORTRANGE(""https://docs.google.com/spreadsheets/d/1hh-FVnSX0vozXhGluamEcS54Dw9_zqW0N7qJUWgJ0Sw/edit?usp=sharing"",""ชัยนาท!M124"")+IMPORTRANGE(""https://docs.google.com/spreadsheets/d/1jkqa6GXxSacMcY1eN8AHjMNJ_7dDXMJ"&amp;"VRLDlaFSOdPM/edit?usp=sharing"",""ตราด!M124"")+IMPORTRANGE(""https://docs.google.com/spreadsheets/d/18hSgUJ3VwClqi_qtULmmW3cLr0oe3OKaSYoKzdpTsYQ/edit?usp=sharing"",""นครนายก!M124"")+IMPORTRANGE(""https://docs.google.com/spreadsheets/d/1YTZo6WM2dQ6Ix6FSdnL"&amp;"5P7uVnVKu40sxZu975tgG10E/edit?usp=sharing"",""นครปฐม!M124"")+IMPORTRANGE(""https://docs.google.com/spreadsheets/d/1OYoGg4WDg5RIzwGeB10padOxJF9E_Vljuvvct_M7RDo/edit?usp=sharing"",""ปทุมธานี!M124"")+IMPORTRANGE(""https://docs.google.com/spreadsheets/d/1GbCI"&amp;"E4D4wk9FUozzqk7SxfDMxDVBwVmI5zcaVUSzKAc/edit?usp=sharing"",""ประจวบคีรีขันธ์!M124"")+IMPORTRANGE(""https://docs.google.com/spreadsheets/d/1vVf6wykvW_lAyu7Yo9L4hUTqHqIeP_qcVuxCtosJEbg/edit?usp=sharing"",""ปราจีนบุรี!M124"")+IMPORTRANGE(""https://docs.googl"&amp;"e.com/spreadsheets/d/1BIDqLLg5jk3v59G8NlR8rk5xfQDKne0sAvZHSj7TI6I/edit?usp=sharing"",""พระนครศรีอยุธยา!M124"")+IMPORTRANGE(""https://docs.google.com/spreadsheets/d/1YXvxf8Yu6_rV4hTBrwMqAcAnv6DfhUxh5emyM3CJp_w/edit?usp=sharing"",""เพชรบุรี!M124"")+IMPORTRA"&amp;"NGE(""https://docs.google.com/spreadsheets/d/19KBlQQs7uwvsao6t2n-KvW3Ax8J8uRRfZPq1zPbXgKc/edit?usp=sharing"",""ระยอง!M124"")+IMPORTRANGE(""https://docs.google.com/spreadsheets/d/1jQ6P4QcrGM89YfqcC_PxOHGCMq5ezhucwJd8ci-NHng/edit?usp=sharing"",""ราชบุรี!M12"&amp;"4"")+IMPORTRANGE(""https://docs.google.com/spreadsheets/d/1lufeA2cfFqM-elVq2hznhDzC6Pr7wkJ9ZG_sYNGCMCU/edit?usp=sharing"",""ลพบุรี!M124"")+IMPORTRANGE(""https://docs.google.com/spreadsheets/d/10oOiF7loTyfsTkbd4MpaIm0HQ9SwB7IYHdIUvt-U1Uc/edit?usp=sharing"""&amp;",""สระแก้ว!M124"")+IMPORTRANGE(""https://docs.google.com/spreadsheets/d/1xmPlrr1QbdSIKvl1dWUl9K4PjAfSL9oeMr_37QVzcxc/edit?usp=sharing"",""สระบุรี!M124"")+IMPORTRANGE(""https://docs.google.com/spreadsheets/d/1j51vR6CYVGhABJpv6tkstgok82RLpXieLzW1yOY5rHw/edi"&amp;"t?usp=sharing"",""สิงห์บุรี!M124"")+IMPORTRANGE(""https://docs.google.com/spreadsheets/d/1H1EalTWKUSzO4Z1-1CwzoDUaVffgrThEBe2sl74kKG0/edit?usp=sharing"",""สุพรรณบุรี!M124"")+IMPORTRANGE(""https://docs.google.com/spreadsheets/d/1BmIruG_sIrJLYao_Pdr7zVArWsf"&amp;"oBt2692TMi6x_854/edit?usp=sharing"",""อ่างทอง!M124"")"),0)</f>
        <v>0</v>
      </c>
      <c r="N124" s="80">
        <f ca="1">IFERROR(__xludf.DUMMYFUNCTION("IMPORTRANGE(""https://docs.google.com/spreadsheets/d/13wPX838HrBrQMCywv1BsuMkt4PEKTChp52zj44s2izQ/edit?usp=sharing"",""กาญจนบุรี!N124"")+IMPORTRANGE(""https://docs.google.com/spreadsheets/d/1ddFKvqj1W1NEiWytbGlB1zMx_ykJDVtmfEQ-6-lIUBA/edit?usp=sharing"","&amp;"""จันทบุรี!N124"")+IMPORTRANGE(""https://docs.google.com/spreadsheets/d/1T1PQvRODqOBZk8BRht_U031fIS1beLA0Ub2CEytj2q0/edit?usp=sharing"",""ฉะเชิงเทรา!N124"")+IMPORTRANGE(""https://docs.google.com/spreadsheets/d/11tr1B-Bhyr79v2bkwVh5h_fR-PStkgjlZtkrZpYurG0/"&amp;"edit?usp=sharing"",""ชลบุรี!N124"")+IMPORTRANGE(""https://docs.google.com/spreadsheets/d/1hh-FVnSX0vozXhGluamEcS54Dw9_zqW0N7qJUWgJ0Sw/edit?usp=sharing"",""ชัยนาท!N124"")+IMPORTRANGE(""https://docs.google.com/spreadsheets/d/1jkqa6GXxSacMcY1eN8AHjMNJ_7dDXMJ"&amp;"VRLDlaFSOdPM/edit?usp=sharing"",""ตราด!N124"")+IMPORTRANGE(""https://docs.google.com/spreadsheets/d/18hSgUJ3VwClqi_qtULmmW3cLr0oe3OKaSYoKzdpTsYQ/edit?usp=sharing"",""นครนายก!N124"")+IMPORTRANGE(""https://docs.google.com/spreadsheets/d/1YTZo6WM2dQ6Ix6FSdnL"&amp;"5P7uVnVKu40sxZu975tgG10E/edit?usp=sharing"",""นครปฐม!N124"")+IMPORTRANGE(""https://docs.google.com/spreadsheets/d/1OYoGg4WDg5RIzwGeB10padOxJF9E_Vljuvvct_M7RDo/edit?usp=sharing"",""ปทุมธานี!N124"")+IMPORTRANGE(""https://docs.google.com/spreadsheets/d/1GbCI"&amp;"E4D4wk9FUozzqk7SxfDMxDVBwVmI5zcaVUSzKAc/edit?usp=sharing"",""ประจวบคีรีขันธ์!N124"")+IMPORTRANGE(""https://docs.google.com/spreadsheets/d/1vVf6wykvW_lAyu7Yo9L4hUTqHqIeP_qcVuxCtosJEbg/edit?usp=sharing"",""ปราจีนบุรี!N124"")+IMPORTRANGE(""https://docs.googl"&amp;"e.com/spreadsheets/d/1BIDqLLg5jk3v59G8NlR8rk5xfQDKne0sAvZHSj7TI6I/edit?usp=sharing"",""พระนครศรีอยุธยา!N124"")+IMPORTRANGE(""https://docs.google.com/spreadsheets/d/1YXvxf8Yu6_rV4hTBrwMqAcAnv6DfhUxh5emyM3CJp_w/edit?usp=sharing"",""เพชรบุรี!N124"")+IMPORTRA"&amp;"NGE(""https://docs.google.com/spreadsheets/d/19KBlQQs7uwvsao6t2n-KvW3Ax8J8uRRfZPq1zPbXgKc/edit?usp=sharing"",""ระยอง!N124"")+IMPORTRANGE(""https://docs.google.com/spreadsheets/d/1jQ6P4QcrGM89YfqcC_PxOHGCMq5ezhucwJd8ci-NHng/edit?usp=sharing"",""ราชบุรี!N12"&amp;"4"")+IMPORTRANGE(""https://docs.google.com/spreadsheets/d/1lufeA2cfFqM-elVq2hznhDzC6Pr7wkJ9ZG_sYNGCMCU/edit?usp=sharing"",""ลพบุรี!N124"")+IMPORTRANGE(""https://docs.google.com/spreadsheets/d/10oOiF7loTyfsTkbd4MpaIm0HQ9SwB7IYHdIUvt-U1Uc/edit?usp=sharing"""&amp;",""สระแก้ว!N124"")+IMPORTRANGE(""https://docs.google.com/spreadsheets/d/1xmPlrr1QbdSIKvl1dWUl9K4PjAfSL9oeMr_37QVzcxc/edit?usp=sharing"",""สระบุรี!N124"")+IMPORTRANGE(""https://docs.google.com/spreadsheets/d/1j51vR6CYVGhABJpv6tkstgok82RLpXieLzW1yOY5rHw/edi"&amp;"t?usp=sharing"",""สิงห์บุรี!N124"")+IMPORTRANGE(""https://docs.google.com/spreadsheets/d/1H1EalTWKUSzO4Z1-1CwzoDUaVffgrThEBe2sl74kKG0/edit?usp=sharing"",""สุพรรณบุรี!N124"")+IMPORTRANGE(""https://docs.google.com/spreadsheets/d/1BmIruG_sIrJLYao_Pdr7zVArWsf"&amp;"oBt2692TMi6x_854/edit?usp=sharing"",""อ่างทอง!N124"")"),0)</f>
        <v>0</v>
      </c>
      <c r="O124" s="80">
        <f t="shared" ca="1" si="91"/>
        <v>0</v>
      </c>
      <c r="P124" s="80">
        <f t="shared" ca="1" si="92"/>
        <v>0</v>
      </c>
      <c r="Q124" s="79">
        <f ca="1">IFERROR(__xludf.DUMMYFUNCTION("IMPORTRANGE(""https://docs.google.com/spreadsheets/d/13wPX838HrBrQMCywv1BsuMkt4PEKTChp52zj44s2izQ/edit?usp=sharing"",""กาญจนบุรี!Q124"")+IMPORTRANGE(""https://docs.google.com/spreadsheets/d/1ddFKvqj1W1NEiWytbGlB1zMx_ykJDVtmfEQ-6-lIUBA/edit?usp=sharing"","&amp;"""จันทบุรี!Q124"")+IMPORTRANGE(""https://docs.google.com/spreadsheets/d/1T1PQvRODqOBZk8BRht_U031fIS1beLA0Ub2CEytj2q0/edit?usp=sharing"",""ฉะเชิงเทรา!Q124"")+IMPORTRANGE(""https://docs.google.com/spreadsheets/d/11tr1B-Bhyr79v2bkwVh5h_fR-PStkgjlZtkrZpYurG0/"&amp;"edit?usp=sharing"",""ชลบุรี!Q124"")+IMPORTRANGE(""https://docs.google.com/spreadsheets/d/1hh-FVnSX0vozXhGluamEcS54Dw9_zqW0N7qJUWgJ0Sw/edit?usp=sharing"",""ชัยนาท!Q124"")+IMPORTRANGE(""https://docs.google.com/spreadsheets/d/1jkqa6GXxSacMcY1eN8AHjMNJ_7dDXMJ"&amp;"VRLDlaFSOdPM/edit?usp=sharing"",""ตราด!Q124"")+IMPORTRANGE(""https://docs.google.com/spreadsheets/d/18hSgUJ3VwClqi_qtULmmW3cLr0oe3OKaSYoKzdpTsYQ/edit?usp=sharing"",""นครนายก!Q124"")+IMPORTRANGE(""https://docs.google.com/spreadsheets/d/1YTZo6WM2dQ6Ix6FSdnL"&amp;"5P7uVnVKu40sxZu975tgG10E/edit?usp=sharing"",""นครปฐม!Q124"")+IMPORTRANGE(""https://docs.google.com/spreadsheets/d/1OYoGg4WDg5RIzwGeB10padOxJF9E_Vljuvvct_M7RDo/edit?usp=sharing"",""ปทุมธานี!Q124"")+IMPORTRANGE(""https://docs.google.com/spreadsheets/d/1GbCI"&amp;"E4D4wk9FUozzqk7SxfDMxDVBwVmI5zcaVUSzKAc/edit?usp=sharing"",""ประจวบคีรีขันธ์!Q124"")+IMPORTRANGE(""https://docs.google.com/spreadsheets/d/1vVf6wykvW_lAyu7Yo9L4hUTqHqIeP_qcVuxCtosJEbg/edit?usp=sharing"",""ปราจีนบุรี!Q124"")+IMPORTRANGE(""https://docs.googl"&amp;"e.com/spreadsheets/d/1BIDqLLg5jk3v59G8NlR8rk5xfQDKne0sAvZHSj7TI6I/edit?usp=sharing"",""พระนครศรีอยุธยา!Q124"")+IMPORTRANGE(""https://docs.google.com/spreadsheets/d/1YXvxf8Yu6_rV4hTBrwMqAcAnv6DfhUxh5emyM3CJp_w/edit?usp=sharing"",""เพชรบุรี!Q124"")+IMPORTRA"&amp;"NGE(""https://docs.google.com/spreadsheets/d/19KBlQQs7uwvsao6t2n-KvW3Ax8J8uRRfZPq1zPbXgKc/edit?usp=sharing"",""ระยอง!Q124"")+IMPORTRANGE(""https://docs.google.com/spreadsheets/d/1jQ6P4QcrGM89YfqcC_PxOHGCMq5ezhucwJd8ci-NHng/edit?usp=sharing"",""ราชบุรี!Q12"&amp;"4"")+IMPORTRANGE(""https://docs.google.com/spreadsheets/d/1lufeA2cfFqM-elVq2hznhDzC6Pr7wkJ9ZG_sYNGCMCU/edit?usp=sharing"",""ลพบุรี!Q124"")+IMPORTRANGE(""https://docs.google.com/spreadsheets/d/10oOiF7loTyfsTkbd4MpaIm0HQ9SwB7IYHdIUvt-U1Uc/edit?usp=sharing"""&amp;",""สระแก้ว!Q124"")+IMPORTRANGE(""https://docs.google.com/spreadsheets/d/1xmPlrr1QbdSIKvl1dWUl9K4PjAfSL9oeMr_37QVzcxc/edit?usp=sharing"",""สระบุรี!Q124"")+IMPORTRANGE(""https://docs.google.com/spreadsheets/d/1j51vR6CYVGhABJpv6tkstgok82RLpXieLzW1yOY5rHw/edi"&amp;"t?usp=sharing"",""สิงห์บุรี!Q124"")+IMPORTRANGE(""https://docs.google.com/spreadsheets/d/1H1EalTWKUSzO4Z1-1CwzoDUaVffgrThEBe2sl74kKG0/edit?usp=sharing"",""สุพรรณบุรี!Q124"")+IMPORTRANGE(""https://docs.google.com/spreadsheets/d/1BmIruG_sIrJLYao_Pdr7zVArWsf"&amp;"oBt2692TMi6x_854/edit?usp=sharing"",""อ่างทอง!Q124"")"),0)</f>
        <v>0</v>
      </c>
      <c r="R124" s="80">
        <f ca="1">IFERROR(__xludf.DUMMYFUNCTION("IMPORTRANGE(""https://docs.google.com/spreadsheets/d/13wPX838HrBrQMCywv1BsuMkt4PEKTChp52zj44s2izQ/edit?usp=sharing"",""กาญจนบุรี!R124"")+IMPORTRANGE(""https://docs.google.com/spreadsheets/d/1ddFKvqj1W1NEiWytbGlB1zMx_ykJDVtmfEQ-6-lIUBA/edit?usp=sharing"","&amp;"""จันทบุรี!R124"")+IMPORTRANGE(""https://docs.google.com/spreadsheets/d/1T1PQvRODqOBZk8BRht_U031fIS1beLA0Ub2CEytj2q0/edit?usp=sharing"",""ฉะเชิงเทรา!R124"")+IMPORTRANGE(""https://docs.google.com/spreadsheets/d/11tr1B-Bhyr79v2bkwVh5h_fR-PStkgjlZtkrZpYurG0/"&amp;"edit?usp=sharing"",""ชลบุรี!R124"")+IMPORTRANGE(""https://docs.google.com/spreadsheets/d/1hh-FVnSX0vozXhGluamEcS54Dw9_zqW0N7qJUWgJ0Sw/edit?usp=sharing"",""ชัยนาท!R124"")+IMPORTRANGE(""https://docs.google.com/spreadsheets/d/1jkqa6GXxSacMcY1eN8AHjMNJ_7dDXMJ"&amp;"VRLDlaFSOdPM/edit?usp=sharing"",""ตราด!R124"")+IMPORTRANGE(""https://docs.google.com/spreadsheets/d/18hSgUJ3VwClqi_qtULmmW3cLr0oe3OKaSYoKzdpTsYQ/edit?usp=sharing"",""นครนายก!R124"")+IMPORTRANGE(""https://docs.google.com/spreadsheets/d/1YTZo6WM2dQ6Ix6FSdnL"&amp;"5P7uVnVKu40sxZu975tgG10E/edit?usp=sharing"",""นครปฐม!R124"")+IMPORTRANGE(""https://docs.google.com/spreadsheets/d/1OYoGg4WDg5RIzwGeB10padOxJF9E_Vljuvvct_M7RDo/edit?usp=sharing"",""ปทุมธานี!R124"")+IMPORTRANGE(""https://docs.google.com/spreadsheets/d/1GbCI"&amp;"E4D4wk9FUozzqk7SxfDMxDVBwVmI5zcaVUSzKAc/edit?usp=sharing"",""ประจวบคีรีขันธ์!R124"")+IMPORTRANGE(""https://docs.google.com/spreadsheets/d/1vVf6wykvW_lAyu7Yo9L4hUTqHqIeP_qcVuxCtosJEbg/edit?usp=sharing"",""ปราจีนบุรี!R124"")+IMPORTRANGE(""https://docs.googl"&amp;"e.com/spreadsheets/d/1BIDqLLg5jk3v59G8NlR8rk5xfQDKne0sAvZHSj7TI6I/edit?usp=sharing"",""พระนครศรีอยุธยา!R124"")+IMPORTRANGE(""https://docs.google.com/spreadsheets/d/1YXvxf8Yu6_rV4hTBrwMqAcAnv6DfhUxh5emyM3CJp_w/edit?usp=sharing"",""เพชรบุรี!R124"")+IMPORTRA"&amp;"NGE(""https://docs.google.com/spreadsheets/d/19KBlQQs7uwvsao6t2n-KvW3Ax8J8uRRfZPq1zPbXgKc/edit?usp=sharing"",""ระยอง!R124"")+IMPORTRANGE(""https://docs.google.com/spreadsheets/d/1jQ6P4QcrGM89YfqcC_PxOHGCMq5ezhucwJd8ci-NHng/edit?usp=sharing"",""ราชบุรี!R12"&amp;"4"")+IMPORTRANGE(""https://docs.google.com/spreadsheets/d/1lufeA2cfFqM-elVq2hznhDzC6Pr7wkJ9ZG_sYNGCMCU/edit?usp=sharing"",""ลพบุรี!R124"")+IMPORTRANGE(""https://docs.google.com/spreadsheets/d/10oOiF7loTyfsTkbd4MpaIm0HQ9SwB7IYHdIUvt-U1Uc/edit?usp=sharing"""&amp;",""สระแก้ว!R124"")+IMPORTRANGE(""https://docs.google.com/spreadsheets/d/1xmPlrr1QbdSIKvl1dWUl9K4PjAfSL9oeMr_37QVzcxc/edit?usp=sharing"",""สระบุรี!R124"")+IMPORTRANGE(""https://docs.google.com/spreadsheets/d/1j51vR6CYVGhABJpv6tkstgok82RLpXieLzW1yOY5rHw/edi"&amp;"t?usp=sharing"",""สิงห์บุรี!R124"")+IMPORTRANGE(""https://docs.google.com/spreadsheets/d/1H1EalTWKUSzO4Z1-1CwzoDUaVffgrThEBe2sl74kKG0/edit?usp=sharing"",""สุพรรณบุรี!R124"")+IMPORTRANGE(""https://docs.google.com/spreadsheets/d/1BmIruG_sIrJLYao_Pdr7zVArWsf"&amp;"oBt2692TMi6x_854/edit?usp=sharing"",""อ่างทอง!R124"")"),0)</f>
        <v>0</v>
      </c>
      <c r="S124" s="80">
        <f ca="1">IFERROR(__xludf.DUMMYFUNCTION("IMPORTRANGE(""https://docs.google.com/spreadsheets/d/13wPX838HrBrQMCywv1BsuMkt4PEKTChp52zj44s2izQ/edit?usp=sharing"",""กาญจนบุรี!S124"")+IMPORTRANGE(""https://docs.google.com/spreadsheets/d/1ddFKvqj1W1NEiWytbGlB1zMx_ykJDVtmfEQ-6-lIUBA/edit?usp=sharing"","&amp;"""จันทบุรี!S124"")+IMPORTRANGE(""https://docs.google.com/spreadsheets/d/1T1PQvRODqOBZk8BRht_U031fIS1beLA0Ub2CEytj2q0/edit?usp=sharing"",""ฉะเชิงเทรา!S124"")+IMPORTRANGE(""https://docs.google.com/spreadsheets/d/11tr1B-Bhyr79v2bkwVh5h_fR-PStkgjlZtkrZpYurG0/"&amp;"edit?usp=sharing"",""ชลบุรี!S124"")+IMPORTRANGE(""https://docs.google.com/spreadsheets/d/1hh-FVnSX0vozXhGluamEcS54Dw9_zqW0N7qJUWgJ0Sw/edit?usp=sharing"",""ชัยนาท!S124"")+IMPORTRANGE(""https://docs.google.com/spreadsheets/d/1jkqa6GXxSacMcY1eN8AHjMNJ_7dDXMJ"&amp;"VRLDlaFSOdPM/edit?usp=sharing"",""ตราด!S124"")+IMPORTRANGE(""https://docs.google.com/spreadsheets/d/18hSgUJ3VwClqi_qtULmmW3cLr0oe3OKaSYoKzdpTsYQ/edit?usp=sharing"",""นครนายก!S124"")+IMPORTRANGE(""https://docs.google.com/spreadsheets/d/1YTZo6WM2dQ6Ix6FSdnL"&amp;"5P7uVnVKu40sxZu975tgG10E/edit?usp=sharing"",""นครปฐม!S124"")+IMPORTRANGE(""https://docs.google.com/spreadsheets/d/1OYoGg4WDg5RIzwGeB10padOxJF9E_Vljuvvct_M7RDo/edit?usp=sharing"",""ปทุมธานี!S124"")+IMPORTRANGE(""https://docs.google.com/spreadsheets/d/1GbCI"&amp;"E4D4wk9FUozzqk7SxfDMxDVBwVmI5zcaVUSzKAc/edit?usp=sharing"",""ประจวบคีรีขันธ์!S124"")+IMPORTRANGE(""https://docs.google.com/spreadsheets/d/1vVf6wykvW_lAyu7Yo9L4hUTqHqIeP_qcVuxCtosJEbg/edit?usp=sharing"",""ปราจีนบุรี!S124"")+IMPORTRANGE(""https://docs.googl"&amp;"e.com/spreadsheets/d/1BIDqLLg5jk3v59G8NlR8rk5xfQDKne0sAvZHSj7TI6I/edit?usp=sharing"",""พระนครศรีอยุธยา!S124"")+IMPORTRANGE(""https://docs.google.com/spreadsheets/d/1YXvxf8Yu6_rV4hTBrwMqAcAnv6DfhUxh5emyM3CJp_w/edit?usp=sharing"",""เพชรบุรี!S124"")+IMPORTRA"&amp;"NGE(""https://docs.google.com/spreadsheets/d/19KBlQQs7uwvsao6t2n-KvW3Ax8J8uRRfZPq1zPbXgKc/edit?usp=sharing"",""ระยอง!S124"")+IMPORTRANGE(""https://docs.google.com/spreadsheets/d/1jQ6P4QcrGM89YfqcC_PxOHGCMq5ezhucwJd8ci-NHng/edit?usp=sharing"",""ราชบุรี!S12"&amp;"4"")+IMPORTRANGE(""https://docs.google.com/spreadsheets/d/1lufeA2cfFqM-elVq2hznhDzC6Pr7wkJ9ZG_sYNGCMCU/edit?usp=sharing"",""ลพบุรี!S124"")+IMPORTRANGE(""https://docs.google.com/spreadsheets/d/10oOiF7loTyfsTkbd4MpaIm0HQ9SwB7IYHdIUvt-U1Uc/edit?usp=sharing"""&amp;",""สระแก้ว!S124"")+IMPORTRANGE(""https://docs.google.com/spreadsheets/d/1xmPlrr1QbdSIKvl1dWUl9K4PjAfSL9oeMr_37QVzcxc/edit?usp=sharing"",""สระบุรี!S124"")+IMPORTRANGE(""https://docs.google.com/spreadsheets/d/1j51vR6CYVGhABJpv6tkstgok82RLpXieLzW1yOY5rHw/edi"&amp;"t?usp=sharing"",""สิงห์บุรี!S124"")+IMPORTRANGE(""https://docs.google.com/spreadsheets/d/1H1EalTWKUSzO4Z1-1CwzoDUaVffgrThEBe2sl74kKG0/edit?usp=sharing"",""สุพรรณบุรี!S124"")+IMPORTRANGE(""https://docs.google.com/spreadsheets/d/1BmIruG_sIrJLYao_Pdr7zVArWsf"&amp;"oBt2692TMi6x_854/edit?usp=sharing"",""อ่างทอง!S124"")"),0)</f>
        <v>0</v>
      </c>
      <c r="T124" s="136">
        <f t="shared" ca="1" si="94"/>
        <v>0</v>
      </c>
      <c r="U124" s="136">
        <f t="shared" ca="1" si="95"/>
        <v>0</v>
      </c>
    </row>
    <row r="125" spans="1:21" ht="18.75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13wPX838HrBrQMCywv1BsuMkt4PEKTChp52zj44s2izQ/edit?usp=sharing"",""กาญจนบุรี!L125"")+IMPORTRANGE(""https://docs.google.com/spreadsheets/d/1ddFKvqj1W1NEiWytbGlB1zMx_ykJDVtmfEQ-6-lIUBA/edit?usp=sharing"","&amp;"""จันทบุรี!L125"")+IMPORTRANGE(""https://docs.google.com/spreadsheets/d/1T1PQvRODqOBZk8BRht_U031fIS1beLA0Ub2CEytj2q0/edit?usp=sharing"",""ฉะเชิงเทรา!L125"")+IMPORTRANGE(""https://docs.google.com/spreadsheets/d/11tr1B-Bhyr79v2bkwVh5h_fR-PStkgjlZtkrZpYurG0/"&amp;"edit?usp=sharing"",""ชลบุรี!L125"")+IMPORTRANGE(""https://docs.google.com/spreadsheets/d/1hh-FVnSX0vozXhGluamEcS54Dw9_zqW0N7qJUWgJ0Sw/edit?usp=sharing"",""ชัยนาท!L125"")+IMPORTRANGE(""https://docs.google.com/spreadsheets/d/1jkqa6GXxSacMcY1eN8AHjMNJ_7dDXMJ"&amp;"VRLDlaFSOdPM/edit?usp=sharing"",""ตราด!L125"")+IMPORTRANGE(""https://docs.google.com/spreadsheets/d/18hSgUJ3VwClqi_qtULmmW3cLr0oe3OKaSYoKzdpTsYQ/edit?usp=sharing"",""นครนายก!L125"")+IMPORTRANGE(""https://docs.google.com/spreadsheets/d/1YTZo6WM2dQ6Ix6FSdnL"&amp;"5P7uVnVKu40sxZu975tgG10E/edit?usp=sharing"",""นครปฐม!L125"")+IMPORTRANGE(""https://docs.google.com/spreadsheets/d/1OYoGg4WDg5RIzwGeB10padOxJF9E_Vljuvvct_M7RDo/edit?usp=sharing"",""ปทุมธานี!L125"")+IMPORTRANGE(""https://docs.google.com/spreadsheets/d/1GbCI"&amp;"E4D4wk9FUozzqk7SxfDMxDVBwVmI5zcaVUSzKAc/edit?usp=sharing"",""ประจวบคีรีขันธ์!L125"")+IMPORTRANGE(""https://docs.google.com/spreadsheets/d/1vVf6wykvW_lAyu7Yo9L4hUTqHqIeP_qcVuxCtosJEbg/edit?usp=sharing"",""ปราจีนบุรี!L125"")+IMPORTRANGE(""https://docs.googl"&amp;"e.com/spreadsheets/d/1BIDqLLg5jk3v59G8NlR8rk5xfQDKne0sAvZHSj7TI6I/edit?usp=sharing"",""พระนครศรีอยุธยา!L125"")+IMPORTRANGE(""https://docs.google.com/spreadsheets/d/1YXvxf8Yu6_rV4hTBrwMqAcAnv6DfhUxh5emyM3CJp_w/edit?usp=sharing"",""เพชรบุรี!L125"")+IMPORTRA"&amp;"NGE(""https://docs.google.com/spreadsheets/d/19KBlQQs7uwvsao6t2n-KvW3Ax8J8uRRfZPq1zPbXgKc/edit?usp=sharing"",""ระยอง!L125"")+IMPORTRANGE(""https://docs.google.com/spreadsheets/d/1jQ6P4QcrGM89YfqcC_PxOHGCMq5ezhucwJd8ci-NHng/edit?usp=sharing"",""ราชบุรี!L12"&amp;"5"")+IMPORTRANGE(""https://docs.google.com/spreadsheets/d/1lufeA2cfFqM-elVq2hznhDzC6Pr7wkJ9ZG_sYNGCMCU/edit?usp=sharing"",""ลพบุรี!L125"")+IMPORTRANGE(""https://docs.google.com/spreadsheets/d/10oOiF7loTyfsTkbd4MpaIm0HQ9SwB7IYHdIUvt-U1Uc/edit?usp=sharing"""&amp;",""สระแก้ว!L125"")+IMPORTRANGE(""https://docs.google.com/spreadsheets/d/1xmPlrr1QbdSIKvl1dWUl9K4PjAfSL9oeMr_37QVzcxc/edit?usp=sharing"",""สระบุรี!L125"")+IMPORTRANGE(""https://docs.google.com/spreadsheets/d/1j51vR6CYVGhABJpv6tkstgok82RLpXieLzW1yOY5rHw/edi"&amp;"t?usp=sharing"",""สิงห์บุรี!L125"")+IMPORTRANGE(""https://docs.google.com/spreadsheets/d/1H1EalTWKUSzO4Z1-1CwzoDUaVffgrThEBe2sl74kKG0/edit?usp=sharing"",""สุพรรณบุรี!L125"")+IMPORTRANGE(""https://docs.google.com/spreadsheets/d/1BmIruG_sIrJLYao_Pdr7zVArWsf"&amp;"oBt2692TMi6x_854/edit?usp=sharing"",""อ่างทอง!L125"")"),0)</f>
        <v>0</v>
      </c>
      <c r="M125" s="77">
        <f ca="1">IFERROR(__xludf.DUMMYFUNCTION("IMPORTRANGE(""https://docs.google.com/spreadsheets/d/13wPX838HrBrQMCywv1BsuMkt4PEKTChp52zj44s2izQ/edit?usp=sharing"",""กาญจนบุรี!M125"")+IMPORTRANGE(""https://docs.google.com/spreadsheets/d/1ddFKvqj1W1NEiWytbGlB1zMx_ykJDVtmfEQ-6-lIUBA/edit?usp=sharing"","&amp;"""จันทบุรี!M125"")+IMPORTRANGE(""https://docs.google.com/spreadsheets/d/1T1PQvRODqOBZk8BRht_U031fIS1beLA0Ub2CEytj2q0/edit?usp=sharing"",""ฉะเชิงเทรา!M125"")+IMPORTRANGE(""https://docs.google.com/spreadsheets/d/11tr1B-Bhyr79v2bkwVh5h_fR-PStkgjlZtkrZpYurG0/"&amp;"edit?usp=sharing"",""ชลบุรี!M125"")+IMPORTRANGE(""https://docs.google.com/spreadsheets/d/1hh-FVnSX0vozXhGluamEcS54Dw9_zqW0N7qJUWgJ0Sw/edit?usp=sharing"",""ชัยนาท!M125"")+IMPORTRANGE(""https://docs.google.com/spreadsheets/d/1jkqa6GXxSacMcY1eN8AHjMNJ_7dDXMJ"&amp;"VRLDlaFSOdPM/edit?usp=sharing"",""ตราด!M125"")+IMPORTRANGE(""https://docs.google.com/spreadsheets/d/18hSgUJ3VwClqi_qtULmmW3cLr0oe3OKaSYoKzdpTsYQ/edit?usp=sharing"",""นครนายก!M125"")+IMPORTRANGE(""https://docs.google.com/spreadsheets/d/1YTZo6WM2dQ6Ix6FSdnL"&amp;"5P7uVnVKu40sxZu975tgG10E/edit?usp=sharing"",""นครปฐม!M125"")+IMPORTRANGE(""https://docs.google.com/spreadsheets/d/1OYoGg4WDg5RIzwGeB10padOxJF9E_Vljuvvct_M7RDo/edit?usp=sharing"",""ปทุมธานี!M125"")+IMPORTRANGE(""https://docs.google.com/spreadsheets/d/1GbCI"&amp;"E4D4wk9FUozzqk7SxfDMxDVBwVmI5zcaVUSzKAc/edit?usp=sharing"",""ประจวบคีรีขันธ์!M125"")+IMPORTRANGE(""https://docs.google.com/spreadsheets/d/1vVf6wykvW_lAyu7Yo9L4hUTqHqIeP_qcVuxCtosJEbg/edit?usp=sharing"",""ปราจีนบุรี!M125"")+IMPORTRANGE(""https://docs.googl"&amp;"e.com/spreadsheets/d/1BIDqLLg5jk3v59G8NlR8rk5xfQDKne0sAvZHSj7TI6I/edit?usp=sharing"",""พระนครศรีอยุธยา!M125"")+IMPORTRANGE(""https://docs.google.com/spreadsheets/d/1YXvxf8Yu6_rV4hTBrwMqAcAnv6DfhUxh5emyM3CJp_w/edit?usp=sharing"",""เพชรบุรี!M125"")+IMPORTRA"&amp;"NGE(""https://docs.google.com/spreadsheets/d/19KBlQQs7uwvsao6t2n-KvW3Ax8J8uRRfZPq1zPbXgKc/edit?usp=sharing"",""ระยอง!M125"")+IMPORTRANGE(""https://docs.google.com/spreadsheets/d/1jQ6P4QcrGM89YfqcC_PxOHGCMq5ezhucwJd8ci-NHng/edit?usp=sharing"",""ราชบุรี!M12"&amp;"5"")+IMPORTRANGE(""https://docs.google.com/spreadsheets/d/1lufeA2cfFqM-elVq2hznhDzC6Pr7wkJ9ZG_sYNGCMCU/edit?usp=sharing"",""ลพบุรี!M125"")+IMPORTRANGE(""https://docs.google.com/spreadsheets/d/10oOiF7loTyfsTkbd4MpaIm0HQ9SwB7IYHdIUvt-U1Uc/edit?usp=sharing"""&amp;",""สระแก้ว!M125"")+IMPORTRANGE(""https://docs.google.com/spreadsheets/d/1xmPlrr1QbdSIKvl1dWUl9K4PjAfSL9oeMr_37QVzcxc/edit?usp=sharing"",""สระบุรี!M125"")+IMPORTRANGE(""https://docs.google.com/spreadsheets/d/1j51vR6CYVGhABJpv6tkstgok82RLpXieLzW1yOY5rHw/edi"&amp;"t?usp=sharing"",""สิงห์บุรี!M125"")+IMPORTRANGE(""https://docs.google.com/spreadsheets/d/1H1EalTWKUSzO4Z1-1CwzoDUaVffgrThEBe2sl74kKG0/edit?usp=sharing"",""สุพรรณบุรี!M125"")+IMPORTRANGE(""https://docs.google.com/spreadsheets/d/1BmIruG_sIrJLYao_Pdr7zVArWsf"&amp;"oBt2692TMi6x_854/edit?usp=sharing"",""อ่างทอง!M125"")"),0)</f>
        <v>0</v>
      </c>
      <c r="N125" s="77">
        <f ca="1">IFERROR(__xludf.DUMMYFUNCTION("IMPORTRANGE(""https://docs.google.com/spreadsheets/d/13wPX838HrBrQMCywv1BsuMkt4PEKTChp52zj44s2izQ/edit?usp=sharing"",""กาญจนบุรี!N125"")+IMPORTRANGE(""https://docs.google.com/spreadsheets/d/1ddFKvqj1W1NEiWytbGlB1zMx_ykJDVtmfEQ-6-lIUBA/edit?usp=sharing"","&amp;"""จันทบุรี!N125"")+IMPORTRANGE(""https://docs.google.com/spreadsheets/d/1T1PQvRODqOBZk8BRht_U031fIS1beLA0Ub2CEytj2q0/edit?usp=sharing"",""ฉะเชิงเทรา!N125"")+IMPORTRANGE(""https://docs.google.com/spreadsheets/d/11tr1B-Bhyr79v2bkwVh5h_fR-PStkgjlZtkrZpYurG0/"&amp;"edit?usp=sharing"",""ชลบุรี!N125"")+IMPORTRANGE(""https://docs.google.com/spreadsheets/d/1hh-FVnSX0vozXhGluamEcS54Dw9_zqW0N7qJUWgJ0Sw/edit?usp=sharing"",""ชัยนาท!N125"")+IMPORTRANGE(""https://docs.google.com/spreadsheets/d/1jkqa6GXxSacMcY1eN8AHjMNJ_7dDXMJ"&amp;"VRLDlaFSOdPM/edit?usp=sharing"",""ตราด!N125"")+IMPORTRANGE(""https://docs.google.com/spreadsheets/d/18hSgUJ3VwClqi_qtULmmW3cLr0oe3OKaSYoKzdpTsYQ/edit?usp=sharing"",""นครนายก!N125"")+IMPORTRANGE(""https://docs.google.com/spreadsheets/d/1YTZo6WM2dQ6Ix6FSdnL"&amp;"5P7uVnVKu40sxZu975tgG10E/edit?usp=sharing"",""นครปฐม!N125"")+IMPORTRANGE(""https://docs.google.com/spreadsheets/d/1OYoGg4WDg5RIzwGeB10padOxJF9E_Vljuvvct_M7RDo/edit?usp=sharing"",""ปทุมธานี!N125"")+IMPORTRANGE(""https://docs.google.com/spreadsheets/d/1GbCI"&amp;"E4D4wk9FUozzqk7SxfDMxDVBwVmI5zcaVUSzKAc/edit?usp=sharing"",""ประจวบคีรีขันธ์!N125"")+IMPORTRANGE(""https://docs.google.com/spreadsheets/d/1vVf6wykvW_lAyu7Yo9L4hUTqHqIeP_qcVuxCtosJEbg/edit?usp=sharing"",""ปราจีนบุรี!N125"")+IMPORTRANGE(""https://docs.googl"&amp;"e.com/spreadsheets/d/1BIDqLLg5jk3v59G8NlR8rk5xfQDKne0sAvZHSj7TI6I/edit?usp=sharing"",""พระนครศรีอยุธยา!N125"")+IMPORTRANGE(""https://docs.google.com/spreadsheets/d/1YXvxf8Yu6_rV4hTBrwMqAcAnv6DfhUxh5emyM3CJp_w/edit?usp=sharing"",""เพชรบุรี!N125"")+IMPORTRA"&amp;"NGE(""https://docs.google.com/spreadsheets/d/19KBlQQs7uwvsao6t2n-KvW3Ax8J8uRRfZPq1zPbXgKc/edit?usp=sharing"",""ระยอง!N125"")+IMPORTRANGE(""https://docs.google.com/spreadsheets/d/1jQ6P4QcrGM89YfqcC_PxOHGCMq5ezhucwJd8ci-NHng/edit?usp=sharing"",""ราชบุรี!N12"&amp;"5"")+IMPORTRANGE(""https://docs.google.com/spreadsheets/d/1lufeA2cfFqM-elVq2hznhDzC6Pr7wkJ9ZG_sYNGCMCU/edit?usp=sharing"",""ลพบุรี!N125"")+IMPORTRANGE(""https://docs.google.com/spreadsheets/d/10oOiF7loTyfsTkbd4MpaIm0HQ9SwB7IYHdIUvt-U1Uc/edit?usp=sharing"""&amp;",""สระแก้ว!N125"")+IMPORTRANGE(""https://docs.google.com/spreadsheets/d/1xmPlrr1QbdSIKvl1dWUl9K4PjAfSL9oeMr_37QVzcxc/edit?usp=sharing"",""สระบุรี!N125"")+IMPORTRANGE(""https://docs.google.com/spreadsheets/d/1j51vR6CYVGhABJpv6tkstgok82RLpXieLzW1yOY5rHw/edi"&amp;"t?usp=sharing"",""สิงห์บุรี!N125"")+IMPORTRANGE(""https://docs.google.com/spreadsheets/d/1H1EalTWKUSzO4Z1-1CwzoDUaVffgrThEBe2sl74kKG0/edit?usp=sharing"",""สุพรรณบุรี!N125"")+IMPORTRANGE(""https://docs.google.com/spreadsheets/d/1BmIruG_sIrJLYao_Pdr7zVArWsf"&amp;"oBt2692TMi6x_854/edit?usp=sharing"",""อ่างทอง!N125"")"),0)</f>
        <v>0</v>
      </c>
      <c r="O125" s="77">
        <f t="shared" ca="1" si="91"/>
        <v>0</v>
      </c>
      <c r="P125" s="77">
        <f t="shared" ca="1" si="92"/>
        <v>0</v>
      </c>
      <c r="Q125" s="76">
        <f ca="1">IFERROR(__xludf.DUMMYFUNCTION("IMPORTRANGE(""https://docs.google.com/spreadsheets/d/13wPX838HrBrQMCywv1BsuMkt4PEKTChp52zj44s2izQ/edit?usp=sharing"",""กาญจนบุรี!Q125"")+IMPORTRANGE(""https://docs.google.com/spreadsheets/d/1ddFKvqj1W1NEiWytbGlB1zMx_ykJDVtmfEQ-6-lIUBA/edit?usp=sharing"","&amp;"""จันทบุรี!Q125"")+IMPORTRANGE(""https://docs.google.com/spreadsheets/d/1T1PQvRODqOBZk8BRht_U031fIS1beLA0Ub2CEytj2q0/edit?usp=sharing"",""ฉะเชิงเทรา!Q125"")+IMPORTRANGE(""https://docs.google.com/spreadsheets/d/11tr1B-Bhyr79v2bkwVh5h_fR-PStkgjlZtkrZpYurG0/"&amp;"edit?usp=sharing"",""ชลบุรี!Q125"")+IMPORTRANGE(""https://docs.google.com/spreadsheets/d/1hh-FVnSX0vozXhGluamEcS54Dw9_zqW0N7qJUWgJ0Sw/edit?usp=sharing"",""ชัยนาท!Q125"")+IMPORTRANGE(""https://docs.google.com/spreadsheets/d/1jkqa6GXxSacMcY1eN8AHjMNJ_7dDXMJ"&amp;"VRLDlaFSOdPM/edit?usp=sharing"",""ตราด!Q125"")+IMPORTRANGE(""https://docs.google.com/spreadsheets/d/18hSgUJ3VwClqi_qtULmmW3cLr0oe3OKaSYoKzdpTsYQ/edit?usp=sharing"",""นครนายก!Q125"")+IMPORTRANGE(""https://docs.google.com/spreadsheets/d/1YTZo6WM2dQ6Ix6FSdnL"&amp;"5P7uVnVKu40sxZu975tgG10E/edit?usp=sharing"",""นครปฐม!Q125"")+IMPORTRANGE(""https://docs.google.com/spreadsheets/d/1OYoGg4WDg5RIzwGeB10padOxJF9E_Vljuvvct_M7RDo/edit?usp=sharing"",""ปทุมธานี!Q125"")+IMPORTRANGE(""https://docs.google.com/spreadsheets/d/1GbCI"&amp;"E4D4wk9FUozzqk7SxfDMxDVBwVmI5zcaVUSzKAc/edit?usp=sharing"",""ประจวบคีรีขันธ์!Q125"")+IMPORTRANGE(""https://docs.google.com/spreadsheets/d/1vVf6wykvW_lAyu7Yo9L4hUTqHqIeP_qcVuxCtosJEbg/edit?usp=sharing"",""ปราจีนบุรี!Q125"")+IMPORTRANGE(""https://docs.googl"&amp;"e.com/spreadsheets/d/1BIDqLLg5jk3v59G8NlR8rk5xfQDKne0sAvZHSj7TI6I/edit?usp=sharing"",""พระนครศรีอยุธยา!Q125"")+IMPORTRANGE(""https://docs.google.com/spreadsheets/d/1YXvxf8Yu6_rV4hTBrwMqAcAnv6DfhUxh5emyM3CJp_w/edit?usp=sharing"",""เพชรบุรี!Q125"")+IMPORTRA"&amp;"NGE(""https://docs.google.com/spreadsheets/d/19KBlQQs7uwvsao6t2n-KvW3Ax8J8uRRfZPq1zPbXgKc/edit?usp=sharing"",""ระยอง!Q125"")+IMPORTRANGE(""https://docs.google.com/spreadsheets/d/1jQ6P4QcrGM89YfqcC_PxOHGCMq5ezhucwJd8ci-NHng/edit?usp=sharing"",""ราชบุรี!Q12"&amp;"5"")+IMPORTRANGE(""https://docs.google.com/spreadsheets/d/1lufeA2cfFqM-elVq2hznhDzC6Pr7wkJ9ZG_sYNGCMCU/edit?usp=sharing"",""ลพบุรี!Q125"")+IMPORTRANGE(""https://docs.google.com/spreadsheets/d/10oOiF7loTyfsTkbd4MpaIm0HQ9SwB7IYHdIUvt-U1Uc/edit?usp=sharing"""&amp;",""สระแก้ว!Q125"")+IMPORTRANGE(""https://docs.google.com/spreadsheets/d/1xmPlrr1QbdSIKvl1dWUl9K4PjAfSL9oeMr_37QVzcxc/edit?usp=sharing"",""สระบุรี!Q125"")+IMPORTRANGE(""https://docs.google.com/spreadsheets/d/1j51vR6CYVGhABJpv6tkstgok82RLpXieLzW1yOY5rHw/edi"&amp;"t?usp=sharing"",""สิงห์บุรี!Q125"")+IMPORTRANGE(""https://docs.google.com/spreadsheets/d/1H1EalTWKUSzO4Z1-1CwzoDUaVffgrThEBe2sl74kKG0/edit?usp=sharing"",""สุพรรณบุรี!Q125"")+IMPORTRANGE(""https://docs.google.com/spreadsheets/d/1BmIruG_sIrJLYao_Pdr7zVArWsf"&amp;"oBt2692TMi6x_854/edit?usp=sharing"",""อ่างทอง!Q125"")"),0)</f>
        <v>0</v>
      </c>
      <c r="R125" s="77">
        <f ca="1">IFERROR(__xludf.DUMMYFUNCTION("IMPORTRANGE(""https://docs.google.com/spreadsheets/d/13wPX838HrBrQMCywv1BsuMkt4PEKTChp52zj44s2izQ/edit?usp=sharing"",""กาญจนบุรี!R125"")+IMPORTRANGE(""https://docs.google.com/spreadsheets/d/1ddFKvqj1W1NEiWytbGlB1zMx_ykJDVtmfEQ-6-lIUBA/edit?usp=sharing"","&amp;"""จันทบุรี!R125"")+IMPORTRANGE(""https://docs.google.com/spreadsheets/d/1T1PQvRODqOBZk8BRht_U031fIS1beLA0Ub2CEytj2q0/edit?usp=sharing"",""ฉะเชิงเทรา!R125"")+IMPORTRANGE(""https://docs.google.com/spreadsheets/d/11tr1B-Bhyr79v2bkwVh5h_fR-PStkgjlZtkrZpYurG0/"&amp;"edit?usp=sharing"",""ชลบุรี!R125"")+IMPORTRANGE(""https://docs.google.com/spreadsheets/d/1hh-FVnSX0vozXhGluamEcS54Dw9_zqW0N7qJUWgJ0Sw/edit?usp=sharing"",""ชัยนาท!R125"")+IMPORTRANGE(""https://docs.google.com/spreadsheets/d/1jkqa6GXxSacMcY1eN8AHjMNJ_7dDXMJ"&amp;"VRLDlaFSOdPM/edit?usp=sharing"",""ตราด!R125"")+IMPORTRANGE(""https://docs.google.com/spreadsheets/d/18hSgUJ3VwClqi_qtULmmW3cLr0oe3OKaSYoKzdpTsYQ/edit?usp=sharing"",""นครนายก!R125"")+IMPORTRANGE(""https://docs.google.com/spreadsheets/d/1YTZo6WM2dQ6Ix6FSdnL"&amp;"5P7uVnVKu40sxZu975tgG10E/edit?usp=sharing"",""นครปฐม!R125"")+IMPORTRANGE(""https://docs.google.com/spreadsheets/d/1OYoGg4WDg5RIzwGeB10padOxJF9E_Vljuvvct_M7RDo/edit?usp=sharing"",""ปทุมธานี!R125"")+IMPORTRANGE(""https://docs.google.com/spreadsheets/d/1GbCI"&amp;"E4D4wk9FUozzqk7SxfDMxDVBwVmI5zcaVUSzKAc/edit?usp=sharing"",""ประจวบคีรีขันธ์!R125"")+IMPORTRANGE(""https://docs.google.com/spreadsheets/d/1vVf6wykvW_lAyu7Yo9L4hUTqHqIeP_qcVuxCtosJEbg/edit?usp=sharing"",""ปราจีนบุรี!R125"")+IMPORTRANGE(""https://docs.googl"&amp;"e.com/spreadsheets/d/1BIDqLLg5jk3v59G8NlR8rk5xfQDKne0sAvZHSj7TI6I/edit?usp=sharing"",""พระนครศรีอยุธยา!R125"")+IMPORTRANGE(""https://docs.google.com/spreadsheets/d/1YXvxf8Yu6_rV4hTBrwMqAcAnv6DfhUxh5emyM3CJp_w/edit?usp=sharing"",""เพชรบุรี!R125"")+IMPORTRA"&amp;"NGE(""https://docs.google.com/spreadsheets/d/19KBlQQs7uwvsao6t2n-KvW3Ax8J8uRRfZPq1zPbXgKc/edit?usp=sharing"",""ระยอง!R125"")+IMPORTRANGE(""https://docs.google.com/spreadsheets/d/1jQ6P4QcrGM89YfqcC_PxOHGCMq5ezhucwJd8ci-NHng/edit?usp=sharing"",""ราชบุรี!R12"&amp;"5"")+IMPORTRANGE(""https://docs.google.com/spreadsheets/d/1lufeA2cfFqM-elVq2hznhDzC6Pr7wkJ9ZG_sYNGCMCU/edit?usp=sharing"",""ลพบุรี!R125"")+IMPORTRANGE(""https://docs.google.com/spreadsheets/d/10oOiF7loTyfsTkbd4MpaIm0HQ9SwB7IYHdIUvt-U1Uc/edit?usp=sharing"""&amp;",""สระแก้ว!R125"")+IMPORTRANGE(""https://docs.google.com/spreadsheets/d/1xmPlrr1QbdSIKvl1dWUl9K4PjAfSL9oeMr_37QVzcxc/edit?usp=sharing"",""สระบุรี!R125"")+IMPORTRANGE(""https://docs.google.com/spreadsheets/d/1j51vR6CYVGhABJpv6tkstgok82RLpXieLzW1yOY5rHw/edi"&amp;"t?usp=sharing"",""สิงห์บุรี!R125"")+IMPORTRANGE(""https://docs.google.com/spreadsheets/d/1H1EalTWKUSzO4Z1-1CwzoDUaVffgrThEBe2sl74kKG0/edit?usp=sharing"",""สุพรรณบุรี!R125"")+IMPORTRANGE(""https://docs.google.com/spreadsheets/d/1BmIruG_sIrJLYao_Pdr7zVArWsf"&amp;"oBt2692TMi6x_854/edit?usp=sharing"",""อ่างทอง!R125"")"),0)</f>
        <v>0</v>
      </c>
      <c r="S125" s="77">
        <f ca="1">IFERROR(__xludf.DUMMYFUNCTION("IMPORTRANGE(""https://docs.google.com/spreadsheets/d/13wPX838HrBrQMCywv1BsuMkt4PEKTChp52zj44s2izQ/edit?usp=sharing"",""กาญจนบุรี!S125"")+IMPORTRANGE(""https://docs.google.com/spreadsheets/d/1ddFKvqj1W1NEiWytbGlB1zMx_ykJDVtmfEQ-6-lIUBA/edit?usp=sharing"","&amp;"""จันทบุรี!S125"")+IMPORTRANGE(""https://docs.google.com/spreadsheets/d/1T1PQvRODqOBZk8BRht_U031fIS1beLA0Ub2CEytj2q0/edit?usp=sharing"",""ฉะเชิงเทรา!S125"")+IMPORTRANGE(""https://docs.google.com/spreadsheets/d/11tr1B-Bhyr79v2bkwVh5h_fR-PStkgjlZtkrZpYurG0/"&amp;"edit?usp=sharing"",""ชลบุรี!S125"")+IMPORTRANGE(""https://docs.google.com/spreadsheets/d/1hh-FVnSX0vozXhGluamEcS54Dw9_zqW0N7qJUWgJ0Sw/edit?usp=sharing"",""ชัยนาท!S125"")+IMPORTRANGE(""https://docs.google.com/spreadsheets/d/1jkqa6GXxSacMcY1eN8AHjMNJ_7dDXMJ"&amp;"VRLDlaFSOdPM/edit?usp=sharing"",""ตราด!S125"")+IMPORTRANGE(""https://docs.google.com/spreadsheets/d/18hSgUJ3VwClqi_qtULmmW3cLr0oe3OKaSYoKzdpTsYQ/edit?usp=sharing"",""นครนายก!S125"")+IMPORTRANGE(""https://docs.google.com/spreadsheets/d/1YTZo6WM2dQ6Ix6FSdnL"&amp;"5P7uVnVKu40sxZu975tgG10E/edit?usp=sharing"",""นครปฐม!S125"")+IMPORTRANGE(""https://docs.google.com/spreadsheets/d/1OYoGg4WDg5RIzwGeB10padOxJF9E_Vljuvvct_M7RDo/edit?usp=sharing"",""ปทุมธานี!S125"")+IMPORTRANGE(""https://docs.google.com/spreadsheets/d/1GbCI"&amp;"E4D4wk9FUozzqk7SxfDMxDVBwVmI5zcaVUSzKAc/edit?usp=sharing"",""ประจวบคีรีขันธ์!S125"")+IMPORTRANGE(""https://docs.google.com/spreadsheets/d/1vVf6wykvW_lAyu7Yo9L4hUTqHqIeP_qcVuxCtosJEbg/edit?usp=sharing"",""ปราจีนบุรี!S125"")+IMPORTRANGE(""https://docs.googl"&amp;"e.com/spreadsheets/d/1BIDqLLg5jk3v59G8NlR8rk5xfQDKne0sAvZHSj7TI6I/edit?usp=sharing"",""พระนครศรีอยุธยา!S125"")+IMPORTRANGE(""https://docs.google.com/spreadsheets/d/1YXvxf8Yu6_rV4hTBrwMqAcAnv6DfhUxh5emyM3CJp_w/edit?usp=sharing"",""เพชรบุรี!S125"")+IMPORTRA"&amp;"NGE(""https://docs.google.com/spreadsheets/d/19KBlQQs7uwvsao6t2n-KvW3Ax8J8uRRfZPq1zPbXgKc/edit?usp=sharing"",""ระยอง!S125"")+IMPORTRANGE(""https://docs.google.com/spreadsheets/d/1jQ6P4QcrGM89YfqcC_PxOHGCMq5ezhucwJd8ci-NHng/edit?usp=sharing"",""ราชบุรี!S12"&amp;"5"")+IMPORTRANGE(""https://docs.google.com/spreadsheets/d/1lufeA2cfFqM-elVq2hznhDzC6Pr7wkJ9ZG_sYNGCMCU/edit?usp=sharing"",""ลพบุรี!S125"")+IMPORTRANGE(""https://docs.google.com/spreadsheets/d/10oOiF7loTyfsTkbd4MpaIm0HQ9SwB7IYHdIUvt-U1Uc/edit?usp=sharing"""&amp;",""สระแก้ว!S125"")+IMPORTRANGE(""https://docs.google.com/spreadsheets/d/1xmPlrr1QbdSIKvl1dWUl9K4PjAfSL9oeMr_37QVzcxc/edit?usp=sharing"",""สระบุรี!S125"")+IMPORTRANGE(""https://docs.google.com/spreadsheets/d/1j51vR6CYVGhABJpv6tkstgok82RLpXieLzW1yOY5rHw/edi"&amp;"t?usp=sharing"",""สิงห์บุรี!S125"")+IMPORTRANGE(""https://docs.google.com/spreadsheets/d/1H1EalTWKUSzO4Z1-1CwzoDUaVffgrThEBe2sl74kKG0/edit?usp=sharing"",""สุพรรณบุรี!S125"")+IMPORTRANGE(""https://docs.google.com/spreadsheets/d/1BmIruG_sIrJLYao_Pdr7zVArWsf"&amp;"oBt2692TMi6x_854/edit?usp=sharing"",""อ่างทอง!S125"")"),0)</f>
        <v>0</v>
      </c>
      <c r="T125" s="135">
        <f t="shared" ca="1" si="94"/>
        <v>0</v>
      </c>
      <c r="U125" s="135">
        <f t="shared" ca="1" si="95"/>
        <v>0</v>
      </c>
    </row>
    <row r="126" spans="1:21" ht="19.5" x14ac:dyDescent="0.3">
      <c r="A126" s="278"/>
      <c r="B126" s="279"/>
      <c r="C126" s="308" t="s">
        <v>18</v>
      </c>
      <c r="D126" s="281" t="s">
        <v>38</v>
      </c>
      <c r="E126" s="282"/>
      <c r="F126" s="282"/>
      <c r="G126" s="283"/>
      <c r="H126" s="309"/>
      <c r="I126" s="265"/>
      <c r="J126" s="265"/>
      <c r="K126" s="90"/>
      <c r="L126" s="90"/>
      <c r="M126" s="90"/>
      <c r="N126" s="90"/>
      <c r="O126" s="90"/>
      <c r="P126" s="90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13wPX838HrBrQMCywv1BsuMkt4PEKTChp52zj44s2izQ/edit?usp=sharing"",""กาญจนบุรี!I127"")+IMPORTRANGE(""https://docs.google.com/spreadsheets/d/1ddFKvqj1W1NEiWytbGlB1zMx_ykJDVtmfEQ-6-lIUBA/edit?usp=sharing"","&amp;"""จันทบุรี!I127"")+IMPORTRANGE(""https://docs.google.com/spreadsheets/d/1T1PQvRODqOBZk8BRht_U031fIS1beLA0Ub2CEytj2q0/edit?usp=sharing"",""ฉะเชิงเทรา!I127"")+IMPORTRANGE(""https://docs.google.com/spreadsheets/d/11tr1B-Bhyr79v2bkwVh5h_fR-PStkgjlZtkrZpYurG0/"&amp;"edit?usp=sharing"",""ชลบุรี!I127"")+IMPORTRANGE(""https://docs.google.com/spreadsheets/d/1hh-FVnSX0vozXhGluamEcS54Dw9_zqW0N7qJUWgJ0Sw/edit?usp=sharing"",""ชัยนาท!I127"")+IMPORTRANGE(""https://docs.google.com/spreadsheets/d/1jkqa6GXxSacMcY1eN8AHjMNJ_7dDXMJ"&amp;"VRLDlaFSOdPM/edit?usp=sharing"",""ตราด!I127"")+IMPORTRANGE(""https://docs.google.com/spreadsheets/d/18hSgUJ3VwClqi_qtULmmW3cLr0oe3OKaSYoKzdpTsYQ/edit?usp=sharing"",""นครนายก!I127"")+IMPORTRANGE(""https://docs.google.com/spreadsheets/d/1YTZo6WM2dQ6Ix6FSdnL"&amp;"5P7uVnVKu40sxZu975tgG10E/edit?usp=sharing"",""นครปฐม!I127"")+IMPORTRANGE(""https://docs.google.com/spreadsheets/d/1OYoGg4WDg5RIzwGeB10padOxJF9E_Vljuvvct_M7RDo/edit?usp=sharing"",""ปทุมธานี!I127"")+IMPORTRANGE(""https://docs.google.com/spreadsheets/d/1GbCI"&amp;"E4D4wk9FUozzqk7SxfDMxDVBwVmI5zcaVUSzKAc/edit?usp=sharing"",""ประจวบคีรีขันธ์!I127"")+IMPORTRANGE(""https://docs.google.com/spreadsheets/d/1vVf6wykvW_lAyu7Yo9L4hUTqHqIeP_qcVuxCtosJEbg/edit?usp=sharing"",""ปราจีนบุรี!I127"")+IMPORTRANGE(""https://docs.googl"&amp;"e.com/spreadsheets/d/1BIDqLLg5jk3v59G8NlR8rk5xfQDKne0sAvZHSj7TI6I/edit?usp=sharing"",""พระนครศรีอยุธยา!I127"")+IMPORTRANGE(""https://docs.google.com/spreadsheets/d/1YXvxf8Yu6_rV4hTBrwMqAcAnv6DfhUxh5emyM3CJp_w/edit?usp=sharing"",""เพชรบุรี!I127"")+IMPORTRA"&amp;"NGE(""https://docs.google.com/spreadsheets/d/19KBlQQs7uwvsao6t2n-KvW3Ax8J8uRRfZPq1zPbXgKc/edit?usp=sharing"",""ระยอง!I127"")+IMPORTRANGE(""https://docs.google.com/spreadsheets/d/1jQ6P4QcrGM89YfqcC_PxOHGCMq5ezhucwJd8ci-NHng/edit?usp=sharing"",""ราชบุรี!I12"&amp;"7"")+IMPORTRANGE(""https://docs.google.com/spreadsheets/d/1lufeA2cfFqM-elVq2hznhDzC6Pr7wkJ9ZG_sYNGCMCU/edit?usp=sharing"",""ลพบุรี!I127"")+IMPORTRANGE(""https://docs.google.com/spreadsheets/d/10oOiF7loTyfsTkbd4MpaIm0HQ9SwB7IYHdIUvt-U1Uc/edit?usp=sharing"""&amp;",""สระแก้ว!I127"")+IMPORTRANGE(""https://docs.google.com/spreadsheets/d/1xmPlrr1QbdSIKvl1dWUl9K4PjAfSL9oeMr_37QVzcxc/edit?usp=sharing"",""สระบุรี!I127"")+IMPORTRANGE(""https://docs.google.com/spreadsheets/d/1j51vR6CYVGhABJpv6tkstgok82RLpXieLzW1yOY5rHw/edi"&amp;"t?usp=sharing"",""สิงห์บุรี!I127"")+IMPORTRANGE(""https://docs.google.com/spreadsheets/d/1H1EalTWKUSzO4Z1-1CwzoDUaVffgrThEBe2sl74kKG0/edit?usp=sharing"",""สุพรรณบุรี!I127"")+IMPORTRANGE(""https://docs.google.com/spreadsheets/d/1BmIruG_sIrJLYao_Pdr7zVArWsf"&amp;"oBt2692TMi6x_854/edit?usp=sharing"",""อ่างทอง!I127"")"),421)</f>
        <v>421</v>
      </c>
      <c r="J127" s="296">
        <f ca="1">IFERROR(__xludf.DUMMYFUNCTION("IMPORTRANGE(""https://docs.google.com/spreadsheets/d/13wPX838HrBrQMCywv1BsuMkt4PEKTChp52zj44s2izQ/edit?usp=sharing"",""กาญจนบุรี!J127"")+IMPORTRANGE(""https://docs.google.com/spreadsheets/d/1ddFKvqj1W1NEiWytbGlB1zMx_ykJDVtmfEQ-6-lIUBA/edit?usp=sharing"","&amp;"""จันทบุรี!J127"")+IMPORTRANGE(""https://docs.google.com/spreadsheets/d/1T1PQvRODqOBZk8BRht_U031fIS1beLA0Ub2CEytj2q0/edit?usp=sharing"",""ฉะเชิงเทรา!J127"")+IMPORTRANGE(""https://docs.google.com/spreadsheets/d/11tr1B-Bhyr79v2bkwVh5h_fR-PStkgjlZtkrZpYurG0/"&amp;"edit?usp=sharing"",""ชลบุรี!J127"")+IMPORTRANGE(""https://docs.google.com/spreadsheets/d/1hh-FVnSX0vozXhGluamEcS54Dw9_zqW0N7qJUWgJ0Sw/edit?usp=sharing"",""ชัยนาท!J127"")+IMPORTRANGE(""https://docs.google.com/spreadsheets/d/1jkqa6GXxSacMcY1eN8AHjMNJ_7dDXMJ"&amp;"VRLDlaFSOdPM/edit?usp=sharing"",""ตราด!J127"")+IMPORTRANGE(""https://docs.google.com/spreadsheets/d/18hSgUJ3VwClqi_qtULmmW3cLr0oe3OKaSYoKzdpTsYQ/edit?usp=sharing"",""นครนายก!J127"")+IMPORTRANGE(""https://docs.google.com/spreadsheets/d/1YTZo6WM2dQ6Ix6FSdnL"&amp;"5P7uVnVKu40sxZu975tgG10E/edit?usp=sharing"",""นครปฐม!J127"")+IMPORTRANGE(""https://docs.google.com/spreadsheets/d/1OYoGg4WDg5RIzwGeB10padOxJF9E_Vljuvvct_M7RDo/edit?usp=sharing"",""ปทุมธานี!J127"")+IMPORTRANGE(""https://docs.google.com/spreadsheets/d/1GbCI"&amp;"E4D4wk9FUozzqk7SxfDMxDVBwVmI5zcaVUSzKAc/edit?usp=sharing"",""ประจวบคีรีขันธ์!J127"")+IMPORTRANGE(""https://docs.google.com/spreadsheets/d/1vVf6wykvW_lAyu7Yo9L4hUTqHqIeP_qcVuxCtosJEbg/edit?usp=sharing"",""ปราจีนบุรี!J127"")+IMPORTRANGE(""https://docs.googl"&amp;"e.com/spreadsheets/d/1BIDqLLg5jk3v59G8NlR8rk5xfQDKne0sAvZHSj7TI6I/edit?usp=sharing"",""พระนครศรีอยุธยา!J127"")+IMPORTRANGE(""https://docs.google.com/spreadsheets/d/1YXvxf8Yu6_rV4hTBrwMqAcAnv6DfhUxh5emyM3CJp_w/edit?usp=sharing"",""เพชรบุรี!J127"")+IMPORTRA"&amp;"NGE(""https://docs.google.com/spreadsheets/d/19KBlQQs7uwvsao6t2n-KvW3Ax8J8uRRfZPq1zPbXgKc/edit?usp=sharing"",""ระยอง!J127"")+IMPORTRANGE(""https://docs.google.com/spreadsheets/d/1jQ6P4QcrGM89YfqcC_PxOHGCMq5ezhucwJd8ci-NHng/edit?usp=sharing"",""ราชบุรี!J12"&amp;"7"")+IMPORTRANGE(""https://docs.google.com/spreadsheets/d/1lufeA2cfFqM-elVq2hznhDzC6Pr7wkJ9ZG_sYNGCMCU/edit?usp=sharing"",""ลพบุรี!J127"")+IMPORTRANGE(""https://docs.google.com/spreadsheets/d/10oOiF7loTyfsTkbd4MpaIm0HQ9SwB7IYHdIUvt-U1Uc/edit?usp=sharing"""&amp;",""สระแก้ว!J127"")+IMPORTRANGE(""https://docs.google.com/spreadsheets/d/1xmPlrr1QbdSIKvl1dWUl9K4PjAfSL9oeMr_37QVzcxc/edit?usp=sharing"",""สระบุรี!J127"")+IMPORTRANGE(""https://docs.google.com/spreadsheets/d/1j51vR6CYVGhABJpv6tkstgok82RLpXieLzW1yOY5rHw/edi"&amp;"t?usp=sharing"",""สิงห์บุรี!J127"")+IMPORTRANGE(""https://docs.google.com/spreadsheets/d/1H1EalTWKUSzO4Z1-1CwzoDUaVffgrThEBe2sl74kKG0/edit?usp=sharing"",""สุพรรณบุรี!J127"")+IMPORTRANGE(""https://docs.google.com/spreadsheets/d/1BmIruG_sIrJLYao_Pdr7zVArWsf"&amp;"oBt2692TMi6x_854/edit?usp=sharing"",""อ่างทอง!J127"")"),375)</f>
        <v>375</v>
      </c>
      <c r="K127" s="77">
        <f t="shared" ref="K127:K130" ca="1" si="104">IF(I127&gt;0,J127*100/I127,0)</f>
        <v>89.073634204275535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13wPX838HrBrQMCywv1BsuMkt4PEKTChp52zj44s2izQ/edit?usp=sharing"",""กาญจนบุรี!I128"")+IMPORTRANGE(""https://docs.google.com/spreadsheets/d/1ddFKvqj1W1NEiWytbGlB1zMx_ykJDVtmfEQ-6-lIUBA/edit?usp=sharing"","&amp;"""จันทบุรี!I128"")+IMPORTRANGE(""https://docs.google.com/spreadsheets/d/1T1PQvRODqOBZk8BRht_U031fIS1beLA0Ub2CEytj2q0/edit?usp=sharing"",""ฉะเชิงเทรา!I128"")+IMPORTRANGE(""https://docs.google.com/spreadsheets/d/11tr1B-Bhyr79v2bkwVh5h_fR-PStkgjlZtkrZpYurG0/"&amp;"edit?usp=sharing"",""ชลบุรี!I128"")+IMPORTRANGE(""https://docs.google.com/spreadsheets/d/1hh-FVnSX0vozXhGluamEcS54Dw9_zqW0N7qJUWgJ0Sw/edit?usp=sharing"",""ชัยนาท!I128"")+IMPORTRANGE(""https://docs.google.com/spreadsheets/d/1jkqa6GXxSacMcY1eN8AHjMNJ_7dDXMJ"&amp;"VRLDlaFSOdPM/edit?usp=sharing"",""ตราด!I128"")+IMPORTRANGE(""https://docs.google.com/spreadsheets/d/18hSgUJ3VwClqi_qtULmmW3cLr0oe3OKaSYoKzdpTsYQ/edit?usp=sharing"",""นครนายก!I128"")+IMPORTRANGE(""https://docs.google.com/spreadsheets/d/1YTZo6WM2dQ6Ix6FSdnL"&amp;"5P7uVnVKu40sxZu975tgG10E/edit?usp=sharing"",""นครปฐม!I128"")+IMPORTRANGE(""https://docs.google.com/spreadsheets/d/1OYoGg4WDg5RIzwGeB10padOxJF9E_Vljuvvct_M7RDo/edit?usp=sharing"",""ปทุมธานี!I128"")+IMPORTRANGE(""https://docs.google.com/spreadsheets/d/1GbCI"&amp;"E4D4wk9FUozzqk7SxfDMxDVBwVmI5zcaVUSzKAc/edit?usp=sharing"",""ประจวบคีรีขันธ์!I128"")+IMPORTRANGE(""https://docs.google.com/spreadsheets/d/1vVf6wykvW_lAyu7Yo9L4hUTqHqIeP_qcVuxCtosJEbg/edit?usp=sharing"",""ปราจีนบุรี!I128"")+IMPORTRANGE(""https://docs.googl"&amp;"e.com/spreadsheets/d/1BIDqLLg5jk3v59G8NlR8rk5xfQDKne0sAvZHSj7TI6I/edit?usp=sharing"",""พระนครศรีอยุธยา!I128"")+IMPORTRANGE(""https://docs.google.com/spreadsheets/d/1YXvxf8Yu6_rV4hTBrwMqAcAnv6DfhUxh5emyM3CJp_w/edit?usp=sharing"",""เพชรบุรี!I128"")+IMPORTRA"&amp;"NGE(""https://docs.google.com/spreadsheets/d/19KBlQQs7uwvsao6t2n-KvW3Ax8J8uRRfZPq1zPbXgKc/edit?usp=sharing"",""ระยอง!I128"")+IMPORTRANGE(""https://docs.google.com/spreadsheets/d/1jQ6P4QcrGM89YfqcC_PxOHGCMq5ezhucwJd8ci-NHng/edit?usp=sharing"",""ราชบุรี!I12"&amp;"8"")+IMPORTRANGE(""https://docs.google.com/spreadsheets/d/1lufeA2cfFqM-elVq2hznhDzC6Pr7wkJ9ZG_sYNGCMCU/edit?usp=sharing"",""ลพบุรี!I128"")+IMPORTRANGE(""https://docs.google.com/spreadsheets/d/10oOiF7loTyfsTkbd4MpaIm0HQ9SwB7IYHdIUvt-U1Uc/edit?usp=sharing"""&amp;",""สระแก้ว!I128"")+IMPORTRANGE(""https://docs.google.com/spreadsheets/d/1xmPlrr1QbdSIKvl1dWUl9K4PjAfSL9oeMr_37QVzcxc/edit?usp=sharing"",""สระบุรี!I128"")+IMPORTRANGE(""https://docs.google.com/spreadsheets/d/1j51vR6CYVGhABJpv6tkstgok82RLpXieLzW1yOY5rHw/edi"&amp;"t?usp=sharing"",""สิงห์บุรี!I128"")+IMPORTRANGE(""https://docs.google.com/spreadsheets/d/1H1EalTWKUSzO4Z1-1CwzoDUaVffgrThEBe2sl74kKG0/edit?usp=sharing"",""สุพรรณบุรี!I128"")+IMPORTRANGE(""https://docs.google.com/spreadsheets/d/1BmIruG_sIrJLYao_Pdr7zVArWsf"&amp;"oBt2692TMi6x_854/edit?usp=sharing"",""อ่างทอง!I128"")"),0)</f>
        <v>0</v>
      </c>
      <c r="J128" s="296">
        <f ca="1">IFERROR(__xludf.DUMMYFUNCTION("IMPORTRANGE(""https://docs.google.com/spreadsheets/d/13wPX838HrBrQMCywv1BsuMkt4PEKTChp52zj44s2izQ/edit?usp=sharing"",""กาญจนบุรี!J128"")+IMPORTRANGE(""https://docs.google.com/spreadsheets/d/1ddFKvqj1W1NEiWytbGlB1zMx_ykJDVtmfEQ-6-lIUBA/edit?usp=sharing"","&amp;"""จันทบุรี!J128"")+IMPORTRANGE(""https://docs.google.com/spreadsheets/d/1T1PQvRODqOBZk8BRht_U031fIS1beLA0Ub2CEytj2q0/edit?usp=sharing"",""ฉะเชิงเทรา!J128"")+IMPORTRANGE(""https://docs.google.com/spreadsheets/d/11tr1B-Bhyr79v2bkwVh5h_fR-PStkgjlZtkrZpYurG0/"&amp;"edit?usp=sharing"",""ชลบุรี!J128"")+IMPORTRANGE(""https://docs.google.com/spreadsheets/d/1hh-FVnSX0vozXhGluamEcS54Dw9_zqW0N7qJUWgJ0Sw/edit?usp=sharing"",""ชัยนาท!J128"")+IMPORTRANGE(""https://docs.google.com/spreadsheets/d/1jkqa6GXxSacMcY1eN8AHjMNJ_7dDXMJ"&amp;"VRLDlaFSOdPM/edit?usp=sharing"",""ตราด!J128"")+IMPORTRANGE(""https://docs.google.com/spreadsheets/d/18hSgUJ3VwClqi_qtULmmW3cLr0oe3OKaSYoKzdpTsYQ/edit?usp=sharing"",""นครนายก!J128"")+IMPORTRANGE(""https://docs.google.com/spreadsheets/d/1YTZo6WM2dQ6Ix6FSdnL"&amp;"5P7uVnVKu40sxZu975tgG10E/edit?usp=sharing"",""นครปฐม!J128"")+IMPORTRANGE(""https://docs.google.com/spreadsheets/d/1OYoGg4WDg5RIzwGeB10padOxJF9E_Vljuvvct_M7RDo/edit?usp=sharing"",""ปทุมธานี!J128"")+IMPORTRANGE(""https://docs.google.com/spreadsheets/d/1GbCI"&amp;"E4D4wk9FUozzqk7SxfDMxDVBwVmI5zcaVUSzKAc/edit?usp=sharing"",""ประจวบคีรีขันธ์!J128"")+IMPORTRANGE(""https://docs.google.com/spreadsheets/d/1vVf6wykvW_lAyu7Yo9L4hUTqHqIeP_qcVuxCtosJEbg/edit?usp=sharing"",""ปราจีนบุรี!J128"")+IMPORTRANGE(""https://docs.googl"&amp;"e.com/spreadsheets/d/1BIDqLLg5jk3v59G8NlR8rk5xfQDKne0sAvZHSj7TI6I/edit?usp=sharing"",""พระนครศรีอยุธยา!J128"")+IMPORTRANGE(""https://docs.google.com/spreadsheets/d/1YXvxf8Yu6_rV4hTBrwMqAcAnv6DfhUxh5emyM3CJp_w/edit?usp=sharing"",""เพชรบุรี!J128"")+IMPORTRA"&amp;"NGE(""https://docs.google.com/spreadsheets/d/19KBlQQs7uwvsao6t2n-KvW3Ax8J8uRRfZPq1zPbXgKc/edit?usp=sharing"",""ระยอง!J128"")+IMPORTRANGE(""https://docs.google.com/spreadsheets/d/1jQ6P4QcrGM89YfqcC_PxOHGCMq5ezhucwJd8ci-NHng/edit?usp=sharing"",""ราชบุรี!J12"&amp;"8"")+IMPORTRANGE(""https://docs.google.com/spreadsheets/d/1lufeA2cfFqM-elVq2hznhDzC6Pr7wkJ9ZG_sYNGCMCU/edit?usp=sharing"",""ลพบุรี!J128"")+IMPORTRANGE(""https://docs.google.com/spreadsheets/d/10oOiF7loTyfsTkbd4MpaIm0HQ9SwB7IYHdIUvt-U1Uc/edit?usp=sharing"""&amp;",""สระแก้ว!J128"")+IMPORTRANGE(""https://docs.google.com/spreadsheets/d/1xmPlrr1QbdSIKvl1dWUl9K4PjAfSL9oeMr_37QVzcxc/edit?usp=sharing"",""สระบุรี!J128"")+IMPORTRANGE(""https://docs.google.com/spreadsheets/d/1j51vR6CYVGhABJpv6tkstgok82RLpXieLzW1yOY5rHw/edi"&amp;"t?usp=sharing"",""สิงห์บุรี!J128"")+IMPORTRANGE(""https://docs.google.com/spreadsheets/d/1H1EalTWKUSzO4Z1-1CwzoDUaVffgrThEBe2sl74kKG0/edit?usp=sharing"",""สุพรรณบุรี!J128"")+IMPORTRANGE(""https://docs.google.com/spreadsheets/d/1BmIruG_sIrJLYao_Pdr7zVArWsf"&amp;"oBt2692TMi6x_854/edit?usp=sharing"",""อ่างทอง!J128"")"),8)</f>
        <v>8</v>
      </c>
      <c r="K128" s="77">
        <f t="shared" ca="1" si="104"/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13wPX838HrBrQMCywv1BsuMkt4PEKTChp52zj44s2izQ/edit?usp=sharing"",""กาญจนบุรี!I129"")+IMPORTRANGE(""https://docs.google.com/spreadsheets/d/1ddFKvqj1W1NEiWytbGlB1zMx_ykJDVtmfEQ-6-lIUBA/edit?usp=sharing"","&amp;"""จันทบุรี!I129"")+IMPORTRANGE(""https://docs.google.com/spreadsheets/d/1T1PQvRODqOBZk8BRht_U031fIS1beLA0Ub2CEytj2q0/edit?usp=sharing"",""ฉะเชิงเทรา!I129"")+IMPORTRANGE(""https://docs.google.com/spreadsheets/d/11tr1B-Bhyr79v2bkwVh5h_fR-PStkgjlZtkrZpYurG0/"&amp;"edit?usp=sharing"",""ชลบุรี!I129"")+IMPORTRANGE(""https://docs.google.com/spreadsheets/d/1hh-FVnSX0vozXhGluamEcS54Dw9_zqW0N7qJUWgJ0Sw/edit?usp=sharing"",""ชัยนาท!I129"")+IMPORTRANGE(""https://docs.google.com/spreadsheets/d/1jkqa6GXxSacMcY1eN8AHjMNJ_7dDXMJ"&amp;"VRLDlaFSOdPM/edit?usp=sharing"",""ตราด!I129"")+IMPORTRANGE(""https://docs.google.com/spreadsheets/d/18hSgUJ3VwClqi_qtULmmW3cLr0oe3OKaSYoKzdpTsYQ/edit?usp=sharing"",""นครนายก!I129"")+IMPORTRANGE(""https://docs.google.com/spreadsheets/d/1YTZo6WM2dQ6Ix6FSdnL"&amp;"5P7uVnVKu40sxZu975tgG10E/edit?usp=sharing"",""นครปฐม!I129"")+IMPORTRANGE(""https://docs.google.com/spreadsheets/d/1OYoGg4WDg5RIzwGeB10padOxJF9E_Vljuvvct_M7RDo/edit?usp=sharing"",""ปทุมธานี!I129"")+IMPORTRANGE(""https://docs.google.com/spreadsheets/d/1GbCI"&amp;"E4D4wk9FUozzqk7SxfDMxDVBwVmI5zcaVUSzKAc/edit?usp=sharing"",""ประจวบคีรีขันธ์!I129"")+IMPORTRANGE(""https://docs.google.com/spreadsheets/d/1vVf6wykvW_lAyu7Yo9L4hUTqHqIeP_qcVuxCtosJEbg/edit?usp=sharing"",""ปราจีนบุรี!I129"")+IMPORTRANGE(""https://docs.googl"&amp;"e.com/spreadsheets/d/1BIDqLLg5jk3v59G8NlR8rk5xfQDKne0sAvZHSj7TI6I/edit?usp=sharing"",""พระนครศรีอยุธยา!I129"")+IMPORTRANGE(""https://docs.google.com/spreadsheets/d/1YXvxf8Yu6_rV4hTBrwMqAcAnv6DfhUxh5emyM3CJp_w/edit?usp=sharing"",""เพชรบุรี!I129"")+IMPORTRA"&amp;"NGE(""https://docs.google.com/spreadsheets/d/19KBlQQs7uwvsao6t2n-KvW3Ax8J8uRRfZPq1zPbXgKc/edit?usp=sharing"",""ระยอง!I129"")+IMPORTRANGE(""https://docs.google.com/spreadsheets/d/1jQ6P4QcrGM89YfqcC_PxOHGCMq5ezhucwJd8ci-NHng/edit?usp=sharing"",""ราชบุรี!I12"&amp;"9"")+IMPORTRANGE(""https://docs.google.com/spreadsheets/d/1lufeA2cfFqM-elVq2hznhDzC6Pr7wkJ9ZG_sYNGCMCU/edit?usp=sharing"",""ลพบุรี!I129"")+IMPORTRANGE(""https://docs.google.com/spreadsheets/d/10oOiF7loTyfsTkbd4MpaIm0HQ9SwB7IYHdIUvt-U1Uc/edit?usp=sharing"""&amp;",""สระแก้ว!I129"")+IMPORTRANGE(""https://docs.google.com/spreadsheets/d/1xmPlrr1QbdSIKvl1dWUl9K4PjAfSL9oeMr_37QVzcxc/edit?usp=sharing"",""สระบุรี!I129"")+IMPORTRANGE(""https://docs.google.com/spreadsheets/d/1j51vR6CYVGhABJpv6tkstgok82RLpXieLzW1yOY5rHw/edi"&amp;"t?usp=sharing"",""สิงห์บุรี!I129"")+IMPORTRANGE(""https://docs.google.com/spreadsheets/d/1H1EalTWKUSzO4Z1-1CwzoDUaVffgrThEBe2sl74kKG0/edit?usp=sharing"",""สุพรรณบุรี!I129"")+IMPORTRANGE(""https://docs.google.com/spreadsheets/d/1BmIruG_sIrJLYao_Pdr7zVArWsf"&amp;"oBt2692TMi6x_854/edit?usp=sharing"",""อ่างทอง!I129"")"),356)</f>
        <v>356</v>
      </c>
      <c r="J129" s="296">
        <f ca="1">IFERROR(__xludf.DUMMYFUNCTION("IMPORTRANGE(""https://docs.google.com/spreadsheets/d/13wPX838HrBrQMCywv1BsuMkt4PEKTChp52zj44s2izQ/edit?usp=sharing"",""กาญจนบุรี!J129"")+IMPORTRANGE(""https://docs.google.com/spreadsheets/d/1ddFKvqj1W1NEiWytbGlB1zMx_ykJDVtmfEQ-6-lIUBA/edit?usp=sharing"","&amp;"""จันทบุรี!J129"")+IMPORTRANGE(""https://docs.google.com/spreadsheets/d/1T1PQvRODqOBZk8BRht_U031fIS1beLA0Ub2CEytj2q0/edit?usp=sharing"",""ฉะเชิงเทรา!J129"")+IMPORTRANGE(""https://docs.google.com/spreadsheets/d/11tr1B-Bhyr79v2bkwVh5h_fR-PStkgjlZtkrZpYurG0/"&amp;"edit?usp=sharing"",""ชลบุรี!J129"")+IMPORTRANGE(""https://docs.google.com/spreadsheets/d/1hh-FVnSX0vozXhGluamEcS54Dw9_zqW0N7qJUWgJ0Sw/edit?usp=sharing"",""ชัยนาท!J129"")+IMPORTRANGE(""https://docs.google.com/spreadsheets/d/1jkqa6GXxSacMcY1eN8AHjMNJ_7dDXMJ"&amp;"VRLDlaFSOdPM/edit?usp=sharing"",""ตราด!J129"")+IMPORTRANGE(""https://docs.google.com/spreadsheets/d/18hSgUJ3VwClqi_qtULmmW3cLr0oe3OKaSYoKzdpTsYQ/edit?usp=sharing"",""นครนายก!J129"")+IMPORTRANGE(""https://docs.google.com/spreadsheets/d/1YTZo6WM2dQ6Ix6FSdnL"&amp;"5P7uVnVKu40sxZu975tgG10E/edit?usp=sharing"",""นครปฐม!J129"")+IMPORTRANGE(""https://docs.google.com/spreadsheets/d/1OYoGg4WDg5RIzwGeB10padOxJF9E_Vljuvvct_M7RDo/edit?usp=sharing"",""ปทุมธานี!J129"")+IMPORTRANGE(""https://docs.google.com/spreadsheets/d/1GbCI"&amp;"E4D4wk9FUozzqk7SxfDMxDVBwVmI5zcaVUSzKAc/edit?usp=sharing"",""ประจวบคีรีขันธ์!J129"")+IMPORTRANGE(""https://docs.google.com/spreadsheets/d/1vVf6wykvW_lAyu7Yo9L4hUTqHqIeP_qcVuxCtosJEbg/edit?usp=sharing"",""ปราจีนบุรี!J129"")+IMPORTRANGE(""https://docs.googl"&amp;"e.com/spreadsheets/d/1BIDqLLg5jk3v59G8NlR8rk5xfQDKne0sAvZHSj7TI6I/edit?usp=sharing"",""พระนครศรีอยุธยา!J129"")+IMPORTRANGE(""https://docs.google.com/spreadsheets/d/1YXvxf8Yu6_rV4hTBrwMqAcAnv6DfhUxh5emyM3CJp_w/edit?usp=sharing"",""เพชรบุรี!J129"")+IMPORTRA"&amp;"NGE(""https://docs.google.com/spreadsheets/d/19KBlQQs7uwvsao6t2n-KvW3Ax8J8uRRfZPq1zPbXgKc/edit?usp=sharing"",""ระยอง!J129"")+IMPORTRANGE(""https://docs.google.com/spreadsheets/d/1jQ6P4QcrGM89YfqcC_PxOHGCMq5ezhucwJd8ci-NHng/edit?usp=sharing"",""ราชบุรี!J12"&amp;"9"")+IMPORTRANGE(""https://docs.google.com/spreadsheets/d/1lufeA2cfFqM-elVq2hznhDzC6Pr7wkJ9ZG_sYNGCMCU/edit?usp=sharing"",""ลพบุรี!J129"")+IMPORTRANGE(""https://docs.google.com/spreadsheets/d/10oOiF7loTyfsTkbd4MpaIm0HQ9SwB7IYHdIUvt-U1Uc/edit?usp=sharing"""&amp;",""สระแก้ว!J129"")+IMPORTRANGE(""https://docs.google.com/spreadsheets/d/1xmPlrr1QbdSIKvl1dWUl9K4PjAfSL9oeMr_37QVzcxc/edit?usp=sharing"",""สระบุรี!J129"")+IMPORTRANGE(""https://docs.google.com/spreadsheets/d/1j51vR6CYVGhABJpv6tkstgok82RLpXieLzW1yOY5rHw/edi"&amp;"t?usp=sharing"",""สิงห์บุรี!J129"")+IMPORTRANGE(""https://docs.google.com/spreadsheets/d/1H1EalTWKUSzO4Z1-1CwzoDUaVffgrThEBe2sl74kKG0/edit?usp=sharing"",""สุพรรณบุรี!J129"")+IMPORTRANGE(""https://docs.google.com/spreadsheets/d/1BmIruG_sIrJLYao_Pdr7zVArWsf"&amp;"oBt2692TMi6x_854/edit?usp=sharing"",""อ่างทอง!J129"")"),310)</f>
        <v>310</v>
      </c>
      <c r="K129" s="77">
        <f t="shared" ca="1" si="104"/>
        <v>87.078651685393254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13wPX838HrBrQMCywv1BsuMkt4PEKTChp52zj44s2izQ/edit?usp=sharing"",""กาญจนบุรี!I130"")+IMPORTRANGE(""https://docs.google.com/spreadsheets/d/1ddFKvqj1W1NEiWytbGlB1zMx_ykJDVtmfEQ-6-lIUBA/edit?usp=sharing"","&amp;"""จันทบุรี!I130"")+IMPORTRANGE(""https://docs.google.com/spreadsheets/d/1T1PQvRODqOBZk8BRht_U031fIS1beLA0Ub2CEytj2q0/edit?usp=sharing"",""ฉะเชิงเทรา!I130"")+IMPORTRANGE(""https://docs.google.com/spreadsheets/d/11tr1B-Bhyr79v2bkwVh5h_fR-PStkgjlZtkrZpYurG0/"&amp;"edit?usp=sharing"",""ชลบุรี!I130"")+IMPORTRANGE(""https://docs.google.com/spreadsheets/d/1hh-FVnSX0vozXhGluamEcS54Dw9_zqW0N7qJUWgJ0Sw/edit?usp=sharing"",""ชัยนาท!I130"")+IMPORTRANGE(""https://docs.google.com/spreadsheets/d/1jkqa6GXxSacMcY1eN8AHjMNJ_7dDXMJ"&amp;"VRLDlaFSOdPM/edit?usp=sharing"",""ตราด!I130"")+IMPORTRANGE(""https://docs.google.com/spreadsheets/d/18hSgUJ3VwClqi_qtULmmW3cLr0oe3OKaSYoKzdpTsYQ/edit?usp=sharing"",""นครนายก!I130"")+IMPORTRANGE(""https://docs.google.com/spreadsheets/d/1YTZo6WM2dQ6Ix6FSdnL"&amp;"5P7uVnVKu40sxZu975tgG10E/edit?usp=sharing"",""นครปฐม!I130"")+IMPORTRANGE(""https://docs.google.com/spreadsheets/d/1OYoGg4WDg5RIzwGeB10padOxJF9E_Vljuvvct_M7RDo/edit?usp=sharing"",""ปทุมธานี!I130"")+IMPORTRANGE(""https://docs.google.com/spreadsheets/d/1GbCI"&amp;"E4D4wk9FUozzqk7SxfDMxDVBwVmI5zcaVUSzKAc/edit?usp=sharing"",""ประจวบคีรีขันธ์!I130"")+IMPORTRANGE(""https://docs.google.com/spreadsheets/d/1vVf6wykvW_lAyu7Yo9L4hUTqHqIeP_qcVuxCtosJEbg/edit?usp=sharing"",""ปราจีนบุรี!I130"")+IMPORTRANGE(""https://docs.googl"&amp;"e.com/spreadsheets/d/1BIDqLLg5jk3v59G8NlR8rk5xfQDKne0sAvZHSj7TI6I/edit?usp=sharing"",""พระนครศรีอยุธยา!I130"")+IMPORTRANGE(""https://docs.google.com/spreadsheets/d/1YXvxf8Yu6_rV4hTBrwMqAcAnv6DfhUxh5emyM3CJp_w/edit?usp=sharing"",""เพชรบุรี!I130"")+IMPORTRA"&amp;"NGE(""https://docs.google.com/spreadsheets/d/19KBlQQs7uwvsao6t2n-KvW3Ax8J8uRRfZPq1zPbXgKc/edit?usp=sharing"",""ระยอง!I130"")+IMPORTRANGE(""https://docs.google.com/spreadsheets/d/1jQ6P4QcrGM89YfqcC_PxOHGCMq5ezhucwJd8ci-NHng/edit?usp=sharing"",""ราชบุรี!I13"&amp;"0"")+IMPORTRANGE(""https://docs.google.com/spreadsheets/d/1lufeA2cfFqM-elVq2hznhDzC6Pr7wkJ9ZG_sYNGCMCU/edit?usp=sharing"",""ลพบุรี!I130"")+IMPORTRANGE(""https://docs.google.com/spreadsheets/d/10oOiF7loTyfsTkbd4MpaIm0HQ9SwB7IYHdIUvt-U1Uc/edit?usp=sharing"""&amp;",""สระแก้ว!I130"")+IMPORTRANGE(""https://docs.google.com/spreadsheets/d/1xmPlrr1QbdSIKvl1dWUl9K4PjAfSL9oeMr_37QVzcxc/edit?usp=sharing"",""สระบุรี!I130"")+IMPORTRANGE(""https://docs.google.com/spreadsheets/d/1j51vR6CYVGhABJpv6tkstgok82RLpXieLzW1yOY5rHw/edi"&amp;"t?usp=sharing"",""สิงห์บุรี!I130"")+IMPORTRANGE(""https://docs.google.com/spreadsheets/d/1H1EalTWKUSzO4Z1-1CwzoDUaVffgrThEBe2sl74kKG0/edit?usp=sharing"",""สุพรรณบุรี!I130"")+IMPORTRANGE(""https://docs.google.com/spreadsheets/d/1BmIruG_sIrJLYao_Pdr7zVArWsf"&amp;"oBt2692TMi6x_854/edit?usp=sharing"",""อ่างทอง!I130"")"),0)</f>
        <v>0</v>
      </c>
      <c r="J130" s="296">
        <f ca="1">IFERROR(__xludf.DUMMYFUNCTION("IMPORTRANGE(""https://docs.google.com/spreadsheets/d/13wPX838HrBrQMCywv1BsuMkt4PEKTChp52zj44s2izQ/edit?usp=sharing"",""กาญจนบุรี!J130"")+IMPORTRANGE(""https://docs.google.com/spreadsheets/d/1ddFKvqj1W1NEiWytbGlB1zMx_ykJDVtmfEQ-6-lIUBA/edit?usp=sharing"","&amp;"""จันทบุรี!J130"")+IMPORTRANGE(""https://docs.google.com/spreadsheets/d/1T1PQvRODqOBZk8BRht_U031fIS1beLA0Ub2CEytj2q0/edit?usp=sharing"",""ฉะเชิงเทรา!J130"")+IMPORTRANGE(""https://docs.google.com/spreadsheets/d/11tr1B-Bhyr79v2bkwVh5h_fR-PStkgjlZtkrZpYurG0/"&amp;"edit?usp=sharing"",""ชลบุรี!J130"")+IMPORTRANGE(""https://docs.google.com/spreadsheets/d/1hh-FVnSX0vozXhGluamEcS54Dw9_zqW0N7qJUWgJ0Sw/edit?usp=sharing"",""ชัยนาท!J130"")+IMPORTRANGE(""https://docs.google.com/spreadsheets/d/1jkqa6GXxSacMcY1eN8AHjMNJ_7dDXMJ"&amp;"VRLDlaFSOdPM/edit?usp=sharing"",""ตราด!J130"")+IMPORTRANGE(""https://docs.google.com/spreadsheets/d/18hSgUJ3VwClqi_qtULmmW3cLr0oe3OKaSYoKzdpTsYQ/edit?usp=sharing"",""นครนายก!J130"")+IMPORTRANGE(""https://docs.google.com/spreadsheets/d/1YTZo6WM2dQ6Ix6FSdnL"&amp;"5P7uVnVKu40sxZu975tgG10E/edit?usp=sharing"",""นครปฐม!J130"")+IMPORTRANGE(""https://docs.google.com/spreadsheets/d/1OYoGg4WDg5RIzwGeB10padOxJF9E_Vljuvvct_M7RDo/edit?usp=sharing"",""ปทุมธานี!J130"")+IMPORTRANGE(""https://docs.google.com/spreadsheets/d/1GbCI"&amp;"E4D4wk9FUozzqk7SxfDMxDVBwVmI5zcaVUSzKAc/edit?usp=sharing"",""ประจวบคีรีขันธ์!J130"")+IMPORTRANGE(""https://docs.google.com/spreadsheets/d/1vVf6wykvW_lAyu7Yo9L4hUTqHqIeP_qcVuxCtosJEbg/edit?usp=sharing"",""ปราจีนบุรี!J130"")+IMPORTRANGE(""https://docs.googl"&amp;"e.com/spreadsheets/d/1BIDqLLg5jk3v59G8NlR8rk5xfQDKne0sAvZHSj7TI6I/edit?usp=sharing"",""พระนครศรีอยุธยา!J130"")+IMPORTRANGE(""https://docs.google.com/spreadsheets/d/1YXvxf8Yu6_rV4hTBrwMqAcAnv6DfhUxh5emyM3CJp_w/edit?usp=sharing"",""เพชรบุรี!J130"")+IMPORTRA"&amp;"NGE(""https://docs.google.com/spreadsheets/d/19KBlQQs7uwvsao6t2n-KvW3Ax8J8uRRfZPq1zPbXgKc/edit?usp=sharing"",""ระยอง!J130"")+IMPORTRANGE(""https://docs.google.com/spreadsheets/d/1jQ6P4QcrGM89YfqcC_PxOHGCMq5ezhucwJd8ci-NHng/edit?usp=sharing"",""ราชบุรี!J13"&amp;"0"")+IMPORTRANGE(""https://docs.google.com/spreadsheets/d/1lufeA2cfFqM-elVq2hznhDzC6Pr7wkJ9ZG_sYNGCMCU/edit?usp=sharing"",""ลพบุรี!J130"")+IMPORTRANGE(""https://docs.google.com/spreadsheets/d/10oOiF7loTyfsTkbd4MpaIm0HQ9SwB7IYHdIUvt-U1Uc/edit?usp=sharing"""&amp;",""สระแก้ว!J130"")+IMPORTRANGE(""https://docs.google.com/spreadsheets/d/1xmPlrr1QbdSIKvl1dWUl9K4PjAfSL9oeMr_37QVzcxc/edit?usp=sharing"",""สระบุรี!J130"")+IMPORTRANGE(""https://docs.google.com/spreadsheets/d/1j51vR6CYVGhABJpv6tkstgok82RLpXieLzW1yOY5rHw/edi"&amp;"t?usp=sharing"",""สิงห์บุรี!J130"")+IMPORTRANGE(""https://docs.google.com/spreadsheets/d/1H1EalTWKUSzO4Z1-1CwzoDUaVffgrThEBe2sl74kKG0/edit?usp=sharing"",""สุพรรณบุรี!J130"")+IMPORTRANGE(""https://docs.google.com/spreadsheets/d/1BmIruG_sIrJLYao_Pdr7zVArWsf"&amp;"oBt2692TMi6x_854/edit?usp=sharing"",""อ่างทอง!J130"")"),8)</f>
        <v>8</v>
      </c>
      <c r="K130" s="77">
        <f t="shared" ca="1" si="104"/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x14ac:dyDescent="0.3">
      <c r="A134" s="196" t="s">
        <v>58</v>
      </c>
      <c r="B134" s="197"/>
      <c r="C134" s="313"/>
      <c r="D134" s="197"/>
      <c r="E134" s="197"/>
      <c r="F134" s="197"/>
      <c r="G134" s="197"/>
      <c r="H134" s="197"/>
      <c r="I134" s="314"/>
      <c r="J134" s="314"/>
      <c r="K134" s="315"/>
      <c r="L134" s="201"/>
      <c r="M134" s="201"/>
      <c r="N134" s="201"/>
      <c r="O134" s="201"/>
      <c r="P134" s="201"/>
      <c r="Q134" s="202"/>
      <c r="R134" s="203"/>
      <c r="S134" s="203"/>
      <c r="T134" s="203"/>
      <c r="U134" s="203"/>
    </row>
    <row r="135" spans="1:21" ht="19.5" x14ac:dyDescent="0.3">
      <c r="A135" s="204"/>
      <c r="B135" s="53" t="s">
        <v>59</v>
      </c>
      <c r="C135" s="316"/>
      <c r="D135" s="205"/>
      <c r="E135" s="52"/>
      <c r="F135" s="52"/>
      <c r="G135" s="52"/>
      <c r="H135" s="52"/>
      <c r="I135" s="57"/>
      <c r="J135" s="57"/>
      <c r="K135" s="58"/>
      <c r="L135" s="58"/>
      <c r="M135" s="58"/>
      <c r="N135" s="58"/>
      <c r="O135" s="58"/>
      <c r="P135" s="58"/>
      <c r="Q135" s="209"/>
      <c r="R135" s="210"/>
      <c r="S135" s="210"/>
      <c r="T135" s="210"/>
      <c r="U135" s="210"/>
    </row>
    <row r="136" spans="1:21" ht="19.5" x14ac:dyDescent="0.3">
      <c r="A136" s="204"/>
      <c r="B136" s="52"/>
      <c r="C136" s="317" t="s">
        <v>60</v>
      </c>
      <c r="D136" s="205"/>
      <c r="E136" s="52"/>
      <c r="F136" s="52"/>
      <c r="G136" s="55"/>
      <c r="H136" s="206" t="s">
        <v>61</v>
      </c>
      <c r="I136" s="207">
        <f t="shared" ref="I136:J136" ca="1" si="105">I154</f>
        <v>5</v>
      </c>
      <c r="J136" s="207">
        <f t="shared" ca="1" si="105"/>
        <v>0</v>
      </c>
      <c r="K136" s="208">
        <f t="shared" ref="K136:K138" ca="1" si="106">IF(I136&gt;0,J136*100/I136,0)</f>
        <v>0</v>
      </c>
      <c r="L136" s="58"/>
      <c r="M136" s="58"/>
      <c r="N136" s="58"/>
      <c r="O136" s="58"/>
      <c r="P136" s="58"/>
      <c r="Q136" s="209"/>
      <c r="R136" s="210"/>
      <c r="S136" s="210"/>
      <c r="T136" s="210"/>
      <c r="U136" s="210"/>
    </row>
    <row r="137" spans="1:21" ht="19.5" x14ac:dyDescent="0.3">
      <c r="A137" s="204"/>
      <c r="B137" s="52"/>
      <c r="C137" s="317" t="s">
        <v>62</v>
      </c>
      <c r="D137" s="205"/>
      <c r="E137" s="52"/>
      <c r="F137" s="52"/>
      <c r="G137" s="55"/>
      <c r="H137" s="206" t="s">
        <v>35</v>
      </c>
      <c r="I137" s="207">
        <f t="shared" ref="I137:J137" ca="1" si="107">I152</f>
        <v>180</v>
      </c>
      <c r="J137" s="207">
        <f t="shared" ca="1" si="107"/>
        <v>70</v>
      </c>
      <c r="K137" s="208">
        <f t="shared" ca="1" si="106"/>
        <v>38.888888888888886</v>
      </c>
      <c r="L137" s="58"/>
      <c r="M137" s="58"/>
      <c r="N137" s="58"/>
      <c r="O137" s="58"/>
      <c r="P137" s="58"/>
      <c r="Q137" s="209"/>
      <c r="R137" s="210"/>
      <c r="S137" s="210"/>
      <c r="T137" s="210"/>
      <c r="U137" s="210"/>
    </row>
    <row r="138" spans="1:21" ht="19.5" x14ac:dyDescent="0.3">
      <c r="A138" s="204"/>
      <c r="B138" s="52"/>
      <c r="C138" s="317"/>
      <c r="D138" s="205"/>
      <c r="E138" s="52"/>
      <c r="F138" s="52"/>
      <c r="G138" s="55"/>
      <c r="H138" s="206" t="s">
        <v>54</v>
      </c>
      <c r="I138" s="207">
        <f t="shared" ref="I138:J138" ca="1" si="108">I153</f>
        <v>18</v>
      </c>
      <c r="J138" s="207">
        <f t="shared" ca="1" si="108"/>
        <v>7</v>
      </c>
      <c r="K138" s="208">
        <f t="shared" ca="1" si="106"/>
        <v>38.888888888888886</v>
      </c>
      <c r="L138" s="58"/>
      <c r="M138" s="58"/>
      <c r="N138" s="58"/>
      <c r="O138" s="58"/>
      <c r="P138" s="58"/>
      <c r="Q138" s="209"/>
      <c r="R138" s="210"/>
      <c r="S138" s="210"/>
      <c r="T138" s="210"/>
      <c r="U138" s="210"/>
    </row>
    <row r="139" spans="1:21" ht="19.5" x14ac:dyDescent="0.3">
      <c r="A139" s="211"/>
      <c r="B139" s="70"/>
      <c r="C139" s="212" t="s">
        <v>18</v>
      </c>
      <c r="D139" s="213" t="s">
        <v>19</v>
      </c>
      <c r="E139" s="70"/>
      <c r="F139" s="70"/>
      <c r="G139" s="72"/>
      <c r="H139" s="214" t="s">
        <v>14</v>
      </c>
      <c r="I139" s="74"/>
      <c r="J139" s="74"/>
      <c r="K139" s="75"/>
      <c r="L139" s="215">
        <f t="shared" ref="L139:N139" ca="1" si="109">L140+L141</f>
        <v>791100</v>
      </c>
      <c r="M139" s="215">
        <f t="shared" ca="1" si="109"/>
        <v>756100</v>
      </c>
      <c r="N139" s="215">
        <f t="shared" ca="1" si="109"/>
        <v>582079.55999999901</v>
      </c>
      <c r="O139" s="215">
        <f t="shared" ref="O139:O147" ca="1" si="110">IF(L139&gt;0,N139*100/L139,0)</f>
        <v>73.578505877891416</v>
      </c>
      <c r="P139" s="215">
        <f t="shared" ref="P139:P147" ca="1" si="111">IF(M139&gt;0,N139*100/M139,0)</f>
        <v>76.984467663007408</v>
      </c>
      <c r="Q139" s="216">
        <f t="shared" ref="Q139:S139" ca="1" si="112">Q140+Q141</f>
        <v>0</v>
      </c>
      <c r="R139" s="217">
        <f t="shared" ca="1" si="112"/>
        <v>0</v>
      </c>
      <c r="S139" s="217">
        <f t="shared" ca="1" si="112"/>
        <v>0</v>
      </c>
      <c r="T139" s="217">
        <f t="shared" ref="T139:T147" ca="1" si="113">IF(Q139&gt;0,S139*100/Q139,0)</f>
        <v>0</v>
      </c>
      <c r="U139" s="217">
        <f t="shared" ref="U139:U147" ca="1" si="114">IF(R139&gt;0,S139*100/R139,0)</f>
        <v>0</v>
      </c>
    </row>
    <row r="140" spans="1:21" ht="18.75" x14ac:dyDescent="0.25">
      <c r="A140" s="211"/>
      <c r="B140" s="70"/>
      <c r="C140" s="70"/>
      <c r="D140" s="70"/>
      <c r="E140" s="78" t="s">
        <v>20</v>
      </c>
      <c r="F140" s="70"/>
      <c r="G140" s="72"/>
      <c r="H140" s="218" t="s">
        <v>14</v>
      </c>
      <c r="I140" s="74"/>
      <c r="J140" s="74"/>
      <c r="K140" s="75"/>
      <c r="L140" s="91">
        <f t="shared" ref="L140:N140" ca="1" si="115">L143+L146</f>
        <v>0</v>
      </c>
      <c r="M140" s="91">
        <f t="shared" ca="1" si="115"/>
        <v>0</v>
      </c>
      <c r="N140" s="91">
        <f t="shared" ca="1" si="115"/>
        <v>0</v>
      </c>
      <c r="O140" s="91">
        <f t="shared" ca="1" si="110"/>
        <v>0</v>
      </c>
      <c r="P140" s="91">
        <f t="shared" ca="1" si="111"/>
        <v>0</v>
      </c>
      <c r="Q140" s="219">
        <f t="shared" ref="Q140:S140" ca="1" si="116">Q143+Q146</f>
        <v>0</v>
      </c>
      <c r="R140" s="136">
        <f t="shared" ca="1" si="116"/>
        <v>0</v>
      </c>
      <c r="S140" s="136">
        <f t="shared" ca="1" si="116"/>
        <v>0</v>
      </c>
      <c r="T140" s="136">
        <f t="shared" ca="1" si="113"/>
        <v>0</v>
      </c>
      <c r="U140" s="136">
        <f t="shared" ca="1" si="114"/>
        <v>0</v>
      </c>
    </row>
    <row r="141" spans="1:21" ht="18.75" x14ac:dyDescent="0.25">
      <c r="A141" s="211"/>
      <c r="B141" s="70"/>
      <c r="C141" s="70"/>
      <c r="D141" s="70"/>
      <c r="E141" s="78" t="s">
        <v>21</v>
      </c>
      <c r="F141" s="70"/>
      <c r="G141" s="72"/>
      <c r="H141" s="218" t="s">
        <v>14</v>
      </c>
      <c r="I141" s="74"/>
      <c r="J141" s="74"/>
      <c r="K141" s="75"/>
      <c r="L141" s="91">
        <f t="shared" ref="L141:N141" ca="1" si="117">L144+L147</f>
        <v>791100</v>
      </c>
      <c r="M141" s="91">
        <f t="shared" ca="1" si="117"/>
        <v>756100</v>
      </c>
      <c r="N141" s="91">
        <f t="shared" ca="1" si="117"/>
        <v>582079.55999999901</v>
      </c>
      <c r="O141" s="91">
        <f t="shared" ca="1" si="110"/>
        <v>73.578505877891416</v>
      </c>
      <c r="P141" s="91">
        <f t="shared" ca="1" si="111"/>
        <v>76.984467663007408</v>
      </c>
      <c r="Q141" s="134">
        <f t="shared" ref="Q141:S141" ca="1" si="118">Q144+Q147</f>
        <v>0</v>
      </c>
      <c r="R141" s="135">
        <f t="shared" ca="1" si="118"/>
        <v>0</v>
      </c>
      <c r="S141" s="135">
        <f t="shared" ca="1" si="118"/>
        <v>0</v>
      </c>
      <c r="T141" s="135">
        <f t="shared" ca="1" si="113"/>
        <v>0</v>
      </c>
      <c r="U141" s="135">
        <f t="shared" ca="1" si="114"/>
        <v>0</v>
      </c>
    </row>
    <row r="142" spans="1:21" ht="18.75" x14ac:dyDescent="0.25">
      <c r="A142" s="211"/>
      <c r="B142" s="70"/>
      <c r="C142" s="70"/>
      <c r="D142" s="71" t="s">
        <v>22</v>
      </c>
      <c r="E142" s="70"/>
      <c r="F142" s="70"/>
      <c r="G142" s="72"/>
      <c r="H142" s="220" t="s">
        <v>14</v>
      </c>
      <c r="I142" s="221"/>
      <c r="J142" s="221"/>
      <c r="K142" s="222"/>
      <c r="L142" s="91">
        <f t="shared" ref="L142:N142" ca="1" si="119">L143+L144</f>
        <v>791100</v>
      </c>
      <c r="M142" s="91">
        <f t="shared" ca="1" si="119"/>
        <v>756100</v>
      </c>
      <c r="N142" s="91">
        <f t="shared" ca="1" si="119"/>
        <v>582079.55999999901</v>
      </c>
      <c r="O142" s="91">
        <f t="shared" ca="1" si="110"/>
        <v>73.578505877891416</v>
      </c>
      <c r="P142" s="91">
        <f t="shared" ca="1" si="111"/>
        <v>76.984467663007408</v>
      </c>
      <c r="Q142" s="134">
        <f t="shared" ref="Q142:S142" ca="1" si="120">Q143+Q144</f>
        <v>0</v>
      </c>
      <c r="R142" s="135">
        <f t="shared" ca="1" si="120"/>
        <v>0</v>
      </c>
      <c r="S142" s="135">
        <f t="shared" ca="1" si="120"/>
        <v>0</v>
      </c>
      <c r="T142" s="135">
        <f t="shared" ca="1" si="113"/>
        <v>0</v>
      </c>
      <c r="U142" s="135">
        <f t="shared" ca="1" si="114"/>
        <v>0</v>
      </c>
    </row>
    <row r="143" spans="1:21" ht="18.75" x14ac:dyDescent="0.25">
      <c r="A143" s="211"/>
      <c r="B143" s="70"/>
      <c r="C143" s="70"/>
      <c r="D143" s="70"/>
      <c r="E143" s="78" t="s">
        <v>36</v>
      </c>
      <c r="F143" s="70"/>
      <c r="G143" s="72"/>
      <c r="H143" s="220" t="s">
        <v>14</v>
      </c>
      <c r="I143" s="221"/>
      <c r="J143" s="221"/>
      <c r="K143" s="222"/>
      <c r="L143" s="91">
        <f ca="1">IFERROR(__xludf.DUMMYFUNCTION("IMPORTRANGE(""https://docs.google.com/spreadsheets/d/13wPX838HrBrQMCywv1BsuMkt4PEKTChp52zj44s2izQ/edit?usp=sharing"",""กาญจนบุรี!L143"")+IMPORTRANGE(""https://docs.google.com/spreadsheets/d/1ddFKvqj1W1NEiWytbGlB1zMx_ykJDVtmfEQ-6-lIUBA/edit?usp=sharing"","&amp;"""จันทบุรี!L143"")+IMPORTRANGE(""https://docs.google.com/spreadsheets/d/1T1PQvRODqOBZk8BRht_U031fIS1beLA0Ub2CEytj2q0/edit?usp=sharing"",""ฉะเชิงเทรา!L143"")+IMPORTRANGE(""https://docs.google.com/spreadsheets/d/11tr1B-Bhyr79v2bkwVh5h_fR-PStkgjlZtkrZpYurG0/"&amp;"edit?usp=sharing"",""ชลบุรี!L143"")+IMPORTRANGE(""https://docs.google.com/spreadsheets/d/1hh-FVnSX0vozXhGluamEcS54Dw9_zqW0N7qJUWgJ0Sw/edit?usp=sharing"",""ชัยนาท!L143"")+IMPORTRANGE(""https://docs.google.com/spreadsheets/d/1jkqa6GXxSacMcY1eN8AHjMNJ_7dDXMJ"&amp;"VRLDlaFSOdPM/edit?usp=sharing"",""ตราด!L143"")+IMPORTRANGE(""https://docs.google.com/spreadsheets/d/18hSgUJ3VwClqi_qtULmmW3cLr0oe3OKaSYoKzdpTsYQ/edit?usp=sharing"",""นครนายก!L143"")+IMPORTRANGE(""https://docs.google.com/spreadsheets/d/1YTZo6WM2dQ6Ix6FSdnL"&amp;"5P7uVnVKu40sxZu975tgG10E/edit?usp=sharing"",""นครปฐม!L143"")+IMPORTRANGE(""https://docs.google.com/spreadsheets/d/1OYoGg4WDg5RIzwGeB10padOxJF9E_Vljuvvct_M7RDo/edit?usp=sharing"",""ปทุมธานี!L143"")+IMPORTRANGE(""https://docs.google.com/spreadsheets/d/1GbCI"&amp;"E4D4wk9FUozzqk7SxfDMxDVBwVmI5zcaVUSzKAc/edit?usp=sharing"",""ประจวบคีรีขันธ์!L143"")+IMPORTRANGE(""https://docs.google.com/spreadsheets/d/1vVf6wykvW_lAyu7Yo9L4hUTqHqIeP_qcVuxCtosJEbg/edit?usp=sharing"",""ปราจีนบุรี!L143"")+IMPORTRANGE(""https://docs.googl"&amp;"e.com/spreadsheets/d/1BIDqLLg5jk3v59G8NlR8rk5xfQDKne0sAvZHSj7TI6I/edit?usp=sharing"",""พระนครศรีอยุธยา!L143"")+IMPORTRANGE(""https://docs.google.com/spreadsheets/d/1YXvxf8Yu6_rV4hTBrwMqAcAnv6DfhUxh5emyM3CJp_w/edit?usp=sharing"",""เพชรบุรี!L143"")+IMPORTRA"&amp;"NGE(""https://docs.google.com/spreadsheets/d/19KBlQQs7uwvsao6t2n-KvW3Ax8J8uRRfZPq1zPbXgKc/edit?usp=sharing"",""ระยอง!L143"")+IMPORTRANGE(""https://docs.google.com/spreadsheets/d/1jQ6P4QcrGM89YfqcC_PxOHGCMq5ezhucwJd8ci-NHng/edit?usp=sharing"",""ราชบุรี!L14"&amp;"3"")+IMPORTRANGE(""https://docs.google.com/spreadsheets/d/1lufeA2cfFqM-elVq2hznhDzC6Pr7wkJ9ZG_sYNGCMCU/edit?usp=sharing"",""ลพบุรี!L143"")+IMPORTRANGE(""https://docs.google.com/spreadsheets/d/10oOiF7loTyfsTkbd4MpaIm0HQ9SwB7IYHdIUvt-U1Uc/edit?usp=sharing"""&amp;",""สระแก้ว!L143"")+IMPORTRANGE(""https://docs.google.com/spreadsheets/d/1xmPlrr1QbdSIKvl1dWUl9K4PjAfSL9oeMr_37QVzcxc/edit?usp=sharing"",""สระบุรี!L143"")+IMPORTRANGE(""https://docs.google.com/spreadsheets/d/1j51vR6CYVGhABJpv6tkstgok82RLpXieLzW1yOY5rHw/edi"&amp;"t?usp=sharing"",""สิงห์บุรี!L143"")+IMPORTRANGE(""https://docs.google.com/spreadsheets/d/1H1EalTWKUSzO4Z1-1CwzoDUaVffgrThEBe2sl74kKG0/edit?usp=sharing"",""สุพรรณบุรี!L143"")+IMPORTRANGE(""https://docs.google.com/spreadsheets/d/1BmIruG_sIrJLYao_Pdr7zVArWsf"&amp;"oBt2692TMi6x_854/edit?usp=sharing"",""อ่างทอง!L143"")"),0)</f>
        <v>0</v>
      </c>
      <c r="M143" s="91">
        <f ca="1">IFERROR(__xludf.DUMMYFUNCTION("IMPORTRANGE(""https://docs.google.com/spreadsheets/d/13wPX838HrBrQMCywv1BsuMkt4PEKTChp52zj44s2izQ/edit?usp=sharing"",""กาญจนบุรี!M143"")+IMPORTRANGE(""https://docs.google.com/spreadsheets/d/1ddFKvqj1W1NEiWytbGlB1zMx_ykJDVtmfEQ-6-lIUBA/edit?usp=sharing"","&amp;"""จันทบุรี!M143"")+IMPORTRANGE(""https://docs.google.com/spreadsheets/d/1T1PQvRODqOBZk8BRht_U031fIS1beLA0Ub2CEytj2q0/edit?usp=sharing"",""ฉะเชิงเทรา!M143"")+IMPORTRANGE(""https://docs.google.com/spreadsheets/d/11tr1B-Bhyr79v2bkwVh5h_fR-PStkgjlZtkrZpYurG0/"&amp;"edit?usp=sharing"",""ชลบุรี!M143"")+IMPORTRANGE(""https://docs.google.com/spreadsheets/d/1hh-FVnSX0vozXhGluamEcS54Dw9_zqW0N7qJUWgJ0Sw/edit?usp=sharing"",""ชัยนาท!M143"")+IMPORTRANGE(""https://docs.google.com/spreadsheets/d/1jkqa6GXxSacMcY1eN8AHjMNJ_7dDXMJ"&amp;"VRLDlaFSOdPM/edit?usp=sharing"",""ตราด!M143"")+IMPORTRANGE(""https://docs.google.com/spreadsheets/d/18hSgUJ3VwClqi_qtULmmW3cLr0oe3OKaSYoKzdpTsYQ/edit?usp=sharing"",""นครนายก!M143"")+IMPORTRANGE(""https://docs.google.com/spreadsheets/d/1YTZo6WM2dQ6Ix6FSdnL"&amp;"5P7uVnVKu40sxZu975tgG10E/edit?usp=sharing"",""นครปฐม!M143"")+IMPORTRANGE(""https://docs.google.com/spreadsheets/d/1OYoGg4WDg5RIzwGeB10padOxJF9E_Vljuvvct_M7RDo/edit?usp=sharing"",""ปทุมธานี!M143"")+IMPORTRANGE(""https://docs.google.com/spreadsheets/d/1GbCI"&amp;"E4D4wk9FUozzqk7SxfDMxDVBwVmI5zcaVUSzKAc/edit?usp=sharing"",""ประจวบคีรีขันธ์!M143"")+IMPORTRANGE(""https://docs.google.com/spreadsheets/d/1vVf6wykvW_lAyu7Yo9L4hUTqHqIeP_qcVuxCtosJEbg/edit?usp=sharing"",""ปราจีนบุรี!M143"")+IMPORTRANGE(""https://docs.googl"&amp;"e.com/spreadsheets/d/1BIDqLLg5jk3v59G8NlR8rk5xfQDKne0sAvZHSj7TI6I/edit?usp=sharing"",""พระนครศรีอยุธยา!M143"")+IMPORTRANGE(""https://docs.google.com/spreadsheets/d/1YXvxf8Yu6_rV4hTBrwMqAcAnv6DfhUxh5emyM3CJp_w/edit?usp=sharing"",""เพชรบุรี!M143"")+IMPORTRA"&amp;"NGE(""https://docs.google.com/spreadsheets/d/19KBlQQs7uwvsao6t2n-KvW3Ax8J8uRRfZPq1zPbXgKc/edit?usp=sharing"",""ระยอง!M143"")+IMPORTRANGE(""https://docs.google.com/spreadsheets/d/1jQ6P4QcrGM89YfqcC_PxOHGCMq5ezhucwJd8ci-NHng/edit?usp=sharing"",""ราชบุรี!M14"&amp;"3"")+IMPORTRANGE(""https://docs.google.com/spreadsheets/d/1lufeA2cfFqM-elVq2hznhDzC6Pr7wkJ9ZG_sYNGCMCU/edit?usp=sharing"",""ลพบุรี!M143"")+IMPORTRANGE(""https://docs.google.com/spreadsheets/d/10oOiF7loTyfsTkbd4MpaIm0HQ9SwB7IYHdIUvt-U1Uc/edit?usp=sharing"""&amp;",""สระแก้ว!M143"")+IMPORTRANGE(""https://docs.google.com/spreadsheets/d/1xmPlrr1QbdSIKvl1dWUl9K4PjAfSL9oeMr_37QVzcxc/edit?usp=sharing"",""สระบุรี!M143"")+IMPORTRANGE(""https://docs.google.com/spreadsheets/d/1j51vR6CYVGhABJpv6tkstgok82RLpXieLzW1yOY5rHw/edi"&amp;"t?usp=sharing"",""สิงห์บุรี!M143"")+IMPORTRANGE(""https://docs.google.com/spreadsheets/d/1H1EalTWKUSzO4Z1-1CwzoDUaVffgrThEBe2sl74kKG0/edit?usp=sharing"",""สุพรรณบุรี!M143"")+IMPORTRANGE(""https://docs.google.com/spreadsheets/d/1BmIruG_sIrJLYao_Pdr7zVArWsf"&amp;"oBt2692TMi6x_854/edit?usp=sharing"",""อ่างทอง!M143"")"),0)</f>
        <v>0</v>
      </c>
      <c r="N143" s="91">
        <f ca="1">IFERROR(__xludf.DUMMYFUNCTION("IMPORTRANGE(""https://docs.google.com/spreadsheets/d/13wPX838HrBrQMCywv1BsuMkt4PEKTChp52zj44s2izQ/edit?usp=sharing"",""กาญจนบุรี!N143"")+IMPORTRANGE(""https://docs.google.com/spreadsheets/d/1ddFKvqj1W1NEiWytbGlB1zMx_ykJDVtmfEQ-6-lIUBA/edit?usp=sharing"","&amp;"""จันทบุรี!N143"")+IMPORTRANGE(""https://docs.google.com/spreadsheets/d/1T1PQvRODqOBZk8BRht_U031fIS1beLA0Ub2CEytj2q0/edit?usp=sharing"",""ฉะเชิงเทรา!N143"")+IMPORTRANGE(""https://docs.google.com/spreadsheets/d/11tr1B-Bhyr79v2bkwVh5h_fR-PStkgjlZtkrZpYurG0/"&amp;"edit?usp=sharing"",""ชลบุรี!N143"")+IMPORTRANGE(""https://docs.google.com/spreadsheets/d/1hh-FVnSX0vozXhGluamEcS54Dw9_zqW0N7qJUWgJ0Sw/edit?usp=sharing"",""ชัยนาท!N143"")+IMPORTRANGE(""https://docs.google.com/spreadsheets/d/1jkqa6GXxSacMcY1eN8AHjMNJ_7dDXMJ"&amp;"VRLDlaFSOdPM/edit?usp=sharing"",""ตราด!N143"")+IMPORTRANGE(""https://docs.google.com/spreadsheets/d/18hSgUJ3VwClqi_qtULmmW3cLr0oe3OKaSYoKzdpTsYQ/edit?usp=sharing"",""นครนายก!N143"")+IMPORTRANGE(""https://docs.google.com/spreadsheets/d/1YTZo6WM2dQ6Ix6FSdnL"&amp;"5P7uVnVKu40sxZu975tgG10E/edit?usp=sharing"",""นครปฐม!N143"")+IMPORTRANGE(""https://docs.google.com/spreadsheets/d/1OYoGg4WDg5RIzwGeB10padOxJF9E_Vljuvvct_M7RDo/edit?usp=sharing"",""ปทุมธานี!N143"")+IMPORTRANGE(""https://docs.google.com/spreadsheets/d/1GbCI"&amp;"E4D4wk9FUozzqk7SxfDMxDVBwVmI5zcaVUSzKAc/edit?usp=sharing"",""ประจวบคีรีขันธ์!N143"")+IMPORTRANGE(""https://docs.google.com/spreadsheets/d/1vVf6wykvW_lAyu7Yo9L4hUTqHqIeP_qcVuxCtosJEbg/edit?usp=sharing"",""ปราจีนบุรี!N143"")+IMPORTRANGE(""https://docs.googl"&amp;"e.com/spreadsheets/d/1BIDqLLg5jk3v59G8NlR8rk5xfQDKne0sAvZHSj7TI6I/edit?usp=sharing"",""พระนครศรีอยุธยา!N143"")+IMPORTRANGE(""https://docs.google.com/spreadsheets/d/1YXvxf8Yu6_rV4hTBrwMqAcAnv6DfhUxh5emyM3CJp_w/edit?usp=sharing"",""เพชรบุรี!N143"")+IMPORTRA"&amp;"NGE(""https://docs.google.com/spreadsheets/d/19KBlQQs7uwvsao6t2n-KvW3Ax8J8uRRfZPq1zPbXgKc/edit?usp=sharing"",""ระยอง!N143"")+IMPORTRANGE(""https://docs.google.com/spreadsheets/d/1jQ6P4QcrGM89YfqcC_PxOHGCMq5ezhucwJd8ci-NHng/edit?usp=sharing"",""ราชบุรี!N14"&amp;"3"")+IMPORTRANGE(""https://docs.google.com/spreadsheets/d/1lufeA2cfFqM-elVq2hznhDzC6Pr7wkJ9ZG_sYNGCMCU/edit?usp=sharing"",""ลพบุรี!N143"")+IMPORTRANGE(""https://docs.google.com/spreadsheets/d/10oOiF7loTyfsTkbd4MpaIm0HQ9SwB7IYHdIUvt-U1Uc/edit?usp=sharing"""&amp;",""สระแก้ว!N143"")+IMPORTRANGE(""https://docs.google.com/spreadsheets/d/1xmPlrr1QbdSIKvl1dWUl9K4PjAfSL9oeMr_37QVzcxc/edit?usp=sharing"",""สระบุรี!N143"")+IMPORTRANGE(""https://docs.google.com/spreadsheets/d/1j51vR6CYVGhABJpv6tkstgok82RLpXieLzW1yOY5rHw/edi"&amp;"t?usp=sharing"",""สิงห์บุรี!N143"")+IMPORTRANGE(""https://docs.google.com/spreadsheets/d/1H1EalTWKUSzO4Z1-1CwzoDUaVffgrThEBe2sl74kKG0/edit?usp=sharing"",""สุพรรณบุรี!N143"")+IMPORTRANGE(""https://docs.google.com/spreadsheets/d/1BmIruG_sIrJLYao_Pdr7zVArWsf"&amp;"oBt2692TMi6x_854/edit?usp=sharing"",""อ่างทอง!N143"")"),0)</f>
        <v>0</v>
      </c>
      <c r="O143" s="91">
        <f t="shared" ca="1" si="110"/>
        <v>0</v>
      </c>
      <c r="P143" s="91">
        <f t="shared" ca="1" si="111"/>
        <v>0</v>
      </c>
      <c r="Q143" s="79">
        <f ca="1">IFERROR(__xludf.DUMMYFUNCTION("IMPORTRANGE(""https://docs.google.com/spreadsheets/d/13wPX838HrBrQMCywv1BsuMkt4PEKTChp52zj44s2izQ/edit?usp=sharing"",""กาญจนบุรี!Q143"")+IMPORTRANGE(""https://docs.google.com/spreadsheets/d/1ddFKvqj1W1NEiWytbGlB1zMx_ykJDVtmfEQ-6-lIUBA/edit?usp=sharing"","&amp;"""จันทบุรี!Q143"")+IMPORTRANGE(""https://docs.google.com/spreadsheets/d/1T1PQvRODqOBZk8BRht_U031fIS1beLA0Ub2CEytj2q0/edit?usp=sharing"",""ฉะเชิงเทรา!Q143"")+IMPORTRANGE(""https://docs.google.com/spreadsheets/d/11tr1B-Bhyr79v2bkwVh5h_fR-PStkgjlZtkrZpYurG0/"&amp;"edit?usp=sharing"",""ชลบุรี!Q143"")+IMPORTRANGE(""https://docs.google.com/spreadsheets/d/1hh-FVnSX0vozXhGluamEcS54Dw9_zqW0N7qJUWgJ0Sw/edit?usp=sharing"",""ชัยนาท!Q143"")+IMPORTRANGE(""https://docs.google.com/spreadsheets/d/1jkqa6GXxSacMcY1eN8AHjMNJ_7dDXMJ"&amp;"VRLDlaFSOdPM/edit?usp=sharing"",""ตราด!Q143"")+IMPORTRANGE(""https://docs.google.com/spreadsheets/d/18hSgUJ3VwClqi_qtULmmW3cLr0oe3OKaSYoKzdpTsYQ/edit?usp=sharing"",""นครนายก!Q143"")+IMPORTRANGE(""https://docs.google.com/spreadsheets/d/1YTZo6WM2dQ6Ix6FSdnL"&amp;"5P7uVnVKu40sxZu975tgG10E/edit?usp=sharing"",""นครปฐม!Q143"")+IMPORTRANGE(""https://docs.google.com/spreadsheets/d/1OYoGg4WDg5RIzwGeB10padOxJF9E_Vljuvvct_M7RDo/edit?usp=sharing"",""ปทุมธานี!Q143"")+IMPORTRANGE(""https://docs.google.com/spreadsheets/d/1GbCI"&amp;"E4D4wk9FUozzqk7SxfDMxDVBwVmI5zcaVUSzKAc/edit?usp=sharing"",""ประจวบคีรีขันธ์!Q143"")+IMPORTRANGE(""https://docs.google.com/spreadsheets/d/1vVf6wykvW_lAyu7Yo9L4hUTqHqIeP_qcVuxCtosJEbg/edit?usp=sharing"",""ปราจีนบุรี!Q143"")+IMPORTRANGE(""https://docs.googl"&amp;"e.com/spreadsheets/d/1BIDqLLg5jk3v59G8NlR8rk5xfQDKne0sAvZHSj7TI6I/edit?usp=sharing"",""พระนครศรีอยุธยา!Q143"")+IMPORTRANGE(""https://docs.google.com/spreadsheets/d/1YXvxf8Yu6_rV4hTBrwMqAcAnv6DfhUxh5emyM3CJp_w/edit?usp=sharing"",""เพชรบุรี!Q143"")+IMPORTRA"&amp;"NGE(""https://docs.google.com/spreadsheets/d/19KBlQQs7uwvsao6t2n-KvW3Ax8J8uRRfZPq1zPbXgKc/edit?usp=sharing"",""ระยอง!Q143"")+IMPORTRANGE(""https://docs.google.com/spreadsheets/d/1jQ6P4QcrGM89YfqcC_PxOHGCMq5ezhucwJd8ci-NHng/edit?usp=sharing"",""ราชบุรี!Q14"&amp;"3"")+IMPORTRANGE(""https://docs.google.com/spreadsheets/d/1lufeA2cfFqM-elVq2hznhDzC6Pr7wkJ9ZG_sYNGCMCU/edit?usp=sharing"",""ลพบุรี!Q143"")+IMPORTRANGE(""https://docs.google.com/spreadsheets/d/10oOiF7loTyfsTkbd4MpaIm0HQ9SwB7IYHdIUvt-U1Uc/edit?usp=sharing"""&amp;",""สระแก้ว!Q143"")+IMPORTRANGE(""https://docs.google.com/spreadsheets/d/1xmPlrr1QbdSIKvl1dWUl9K4PjAfSL9oeMr_37QVzcxc/edit?usp=sharing"",""สระบุรี!Q143"")+IMPORTRANGE(""https://docs.google.com/spreadsheets/d/1j51vR6CYVGhABJpv6tkstgok82RLpXieLzW1yOY5rHw/edi"&amp;"t?usp=sharing"",""สิงห์บุรี!Q143"")+IMPORTRANGE(""https://docs.google.com/spreadsheets/d/1H1EalTWKUSzO4Z1-1CwzoDUaVffgrThEBe2sl74kKG0/edit?usp=sharing"",""สุพรรณบุรี!Q143"")+IMPORTRANGE(""https://docs.google.com/spreadsheets/d/1BmIruG_sIrJLYao_Pdr7zVArWsf"&amp;"oBt2692TMi6x_854/edit?usp=sharing"",""อ่างทอง!Q143"")"),0)</f>
        <v>0</v>
      </c>
      <c r="R143" s="80">
        <f ca="1">IFERROR(__xludf.DUMMYFUNCTION("IMPORTRANGE(""https://docs.google.com/spreadsheets/d/13wPX838HrBrQMCywv1BsuMkt4PEKTChp52zj44s2izQ/edit?usp=sharing"",""กาญจนบุรี!R143"")+IMPORTRANGE(""https://docs.google.com/spreadsheets/d/1ddFKvqj1W1NEiWytbGlB1zMx_ykJDVtmfEQ-6-lIUBA/edit?usp=sharing"","&amp;"""จันทบุรี!R143"")+IMPORTRANGE(""https://docs.google.com/spreadsheets/d/1T1PQvRODqOBZk8BRht_U031fIS1beLA0Ub2CEytj2q0/edit?usp=sharing"",""ฉะเชิงเทรา!R143"")+IMPORTRANGE(""https://docs.google.com/spreadsheets/d/11tr1B-Bhyr79v2bkwVh5h_fR-PStkgjlZtkrZpYurG0/"&amp;"edit?usp=sharing"",""ชลบุรี!R143"")+IMPORTRANGE(""https://docs.google.com/spreadsheets/d/1hh-FVnSX0vozXhGluamEcS54Dw9_zqW0N7qJUWgJ0Sw/edit?usp=sharing"",""ชัยนาท!R143"")+IMPORTRANGE(""https://docs.google.com/spreadsheets/d/1jkqa6GXxSacMcY1eN8AHjMNJ_7dDXMJ"&amp;"VRLDlaFSOdPM/edit?usp=sharing"",""ตราด!R143"")+IMPORTRANGE(""https://docs.google.com/spreadsheets/d/18hSgUJ3VwClqi_qtULmmW3cLr0oe3OKaSYoKzdpTsYQ/edit?usp=sharing"",""นครนายก!R143"")+IMPORTRANGE(""https://docs.google.com/spreadsheets/d/1YTZo6WM2dQ6Ix6FSdnL"&amp;"5P7uVnVKu40sxZu975tgG10E/edit?usp=sharing"",""นครปฐม!R143"")+IMPORTRANGE(""https://docs.google.com/spreadsheets/d/1OYoGg4WDg5RIzwGeB10padOxJF9E_Vljuvvct_M7RDo/edit?usp=sharing"",""ปทุมธานี!R143"")+IMPORTRANGE(""https://docs.google.com/spreadsheets/d/1GbCI"&amp;"E4D4wk9FUozzqk7SxfDMxDVBwVmI5zcaVUSzKAc/edit?usp=sharing"",""ประจวบคีรีขันธ์!R143"")+IMPORTRANGE(""https://docs.google.com/spreadsheets/d/1vVf6wykvW_lAyu7Yo9L4hUTqHqIeP_qcVuxCtosJEbg/edit?usp=sharing"",""ปราจีนบุรี!R143"")+IMPORTRANGE(""https://docs.googl"&amp;"e.com/spreadsheets/d/1BIDqLLg5jk3v59G8NlR8rk5xfQDKne0sAvZHSj7TI6I/edit?usp=sharing"",""พระนครศรีอยุธยา!R143"")+IMPORTRANGE(""https://docs.google.com/spreadsheets/d/1YXvxf8Yu6_rV4hTBrwMqAcAnv6DfhUxh5emyM3CJp_w/edit?usp=sharing"",""เพชรบุรี!R143"")+IMPORTRA"&amp;"NGE(""https://docs.google.com/spreadsheets/d/19KBlQQs7uwvsao6t2n-KvW3Ax8J8uRRfZPq1zPbXgKc/edit?usp=sharing"",""ระยอง!R143"")+IMPORTRANGE(""https://docs.google.com/spreadsheets/d/1jQ6P4QcrGM89YfqcC_PxOHGCMq5ezhucwJd8ci-NHng/edit?usp=sharing"",""ราชบุรี!R14"&amp;"3"")+IMPORTRANGE(""https://docs.google.com/spreadsheets/d/1lufeA2cfFqM-elVq2hznhDzC6Pr7wkJ9ZG_sYNGCMCU/edit?usp=sharing"",""ลพบุรี!R143"")+IMPORTRANGE(""https://docs.google.com/spreadsheets/d/10oOiF7loTyfsTkbd4MpaIm0HQ9SwB7IYHdIUvt-U1Uc/edit?usp=sharing"""&amp;",""สระแก้ว!R143"")+IMPORTRANGE(""https://docs.google.com/spreadsheets/d/1xmPlrr1QbdSIKvl1dWUl9K4PjAfSL9oeMr_37QVzcxc/edit?usp=sharing"",""สระบุรี!R143"")+IMPORTRANGE(""https://docs.google.com/spreadsheets/d/1j51vR6CYVGhABJpv6tkstgok82RLpXieLzW1yOY5rHw/edi"&amp;"t?usp=sharing"",""สิงห์บุรี!R143"")+IMPORTRANGE(""https://docs.google.com/spreadsheets/d/1H1EalTWKUSzO4Z1-1CwzoDUaVffgrThEBe2sl74kKG0/edit?usp=sharing"",""สุพรรณบุรี!R143"")+IMPORTRANGE(""https://docs.google.com/spreadsheets/d/1BmIruG_sIrJLYao_Pdr7zVArWsf"&amp;"oBt2692TMi6x_854/edit?usp=sharing"",""อ่างทอง!R143"")"),0)</f>
        <v>0</v>
      </c>
      <c r="S143" s="80">
        <f ca="1">IFERROR(__xludf.DUMMYFUNCTION("IMPORTRANGE(""https://docs.google.com/spreadsheets/d/13wPX838HrBrQMCywv1BsuMkt4PEKTChp52zj44s2izQ/edit?usp=sharing"",""กาญจนบุรี!S143"")+IMPORTRANGE(""https://docs.google.com/spreadsheets/d/1ddFKvqj1W1NEiWytbGlB1zMx_ykJDVtmfEQ-6-lIUBA/edit?usp=sharing"","&amp;"""จันทบุรี!S143"")+IMPORTRANGE(""https://docs.google.com/spreadsheets/d/1T1PQvRODqOBZk8BRht_U031fIS1beLA0Ub2CEytj2q0/edit?usp=sharing"",""ฉะเชิงเทรา!S143"")+IMPORTRANGE(""https://docs.google.com/spreadsheets/d/11tr1B-Bhyr79v2bkwVh5h_fR-PStkgjlZtkrZpYurG0/"&amp;"edit?usp=sharing"",""ชลบุรี!S143"")+IMPORTRANGE(""https://docs.google.com/spreadsheets/d/1hh-FVnSX0vozXhGluamEcS54Dw9_zqW0N7qJUWgJ0Sw/edit?usp=sharing"",""ชัยนาท!S143"")+IMPORTRANGE(""https://docs.google.com/spreadsheets/d/1jkqa6GXxSacMcY1eN8AHjMNJ_7dDXMJ"&amp;"VRLDlaFSOdPM/edit?usp=sharing"",""ตราด!S143"")+IMPORTRANGE(""https://docs.google.com/spreadsheets/d/18hSgUJ3VwClqi_qtULmmW3cLr0oe3OKaSYoKzdpTsYQ/edit?usp=sharing"",""นครนายก!S143"")+IMPORTRANGE(""https://docs.google.com/spreadsheets/d/1YTZo6WM2dQ6Ix6FSdnL"&amp;"5P7uVnVKu40sxZu975tgG10E/edit?usp=sharing"",""นครปฐม!S143"")+IMPORTRANGE(""https://docs.google.com/spreadsheets/d/1OYoGg4WDg5RIzwGeB10padOxJF9E_Vljuvvct_M7RDo/edit?usp=sharing"",""ปทุมธานี!S143"")+IMPORTRANGE(""https://docs.google.com/spreadsheets/d/1GbCI"&amp;"E4D4wk9FUozzqk7SxfDMxDVBwVmI5zcaVUSzKAc/edit?usp=sharing"",""ประจวบคีรีขันธ์!S143"")+IMPORTRANGE(""https://docs.google.com/spreadsheets/d/1vVf6wykvW_lAyu7Yo9L4hUTqHqIeP_qcVuxCtosJEbg/edit?usp=sharing"",""ปราจีนบุรี!S143"")+IMPORTRANGE(""https://docs.googl"&amp;"e.com/spreadsheets/d/1BIDqLLg5jk3v59G8NlR8rk5xfQDKne0sAvZHSj7TI6I/edit?usp=sharing"",""พระนครศรีอยุธยา!S143"")+IMPORTRANGE(""https://docs.google.com/spreadsheets/d/1YXvxf8Yu6_rV4hTBrwMqAcAnv6DfhUxh5emyM3CJp_w/edit?usp=sharing"",""เพชรบุรี!S143"")+IMPORTRA"&amp;"NGE(""https://docs.google.com/spreadsheets/d/19KBlQQs7uwvsao6t2n-KvW3Ax8J8uRRfZPq1zPbXgKc/edit?usp=sharing"",""ระยอง!S143"")+IMPORTRANGE(""https://docs.google.com/spreadsheets/d/1jQ6P4QcrGM89YfqcC_PxOHGCMq5ezhucwJd8ci-NHng/edit?usp=sharing"",""ราชบุรี!S14"&amp;"3"")+IMPORTRANGE(""https://docs.google.com/spreadsheets/d/1lufeA2cfFqM-elVq2hznhDzC6Pr7wkJ9ZG_sYNGCMCU/edit?usp=sharing"",""ลพบุรี!S143"")+IMPORTRANGE(""https://docs.google.com/spreadsheets/d/10oOiF7loTyfsTkbd4MpaIm0HQ9SwB7IYHdIUvt-U1Uc/edit?usp=sharing"""&amp;",""สระแก้ว!S143"")+IMPORTRANGE(""https://docs.google.com/spreadsheets/d/1xmPlrr1QbdSIKvl1dWUl9K4PjAfSL9oeMr_37QVzcxc/edit?usp=sharing"",""สระบุรี!S143"")+IMPORTRANGE(""https://docs.google.com/spreadsheets/d/1j51vR6CYVGhABJpv6tkstgok82RLpXieLzW1yOY5rHw/edi"&amp;"t?usp=sharing"",""สิงห์บุรี!S143"")+IMPORTRANGE(""https://docs.google.com/spreadsheets/d/1H1EalTWKUSzO4Z1-1CwzoDUaVffgrThEBe2sl74kKG0/edit?usp=sharing"",""สุพรรณบุรี!S143"")+IMPORTRANGE(""https://docs.google.com/spreadsheets/d/1BmIruG_sIrJLYao_Pdr7zVArWsf"&amp;"oBt2692TMi6x_854/edit?usp=sharing"",""อ่างทอง!S143"")"),0)</f>
        <v>0</v>
      </c>
      <c r="T143" s="136">
        <f t="shared" ca="1" si="113"/>
        <v>0</v>
      </c>
      <c r="U143" s="136">
        <f t="shared" ca="1" si="114"/>
        <v>0</v>
      </c>
    </row>
    <row r="144" spans="1:21" ht="18.75" x14ac:dyDescent="0.25">
      <c r="A144" s="211"/>
      <c r="B144" s="70"/>
      <c r="C144" s="70"/>
      <c r="D144" s="70"/>
      <c r="E144" s="78" t="s">
        <v>37</v>
      </c>
      <c r="F144" s="70"/>
      <c r="G144" s="72"/>
      <c r="H144" s="220" t="s">
        <v>14</v>
      </c>
      <c r="I144" s="221"/>
      <c r="J144" s="221"/>
      <c r="K144" s="222"/>
      <c r="L144" s="91">
        <f ca="1">IFERROR(__xludf.DUMMYFUNCTION("IMPORTRANGE(""https://docs.google.com/spreadsheets/d/13wPX838HrBrQMCywv1BsuMkt4PEKTChp52zj44s2izQ/edit?usp=sharing"",""กาญจนบุรี!L144"")+IMPORTRANGE(""https://docs.google.com/spreadsheets/d/1ddFKvqj1W1NEiWytbGlB1zMx_ykJDVtmfEQ-6-lIUBA/edit?usp=sharing"","&amp;"""จันทบุรี!L144"")+IMPORTRANGE(""https://docs.google.com/spreadsheets/d/1T1PQvRODqOBZk8BRht_U031fIS1beLA0Ub2CEytj2q0/edit?usp=sharing"",""ฉะเชิงเทรา!L144"")+IMPORTRANGE(""https://docs.google.com/spreadsheets/d/11tr1B-Bhyr79v2bkwVh5h_fR-PStkgjlZtkrZpYurG0/"&amp;"edit?usp=sharing"",""ชลบุรี!L144"")+IMPORTRANGE(""https://docs.google.com/spreadsheets/d/1hh-FVnSX0vozXhGluamEcS54Dw9_zqW0N7qJUWgJ0Sw/edit?usp=sharing"",""ชัยนาท!L144"")+IMPORTRANGE(""https://docs.google.com/spreadsheets/d/1jkqa6GXxSacMcY1eN8AHjMNJ_7dDXMJ"&amp;"VRLDlaFSOdPM/edit?usp=sharing"",""ตราด!L144"")+IMPORTRANGE(""https://docs.google.com/spreadsheets/d/18hSgUJ3VwClqi_qtULmmW3cLr0oe3OKaSYoKzdpTsYQ/edit?usp=sharing"",""นครนายก!L144"")+IMPORTRANGE(""https://docs.google.com/spreadsheets/d/1YTZo6WM2dQ6Ix6FSdnL"&amp;"5P7uVnVKu40sxZu975tgG10E/edit?usp=sharing"",""นครปฐม!L144"")+IMPORTRANGE(""https://docs.google.com/spreadsheets/d/1OYoGg4WDg5RIzwGeB10padOxJF9E_Vljuvvct_M7RDo/edit?usp=sharing"",""ปทุมธานี!L144"")+IMPORTRANGE(""https://docs.google.com/spreadsheets/d/1GbCI"&amp;"E4D4wk9FUozzqk7SxfDMxDVBwVmI5zcaVUSzKAc/edit?usp=sharing"",""ประจวบคีรีขันธ์!L144"")+IMPORTRANGE(""https://docs.google.com/spreadsheets/d/1vVf6wykvW_lAyu7Yo9L4hUTqHqIeP_qcVuxCtosJEbg/edit?usp=sharing"",""ปราจีนบุรี!L144"")+IMPORTRANGE(""https://docs.googl"&amp;"e.com/spreadsheets/d/1BIDqLLg5jk3v59G8NlR8rk5xfQDKne0sAvZHSj7TI6I/edit?usp=sharing"",""พระนครศรีอยุธยา!L144"")+IMPORTRANGE(""https://docs.google.com/spreadsheets/d/1YXvxf8Yu6_rV4hTBrwMqAcAnv6DfhUxh5emyM3CJp_w/edit?usp=sharing"",""เพชรบุรี!L144"")+IMPORTRA"&amp;"NGE(""https://docs.google.com/spreadsheets/d/19KBlQQs7uwvsao6t2n-KvW3Ax8J8uRRfZPq1zPbXgKc/edit?usp=sharing"",""ระยอง!L144"")+IMPORTRANGE(""https://docs.google.com/spreadsheets/d/1jQ6P4QcrGM89YfqcC_PxOHGCMq5ezhucwJd8ci-NHng/edit?usp=sharing"",""ราชบุรี!L14"&amp;"4"")+IMPORTRANGE(""https://docs.google.com/spreadsheets/d/1lufeA2cfFqM-elVq2hznhDzC6Pr7wkJ9ZG_sYNGCMCU/edit?usp=sharing"",""ลพบุรี!L144"")+IMPORTRANGE(""https://docs.google.com/spreadsheets/d/10oOiF7loTyfsTkbd4MpaIm0HQ9SwB7IYHdIUvt-U1Uc/edit?usp=sharing"""&amp;",""สระแก้ว!L144"")+IMPORTRANGE(""https://docs.google.com/spreadsheets/d/1xmPlrr1QbdSIKvl1dWUl9K4PjAfSL9oeMr_37QVzcxc/edit?usp=sharing"",""สระบุรี!L144"")+IMPORTRANGE(""https://docs.google.com/spreadsheets/d/1j51vR6CYVGhABJpv6tkstgok82RLpXieLzW1yOY5rHw/edi"&amp;"t?usp=sharing"",""สิงห์บุรี!L144"")+IMPORTRANGE(""https://docs.google.com/spreadsheets/d/1H1EalTWKUSzO4Z1-1CwzoDUaVffgrThEBe2sl74kKG0/edit?usp=sharing"",""สุพรรณบุรี!L144"")+IMPORTRANGE(""https://docs.google.com/spreadsheets/d/1BmIruG_sIrJLYao_Pdr7zVArWsf"&amp;"oBt2692TMi6x_854/edit?usp=sharing"",""อ่างทอง!L144"")"),791100)</f>
        <v>791100</v>
      </c>
      <c r="M144" s="91">
        <f ca="1">IFERROR(__xludf.DUMMYFUNCTION("IMPORTRANGE(""https://docs.google.com/spreadsheets/d/13wPX838HrBrQMCywv1BsuMkt4PEKTChp52zj44s2izQ/edit?usp=sharing"",""กาญจนบุรี!M144"")+IMPORTRANGE(""https://docs.google.com/spreadsheets/d/1ddFKvqj1W1NEiWytbGlB1zMx_ykJDVtmfEQ-6-lIUBA/edit?usp=sharing"","&amp;"""จันทบุรี!M144"")+IMPORTRANGE(""https://docs.google.com/spreadsheets/d/1T1PQvRODqOBZk8BRht_U031fIS1beLA0Ub2CEytj2q0/edit?usp=sharing"",""ฉะเชิงเทรา!M144"")+IMPORTRANGE(""https://docs.google.com/spreadsheets/d/11tr1B-Bhyr79v2bkwVh5h_fR-PStkgjlZtkrZpYurG0/"&amp;"edit?usp=sharing"",""ชลบุรี!M144"")+IMPORTRANGE(""https://docs.google.com/spreadsheets/d/1hh-FVnSX0vozXhGluamEcS54Dw9_zqW0N7qJUWgJ0Sw/edit?usp=sharing"",""ชัยนาท!M144"")+IMPORTRANGE(""https://docs.google.com/spreadsheets/d/1jkqa6GXxSacMcY1eN8AHjMNJ_7dDXMJ"&amp;"VRLDlaFSOdPM/edit?usp=sharing"",""ตราด!M144"")+IMPORTRANGE(""https://docs.google.com/spreadsheets/d/18hSgUJ3VwClqi_qtULmmW3cLr0oe3OKaSYoKzdpTsYQ/edit?usp=sharing"",""นครนายก!M144"")+IMPORTRANGE(""https://docs.google.com/spreadsheets/d/1YTZo6WM2dQ6Ix6FSdnL"&amp;"5P7uVnVKu40sxZu975tgG10E/edit?usp=sharing"",""นครปฐม!M144"")+IMPORTRANGE(""https://docs.google.com/spreadsheets/d/1OYoGg4WDg5RIzwGeB10padOxJF9E_Vljuvvct_M7RDo/edit?usp=sharing"",""ปทุมธานี!M144"")+IMPORTRANGE(""https://docs.google.com/spreadsheets/d/1GbCI"&amp;"E4D4wk9FUozzqk7SxfDMxDVBwVmI5zcaVUSzKAc/edit?usp=sharing"",""ประจวบคีรีขันธ์!M144"")+IMPORTRANGE(""https://docs.google.com/spreadsheets/d/1vVf6wykvW_lAyu7Yo9L4hUTqHqIeP_qcVuxCtosJEbg/edit?usp=sharing"",""ปราจีนบุรี!M144"")+IMPORTRANGE(""https://docs.googl"&amp;"e.com/spreadsheets/d/1BIDqLLg5jk3v59G8NlR8rk5xfQDKne0sAvZHSj7TI6I/edit?usp=sharing"",""พระนครศรีอยุธยา!M144"")+IMPORTRANGE(""https://docs.google.com/spreadsheets/d/1YXvxf8Yu6_rV4hTBrwMqAcAnv6DfhUxh5emyM3CJp_w/edit?usp=sharing"",""เพชรบุรี!M144"")+IMPORTRA"&amp;"NGE(""https://docs.google.com/spreadsheets/d/19KBlQQs7uwvsao6t2n-KvW3Ax8J8uRRfZPq1zPbXgKc/edit?usp=sharing"",""ระยอง!M144"")+IMPORTRANGE(""https://docs.google.com/spreadsheets/d/1jQ6P4QcrGM89YfqcC_PxOHGCMq5ezhucwJd8ci-NHng/edit?usp=sharing"",""ราชบุรี!M14"&amp;"4"")+IMPORTRANGE(""https://docs.google.com/spreadsheets/d/1lufeA2cfFqM-elVq2hznhDzC6Pr7wkJ9ZG_sYNGCMCU/edit?usp=sharing"",""ลพบุรี!M144"")+IMPORTRANGE(""https://docs.google.com/spreadsheets/d/10oOiF7loTyfsTkbd4MpaIm0HQ9SwB7IYHdIUvt-U1Uc/edit?usp=sharing"""&amp;",""สระแก้ว!M144"")+IMPORTRANGE(""https://docs.google.com/spreadsheets/d/1xmPlrr1QbdSIKvl1dWUl9K4PjAfSL9oeMr_37QVzcxc/edit?usp=sharing"",""สระบุรี!M144"")+IMPORTRANGE(""https://docs.google.com/spreadsheets/d/1j51vR6CYVGhABJpv6tkstgok82RLpXieLzW1yOY5rHw/edi"&amp;"t?usp=sharing"",""สิงห์บุรี!M144"")+IMPORTRANGE(""https://docs.google.com/spreadsheets/d/1H1EalTWKUSzO4Z1-1CwzoDUaVffgrThEBe2sl74kKG0/edit?usp=sharing"",""สุพรรณบุรี!M144"")+IMPORTRANGE(""https://docs.google.com/spreadsheets/d/1BmIruG_sIrJLYao_Pdr7zVArWsf"&amp;"oBt2692TMi6x_854/edit?usp=sharing"",""อ่างทอง!M144"")"),756100)</f>
        <v>756100</v>
      </c>
      <c r="N144" s="91">
        <f ca="1">IFERROR(__xludf.DUMMYFUNCTION("IMPORTRANGE(""https://docs.google.com/spreadsheets/d/13wPX838HrBrQMCywv1BsuMkt4PEKTChp52zj44s2izQ/edit?usp=sharing"",""กาญจนบุรี!N144"")+IMPORTRANGE(""https://docs.google.com/spreadsheets/d/1ddFKvqj1W1NEiWytbGlB1zMx_ykJDVtmfEQ-6-lIUBA/edit?usp=sharing"","&amp;"""จันทบุรี!N144"")+IMPORTRANGE(""https://docs.google.com/spreadsheets/d/1T1PQvRODqOBZk8BRht_U031fIS1beLA0Ub2CEytj2q0/edit?usp=sharing"",""ฉะเชิงเทรา!N144"")+IMPORTRANGE(""https://docs.google.com/spreadsheets/d/11tr1B-Bhyr79v2bkwVh5h_fR-PStkgjlZtkrZpYurG0/"&amp;"edit?usp=sharing"",""ชลบุรี!N144"")+IMPORTRANGE(""https://docs.google.com/spreadsheets/d/1hh-FVnSX0vozXhGluamEcS54Dw9_zqW0N7qJUWgJ0Sw/edit?usp=sharing"",""ชัยนาท!N144"")+IMPORTRANGE(""https://docs.google.com/spreadsheets/d/1jkqa6GXxSacMcY1eN8AHjMNJ_7dDXMJ"&amp;"VRLDlaFSOdPM/edit?usp=sharing"",""ตราด!N144"")+IMPORTRANGE(""https://docs.google.com/spreadsheets/d/18hSgUJ3VwClqi_qtULmmW3cLr0oe3OKaSYoKzdpTsYQ/edit?usp=sharing"",""นครนายก!N144"")+IMPORTRANGE(""https://docs.google.com/spreadsheets/d/1YTZo6WM2dQ6Ix6FSdnL"&amp;"5P7uVnVKu40sxZu975tgG10E/edit?usp=sharing"",""นครปฐม!N144"")+IMPORTRANGE(""https://docs.google.com/spreadsheets/d/1OYoGg4WDg5RIzwGeB10padOxJF9E_Vljuvvct_M7RDo/edit?usp=sharing"",""ปทุมธานี!N144"")+IMPORTRANGE(""https://docs.google.com/spreadsheets/d/1GbCI"&amp;"E4D4wk9FUozzqk7SxfDMxDVBwVmI5zcaVUSzKAc/edit?usp=sharing"",""ประจวบคีรีขันธ์!N144"")+IMPORTRANGE(""https://docs.google.com/spreadsheets/d/1vVf6wykvW_lAyu7Yo9L4hUTqHqIeP_qcVuxCtosJEbg/edit?usp=sharing"",""ปราจีนบุรี!N144"")+IMPORTRANGE(""https://docs.googl"&amp;"e.com/spreadsheets/d/1BIDqLLg5jk3v59G8NlR8rk5xfQDKne0sAvZHSj7TI6I/edit?usp=sharing"",""พระนครศรีอยุธยา!N144"")+IMPORTRANGE(""https://docs.google.com/spreadsheets/d/1YXvxf8Yu6_rV4hTBrwMqAcAnv6DfhUxh5emyM3CJp_w/edit?usp=sharing"",""เพชรบุรี!N144"")+IMPORTRA"&amp;"NGE(""https://docs.google.com/spreadsheets/d/19KBlQQs7uwvsao6t2n-KvW3Ax8J8uRRfZPq1zPbXgKc/edit?usp=sharing"",""ระยอง!N144"")+IMPORTRANGE(""https://docs.google.com/spreadsheets/d/1jQ6P4QcrGM89YfqcC_PxOHGCMq5ezhucwJd8ci-NHng/edit?usp=sharing"",""ราชบุรี!N14"&amp;"4"")+IMPORTRANGE(""https://docs.google.com/spreadsheets/d/1lufeA2cfFqM-elVq2hznhDzC6Pr7wkJ9ZG_sYNGCMCU/edit?usp=sharing"",""ลพบุรี!N144"")+IMPORTRANGE(""https://docs.google.com/spreadsheets/d/10oOiF7loTyfsTkbd4MpaIm0HQ9SwB7IYHdIUvt-U1Uc/edit?usp=sharing"""&amp;",""สระแก้ว!N144"")+IMPORTRANGE(""https://docs.google.com/spreadsheets/d/1xmPlrr1QbdSIKvl1dWUl9K4PjAfSL9oeMr_37QVzcxc/edit?usp=sharing"",""สระบุรี!N144"")+IMPORTRANGE(""https://docs.google.com/spreadsheets/d/1j51vR6CYVGhABJpv6tkstgok82RLpXieLzW1yOY5rHw/edi"&amp;"t?usp=sharing"",""สิงห์บุรี!N144"")+IMPORTRANGE(""https://docs.google.com/spreadsheets/d/1H1EalTWKUSzO4Z1-1CwzoDUaVffgrThEBe2sl74kKG0/edit?usp=sharing"",""สุพรรณบุรี!N144"")+IMPORTRANGE(""https://docs.google.com/spreadsheets/d/1BmIruG_sIrJLYao_Pdr7zVArWsf"&amp;"oBt2692TMi6x_854/edit?usp=sharing"",""อ่างทอง!N144"")"),582079.559999999)</f>
        <v>582079.55999999901</v>
      </c>
      <c r="O144" s="91">
        <f t="shared" ca="1" si="110"/>
        <v>73.578505877891416</v>
      </c>
      <c r="P144" s="91">
        <f t="shared" ca="1" si="111"/>
        <v>76.984467663007408</v>
      </c>
      <c r="Q144" s="134">
        <f ca="1">IFERROR(__xludf.DUMMYFUNCTION("IMPORTRANGE(""https://docs.google.com/spreadsheets/d/13wPX838HrBrQMCywv1BsuMkt4PEKTChp52zj44s2izQ/edit?usp=sharing"",""กาญจนบุรี!Q144"")+IMPORTRANGE(""https://docs.google.com/spreadsheets/d/1ddFKvqj1W1NEiWytbGlB1zMx_ykJDVtmfEQ-6-lIUBA/edit?usp=sharing"","&amp;"""จันทบุรี!Q144"")+IMPORTRANGE(""https://docs.google.com/spreadsheets/d/1T1PQvRODqOBZk8BRht_U031fIS1beLA0Ub2CEytj2q0/edit?usp=sharing"",""ฉะเชิงเทรา!Q144"")+IMPORTRANGE(""https://docs.google.com/spreadsheets/d/11tr1B-Bhyr79v2bkwVh5h_fR-PStkgjlZtkrZpYurG0/"&amp;"edit?usp=sharing"",""ชลบุรี!Q144"")+IMPORTRANGE(""https://docs.google.com/spreadsheets/d/1hh-FVnSX0vozXhGluamEcS54Dw9_zqW0N7qJUWgJ0Sw/edit?usp=sharing"",""ชัยนาท!Q144"")+IMPORTRANGE(""https://docs.google.com/spreadsheets/d/1jkqa6GXxSacMcY1eN8AHjMNJ_7dDXMJ"&amp;"VRLDlaFSOdPM/edit?usp=sharing"",""ตราด!Q144"")+IMPORTRANGE(""https://docs.google.com/spreadsheets/d/18hSgUJ3VwClqi_qtULmmW3cLr0oe3OKaSYoKzdpTsYQ/edit?usp=sharing"",""นครนายก!Q144"")+IMPORTRANGE(""https://docs.google.com/spreadsheets/d/1YTZo6WM2dQ6Ix6FSdnL"&amp;"5P7uVnVKu40sxZu975tgG10E/edit?usp=sharing"",""นครปฐม!Q144"")+IMPORTRANGE(""https://docs.google.com/spreadsheets/d/1OYoGg4WDg5RIzwGeB10padOxJF9E_Vljuvvct_M7RDo/edit?usp=sharing"",""ปทุมธานี!Q144"")+IMPORTRANGE(""https://docs.google.com/spreadsheets/d/1GbCI"&amp;"E4D4wk9FUozzqk7SxfDMxDVBwVmI5zcaVUSzKAc/edit?usp=sharing"",""ประจวบคีรีขันธ์!Q144"")+IMPORTRANGE(""https://docs.google.com/spreadsheets/d/1vVf6wykvW_lAyu7Yo9L4hUTqHqIeP_qcVuxCtosJEbg/edit?usp=sharing"",""ปราจีนบุรี!Q144"")+IMPORTRANGE(""https://docs.googl"&amp;"e.com/spreadsheets/d/1BIDqLLg5jk3v59G8NlR8rk5xfQDKne0sAvZHSj7TI6I/edit?usp=sharing"",""พระนครศรีอยุธยา!Q144"")+IMPORTRANGE(""https://docs.google.com/spreadsheets/d/1YXvxf8Yu6_rV4hTBrwMqAcAnv6DfhUxh5emyM3CJp_w/edit?usp=sharing"",""เพชรบุรี!Q144"")+IMPORTRA"&amp;"NGE(""https://docs.google.com/spreadsheets/d/19KBlQQs7uwvsao6t2n-KvW3Ax8J8uRRfZPq1zPbXgKc/edit?usp=sharing"",""ระยอง!Q144"")+IMPORTRANGE(""https://docs.google.com/spreadsheets/d/1jQ6P4QcrGM89YfqcC_PxOHGCMq5ezhucwJd8ci-NHng/edit?usp=sharing"",""ราชบุรี!Q14"&amp;"4"")+IMPORTRANGE(""https://docs.google.com/spreadsheets/d/1lufeA2cfFqM-elVq2hznhDzC6Pr7wkJ9ZG_sYNGCMCU/edit?usp=sharing"",""ลพบุรี!Q144"")+IMPORTRANGE(""https://docs.google.com/spreadsheets/d/10oOiF7loTyfsTkbd4MpaIm0HQ9SwB7IYHdIUvt-U1Uc/edit?usp=sharing"""&amp;",""สระแก้ว!Q144"")+IMPORTRANGE(""https://docs.google.com/spreadsheets/d/1xmPlrr1QbdSIKvl1dWUl9K4PjAfSL9oeMr_37QVzcxc/edit?usp=sharing"",""สระบุรี!Q144"")+IMPORTRANGE(""https://docs.google.com/spreadsheets/d/1j51vR6CYVGhABJpv6tkstgok82RLpXieLzW1yOY5rHw/edi"&amp;"t?usp=sharing"",""สิงห์บุรี!Q144"")+IMPORTRANGE(""https://docs.google.com/spreadsheets/d/1H1EalTWKUSzO4Z1-1CwzoDUaVffgrThEBe2sl74kKG0/edit?usp=sharing"",""สุพรรณบุรี!Q144"")+IMPORTRANGE(""https://docs.google.com/spreadsheets/d/1BmIruG_sIrJLYao_Pdr7zVArWsf"&amp;"oBt2692TMi6x_854/edit?usp=sharing"",""อ่างทอง!Q144"")"),0)</f>
        <v>0</v>
      </c>
      <c r="R144" s="135">
        <f ca="1">IFERROR(__xludf.DUMMYFUNCTION("IMPORTRANGE(""https://docs.google.com/spreadsheets/d/13wPX838HrBrQMCywv1BsuMkt4PEKTChp52zj44s2izQ/edit?usp=sharing"",""กาญจนบุรี!R144"")+IMPORTRANGE(""https://docs.google.com/spreadsheets/d/1ddFKvqj1W1NEiWytbGlB1zMx_ykJDVtmfEQ-6-lIUBA/edit?usp=sharing"","&amp;"""จันทบุรี!R144"")+IMPORTRANGE(""https://docs.google.com/spreadsheets/d/1T1PQvRODqOBZk8BRht_U031fIS1beLA0Ub2CEytj2q0/edit?usp=sharing"",""ฉะเชิงเทรา!R144"")+IMPORTRANGE(""https://docs.google.com/spreadsheets/d/11tr1B-Bhyr79v2bkwVh5h_fR-PStkgjlZtkrZpYurG0/"&amp;"edit?usp=sharing"",""ชลบุรี!R144"")+IMPORTRANGE(""https://docs.google.com/spreadsheets/d/1hh-FVnSX0vozXhGluamEcS54Dw9_zqW0N7qJUWgJ0Sw/edit?usp=sharing"",""ชัยนาท!R144"")+IMPORTRANGE(""https://docs.google.com/spreadsheets/d/1jkqa6GXxSacMcY1eN8AHjMNJ_7dDXMJ"&amp;"VRLDlaFSOdPM/edit?usp=sharing"",""ตราด!R144"")+IMPORTRANGE(""https://docs.google.com/spreadsheets/d/18hSgUJ3VwClqi_qtULmmW3cLr0oe3OKaSYoKzdpTsYQ/edit?usp=sharing"",""นครนายก!R144"")+IMPORTRANGE(""https://docs.google.com/spreadsheets/d/1YTZo6WM2dQ6Ix6FSdnL"&amp;"5P7uVnVKu40sxZu975tgG10E/edit?usp=sharing"",""นครปฐม!R144"")+IMPORTRANGE(""https://docs.google.com/spreadsheets/d/1OYoGg4WDg5RIzwGeB10padOxJF9E_Vljuvvct_M7RDo/edit?usp=sharing"",""ปทุมธานี!R144"")+IMPORTRANGE(""https://docs.google.com/spreadsheets/d/1GbCI"&amp;"E4D4wk9FUozzqk7SxfDMxDVBwVmI5zcaVUSzKAc/edit?usp=sharing"",""ประจวบคีรีขันธ์!R144"")+IMPORTRANGE(""https://docs.google.com/spreadsheets/d/1vVf6wykvW_lAyu7Yo9L4hUTqHqIeP_qcVuxCtosJEbg/edit?usp=sharing"",""ปราจีนบุรี!R144"")+IMPORTRANGE(""https://docs.googl"&amp;"e.com/spreadsheets/d/1BIDqLLg5jk3v59G8NlR8rk5xfQDKne0sAvZHSj7TI6I/edit?usp=sharing"",""พระนครศรีอยุธยา!R144"")+IMPORTRANGE(""https://docs.google.com/spreadsheets/d/1YXvxf8Yu6_rV4hTBrwMqAcAnv6DfhUxh5emyM3CJp_w/edit?usp=sharing"",""เพชรบุรี!R144"")+IMPORTRA"&amp;"NGE(""https://docs.google.com/spreadsheets/d/19KBlQQs7uwvsao6t2n-KvW3Ax8J8uRRfZPq1zPbXgKc/edit?usp=sharing"",""ระยอง!R144"")+IMPORTRANGE(""https://docs.google.com/spreadsheets/d/1jQ6P4QcrGM89YfqcC_PxOHGCMq5ezhucwJd8ci-NHng/edit?usp=sharing"",""ราชบุรี!R14"&amp;"4"")+IMPORTRANGE(""https://docs.google.com/spreadsheets/d/1lufeA2cfFqM-elVq2hznhDzC6Pr7wkJ9ZG_sYNGCMCU/edit?usp=sharing"",""ลพบุรี!R144"")+IMPORTRANGE(""https://docs.google.com/spreadsheets/d/10oOiF7loTyfsTkbd4MpaIm0HQ9SwB7IYHdIUvt-U1Uc/edit?usp=sharing"""&amp;",""สระแก้ว!R144"")+IMPORTRANGE(""https://docs.google.com/spreadsheets/d/1xmPlrr1QbdSIKvl1dWUl9K4PjAfSL9oeMr_37QVzcxc/edit?usp=sharing"",""สระบุรี!R144"")+IMPORTRANGE(""https://docs.google.com/spreadsheets/d/1j51vR6CYVGhABJpv6tkstgok82RLpXieLzW1yOY5rHw/edi"&amp;"t?usp=sharing"",""สิงห์บุรี!R144"")+IMPORTRANGE(""https://docs.google.com/spreadsheets/d/1H1EalTWKUSzO4Z1-1CwzoDUaVffgrThEBe2sl74kKG0/edit?usp=sharing"",""สุพรรณบุรี!R144"")+IMPORTRANGE(""https://docs.google.com/spreadsheets/d/1BmIruG_sIrJLYao_Pdr7zVArWsf"&amp;"oBt2692TMi6x_854/edit?usp=sharing"",""อ่างทอง!R144"")"),0)</f>
        <v>0</v>
      </c>
      <c r="S144" s="135">
        <f ca="1">IFERROR(__xludf.DUMMYFUNCTION("IMPORTRANGE(""https://docs.google.com/spreadsheets/d/13wPX838HrBrQMCywv1BsuMkt4PEKTChp52zj44s2izQ/edit?usp=sharing"",""กาญจนบุรี!S144"")+IMPORTRANGE(""https://docs.google.com/spreadsheets/d/1ddFKvqj1W1NEiWytbGlB1zMx_ykJDVtmfEQ-6-lIUBA/edit?usp=sharing"","&amp;"""จันทบุรี!S144"")+IMPORTRANGE(""https://docs.google.com/spreadsheets/d/1T1PQvRODqOBZk8BRht_U031fIS1beLA0Ub2CEytj2q0/edit?usp=sharing"",""ฉะเชิงเทรา!S144"")+IMPORTRANGE(""https://docs.google.com/spreadsheets/d/11tr1B-Bhyr79v2bkwVh5h_fR-PStkgjlZtkrZpYurG0/"&amp;"edit?usp=sharing"",""ชลบุรี!S144"")+IMPORTRANGE(""https://docs.google.com/spreadsheets/d/1hh-FVnSX0vozXhGluamEcS54Dw9_zqW0N7qJUWgJ0Sw/edit?usp=sharing"",""ชัยนาท!S144"")+IMPORTRANGE(""https://docs.google.com/spreadsheets/d/1jkqa6GXxSacMcY1eN8AHjMNJ_7dDXMJ"&amp;"VRLDlaFSOdPM/edit?usp=sharing"",""ตราด!S144"")+IMPORTRANGE(""https://docs.google.com/spreadsheets/d/18hSgUJ3VwClqi_qtULmmW3cLr0oe3OKaSYoKzdpTsYQ/edit?usp=sharing"",""นครนายก!S144"")+IMPORTRANGE(""https://docs.google.com/spreadsheets/d/1YTZo6WM2dQ6Ix6FSdnL"&amp;"5P7uVnVKu40sxZu975tgG10E/edit?usp=sharing"",""นครปฐม!S144"")+IMPORTRANGE(""https://docs.google.com/spreadsheets/d/1OYoGg4WDg5RIzwGeB10padOxJF9E_Vljuvvct_M7RDo/edit?usp=sharing"",""ปทุมธานี!S144"")+IMPORTRANGE(""https://docs.google.com/spreadsheets/d/1GbCI"&amp;"E4D4wk9FUozzqk7SxfDMxDVBwVmI5zcaVUSzKAc/edit?usp=sharing"",""ประจวบคีรีขันธ์!S144"")+IMPORTRANGE(""https://docs.google.com/spreadsheets/d/1vVf6wykvW_lAyu7Yo9L4hUTqHqIeP_qcVuxCtosJEbg/edit?usp=sharing"",""ปราจีนบุรี!S144"")+IMPORTRANGE(""https://docs.googl"&amp;"e.com/spreadsheets/d/1BIDqLLg5jk3v59G8NlR8rk5xfQDKne0sAvZHSj7TI6I/edit?usp=sharing"",""พระนครศรีอยุธยา!S144"")+IMPORTRANGE(""https://docs.google.com/spreadsheets/d/1YXvxf8Yu6_rV4hTBrwMqAcAnv6DfhUxh5emyM3CJp_w/edit?usp=sharing"",""เพชรบุรี!S144"")+IMPORTRA"&amp;"NGE(""https://docs.google.com/spreadsheets/d/19KBlQQs7uwvsao6t2n-KvW3Ax8J8uRRfZPq1zPbXgKc/edit?usp=sharing"",""ระยอง!S144"")+IMPORTRANGE(""https://docs.google.com/spreadsheets/d/1jQ6P4QcrGM89YfqcC_PxOHGCMq5ezhucwJd8ci-NHng/edit?usp=sharing"",""ราชบุรี!S14"&amp;"4"")+IMPORTRANGE(""https://docs.google.com/spreadsheets/d/1lufeA2cfFqM-elVq2hznhDzC6Pr7wkJ9ZG_sYNGCMCU/edit?usp=sharing"",""ลพบุรี!S144"")+IMPORTRANGE(""https://docs.google.com/spreadsheets/d/10oOiF7loTyfsTkbd4MpaIm0HQ9SwB7IYHdIUvt-U1Uc/edit?usp=sharing"""&amp;",""สระแก้ว!S144"")+IMPORTRANGE(""https://docs.google.com/spreadsheets/d/1xmPlrr1QbdSIKvl1dWUl9K4PjAfSL9oeMr_37QVzcxc/edit?usp=sharing"",""สระบุรี!S144"")+IMPORTRANGE(""https://docs.google.com/spreadsheets/d/1j51vR6CYVGhABJpv6tkstgok82RLpXieLzW1yOY5rHw/edi"&amp;"t?usp=sharing"",""สิงห์บุรี!S144"")+IMPORTRANGE(""https://docs.google.com/spreadsheets/d/1H1EalTWKUSzO4Z1-1CwzoDUaVffgrThEBe2sl74kKG0/edit?usp=sharing"",""สุพรรณบุรี!S144"")+IMPORTRANGE(""https://docs.google.com/spreadsheets/d/1BmIruG_sIrJLYao_Pdr7zVArWsf"&amp;"oBt2692TMi6x_854/edit?usp=sharing"",""อ่างทอง!S144"")"),0)</f>
        <v>0</v>
      </c>
      <c r="T144" s="135">
        <f t="shared" ca="1" si="113"/>
        <v>0</v>
      </c>
      <c r="U144" s="135">
        <f t="shared" ca="1" si="114"/>
        <v>0</v>
      </c>
    </row>
    <row r="145" spans="1:21" ht="18.75" x14ac:dyDescent="0.25">
      <c r="A145" s="211"/>
      <c r="B145" s="70"/>
      <c r="C145" s="70"/>
      <c r="D145" s="71" t="s">
        <v>23</v>
      </c>
      <c r="E145" s="70"/>
      <c r="F145" s="70"/>
      <c r="G145" s="72"/>
      <c r="H145" s="223" t="s">
        <v>14</v>
      </c>
      <c r="I145" s="221"/>
      <c r="J145" s="221"/>
      <c r="K145" s="222"/>
      <c r="L145" s="91">
        <f t="shared" ref="L145:N145" ca="1" si="121">L146+L147</f>
        <v>0</v>
      </c>
      <c r="M145" s="91">
        <f t="shared" ca="1" si="121"/>
        <v>0</v>
      </c>
      <c r="N145" s="91">
        <f t="shared" ca="1" si="121"/>
        <v>0</v>
      </c>
      <c r="O145" s="91">
        <f t="shared" ca="1" si="110"/>
        <v>0</v>
      </c>
      <c r="P145" s="91">
        <f t="shared" ca="1" si="111"/>
        <v>0</v>
      </c>
      <c r="Q145" s="134">
        <f t="shared" ref="Q145:S145" ca="1" si="122">Q146+Q147</f>
        <v>0</v>
      </c>
      <c r="R145" s="135">
        <f t="shared" ca="1" si="122"/>
        <v>0</v>
      </c>
      <c r="S145" s="135">
        <f t="shared" ca="1" si="122"/>
        <v>0</v>
      </c>
      <c r="T145" s="135">
        <f t="shared" ca="1" si="113"/>
        <v>0</v>
      </c>
      <c r="U145" s="135">
        <f t="shared" ca="1" si="114"/>
        <v>0</v>
      </c>
    </row>
    <row r="146" spans="1:21" ht="18.75" x14ac:dyDescent="0.25">
      <c r="A146" s="211"/>
      <c r="B146" s="70"/>
      <c r="C146" s="70"/>
      <c r="D146" s="70"/>
      <c r="E146" s="78" t="s">
        <v>20</v>
      </c>
      <c r="F146" s="70"/>
      <c r="G146" s="72"/>
      <c r="H146" s="220" t="s">
        <v>14</v>
      </c>
      <c r="I146" s="221"/>
      <c r="J146" s="221"/>
      <c r="K146" s="222"/>
      <c r="L146" s="91">
        <f ca="1">IFERROR(__xludf.DUMMYFUNCTION("IMPORTRANGE(""https://docs.google.com/spreadsheets/d/13wPX838HrBrQMCywv1BsuMkt4PEKTChp52zj44s2izQ/edit?usp=sharing"",""กาญจนบุรี!L146"")+IMPORTRANGE(""https://docs.google.com/spreadsheets/d/1ddFKvqj1W1NEiWytbGlB1zMx_ykJDVtmfEQ-6-lIUBA/edit?usp=sharing"","&amp;"""จันทบุรี!L146"")+IMPORTRANGE(""https://docs.google.com/spreadsheets/d/1T1PQvRODqOBZk8BRht_U031fIS1beLA0Ub2CEytj2q0/edit?usp=sharing"",""ฉะเชิงเทรา!L146"")+IMPORTRANGE(""https://docs.google.com/spreadsheets/d/11tr1B-Bhyr79v2bkwVh5h_fR-PStkgjlZtkrZpYurG0/"&amp;"edit?usp=sharing"",""ชลบุรี!L146"")+IMPORTRANGE(""https://docs.google.com/spreadsheets/d/1hh-FVnSX0vozXhGluamEcS54Dw9_zqW0N7qJUWgJ0Sw/edit?usp=sharing"",""ชัยนาท!L146"")+IMPORTRANGE(""https://docs.google.com/spreadsheets/d/1jkqa6GXxSacMcY1eN8AHjMNJ_7dDXMJ"&amp;"VRLDlaFSOdPM/edit?usp=sharing"",""ตราด!L146"")+IMPORTRANGE(""https://docs.google.com/spreadsheets/d/18hSgUJ3VwClqi_qtULmmW3cLr0oe3OKaSYoKzdpTsYQ/edit?usp=sharing"",""นครนายก!L146"")+IMPORTRANGE(""https://docs.google.com/spreadsheets/d/1YTZo6WM2dQ6Ix6FSdnL"&amp;"5P7uVnVKu40sxZu975tgG10E/edit?usp=sharing"",""นครปฐม!L146"")+IMPORTRANGE(""https://docs.google.com/spreadsheets/d/1OYoGg4WDg5RIzwGeB10padOxJF9E_Vljuvvct_M7RDo/edit?usp=sharing"",""ปทุมธานี!L146"")+IMPORTRANGE(""https://docs.google.com/spreadsheets/d/1GbCI"&amp;"E4D4wk9FUozzqk7SxfDMxDVBwVmI5zcaVUSzKAc/edit?usp=sharing"",""ประจวบคีรีขันธ์!L146"")+IMPORTRANGE(""https://docs.google.com/spreadsheets/d/1vVf6wykvW_lAyu7Yo9L4hUTqHqIeP_qcVuxCtosJEbg/edit?usp=sharing"",""ปราจีนบุรี!L146"")+IMPORTRANGE(""https://docs.googl"&amp;"e.com/spreadsheets/d/1BIDqLLg5jk3v59G8NlR8rk5xfQDKne0sAvZHSj7TI6I/edit?usp=sharing"",""พระนครศรีอยุธยา!L146"")+IMPORTRANGE(""https://docs.google.com/spreadsheets/d/1YXvxf8Yu6_rV4hTBrwMqAcAnv6DfhUxh5emyM3CJp_w/edit?usp=sharing"",""เพชรบุรี!L146"")+IMPORTRA"&amp;"NGE(""https://docs.google.com/spreadsheets/d/19KBlQQs7uwvsao6t2n-KvW3Ax8J8uRRfZPq1zPbXgKc/edit?usp=sharing"",""ระยอง!L146"")+IMPORTRANGE(""https://docs.google.com/spreadsheets/d/1jQ6P4QcrGM89YfqcC_PxOHGCMq5ezhucwJd8ci-NHng/edit?usp=sharing"",""ราชบุรี!L14"&amp;"6"")+IMPORTRANGE(""https://docs.google.com/spreadsheets/d/1lufeA2cfFqM-elVq2hznhDzC6Pr7wkJ9ZG_sYNGCMCU/edit?usp=sharing"",""ลพบุรี!L146"")+IMPORTRANGE(""https://docs.google.com/spreadsheets/d/10oOiF7loTyfsTkbd4MpaIm0HQ9SwB7IYHdIUvt-U1Uc/edit?usp=sharing"""&amp;",""สระแก้ว!L146"")+IMPORTRANGE(""https://docs.google.com/spreadsheets/d/1xmPlrr1QbdSIKvl1dWUl9K4PjAfSL9oeMr_37QVzcxc/edit?usp=sharing"",""สระบุรี!L146"")+IMPORTRANGE(""https://docs.google.com/spreadsheets/d/1j51vR6CYVGhABJpv6tkstgok82RLpXieLzW1yOY5rHw/edi"&amp;"t?usp=sharing"",""สิงห์บุรี!L146"")+IMPORTRANGE(""https://docs.google.com/spreadsheets/d/1H1EalTWKUSzO4Z1-1CwzoDUaVffgrThEBe2sl74kKG0/edit?usp=sharing"",""สุพรรณบุรี!L146"")+IMPORTRANGE(""https://docs.google.com/spreadsheets/d/1BmIruG_sIrJLYao_Pdr7zVArWsf"&amp;"oBt2692TMi6x_854/edit?usp=sharing"",""อ่างทอง!L146"")"),0)</f>
        <v>0</v>
      </c>
      <c r="M146" s="91">
        <f ca="1">IFERROR(__xludf.DUMMYFUNCTION("IMPORTRANGE(""https://docs.google.com/spreadsheets/d/13wPX838HrBrQMCywv1BsuMkt4PEKTChp52zj44s2izQ/edit?usp=sharing"",""กาญจนบุรี!M146"")+IMPORTRANGE(""https://docs.google.com/spreadsheets/d/1ddFKvqj1W1NEiWytbGlB1zMx_ykJDVtmfEQ-6-lIUBA/edit?usp=sharing"","&amp;"""จันทบุรี!M146"")+IMPORTRANGE(""https://docs.google.com/spreadsheets/d/1T1PQvRODqOBZk8BRht_U031fIS1beLA0Ub2CEytj2q0/edit?usp=sharing"",""ฉะเชิงเทรา!M146"")+IMPORTRANGE(""https://docs.google.com/spreadsheets/d/11tr1B-Bhyr79v2bkwVh5h_fR-PStkgjlZtkrZpYurG0/"&amp;"edit?usp=sharing"",""ชลบุรี!M146"")+IMPORTRANGE(""https://docs.google.com/spreadsheets/d/1hh-FVnSX0vozXhGluamEcS54Dw9_zqW0N7qJUWgJ0Sw/edit?usp=sharing"",""ชัยนาท!M146"")+IMPORTRANGE(""https://docs.google.com/spreadsheets/d/1jkqa6GXxSacMcY1eN8AHjMNJ_7dDXMJ"&amp;"VRLDlaFSOdPM/edit?usp=sharing"",""ตราด!M146"")+IMPORTRANGE(""https://docs.google.com/spreadsheets/d/18hSgUJ3VwClqi_qtULmmW3cLr0oe3OKaSYoKzdpTsYQ/edit?usp=sharing"",""นครนายก!M146"")+IMPORTRANGE(""https://docs.google.com/spreadsheets/d/1YTZo6WM2dQ6Ix6FSdnL"&amp;"5P7uVnVKu40sxZu975tgG10E/edit?usp=sharing"",""นครปฐม!M146"")+IMPORTRANGE(""https://docs.google.com/spreadsheets/d/1OYoGg4WDg5RIzwGeB10padOxJF9E_Vljuvvct_M7RDo/edit?usp=sharing"",""ปทุมธานี!M146"")+IMPORTRANGE(""https://docs.google.com/spreadsheets/d/1GbCI"&amp;"E4D4wk9FUozzqk7SxfDMxDVBwVmI5zcaVUSzKAc/edit?usp=sharing"",""ประจวบคีรีขันธ์!M146"")+IMPORTRANGE(""https://docs.google.com/spreadsheets/d/1vVf6wykvW_lAyu7Yo9L4hUTqHqIeP_qcVuxCtosJEbg/edit?usp=sharing"",""ปราจีนบุรี!M146"")+IMPORTRANGE(""https://docs.googl"&amp;"e.com/spreadsheets/d/1BIDqLLg5jk3v59G8NlR8rk5xfQDKne0sAvZHSj7TI6I/edit?usp=sharing"",""พระนครศรีอยุธยา!M146"")+IMPORTRANGE(""https://docs.google.com/spreadsheets/d/1YXvxf8Yu6_rV4hTBrwMqAcAnv6DfhUxh5emyM3CJp_w/edit?usp=sharing"",""เพชรบุรี!M146"")+IMPORTRA"&amp;"NGE(""https://docs.google.com/spreadsheets/d/19KBlQQs7uwvsao6t2n-KvW3Ax8J8uRRfZPq1zPbXgKc/edit?usp=sharing"",""ระยอง!M146"")+IMPORTRANGE(""https://docs.google.com/spreadsheets/d/1jQ6P4QcrGM89YfqcC_PxOHGCMq5ezhucwJd8ci-NHng/edit?usp=sharing"",""ราชบุรี!M14"&amp;"6"")+IMPORTRANGE(""https://docs.google.com/spreadsheets/d/1lufeA2cfFqM-elVq2hznhDzC6Pr7wkJ9ZG_sYNGCMCU/edit?usp=sharing"",""ลพบุรี!M146"")+IMPORTRANGE(""https://docs.google.com/spreadsheets/d/10oOiF7loTyfsTkbd4MpaIm0HQ9SwB7IYHdIUvt-U1Uc/edit?usp=sharing"""&amp;",""สระแก้ว!M146"")+IMPORTRANGE(""https://docs.google.com/spreadsheets/d/1xmPlrr1QbdSIKvl1dWUl9K4PjAfSL9oeMr_37QVzcxc/edit?usp=sharing"",""สระบุรี!M146"")+IMPORTRANGE(""https://docs.google.com/spreadsheets/d/1j51vR6CYVGhABJpv6tkstgok82RLpXieLzW1yOY5rHw/edi"&amp;"t?usp=sharing"",""สิงห์บุรี!M146"")+IMPORTRANGE(""https://docs.google.com/spreadsheets/d/1H1EalTWKUSzO4Z1-1CwzoDUaVffgrThEBe2sl74kKG0/edit?usp=sharing"",""สุพรรณบุรี!M146"")+IMPORTRANGE(""https://docs.google.com/spreadsheets/d/1BmIruG_sIrJLYao_Pdr7zVArWsf"&amp;"oBt2692TMi6x_854/edit?usp=sharing"",""อ่างทอง!M146"")"),0)</f>
        <v>0</v>
      </c>
      <c r="N146" s="91">
        <f ca="1">IFERROR(__xludf.DUMMYFUNCTION("IMPORTRANGE(""https://docs.google.com/spreadsheets/d/13wPX838HrBrQMCywv1BsuMkt4PEKTChp52zj44s2izQ/edit?usp=sharing"",""กาญจนบุรี!N146"")+IMPORTRANGE(""https://docs.google.com/spreadsheets/d/1ddFKvqj1W1NEiWytbGlB1zMx_ykJDVtmfEQ-6-lIUBA/edit?usp=sharing"","&amp;"""จันทบุรี!N146"")+IMPORTRANGE(""https://docs.google.com/spreadsheets/d/1T1PQvRODqOBZk8BRht_U031fIS1beLA0Ub2CEytj2q0/edit?usp=sharing"",""ฉะเชิงเทรา!N146"")+IMPORTRANGE(""https://docs.google.com/spreadsheets/d/11tr1B-Bhyr79v2bkwVh5h_fR-PStkgjlZtkrZpYurG0/"&amp;"edit?usp=sharing"",""ชลบุรี!N146"")+IMPORTRANGE(""https://docs.google.com/spreadsheets/d/1hh-FVnSX0vozXhGluamEcS54Dw9_zqW0N7qJUWgJ0Sw/edit?usp=sharing"",""ชัยนาท!N146"")+IMPORTRANGE(""https://docs.google.com/spreadsheets/d/1jkqa6GXxSacMcY1eN8AHjMNJ_7dDXMJ"&amp;"VRLDlaFSOdPM/edit?usp=sharing"",""ตราด!N146"")+IMPORTRANGE(""https://docs.google.com/spreadsheets/d/18hSgUJ3VwClqi_qtULmmW3cLr0oe3OKaSYoKzdpTsYQ/edit?usp=sharing"",""นครนายก!N146"")+IMPORTRANGE(""https://docs.google.com/spreadsheets/d/1YTZo6WM2dQ6Ix6FSdnL"&amp;"5P7uVnVKu40sxZu975tgG10E/edit?usp=sharing"",""นครปฐม!N146"")+IMPORTRANGE(""https://docs.google.com/spreadsheets/d/1OYoGg4WDg5RIzwGeB10padOxJF9E_Vljuvvct_M7RDo/edit?usp=sharing"",""ปทุมธานี!N146"")+IMPORTRANGE(""https://docs.google.com/spreadsheets/d/1GbCI"&amp;"E4D4wk9FUozzqk7SxfDMxDVBwVmI5zcaVUSzKAc/edit?usp=sharing"",""ประจวบคีรีขันธ์!N146"")+IMPORTRANGE(""https://docs.google.com/spreadsheets/d/1vVf6wykvW_lAyu7Yo9L4hUTqHqIeP_qcVuxCtosJEbg/edit?usp=sharing"",""ปราจีนบุรี!N146"")+IMPORTRANGE(""https://docs.googl"&amp;"e.com/spreadsheets/d/1BIDqLLg5jk3v59G8NlR8rk5xfQDKne0sAvZHSj7TI6I/edit?usp=sharing"",""พระนครศรีอยุธยา!N146"")+IMPORTRANGE(""https://docs.google.com/spreadsheets/d/1YXvxf8Yu6_rV4hTBrwMqAcAnv6DfhUxh5emyM3CJp_w/edit?usp=sharing"",""เพชรบุรี!N146"")+IMPORTRA"&amp;"NGE(""https://docs.google.com/spreadsheets/d/19KBlQQs7uwvsao6t2n-KvW3Ax8J8uRRfZPq1zPbXgKc/edit?usp=sharing"",""ระยอง!N146"")+IMPORTRANGE(""https://docs.google.com/spreadsheets/d/1jQ6P4QcrGM89YfqcC_PxOHGCMq5ezhucwJd8ci-NHng/edit?usp=sharing"",""ราชบุรี!N14"&amp;"6"")+IMPORTRANGE(""https://docs.google.com/spreadsheets/d/1lufeA2cfFqM-elVq2hznhDzC6Pr7wkJ9ZG_sYNGCMCU/edit?usp=sharing"",""ลพบุรี!N146"")+IMPORTRANGE(""https://docs.google.com/spreadsheets/d/10oOiF7loTyfsTkbd4MpaIm0HQ9SwB7IYHdIUvt-U1Uc/edit?usp=sharing"""&amp;",""สระแก้ว!N146"")+IMPORTRANGE(""https://docs.google.com/spreadsheets/d/1xmPlrr1QbdSIKvl1dWUl9K4PjAfSL9oeMr_37QVzcxc/edit?usp=sharing"",""สระบุรี!N146"")+IMPORTRANGE(""https://docs.google.com/spreadsheets/d/1j51vR6CYVGhABJpv6tkstgok82RLpXieLzW1yOY5rHw/edi"&amp;"t?usp=sharing"",""สิงห์บุรี!N146"")+IMPORTRANGE(""https://docs.google.com/spreadsheets/d/1H1EalTWKUSzO4Z1-1CwzoDUaVffgrThEBe2sl74kKG0/edit?usp=sharing"",""สุพรรณบุรี!N146"")+IMPORTRANGE(""https://docs.google.com/spreadsheets/d/1BmIruG_sIrJLYao_Pdr7zVArWsf"&amp;"oBt2692TMi6x_854/edit?usp=sharing"",""อ่างทอง!N146"")"),0)</f>
        <v>0</v>
      </c>
      <c r="O146" s="91">
        <f t="shared" ca="1" si="110"/>
        <v>0</v>
      </c>
      <c r="P146" s="91">
        <f t="shared" ca="1" si="111"/>
        <v>0</v>
      </c>
      <c r="Q146" s="79">
        <f ca="1">IFERROR(__xludf.DUMMYFUNCTION("IMPORTRANGE(""https://docs.google.com/spreadsheets/d/13wPX838HrBrQMCywv1BsuMkt4PEKTChp52zj44s2izQ/edit?usp=sharing"",""กาญจนบุรี!Q146"")+IMPORTRANGE(""https://docs.google.com/spreadsheets/d/1ddFKvqj1W1NEiWytbGlB1zMx_ykJDVtmfEQ-6-lIUBA/edit?usp=sharing"","&amp;"""จันทบุรี!Q146"")+IMPORTRANGE(""https://docs.google.com/spreadsheets/d/1T1PQvRODqOBZk8BRht_U031fIS1beLA0Ub2CEytj2q0/edit?usp=sharing"",""ฉะเชิงเทรา!Q146"")+IMPORTRANGE(""https://docs.google.com/spreadsheets/d/11tr1B-Bhyr79v2bkwVh5h_fR-PStkgjlZtkrZpYurG0/"&amp;"edit?usp=sharing"",""ชลบุรี!Q146"")+IMPORTRANGE(""https://docs.google.com/spreadsheets/d/1hh-FVnSX0vozXhGluamEcS54Dw9_zqW0N7qJUWgJ0Sw/edit?usp=sharing"",""ชัยนาท!Q146"")+IMPORTRANGE(""https://docs.google.com/spreadsheets/d/1jkqa6GXxSacMcY1eN8AHjMNJ_7dDXMJ"&amp;"VRLDlaFSOdPM/edit?usp=sharing"",""ตราด!Q146"")+IMPORTRANGE(""https://docs.google.com/spreadsheets/d/18hSgUJ3VwClqi_qtULmmW3cLr0oe3OKaSYoKzdpTsYQ/edit?usp=sharing"",""นครนายก!Q146"")+IMPORTRANGE(""https://docs.google.com/spreadsheets/d/1YTZo6WM2dQ6Ix6FSdnL"&amp;"5P7uVnVKu40sxZu975tgG10E/edit?usp=sharing"",""นครปฐม!Q146"")+IMPORTRANGE(""https://docs.google.com/spreadsheets/d/1OYoGg4WDg5RIzwGeB10padOxJF9E_Vljuvvct_M7RDo/edit?usp=sharing"",""ปทุมธานี!Q146"")+IMPORTRANGE(""https://docs.google.com/spreadsheets/d/1GbCI"&amp;"E4D4wk9FUozzqk7SxfDMxDVBwVmI5zcaVUSzKAc/edit?usp=sharing"",""ประจวบคีรีขันธ์!Q146"")+IMPORTRANGE(""https://docs.google.com/spreadsheets/d/1vVf6wykvW_lAyu7Yo9L4hUTqHqIeP_qcVuxCtosJEbg/edit?usp=sharing"",""ปราจีนบุรี!Q146"")+IMPORTRANGE(""https://docs.googl"&amp;"e.com/spreadsheets/d/1BIDqLLg5jk3v59G8NlR8rk5xfQDKne0sAvZHSj7TI6I/edit?usp=sharing"",""พระนครศรีอยุธยา!Q146"")+IMPORTRANGE(""https://docs.google.com/spreadsheets/d/1YXvxf8Yu6_rV4hTBrwMqAcAnv6DfhUxh5emyM3CJp_w/edit?usp=sharing"",""เพชรบุรี!Q146"")+IMPORTRA"&amp;"NGE(""https://docs.google.com/spreadsheets/d/19KBlQQs7uwvsao6t2n-KvW3Ax8J8uRRfZPq1zPbXgKc/edit?usp=sharing"",""ระยอง!Q146"")+IMPORTRANGE(""https://docs.google.com/spreadsheets/d/1jQ6P4QcrGM89YfqcC_PxOHGCMq5ezhucwJd8ci-NHng/edit?usp=sharing"",""ราชบุรี!Q14"&amp;"6"")+IMPORTRANGE(""https://docs.google.com/spreadsheets/d/1lufeA2cfFqM-elVq2hznhDzC6Pr7wkJ9ZG_sYNGCMCU/edit?usp=sharing"",""ลพบุรี!Q146"")+IMPORTRANGE(""https://docs.google.com/spreadsheets/d/10oOiF7loTyfsTkbd4MpaIm0HQ9SwB7IYHdIUvt-U1Uc/edit?usp=sharing"""&amp;",""สระแก้ว!Q146"")+IMPORTRANGE(""https://docs.google.com/spreadsheets/d/1xmPlrr1QbdSIKvl1dWUl9K4PjAfSL9oeMr_37QVzcxc/edit?usp=sharing"",""สระบุรี!Q146"")+IMPORTRANGE(""https://docs.google.com/spreadsheets/d/1j51vR6CYVGhABJpv6tkstgok82RLpXieLzW1yOY5rHw/edi"&amp;"t?usp=sharing"",""สิงห์บุรี!Q146"")+IMPORTRANGE(""https://docs.google.com/spreadsheets/d/1H1EalTWKUSzO4Z1-1CwzoDUaVffgrThEBe2sl74kKG0/edit?usp=sharing"",""สุพรรณบุรี!Q146"")+IMPORTRANGE(""https://docs.google.com/spreadsheets/d/1BmIruG_sIrJLYao_Pdr7zVArWsf"&amp;"oBt2692TMi6x_854/edit?usp=sharing"",""อ่างทอง!Q146"")"),0)</f>
        <v>0</v>
      </c>
      <c r="R146" s="80">
        <f ca="1">IFERROR(__xludf.DUMMYFUNCTION("IMPORTRANGE(""https://docs.google.com/spreadsheets/d/13wPX838HrBrQMCywv1BsuMkt4PEKTChp52zj44s2izQ/edit?usp=sharing"",""กาญจนบุรี!R146"")+IMPORTRANGE(""https://docs.google.com/spreadsheets/d/1ddFKvqj1W1NEiWytbGlB1zMx_ykJDVtmfEQ-6-lIUBA/edit?usp=sharing"","&amp;"""จันทบุรี!R146"")+IMPORTRANGE(""https://docs.google.com/spreadsheets/d/1T1PQvRODqOBZk8BRht_U031fIS1beLA0Ub2CEytj2q0/edit?usp=sharing"",""ฉะเชิงเทรา!R146"")+IMPORTRANGE(""https://docs.google.com/spreadsheets/d/11tr1B-Bhyr79v2bkwVh5h_fR-PStkgjlZtkrZpYurG0/"&amp;"edit?usp=sharing"",""ชลบุรี!R146"")+IMPORTRANGE(""https://docs.google.com/spreadsheets/d/1hh-FVnSX0vozXhGluamEcS54Dw9_zqW0N7qJUWgJ0Sw/edit?usp=sharing"",""ชัยนาท!R146"")+IMPORTRANGE(""https://docs.google.com/spreadsheets/d/1jkqa6GXxSacMcY1eN8AHjMNJ_7dDXMJ"&amp;"VRLDlaFSOdPM/edit?usp=sharing"",""ตราด!R146"")+IMPORTRANGE(""https://docs.google.com/spreadsheets/d/18hSgUJ3VwClqi_qtULmmW3cLr0oe3OKaSYoKzdpTsYQ/edit?usp=sharing"",""นครนายก!R146"")+IMPORTRANGE(""https://docs.google.com/spreadsheets/d/1YTZo6WM2dQ6Ix6FSdnL"&amp;"5P7uVnVKu40sxZu975tgG10E/edit?usp=sharing"",""นครปฐม!R146"")+IMPORTRANGE(""https://docs.google.com/spreadsheets/d/1OYoGg4WDg5RIzwGeB10padOxJF9E_Vljuvvct_M7RDo/edit?usp=sharing"",""ปทุมธานี!R146"")+IMPORTRANGE(""https://docs.google.com/spreadsheets/d/1GbCI"&amp;"E4D4wk9FUozzqk7SxfDMxDVBwVmI5zcaVUSzKAc/edit?usp=sharing"",""ประจวบคีรีขันธ์!R146"")+IMPORTRANGE(""https://docs.google.com/spreadsheets/d/1vVf6wykvW_lAyu7Yo9L4hUTqHqIeP_qcVuxCtosJEbg/edit?usp=sharing"",""ปราจีนบุรี!R146"")+IMPORTRANGE(""https://docs.googl"&amp;"e.com/spreadsheets/d/1BIDqLLg5jk3v59G8NlR8rk5xfQDKne0sAvZHSj7TI6I/edit?usp=sharing"",""พระนครศรีอยุธยา!R146"")+IMPORTRANGE(""https://docs.google.com/spreadsheets/d/1YXvxf8Yu6_rV4hTBrwMqAcAnv6DfhUxh5emyM3CJp_w/edit?usp=sharing"",""เพชรบุรี!R146"")+IMPORTRA"&amp;"NGE(""https://docs.google.com/spreadsheets/d/19KBlQQs7uwvsao6t2n-KvW3Ax8J8uRRfZPq1zPbXgKc/edit?usp=sharing"",""ระยอง!R146"")+IMPORTRANGE(""https://docs.google.com/spreadsheets/d/1jQ6P4QcrGM89YfqcC_PxOHGCMq5ezhucwJd8ci-NHng/edit?usp=sharing"",""ราชบุรี!R14"&amp;"6"")+IMPORTRANGE(""https://docs.google.com/spreadsheets/d/1lufeA2cfFqM-elVq2hznhDzC6Pr7wkJ9ZG_sYNGCMCU/edit?usp=sharing"",""ลพบุรี!R146"")+IMPORTRANGE(""https://docs.google.com/spreadsheets/d/10oOiF7loTyfsTkbd4MpaIm0HQ9SwB7IYHdIUvt-U1Uc/edit?usp=sharing"""&amp;",""สระแก้ว!R146"")+IMPORTRANGE(""https://docs.google.com/spreadsheets/d/1xmPlrr1QbdSIKvl1dWUl9K4PjAfSL9oeMr_37QVzcxc/edit?usp=sharing"",""สระบุรี!R146"")+IMPORTRANGE(""https://docs.google.com/spreadsheets/d/1j51vR6CYVGhABJpv6tkstgok82RLpXieLzW1yOY5rHw/edi"&amp;"t?usp=sharing"",""สิงห์บุรี!R146"")+IMPORTRANGE(""https://docs.google.com/spreadsheets/d/1H1EalTWKUSzO4Z1-1CwzoDUaVffgrThEBe2sl74kKG0/edit?usp=sharing"",""สุพรรณบุรี!R146"")+IMPORTRANGE(""https://docs.google.com/spreadsheets/d/1BmIruG_sIrJLYao_Pdr7zVArWsf"&amp;"oBt2692TMi6x_854/edit?usp=sharing"",""อ่างทอง!R146"")"),0)</f>
        <v>0</v>
      </c>
      <c r="S146" s="80">
        <f ca="1">IFERROR(__xludf.DUMMYFUNCTION("IMPORTRANGE(""https://docs.google.com/spreadsheets/d/13wPX838HrBrQMCywv1BsuMkt4PEKTChp52zj44s2izQ/edit?usp=sharing"",""กาญจนบุรี!S146"")+IMPORTRANGE(""https://docs.google.com/spreadsheets/d/1ddFKvqj1W1NEiWytbGlB1zMx_ykJDVtmfEQ-6-lIUBA/edit?usp=sharing"","&amp;"""จันทบุรี!S146"")+IMPORTRANGE(""https://docs.google.com/spreadsheets/d/1T1PQvRODqOBZk8BRht_U031fIS1beLA0Ub2CEytj2q0/edit?usp=sharing"",""ฉะเชิงเทรา!S146"")+IMPORTRANGE(""https://docs.google.com/spreadsheets/d/11tr1B-Bhyr79v2bkwVh5h_fR-PStkgjlZtkrZpYurG0/"&amp;"edit?usp=sharing"",""ชลบุรี!S146"")+IMPORTRANGE(""https://docs.google.com/spreadsheets/d/1hh-FVnSX0vozXhGluamEcS54Dw9_zqW0N7qJUWgJ0Sw/edit?usp=sharing"",""ชัยนาท!S146"")+IMPORTRANGE(""https://docs.google.com/spreadsheets/d/1jkqa6GXxSacMcY1eN8AHjMNJ_7dDXMJ"&amp;"VRLDlaFSOdPM/edit?usp=sharing"",""ตราด!S146"")+IMPORTRANGE(""https://docs.google.com/spreadsheets/d/18hSgUJ3VwClqi_qtULmmW3cLr0oe3OKaSYoKzdpTsYQ/edit?usp=sharing"",""นครนายก!S146"")+IMPORTRANGE(""https://docs.google.com/spreadsheets/d/1YTZo6WM2dQ6Ix6FSdnL"&amp;"5P7uVnVKu40sxZu975tgG10E/edit?usp=sharing"",""นครปฐม!S146"")+IMPORTRANGE(""https://docs.google.com/spreadsheets/d/1OYoGg4WDg5RIzwGeB10padOxJF9E_Vljuvvct_M7RDo/edit?usp=sharing"",""ปทุมธานี!S146"")+IMPORTRANGE(""https://docs.google.com/spreadsheets/d/1GbCI"&amp;"E4D4wk9FUozzqk7SxfDMxDVBwVmI5zcaVUSzKAc/edit?usp=sharing"",""ประจวบคีรีขันธ์!S146"")+IMPORTRANGE(""https://docs.google.com/spreadsheets/d/1vVf6wykvW_lAyu7Yo9L4hUTqHqIeP_qcVuxCtosJEbg/edit?usp=sharing"",""ปราจีนบุรี!S146"")+IMPORTRANGE(""https://docs.googl"&amp;"e.com/spreadsheets/d/1BIDqLLg5jk3v59G8NlR8rk5xfQDKne0sAvZHSj7TI6I/edit?usp=sharing"",""พระนครศรีอยุธยา!S146"")+IMPORTRANGE(""https://docs.google.com/spreadsheets/d/1YXvxf8Yu6_rV4hTBrwMqAcAnv6DfhUxh5emyM3CJp_w/edit?usp=sharing"",""เพชรบุรี!S146"")+IMPORTRA"&amp;"NGE(""https://docs.google.com/spreadsheets/d/19KBlQQs7uwvsao6t2n-KvW3Ax8J8uRRfZPq1zPbXgKc/edit?usp=sharing"",""ระยอง!S146"")+IMPORTRANGE(""https://docs.google.com/spreadsheets/d/1jQ6P4QcrGM89YfqcC_PxOHGCMq5ezhucwJd8ci-NHng/edit?usp=sharing"",""ราชบุรี!S14"&amp;"6"")+IMPORTRANGE(""https://docs.google.com/spreadsheets/d/1lufeA2cfFqM-elVq2hznhDzC6Pr7wkJ9ZG_sYNGCMCU/edit?usp=sharing"",""ลพบุรี!S146"")+IMPORTRANGE(""https://docs.google.com/spreadsheets/d/10oOiF7loTyfsTkbd4MpaIm0HQ9SwB7IYHdIUvt-U1Uc/edit?usp=sharing"""&amp;",""สระแก้ว!S146"")+IMPORTRANGE(""https://docs.google.com/spreadsheets/d/1xmPlrr1QbdSIKvl1dWUl9K4PjAfSL9oeMr_37QVzcxc/edit?usp=sharing"",""สระบุรี!S146"")+IMPORTRANGE(""https://docs.google.com/spreadsheets/d/1j51vR6CYVGhABJpv6tkstgok82RLpXieLzW1yOY5rHw/edi"&amp;"t?usp=sharing"",""สิงห์บุรี!S146"")+IMPORTRANGE(""https://docs.google.com/spreadsheets/d/1H1EalTWKUSzO4Z1-1CwzoDUaVffgrThEBe2sl74kKG0/edit?usp=sharing"",""สุพรรณบุรี!S146"")+IMPORTRANGE(""https://docs.google.com/spreadsheets/d/1BmIruG_sIrJLYao_Pdr7zVArWsf"&amp;"oBt2692TMi6x_854/edit?usp=sharing"",""อ่างทอง!S146"")"),0)</f>
        <v>0</v>
      </c>
      <c r="T146" s="136">
        <f t="shared" ca="1" si="113"/>
        <v>0</v>
      </c>
      <c r="U146" s="136">
        <f t="shared" ca="1" si="114"/>
        <v>0</v>
      </c>
    </row>
    <row r="147" spans="1:21" ht="18.75" x14ac:dyDescent="0.25">
      <c r="A147" s="211"/>
      <c r="B147" s="70"/>
      <c r="C147" s="70"/>
      <c r="D147" s="70"/>
      <c r="E147" s="78" t="s">
        <v>21</v>
      </c>
      <c r="F147" s="70"/>
      <c r="G147" s="72"/>
      <c r="H147" s="223" t="s">
        <v>14</v>
      </c>
      <c r="I147" s="221"/>
      <c r="J147" s="221"/>
      <c r="K147" s="222"/>
      <c r="L147" s="91">
        <f ca="1">IFERROR(__xludf.DUMMYFUNCTION("IMPORTRANGE(""https://docs.google.com/spreadsheets/d/13wPX838HrBrQMCywv1BsuMkt4PEKTChp52zj44s2izQ/edit?usp=sharing"",""กาญจนบุรี!L147"")+IMPORTRANGE(""https://docs.google.com/spreadsheets/d/1ddFKvqj1W1NEiWytbGlB1zMx_ykJDVtmfEQ-6-lIUBA/edit?usp=sharing"","&amp;"""จันทบุรี!L147"")+IMPORTRANGE(""https://docs.google.com/spreadsheets/d/1T1PQvRODqOBZk8BRht_U031fIS1beLA0Ub2CEytj2q0/edit?usp=sharing"",""ฉะเชิงเทรา!L147"")+IMPORTRANGE(""https://docs.google.com/spreadsheets/d/11tr1B-Bhyr79v2bkwVh5h_fR-PStkgjlZtkrZpYurG0/"&amp;"edit?usp=sharing"",""ชลบุรี!L147"")+IMPORTRANGE(""https://docs.google.com/spreadsheets/d/1hh-FVnSX0vozXhGluamEcS54Dw9_zqW0N7qJUWgJ0Sw/edit?usp=sharing"",""ชัยนาท!L147"")+IMPORTRANGE(""https://docs.google.com/spreadsheets/d/1jkqa6GXxSacMcY1eN8AHjMNJ_7dDXMJ"&amp;"VRLDlaFSOdPM/edit?usp=sharing"",""ตราด!L147"")+IMPORTRANGE(""https://docs.google.com/spreadsheets/d/18hSgUJ3VwClqi_qtULmmW3cLr0oe3OKaSYoKzdpTsYQ/edit?usp=sharing"",""นครนายก!L147"")+IMPORTRANGE(""https://docs.google.com/spreadsheets/d/1YTZo6WM2dQ6Ix6FSdnL"&amp;"5P7uVnVKu40sxZu975tgG10E/edit?usp=sharing"",""นครปฐม!L147"")+IMPORTRANGE(""https://docs.google.com/spreadsheets/d/1OYoGg4WDg5RIzwGeB10padOxJF9E_Vljuvvct_M7RDo/edit?usp=sharing"",""ปทุมธานี!L147"")+IMPORTRANGE(""https://docs.google.com/spreadsheets/d/1GbCI"&amp;"E4D4wk9FUozzqk7SxfDMxDVBwVmI5zcaVUSzKAc/edit?usp=sharing"",""ประจวบคีรีขันธ์!L147"")+IMPORTRANGE(""https://docs.google.com/spreadsheets/d/1vVf6wykvW_lAyu7Yo9L4hUTqHqIeP_qcVuxCtosJEbg/edit?usp=sharing"",""ปราจีนบุรี!L147"")+IMPORTRANGE(""https://docs.googl"&amp;"e.com/spreadsheets/d/1BIDqLLg5jk3v59G8NlR8rk5xfQDKne0sAvZHSj7TI6I/edit?usp=sharing"",""พระนครศรีอยุธยา!L147"")+IMPORTRANGE(""https://docs.google.com/spreadsheets/d/1YXvxf8Yu6_rV4hTBrwMqAcAnv6DfhUxh5emyM3CJp_w/edit?usp=sharing"",""เพชรบุรี!L147"")+IMPORTRA"&amp;"NGE(""https://docs.google.com/spreadsheets/d/19KBlQQs7uwvsao6t2n-KvW3Ax8J8uRRfZPq1zPbXgKc/edit?usp=sharing"",""ระยอง!L147"")+IMPORTRANGE(""https://docs.google.com/spreadsheets/d/1jQ6P4QcrGM89YfqcC_PxOHGCMq5ezhucwJd8ci-NHng/edit?usp=sharing"",""ราชบุรี!L14"&amp;"7"")+IMPORTRANGE(""https://docs.google.com/spreadsheets/d/1lufeA2cfFqM-elVq2hznhDzC6Pr7wkJ9ZG_sYNGCMCU/edit?usp=sharing"",""ลพบุรี!L147"")+IMPORTRANGE(""https://docs.google.com/spreadsheets/d/10oOiF7loTyfsTkbd4MpaIm0HQ9SwB7IYHdIUvt-U1Uc/edit?usp=sharing"""&amp;",""สระแก้ว!L147"")+IMPORTRANGE(""https://docs.google.com/spreadsheets/d/1xmPlrr1QbdSIKvl1dWUl9K4PjAfSL9oeMr_37QVzcxc/edit?usp=sharing"",""สระบุรี!L147"")+IMPORTRANGE(""https://docs.google.com/spreadsheets/d/1j51vR6CYVGhABJpv6tkstgok82RLpXieLzW1yOY5rHw/edi"&amp;"t?usp=sharing"",""สิงห์บุรี!L147"")+IMPORTRANGE(""https://docs.google.com/spreadsheets/d/1H1EalTWKUSzO4Z1-1CwzoDUaVffgrThEBe2sl74kKG0/edit?usp=sharing"",""สุพรรณบุรี!L147"")+IMPORTRANGE(""https://docs.google.com/spreadsheets/d/1BmIruG_sIrJLYao_Pdr7zVArWsf"&amp;"oBt2692TMi6x_854/edit?usp=sharing"",""อ่างทอง!L147"")"),0)</f>
        <v>0</v>
      </c>
      <c r="M147" s="91">
        <f ca="1">IFERROR(__xludf.DUMMYFUNCTION("IMPORTRANGE(""https://docs.google.com/spreadsheets/d/13wPX838HrBrQMCywv1BsuMkt4PEKTChp52zj44s2izQ/edit?usp=sharing"",""กาญจนบุรี!M147"")+IMPORTRANGE(""https://docs.google.com/spreadsheets/d/1ddFKvqj1W1NEiWytbGlB1zMx_ykJDVtmfEQ-6-lIUBA/edit?usp=sharing"","&amp;"""จันทบุรี!M147"")+IMPORTRANGE(""https://docs.google.com/spreadsheets/d/1T1PQvRODqOBZk8BRht_U031fIS1beLA0Ub2CEytj2q0/edit?usp=sharing"",""ฉะเชิงเทรา!M147"")+IMPORTRANGE(""https://docs.google.com/spreadsheets/d/11tr1B-Bhyr79v2bkwVh5h_fR-PStkgjlZtkrZpYurG0/"&amp;"edit?usp=sharing"",""ชลบุรี!M147"")+IMPORTRANGE(""https://docs.google.com/spreadsheets/d/1hh-FVnSX0vozXhGluamEcS54Dw9_zqW0N7qJUWgJ0Sw/edit?usp=sharing"",""ชัยนาท!M147"")+IMPORTRANGE(""https://docs.google.com/spreadsheets/d/1jkqa6GXxSacMcY1eN8AHjMNJ_7dDXMJ"&amp;"VRLDlaFSOdPM/edit?usp=sharing"",""ตราด!M147"")+IMPORTRANGE(""https://docs.google.com/spreadsheets/d/18hSgUJ3VwClqi_qtULmmW3cLr0oe3OKaSYoKzdpTsYQ/edit?usp=sharing"",""นครนายก!M147"")+IMPORTRANGE(""https://docs.google.com/spreadsheets/d/1YTZo6WM2dQ6Ix6FSdnL"&amp;"5P7uVnVKu40sxZu975tgG10E/edit?usp=sharing"",""นครปฐม!M147"")+IMPORTRANGE(""https://docs.google.com/spreadsheets/d/1OYoGg4WDg5RIzwGeB10padOxJF9E_Vljuvvct_M7RDo/edit?usp=sharing"",""ปทุมธานี!M147"")+IMPORTRANGE(""https://docs.google.com/spreadsheets/d/1GbCI"&amp;"E4D4wk9FUozzqk7SxfDMxDVBwVmI5zcaVUSzKAc/edit?usp=sharing"",""ประจวบคีรีขันธ์!M147"")+IMPORTRANGE(""https://docs.google.com/spreadsheets/d/1vVf6wykvW_lAyu7Yo9L4hUTqHqIeP_qcVuxCtosJEbg/edit?usp=sharing"",""ปราจีนบุรี!M147"")+IMPORTRANGE(""https://docs.googl"&amp;"e.com/spreadsheets/d/1BIDqLLg5jk3v59G8NlR8rk5xfQDKne0sAvZHSj7TI6I/edit?usp=sharing"",""พระนครศรีอยุธยา!M147"")+IMPORTRANGE(""https://docs.google.com/spreadsheets/d/1YXvxf8Yu6_rV4hTBrwMqAcAnv6DfhUxh5emyM3CJp_w/edit?usp=sharing"",""เพชรบุรี!M147"")+IMPORTRA"&amp;"NGE(""https://docs.google.com/spreadsheets/d/19KBlQQs7uwvsao6t2n-KvW3Ax8J8uRRfZPq1zPbXgKc/edit?usp=sharing"",""ระยอง!M147"")+IMPORTRANGE(""https://docs.google.com/spreadsheets/d/1jQ6P4QcrGM89YfqcC_PxOHGCMq5ezhucwJd8ci-NHng/edit?usp=sharing"",""ราชบุรี!M14"&amp;"7"")+IMPORTRANGE(""https://docs.google.com/spreadsheets/d/1lufeA2cfFqM-elVq2hznhDzC6Pr7wkJ9ZG_sYNGCMCU/edit?usp=sharing"",""ลพบุรี!M147"")+IMPORTRANGE(""https://docs.google.com/spreadsheets/d/10oOiF7loTyfsTkbd4MpaIm0HQ9SwB7IYHdIUvt-U1Uc/edit?usp=sharing"""&amp;",""สระแก้ว!M147"")+IMPORTRANGE(""https://docs.google.com/spreadsheets/d/1xmPlrr1QbdSIKvl1dWUl9K4PjAfSL9oeMr_37QVzcxc/edit?usp=sharing"",""สระบุรี!M147"")+IMPORTRANGE(""https://docs.google.com/spreadsheets/d/1j51vR6CYVGhABJpv6tkstgok82RLpXieLzW1yOY5rHw/edi"&amp;"t?usp=sharing"",""สิงห์บุรี!M147"")+IMPORTRANGE(""https://docs.google.com/spreadsheets/d/1H1EalTWKUSzO4Z1-1CwzoDUaVffgrThEBe2sl74kKG0/edit?usp=sharing"",""สุพรรณบุรี!M147"")+IMPORTRANGE(""https://docs.google.com/spreadsheets/d/1BmIruG_sIrJLYao_Pdr7zVArWsf"&amp;"oBt2692TMi6x_854/edit?usp=sharing"",""อ่างทอง!M147"")"),0)</f>
        <v>0</v>
      </c>
      <c r="N147" s="91">
        <f ca="1">IFERROR(__xludf.DUMMYFUNCTION("IMPORTRANGE(""https://docs.google.com/spreadsheets/d/13wPX838HrBrQMCywv1BsuMkt4PEKTChp52zj44s2izQ/edit?usp=sharing"",""กาญจนบุรี!N147"")+IMPORTRANGE(""https://docs.google.com/spreadsheets/d/1ddFKvqj1W1NEiWytbGlB1zMx_ykJDVtmfEQ-6-lIUBA/edit?usp=sharing"","&amp;"""จันทบุรี!N147"")+IMPORTRANGE(""https://docs.google.com/spreadsheets/d/1T1PQvRODqOBZk8BRht_U031fIS1beLA0Ub2CEytj2q0/edit?usp=sharing"",""ฉะเชิงเทรา!N147"")+IMPORTRANGE(""https://docs.google.com/spreadsheets/d/11tr1B-Bhyr79v2bkwVh5h_fR-PStkgjlZtkrZpYurG0/"&amp;"edit?usp=sharing"",""ชลบุรี!N147"")+IMPORTRANGE(""https://docs.google.com/spreadsheets/d/1hh-FVnSX0vozXhGluamEcS54Dw9_zqW0N7qJUWgJ0Sw/edit?usp=sharing"",""ชัยนาท!N147"")+IMPORTRANGE(""https://docs.google.com/spreadsheets/d/1jkqa6GXxSacMcY1eN8AHjMNJ_7dDXMJ"&amp;"VRLDlaFSOdPM/edit?usp=sharing"",""ตราด!N147"")+IMPORTRANGE(""https://docs.google.com/spreadsheets/d/18hSgUJ3VwClqi_qtULmmW3cLr0oe3OKaSYoKzdpTsYQ/edit?usp=sharing"",""นครนายก!N147"")+IMPORTRANGE(""https://docs.google.com/spreadsheets/d/1YTZo6WM2dQ6Ix6FSdnL"&amp;"5P7uVnVKu40sxZu975tgG10E/edit?usp=sharing"",""นครปฐม!N147"")+IMPORTRANGE(""https://docs.google.com/spreadsheets/d/1OYoGg4WDg5RIzwGeB10padOxJF9E_Vljuvvct_M7RDo/edit?usp=sharing"",""ปทุมธานี!N147"")+IMPORTRANGE(""https://docs.google.com/spreadsheets/d/1GbCI"&amp;"E4D4wk9FUozzqk7SxfDMxDVBwVmI5zcaVUSzKAc/edit?usp=sharing"",""ประจวบคีรีขันธ์!N147"")+IMPORTRANGE(""https://docs.google.com/spreadsheets/d/1vVf6wykvW_lAyu7Yo9L4hUTqHqIeP_qcVuxCtosJEbg/edit?usp=sharing"",""ปราจีนบุรี!N147"")+IMPORTRANGE(""https://docs.googl"&amp;"e.com/spreadsheets/d/1BIDqLLg5jk3v59G8NlR8rk5xfQDKne0sAvZHSj7TI6I/edit?usp=sharing"",""พระนครศรีอยุธยา!N147"")+IMPORTRANGE(""https://docs.google.com/spreadsheets/d/1YXvxf8Yu6_rV4hTBrwMqAcAnv6DfhUxh5emyM3CJp_w/edit?usp=sharing"",""เพชรบุรี!N147"")+IMPORTRA"&amp;"NGE(""https://docs.google.com/spreadsheets/d/19KBlQQs7uwvsao6t2n-KvW3Ax8J8uRRfZPq1zPbXgKc/edit?usp=sharing"",""ระยอง!N147"")+IMPORTRANGE(""https://docs.google.com/spreadsheets/d/1jQ6P4QcrGM89YfqcC_PxOHGCMq5ezhucwJd8ci-NHng/edit?usp=sharing"",""ราชบุรี!N14"&amp;"7"")+IMPORTRANGE(""https://docs.google.com/spreadsheets/d/1lufeA2cfFqM-elVq2hznhDzC6Pr7wkJ9ZG_sYNGCMCU/edit?usp=sharing"",""ลพบุรี!N147"")+IMPORTRANGE(""https://docs.google.com/spreadsheets/d/10oOiF7loTyfsTkbd4MpaIm0HQ9SwB7IYHdIUvt-U1Uc/edit?usp=sharing"""&amp;",""สระแก้ว!N147"")+IMPORTRANGE(""https://docs.google.com/spreadsheets/d/1xmPlrr1QbdSIKvl1dWUl9K4PjAfSL9oeMr_37QVzcxc/edit?usp=sharing"",""สระบุรี!N147"")+IMPORTRANGE(""https://docs.google.com/spreadsheets/d/1j51vR6CYVGhABJpv6tkstgok82RLpXieLzW1yOY5rHw/edi"&amp;"t?usp=sharing"",""สิงห์บุรี!N147"")+IMPORTRANGE(""https://docs.google.com/spreadsheets/d/1H1EalTWKUSzO4Z1-1CwzoDUaVffgrThEBe2sl74kKG0/edit?usp=sharing"",""สุพรรณบุรี!N147"")+IMPORTRANGE(""https://docs.google.com/spreadsheets/d/1BmIruG_sIrJLYao_Pdr7zVArWsf"&amp;"oBt2692TMi6x_854/edit?usp=sharing"",""อ่างทอง!N147"")"),0)</f>
        <v>0</v>
      </c>
      <c r="O147" s="91">
        <f t="shared" ca="1" si="110"/>
        <v>0</v>
      </c>
      <c r="P147" s="91">
        <f t="shared" ca="1" si="111"/>
        <v>0</v>
      </c>
      <c r="Q147" s="76">
        <f ca="1">IFERROR(__xludf.DUMMYFUNCTION("IMPORTRANGE(""https://docs.google.com/spreadsheets/d/13wPX838HrBrQMCywv1BsuMkt4PEKTChp52zj44s2izQ/edit?usp=sharing"",""กาญจนบุรี!Q147"")+IMPORTRANGE(""https://docs.google.com/spreadsheets/d/1ddFKvqj1W1NEiWytbGlB1zMx_ykJDVtmfEQ-6-lIUBA/edit?usp=sharing"","&amp;"""จันทบุรี!Q147"")+IMPORTRANGE(""https://docs.google.com/spreadsheets/d/1T1PQvRODqOBZk8BRht_U031fIS1beLA0Ub2CEytj2q0/edit?usp=sharing"",""ฉะเชิงเทรา!Q147"")+IMPORTRANGE(""https://docs.google.com/spreadsheets/d/11tr1B-Bhyr79v2bkwVh5h_fR-PStkgjlZtkrZpYurG0/"&amp;"edit?usp=sharing"",""ชลบุรี!Q147"")+IMPORTRANGE(""https://docs.google.com/spreadsheets/d/1hh-FVnSX0vozXhGluamEcS54Dw9_zqW0N7qJUWgJ0Sw/edit?usp=sharing"",""ชัยนาท!Q147"")+IMPORTRANGE(""https://docs.google.com/spreadsheets/d/1jkqa6GXxSacMcY1eN8AHjMNJ_7dDXMJ"&amp;"VRLDlaFSOdPM/edit?usp=sharing"",""ตราด!Q147"")+IMPORTRANGE(""https://docs.google.com/spreadsheets/d/18hSgUJ3VwClqi_qtULmmW3cLr0oe3OKaSYoKzdpTsYQ/edit?usp=sharing"",""นครนายก!Q147"")+IMPORTRANGE(""https://docs.google.com/spreadsheets/d/1YTZo6WM2dQ6Ix6FSdnL"&amp;"5P7uVnVKu40sxZu975tgG10E/edit?usp=sharing"",""นครปฐม!Q147"")+IMPORTRANGE(""https://docs.google.com/spreadsheets/d/1OYoGg4WDg5RIzwGeB10padOxJF9E_Vljuvvct_M7RDo/edit?usp=sharing"",""ปทุมธานี!Q147"")+IMPORTRANGE(""https://docs.google.com/spreadsheets/d/1GbCI"&amp;"E4D4wk9FUozzqk7SxfDMxDVBwVmI5zcaVUSzKAc/edit?usp=sharing"",""ประจวบคีรีขันธ์!Q147"")+IMPORTRANGE(""https://docs.google.com/spreadsheets/d/1vVf6wykvW_lAyu7Yo9L4hUTqHqIeP_qcVuxCtosJEbg/edit?usp=sharing"",""ปราจีนบุรี!Q147"")+IMPORTRANGE(""https://docs.googl"&amp;"e.com/spreadsheets/d/1BIDqLLg5jk3v59G8NlR8rk5xfQDKne0sAvZHSj7TI6I/edit?usp=sharing"",""พระนครศรีอยุธยา!Q147"")+IMPORTRANGE(""https://docs.google.com/spreadsheets/d/1YXvxf8Yu6_rV4hTBrwMqAcAnv6DfhUxh5emyM3CJp_w/edit?usp=sharing"",""เพชรบุรี!Q147"")+IMPORTRA"&amp;"NGE(""https://docs.google.com/spreadsheets/d/19KBlQQs7uwvsao6t2n-KvW3Ax8J8uRRfZPq1zPbXgKc/edit?usp=sharing"",""ระยอง!Q147"")+IMPORTRANGE(""https://docs.google.com/spreadsheets/d/1jQ6P4QcrGM89YfqcC_PxOHGCMq5ezhucwJd8ci-NHng/edit?usp=sharing"",""ราชบุรี!Q14"&amp;"7"")+IMPORTRANGE(""https://docs.google.com/spreadsheets/d/1lufeA2cfFqM-elVq2hznhDzC6Pr7wkJ9ZG_sYNGCMCU/edit?usp=sharing"",""ลพบุรี!Q147"")+IMPORTRANGE(""https://docs.google.com/spreadsheets/d/10oOiF7loTyfsTkbd4MpaIm0HQ9SwB7IYHdIUvt-U1Uc/edit?usp=sharing"""&amp;",""สระแก้ว!Q147"")+IMPORTRANGE(""https://docs.google.com/spreadsheets/d/1xmPlrr1QbdSIKvl1dWUl9K4PjAfSL9oeMr_37QVzcxc/edit?usp=sharing"",""สระบุรี!Q147"")+IMPORTRANGE(""https://docs.google.com/spreadsheets/d/1j51vR6CYVGhABJpv6tkstgok82RLpXieLzW1yOY5rHw/edi"&amp;"t?usp=sharing"",""สิงห์บุรี!Q147"")+IMPORTRANGE(""https://docs.google.com/spreadsheets/d/1H1EalTWKUSzO4Z1-1CwzoDUaVffgrThEBe2sl74kKG0/edit?usp=sharing"",""สุพรรณบุรี!Q147"")+IMPORTRANGE(""https://docs.google.com/spreadsheets/d/1BmIruG_sIrJLYao_Pdr7zVArWsf"&amp;"oBt2692TMi6x_854/edit?usp=sharing"",""อ่างทอง!Q147"")"),0)</f>
        <v>0</v>
      </c>
      <c r="R147" s="77">
        <f ca="1">IFERROR(__xludf.DUMMYFUNCTION("IMPORTRANGE(""https://docs.google.com/spreadsheets/d/13wPX838HrBrQMCywv1BsuMkt4PEKTChp52zj44s2izQ/edit?usp=sharing"",""กาญจนบุรี!R147"")+IMPORTRANGE(""https://docs.google.com/spreadsheets/d/1ddFKvqj1W1NEiWytbGlB1zMx_ykJDVtmfEQ-6-lIUBA/edit?usp=sharing"","&amp;"""จันทบุรี!R147"")+IMPORTRANGE(""https://docs.google.com/spreadsheets/d/1T1PQvRODqOBZk8BRht_U031fIS1beLA0Ub2CEytj2q0/edit?usp=sharing"",""ฉะเชิงเทรา!R147"")+IMPORTRANGE(""https://docs.google.com/spreadsheets/d/11tr1B-Bhyr79v2bkwVh5h_fR-PStkgjlZtkrZpYurG0/"&amp;"edit?usp=sharing"",""ชลบุรี!R147"")+IMPORTRANGE(""https://docs.google.com/spreadsheets/d/1hh-FVnSX0vozXhGluamEcS54Dw9_zqW0N7qJUWgJ0Sw/edit?usp=sharing"",""ชัยนาท!R147"")+IMPORTRANGE(""https://docs.google.com/spreadsheets/d/1jkqa6GXxSacMcY1eN8AHjMNJ_7dDXMJ"&amp;"VRLDlaFSOdPM/edit?usp=sharing"",""ตราด!R147"")+IMPORTRANGE(""https://docs.google.com/spreadsheets/d/18hSgUJ3VwClqi_qtULmmW3cLr0oe3OKaSYoKzdpTsYQ/edit?usp=sharing"",""นครนายก!R147"")+IMPORTRANGE(""https://docs.google.com/spreadsheets/d/1YTZo6WM2dQ6Ix6FSdnL"&amp;"5P7uVnVKu40sxZu975tgG10E/edit?usp=sharing"",""นครปฐม!R147"")+IMPORTRANGE(""https://docs.google.com/spreadsheets/d/1OYoGg4WDg5RIzwGeB10padOxJF9E_Vljuvvct_M7RDo/edit?usp=sharing"",""ปทุมธานี!R147"")+IMPORTRANGE(""https://docs.google.com/spreadsheets/d/1GbCI"&amp;"E4D4wk9FUozzqk7SxfDMxDVBwVmI5zcaVUSzKAc/edit?usp=sharing"",""ประจวบคีรีขันธ์!R147"")+IMPORTRANGE(""https://docs.google.com/spreadsheets/d/1vVf6wykvW_lAyu7Yo9L4hUTqHqIeP_qcVuxCtosJEbg/edit?usp=sharing"",""ปราจีนบุรี!R147"")+IMPORTRANGE(""https://docs.googl"&amp;"e.com/spreadsheets/d/1BIDqLLg5jk3v59G8NlR8rk5xfQDKne0sAvZHSj7TI6I/edit?usp=sharing"",""พระนครศรีอยุธยา!R147"")+IMPORTRANGE(""https://docs.google.com/spreadsheets/d/1YXvxf8Yu6_rV4hTBrwMqAcAnv6DfhUxh5emyM3CJp_w/edit?usp=sharing"",""เพชรบุรี!R147"")+IMPORTRA"&amp;"NGE(""https://docs.google.com/spreadsheets/d/19KBlQQs7uwvsao6t2n-KvW3Ax8J8uRRfZPq1zPbXgKc/edit?usp=sharing"",""ระยอง!R147"")+IMPORTRANGE(""https://docs.google.com/spreadsheets/d/1jQ6P4QcrGM89YfqcC_PxOHGCMq5ezhucwJd8ci-NHng/edit?usp=sharing"",""ราชบุรี!R14"&amp;"7"")+IMPORTRANGE(""https://docs.google.com/spreadsheets/d/1lufeA2cfFqM-elVq2hznhDzC6Pr7wkJ9ZG_sYNGCMCU/edit?usp=sharing"",""ลพบุรี!R147"")+IMPORTRANGE(""https://docs.google.com/spreadsheets/d/10oOiF7loTyfsTkbd4MpaIm0HQ9SwB7IYHdIUvt-U1Uc/edit?usp=sharing"""&amp;",""สระแก้ว!R147"")+IMPORTRANGE(""https://docs.google.com/spreadsheets/d/1xmPlrr1QbdSIKvl1dWUl9K4PjAfSL9oeMr_37QVzcxc/edit?usp=sharing"",""สระบุรี!R147"")+IMPORTRANGE(""https://docs.google.com/spreadsheets/d/1j51vR6CYVGhABJpv6tkstgok82RLpXieLzW1yOY5rHw/edi"&amp;"t?usp=sharing"",""สิงห์บุรี!R147"")+IMPORTRANGE(""https://docs.google.com/spreadsheets/d/1H1EalTWKUSzO4Z1-1CwzoDUaVffgrThEBe2sl74kKG0/edit?usp=sharing"",""สุพรรณบุรี!R147"")+IMPORTRANGE(""https://docs.google.com/spreadsheets/d/1BmIruG_sIrJLYao_Pdr7zVArWsf"&amp;"oBt2692TMi6x_854/edit?usp=sharing"",""อ่างทอง!R147"")"),0)</f>
        <v>0</v>
      </c>
      <c r="S147" s="77">
        <f ca="1">IFERROR(__xludf.DUMMYFUNCTION("IMPORTRANGE(""https://docs.google.com/spreadsheets/d/13wPX838HrBrQMCywv1BsuMkt4PEKTChp52zj44s2izQ/edit?usp=sharing"",""กาญจนบุรี!S147"")+IMPORTRANGE(""https://docs.google.com/spreadsheets/d/1ddFKvqj1W1NEiWytbGlB1zMx_ykJDVtmfEQ-6-lIUBA/edit?usp=sharing"","&amp;"""จันทบุรี!S147"")+IMPORTRANGE(""https://docs.google.com/spreadsheets/d/1T1PQvRODqOBZk8BRht_U031fIS1beLA0Ub2CEytj2q0/edit?usp=sharing"",""ฉะเชิงเทรา!S147"")+IMPORTRANGE(""https://docs.google.com/spreadsheets/d/11tr1B-Bhyr79v2bkwVh5h_fR-PStkgjlZtkrZpYurG0/"&amp;"edit?usp=sharing"",""ชลบุรี!S147"")+IMPORTRANGE(""https://docs.google.com/spreadsheets/d/1hh-FVnSX0vozXhGluamEcS54Dw9_zqW0N7qJUWgJ0Sw/edit?usp=sharing"",""ชัยนาท!S147"")+IMPORTRANGE(""https://docs.google.com/spreadsheets/d/1jkqa6GXxSacMcY1eN8AHjMNJ_7dDXMJ"&amp;"VRLDlaFSOdPM/edit?usp=sharing"",""ตราด!S147"")+IMPORTRANGE(""https://docs.google.com/spreadsheets/d/18hSgUJ3VwClqi_qtULmmW3cLr0oe3OKaSYoKzdpTsYQ/edit?usp=sharing"",""นครนายก!S147"")+IMPORTRANGE(""https://docs.google.com/spreadsheets/d/1YTZo6WM2dQ6Ix6FSdnL"&amp;"5P7uVnVKu40sxZu975tgG10E/edit?usp=sharing"",""นครปฐม!S147"")+IMPORTRANGE(""https://docs.google.com/spreadsheets/d/1OYoGg4WDg5RIzwGeB10padOxJF9E_Vljuvvct_M7RDo/edit?usp=sharing"",""ปทุมธานี!S147"")+IMPORTRANGE(""https://docs.google.com/spreadsheets/d/1GbCI"&amp;"E4D4wk9FUozzqk7SxfDMxDVBwVmI5zcaVUSzKAc/edit?usp=sharing"",""ประจวบคีรีขันธ์!S147"")+IMPORTRANGE(""https://docs.google.com/spreadsheets/d/1vVf6wykvW_lAyu7Yo9L4hUTqHqIeP_qcVuxCtosJEbg/edit?usp=sharing"",""ปราจีนบุรี!S147"")+IMPORTRANGE(""https://docs.googl"&amp;"e.com/spreadsheets/d/1BIDqLLg5jk3v59G8NlR8rk5xfQDKne0sAvZHSj7TI6I/edit?usp=sharing"",""พระนครศรีอยุธยา!S147"")+IMPORTRANGE(""https://docs.google.com/spreadsheets/d/1YXvxf8Yu6_rV4hTBrwMqAcAnv6DfhUxh5emyM3CJp_w/edit?usp=sharing"",""เพชรบุรี!S147"")+IMPORTRA"&amp;"NGE(""https://docs.google.com/spreadsheets/d/19KBlQQs7uwvsao6t2n-KvW3Ax8J8uRRfZPq1zPbXgKc/edit?usp=sharing"",""ระยอง!S147"")+IMPORTRANGE(""https://docs.google.com/spreadsheets/d/1jQ6P4QcrGM89YfqcC_PxOHGCMq5ezhucwJd8ci-NHng/edit?usp=sharing"",""ราชบุรี!S14"&amp;"7"")+IMPORTRANGE(""https://docs.google.com/spreadsheets/d/1lufeA2cfFqM-elVq2hznhDzC6Pr7wkJ9ZG_sYNGCMCU/edit?usp=sharing"",""ลพบุรี!S147"")+IMPORTRANGE(""https://docs.google.com/spreadsheets/d/10oOiF7loTyfsTkbd4MpaIm0HQ9SwB7IYHdIUvt-U1Uc/edit?usp=sharing"""&amp;",""สระแก้ว!S147"")+IMPORTRANGE(""https://docs.google.com/spreadsheets/d/1xmPlrr1QbdSIKvl1dWUl9K4PjAfSL9oeMr_37QVzcxc/edit?usp=sharing"",""สระบุรี!S147"")+IMPORTRANGE(""https://docs.google.com/spreadsheets/d/1j51vR6CYVGhABJpv6tkstgok82RLpXieLzW1yOY5rHw/edi"&amp;"t?usp=sharing"",""สิงห์บุรี!S147"")+IMPORTRANGE(""https://docs.google.com/spreadsheets/d/1H1EalTWKUSzO4Z1-1CwzoDUaVffgrThEBe2sl74kKG0/edit?usp=sharing"",""สุพรรณบุรี!S147"")+IMPORTRANGE(""https://docs.google.com/spreadsheets/d/1BmIruG_sIrJLYao_Pdr7zVArWsf"&amp;"oBt2692TMi6x_854/edit?usp=sharing"",""อ่างทอง!S147"")"),0)</f>
        <v>0</v>
      </c>
      <c r="T147" s="135">
        <f t="shared" ca="1" si="113"/>
        <v>0</v>
      </c>
      <c r="U147" s="135">
        <f t="shared" ca="1" si="114"/>
        <v>0</v>
      </c>
    </row>
    <row r="148" spans="1:21" ht="19.5" x14ac:dyDescent="0.3">
      <c r="A148" s="224"/>
      <c r="B148" s="225"/>
      <c r="C148" s="212" t="s">
        <v>18</v>
      </c>
      <c r="D148" s="226" t="s">
        <v>38</v>
      </c>
      <c r="E148" s="227"/>
      <c r="F148" s="227"/>
      <c r="G148" s="228"/>
      <c r="H148" s="318"/>
      <c r="I148" s="74"/>
      <c r="J148" s="74"/>
      <c r="K148" s="75"/>
      <c r="L148" s="75"/>
      <c r="M148" s="75"/>
      <c r="N148" s="75"/>
      <c r="O148" s="75"/>
      <c r="P148" s="75"/>
      <c r="Q148" s="89"/>
      <c r="R148" s="90"/>
      <c r="S148" s="90"/>
      <c r="T148" s="90"/>
      <c r="U148" s="90"/>
    </row>
    <row r="149" spans="1:21" ht="18.75" x14ac:dyDescent="0.25">
      <c r="A149" s="211"/>
      <c r="B149" s="70"/>
      <c r="C149" s="70"/>
      <c r="D149" s="78" t="s">
        <v>63</v>
      </c>
      <c r="E149" s="70"/>
      <c r="F149" s="70"/>
      <c r="G149" s="72"/>
      <c r="H149" s="318"/>
      <c r="I149" s="74"/>
      <c r="J149" s="241">
        <f ca="1">IFERROR(__xludf.DUMMYFUNCTION("IMPORTRANGE(""https://docs.google.com/spreadsheets/d/13wPX838HrBrQMCywv1BsuMkt4PEKTChp52zj44s2izQ/edit?usp=sharing"",""กาญจนบุรี!J149"")+IMPORTRANGE(""https://docs.google.com/spreadsheets/d/1ddFKvqj1W1NEiWytbGlB1zMx_ykJDVtmfEQ-6-lIUBA/edit?usp=sharing"","&amp;"""จันทบุรี!J149"")+IMPORTRANGE(""https://docs.google.com/spreadsheets/d/1T1PQvRODqOBZk8BRht_U031fIS1beLA0Ub2CEytj2q0/edit?usp=sharing"",""ฉะเชิงเทรา!J149"")+IMPORTRANGE(""https://docs.google.com/spreadsheets/d/11tr1B-Bhyr79v2bkwVh5h_fR-PStkgjlZtkrZpYurG0/"&amp;"edit?usp=sharing"",""ชลบุรี!J149"")+IMPORTRANGE(""https://docs.google.com/spreadsheets/d/1hh-FVnSX0vozXhGluamEcS54Dw9_zqW0N7qJUWgJ0Sw/edit?usp=sharing"",""ชัยนาท!J149"")+IMPORTRANGE(""https://docs.google.com/spreadsheets/d/1jkqa6GXxSacMcY1eN8AHjMNJ_7dDXMJ"&amp;"VRLDlaFSOdPM/edit?usp=sharing"",""ตราด!J149"")+IMPORTRANGE(""https://docs.google.com/spreadsheets/d/18hSgUJ3VwClqi_qtULmmW3cLr0oe3OKaSYoKzdpTsYQ/edit?usp=sharing"",""นครนายก!J149"")+IMPORTRANGE(""https://docs.google.com/spreadsheets/d/1YTZo6WM2dQ6Ix6FSdnL"&amp;"5P7uVnVKu40sxZu975tgG10E/edit?usp=sharing"",""นครปฐม!J149"")+IMPORTRANGE(""https://docs.google.com/spreadsheets/d/1OYoGg4WDg5RIzwGeB10padOxJF9E_Vljuvvct_M7RDo/edit?usp=sharing"",""ปทุมธานี!J149"")+IMPORTRANGE(""https://docs.google.com/spreadsheets/d/1GbCI"&amp;"E4D4wk9FUozzqk7SxfDMxDVBwVmI5zcaVUSzKAc/edit?usp=sharing"",""ประจวบคีรีขันธ์!J149"")+IMPORTRANGE(""https://docs.google.com/spreadsheets/d/1vVf6wykvW_lAyu7Yo9L4hUTqHqIeP_qcVuxCtosJEbg/edit?usp=sharing"",""ปราจีนบุรี!J149"")+IMPORTRANGE(""https://docs.googl"&amp;"e.com/spreadsheets/d/1BIDqLLg5jk3v59G8NlR8rk5xfQDKne0sAvZHSj7TI6I/edit?usp=sharing"",""พระนครศรีอยุธยา!J149"")+IMPORTRANGE(""https://docs.google.com/spreadsheets/d/1YXvxf8Yu6_rV4hTBrwMqAcAnv6DfhUxh5emyM3CJp_w/edit?usp=sharing"",""เพชรบุรี!J149"")+IMPORTRA"&amp;"NGE(""https://docs.google.com/spreadsheets/d/19KBlQQs7uwvsao6t2n-KvW3Ax8J8uRRfZPq1zPbXgKc/edit?usp=sharing"",""ระยอง!J149"")+IMPORTRANGE(""https://docs.google.com/spreadsheets/d/1jQ6P4QcrGM89YfqcC_PxOHGCMq5ezhucwJd8ci-NHng/edit?usp=sharing"",""ราชบุรี!J14"&amp;"9"")+IMPORTRANGE(""https://docs.google.com/spreadsheets/d/1lufeA2cfFqM-elVq2hznhDzC6Pr7wkJ9ZG_sYNGCMCU/edit?usp=sharing"",""ลพบุรี!J149"")+IMPORTRANGE(""https://docs.google.com/spreadsheets/d/10oOiF7loTyfsTkbd4MpaIm0HQ9SwB7IYHdIUvt-U1Uc/edit?usp=sharing"""&amp;",""สระแก้ว!J149"")+IMPORTRANGE(""https://docs.google.com/spreadsheets/d/1xmPlrr1QbdSIKvl1dWUl9K4PjAfSL9oeMr_37QVzcxc/edit?usp=sharing"",""สระบุรี!J149"")+IMPORTRANGE(""https://docs.google.com/spreadsheets/d/1j51vR6CYVGhABJpv6tkstgok82RLpXieLzW1yOY5rHw/edi"&amp;"t?usp=sharing"",""สิงห์บุรี!J149"")+IMPORTRANGE(""https://docs.google.com/spreadsheets/d/1H1EalTWKUSzO4Z1-1CwzoDUaVffgrThEBe2sl74kKG0/edit?usp=sharing"",""สุพรรณบุรี!J149"")+IMPORTRANGE(""https://docs.google.com/spreadsheets/d/1BmIruG_sIrJLYao_Pdr7zVArWsf"&amp;"oBt2692TMi6x_854/edit?usp=sharing"",""อ่างทอง!J149"")"),0)</f>
        <v>0</v>
      </c>
      <c r="K149" s="75"/>
      <c r="L149" s="75"/>
      <c r="M149" s="75"/>
      <c r="N149" s="75"/>
      <c r="O149" s="75"/>
      <c r="P149" s="75"/>
      <c r="Q149" s="89"/>
      <c r="R149" s="90"/>
      <c r="S149" s="90"/>
      <c r="T149" s="90"/>
      <c r="U149" s="90"/>
    </row>
    <row r="150" spans="1:21" ht="19.5" x14ac:dyDescent="0.3">
      <c r="A150" s="319"/>
      <c r="B150" s="82"/>
      <c r="C150" s="82"/>
      <c r="D150" s="320"/>
      <c r="E150" s="321" t="s">
        <v>64</v>
      </c>
      <c r="F150" s="82"/>
      <c r="G150" s="84"/>
      <c r="H150" s="322" t="s">
        <v>35</v>
      </c>
      <c r="I150" s="323">
        <f ca="1">IFERROR(__xludf.DUMMYFUNCTION("IMPORTRANGE(""https://docs.google.com/spreadsheets/d/13wPX838HrBrQMCywv1BsuMkt4PEKTChp52zj44s2izQ/edit?usp=sharing"",""กาญจนบุรี!I150"")+IMPORTRANGE(""https://docs.google.com/spreadsheets/d/1ddFKvqj1W1NEiWytbGlB1zMx_ykJDVtmfEQ-6-lIUBA/edit?usp=sharing"","&amp;"""จันทบุรี!I150"")+IMPORTRANGE(""https://docs.google.com/spreadsheets/d/1T1PQvRODqOBZk8BRht_U031fIS1beLA0Ub2CEytj2q0/edit?usp=sharing"",""ฉะเชิงเทรา!I150"")+IMPORTRANGE(""https://docs.google.com/spreadsheets/d/11tr1B-Bhyr79v2bkwVh5h_fR-PStkgjlZtkrZpYurG0/"&amp;"edit?usp=sharing"",""ชลบุรี!I150"")+IMPORTRANGE(""https://docs.google.com/spreadsheets/d/1hh-FVnSX0vozXhGluamEcS54Dw9_zqW0N7qJUWgJ0Sw/edit?usp=sharing"",""ชัยนาท!I150"")+IMPORTRANGE(""https://docs.google.com/spreadsheets/d/1jkqa6GXxSacMcY1eN8AHjMNJ_7dDXMJ"&amp;"VRLDlaFSOdPM/edit?usp=sharing"",""ตราด!I150"")+IMPORTRANGE(""https://docs.google.com/spreadsheets/d/18hSgUJ3VwClqi_qtULmmW3cLr0oe3OKaSYoKzdpTsYQ/edit?usp=sharing"",""นครนายก!I150"")+IMPORTRANGE(""https://docs.google.com/spreadsheets/d/1YTZo6WM2dQ6Ix6FSdnL"&amp;"5P7uVnVKu40sxZu975tgG10E/edit?usp=sharing"",""นครปฐม!I150"")+IMPORTRANGE(""https://docs.google.com/spreadsheets/d/1OYoGg4WDg5RIzwGeB10padOxJF9E_Vljuvvct_M7RDo/edit?usp=sharing"",""ปทุมธานี!I150"")+IMPORTRANGE(""https://docs.google.com/spreadsheets/d/1GbCI"&amp;"E4D4wk9FUozzqk7SxfDMxDVBwVmI5zcaVUSzKAc/edit?usp=sharing"",""ประจวบคีรีขันธ์!I150"")+IMPORTRANGE(""https://docs.google.com/spreadsheets/d/1vVf6wykvW_lAyu7Yo9L4hUTqHqIeP_qcVuxCtosJEbg/edit?usp=sharing"",""ปราจีนบุรี!I150"")+IMPORTRANGE(""https://docs.googl"&amp;"e.com/spreadsheets/d/1BIDqLLg5jk3v59G8NlR8rk5xfQDKne0sAvZHSj7TI6I/edit?usp=sharing"",""พระนครศรีอยุธยา!I150"")+IMPORTRANGE(""https://docs.google.com/spreadsheets/d/1YXvxf8Yu6_rV4hTBrwMqAcAnv6DfhUxh5emyM3CJp_w/edit?usp=sharing"",""เพชรบุรี!I150"")+IMPORTRA"&amp;"NGE(""https://docs.google.com/spreadsheets/d/19KBlQQs7uwvsao6t2n-KvW3Ax8J8uRRfZPq1zPbXgKc/edit?usp=sharing"",""ระยอง!I150"")+IMPORTRANGE(""https://docs.google.com/spreadsheets/d/1jQ6P4QcrGM89YfqcC_PxOHGCMq5ezhucwJd8ci-NHng/edit?usp=sharing"",""ราชบุรี!I15"&amp;"0"")+IMPORTRANGE(""https://docs.google.com/spreadsheets/d/1lufeA2cfFqM-elVq2hznhDzC6Pr7wkJ9ZG_sYNGCMCU/edit?usp=sharing"",""ลพบุรี!I150"")+IMPORTRANGE(""https://docs.google.com/spreadsheets/d/10oOiF7loTyfsTkbd4MpaIm0HQ9SwB7IYHdIUvt-U1Uc/edit?usp=sharing"""&amp;",""สระแก้ว!I150"")+IMPORTRANGE(""https://docs.google.com/spreadsheets/d/1xmPlrr1QbdSIKvl1dWUl9K4PjAfSL9oeMr_37QVzcxc/edit?usp=sharing"",""สระบุรี!I150"")+IMPORTRANGE(""https://docs.google.com/spreadsheets/d/1j51vR6CYVGhABJpv6tkstgok82RLpXieLzW1yOY5rHw/edi"&amp;"t?usp=sharing"",""สิงห์บุรี!I150"")+IMPORTRANGE(""https://docs.google.com/spreadsheets/d/1H1EalTWKUSzO4Z1-1CwzoDUaVffgrThEBe2sl74kKG0/edit?usp=sharing"",""สุพรรณบุรี!I150"")+IMPORTRANGE(""https://docs.google.com/spreadsheets/d/1BmIruG_sIrJLYao_Pdr7zVArWsf"&amp;"oBt2692TMi6x_854/edit?usp=sharing"",""อ่างทอง!I150"")"),50)</f>
        <v>50</v>
      </c>
      <c r="J150" s="323">
        <f ca="1">IFERROR(__xludf.DUMMYFUNCTION("IMPORTRANGE(""https://docs.google.com/spreadsheets/d/13wPX838HrBrQMCywv1BsuMkt4PEKTChp52zj44s2izQ/edit?usp=sharing"",""กาญจนบุรี!J150"")+IMPORTRANGE(""https://docs.google.com/spreadsheets/d/1ddFKvqj1W1NEiWytbGlB1zMx_ykJDVtmfEQ-6-lIUBA/edit?usp=sharing"","&amp;"""จันทบุรี!J150"")+IMPORTRANGE(""https://docs.google.com/spreadsheets/d/1T1PQvRODqOBZk8BRht_U031fIS1beLA0Ub2CEytj2q0/edit?usp=sharing"",""ฉะเชิงเทรา!J150"")+IMPORTRANGE(""https://docs.google.com/spreadsheets/d/11tr1B-Bhyr79v2bkwVh5h_fR-PStkgjlZtkrZpYurG0/"&amp;"edit?usp=sharing"",""ชลบุรี!J150"")+IMPORTRANGE(""https://docs.google.com/spreadsheets/d/1hh-FVnSX0vozXhGluamEcS54Dw9_zqW0N7qJUWgJ0Sw/edit?usp=sharing"",""ชัยนาท!J150"")+IMPORTRANGE(""https://docs.google.com/spreadsheets/d/1jkqa6GXxSacMcY1eN8AHjMNJ_7dDXMJ"&amp;"VRLDlaFSOdPM/edit?usp=sharing"",""ตราด!J150"")+IMPORTRANGE(""https://docs.google.com/spreadsheets/d/18hSgUJ3VwClqi_qtULmmW3cLr0oe3OKaSYoKzdpTsYQ/edit?usp=sharing"",""นครนายก!J150"")+IMPORTRANGE(""https://docs.google.com/spreadsheets/d/1YTZo6WM2dQ6Ix6FSdnL"&amp;"5P7uVnVKu40sxZu975tgG10E/edit?usp=sharing"",""นครปฐม!J150"")+IMPORTRANGE(""https://docs.google.com/spreadsheets/d/1OYoGg4WDg5RIzwGeB10padOxJF9E_Vljuvvct_M7RDo/edit?usp=sharing"",""ปทุมธานี!J150"")+IMPORTRANGE(""https://docs.google.com/spreadsheets/d/1GbCI"&amp;"E4D4wk9FUozzqk7SxfDMxDVBwVmI5zcaVUSzKAc/edit?usp=sharing"",""ประจวบคีรีขันธ์!J150"")+IMPORTRANGE(""https://docs.google.com/spreadsheets/d/1vVf6wykvW_lAyu7Yo9L4hUTqHqIeP_qcVuxCtosJEbg/edit?usp=sharing"",""ปราจีนบุรี!J150"")+IMPORTRANGE(""https://docs.googl"&amp;"e.com/spreadsheets/d/1BIDqLLg5jk3v59G8NlR8rk5xfQDKne0sAvZHSj7TI6I/edit?usp=sharing"",""พระนครศรีอยุธยา!J150"")+IMPORTRANGE(""https://docs.google.com/spreadsheets/d/1YXvxf8Yu6_rV4hTBrwMqAcAnv6DfhUxh5emyM3CJp_w/edit?usp=sharing"",""เพชรบุรี!J150"")+IMPORTRA"&amp;"NGE(""https://docs.google.com/spreadsheets/d/19KBlQQs7uwvsao6t2n-KvW3Ax8J8uRRfZPq1zPbXgKc/edit?usp=sharing"",""ระยอง!J150"")+IMPORTRANGE(""https://docs.google.com/spreadsheets/d/1jQ6P4QcrGM89YfqcC_PxOHGCMq5ezhucwJd8ci-NHng/edit?usp=sharing"",""ราชบุรี!J15"&amp;"0"")+IMPORTRANGE(""https://docs.google.com/spreadsheets/d/1lufeA2cfFqM-elVq2hznhDzC6Pr7wkJ9ZG_sYNGCMCU/edit?usp=sharing"",""ลพบุรี!J150"")+IMPORTRANGE(""https://docs.google.com/spreadsheets/d/10oOiF7loTyfsTkbd4MpaIm0HQ9SwB7IYHdIUvt-U1Uc/edit?usp=sharing"""&amp;",""สระแก้ว!J150"")+IMPORTRANGE(""https://docs.google.com/spreadsheets/d/1xmPlrr1QbdSIKvl1dWUl9K4PjAfSL9oeMr_37QVzcxc/edit?usp=sharing"",""สระบุรี!J150"")+IMPORTRANGE(""https://docs.google.com/spreadsheets/d/1j51vR6CYVGhABJpv6tkstgok82RLpXieLzW1yOY5rHw/edi"&amp;"t?usp=sharing"",""สิงห์บุรี!J150"")+IMPORTRANGE(""https://docs.google.com/spreadsheets/d/1H1EalTWKUSzO4Z1-1CwzoDUaVffgrThEBe2sl74kKG0/edit?usp=sharing"",""สุพรรณบุรี!J150"")+IMPORTRANGE(""https://docs.google.com/spreadsheets/d/1BmIruG_sIrJLYao_Pdr7zVArWsf"&amp;"oBt2692TMi6x_854/edit?usp=sharing"",""อ่างทอง!J150"")"),0)</f>
        <v>0</v>
      </c>
      <c r="K150" s="88">
        <f t="shared" ref="K150:K154" ca="1" si="123">IF(I150&gt;0,J150*100/I150,0)</f>
        <v>0</v>
      </c>
      <c r="L150" s="87"/>
      <c r="M150" s="87"/>
      <c r="N150" s="87"/>
      <c r="O150" s="87"/>
      <c r="P150" s="87"/>
      <c r="Q150" s="89"/>
      <c r="R150" s="90"/>
      <c r="S150" s="90"/>
      <c r="T150" s="90"/>
      <c r="U150" s="90"/>
    </row>
    <row r="151" spans="1:21" ht="18.75" x14ac:dyDescent="0.25">
      <c r="A151" s="319"/>
      <c r="B151" s="82"/>
      <c r="C151" s="82"/>
      <c r="D151" s="320"/>
      <c r="E151" s="321"/>
      <c r="F151" s="82"/>
      <c r="G151" s="84"/>
      <c r="H151" s="322" t="s">
        <v>54</v>
      </c>
      <c r="I151" s="323">
        <f ca="1">IFERROR(__xludf.DUMMYFUNCTION("IMPORTRANGE(""https://docs.google.com/spreadsheets/d/13wPX838HrBrQMCywv1BsuMkt4PEKTChp52zj44s2izQ/edit?usp=sharing"",""กาญจนบุรี!I151"")+IMPORTRANGE(""https://docs.google.com/spreadsheets/d/1ddFKvqj1W1NEiWytbGlB1zMx_ykJDVtmfEQ-6-lIUBA/edit?usp=sharing"","&amp;"""จันทบุรี!I151"")+IMPORTRANGE(""https://docs.google.com/spreadsheets/d/1T1PQvRODqOBZk8BRht_U031fIS1beLA0Ub2CEytj2q0/edit?usp=sharing"",""ฉะเชิงเทรา!I151"")+IMPORTRANGE(""https://docs.google.com/spreadsheets/d/11tr1B-Bhyr79v2bkwVh5h_fR-PStkgjlZtkrZpYurG0/"&amp;"edit?usp=sharing"",""ชลบุรี!I151"")+IMPORTRANGE(""https://docs.google.com/spreadsheets/d/1hh-FVnSX0vozXhGluamEcS54Dw9_zqW0N7qJUWgJ0Sw/edit?usp=sharing"",""ชัยนาท!I151"")+IMPORTRANGE(""https://docs.google.com/spreadsheets/d/1jkqa6GXxSacMcY1eN8AHjMNJ_7dDXMJ"&amp;"VRLDlaFSOdPM/edit?usp=sharing"",""ตราด!I151"")+IMPORTRANGE(""https://docs.google.com/spreadsheets/d/18hSgUJ3VwClqi_qtULmmW3cLr0oe3OKaSYoKzdpTsYQ/edit?usp=sharing"",""นครนายก!I151"")+IMPORTRANGE(""https://docs.google.com/spreadsheets/d/1YTZo6WM2dQ6Ix6FSdnL"&amp;"5P7uVnVKu40sxZu975tgG10E/edit?usp=sharing"",""นครปฐม!I151"")+IMPORTRANGE(""https://docs.google.com/spreadsheets/d/1OYoGg4WDg5RIzwGeB10padOxJF9E_Vljuvvct_M7RDo/edit?usp=sharing"",""ปทุมธานี!I151"")+IMPORTRANGE(""https://docs.google.com/spreadsheets/d/1GbCI"&amp;"E4D4wk9FUozzqk7SxfDMxDVBwVmI5zcaVUSzKAc/edit?usp=sharing"",""ประจวบคีรีขันธ์!I151"")+IMPORTRANGE(""https://docs.google.com/spreadsheets/d/1vVf6wykvW_lAyu7Yo9L4hUTqHqIeP_qcVuxCtosJEbg/edit?usp=sharing"",""ปราจีนบุรี!I151"")+IMPORTRANGE(""https://docs.googl"&amp;"e.com/spreadsheets/d/1BIDqLLg5jk3v59G8NlR8rk5xfQDKne0sAvZHSj7TI6I/edit?usp=sharing"",""พระนครศรีอยุธยา!I151"")+IMPORTRANGE(""https://docs.google.com/spreadsheets/d/1YXvxf8Yu6_rV4hTBrwMqAcAnv6DfhUxh5emyM3CJp_w/edit?usp=sharing"",""เพชรบุรี!I151"")+IMPORTRA"&amp;"NGE(""https://docs.google.com/spreadsheets/d/19KBlQQs7uwvsao6t2n-KvW3Ax8J8uRRfZPq1zPbXgKc/edit?usp=sharing"",""ระยอง!I151"")+IMPORTRANGE(""https://docs.google.com/spreadsheets/d/1jQ6P4QcrGM89YfqcC_PxOHGCMq5ezhucwJd8ci-NHng/edit?usp=sharing"",""ราชบุรี!I15"&amp;"1"")+IMPORTRANGE(""https://docs.google.com/spreadsheets/d/1lufeA2cfFqM-elVq2hznhDzC6Pr7wkJ9ZG_sYNGCMCU/edit?usp=sharing"",""ลพบุรี!I151"")+IMPORTRANGE(""https://docs.google.com/spreadsheets/d/10oOiF7loTyfsTkbd4MpaIm0HQ9SwB7IYHdIUvt-U1Uc/edit?usp=sharing"""&amp;",""สระแก้ว!I151"")+IMPORTRANGE(""https://docs.google.com/spreadsheets/d/1xmPlrr1QbdSIKvl1dWUl9K4PjAfSL9oeMr_37QVzcxc/edit?usp=sharing"",""สระบุรี!I151"")+IMPORTRANGE(""https://docs.google.com/spreadsheets/d/1j51vR6CYVGhABJpv6tkstgok82RLpXieLzW1yOY5rHw/edi"&amp;"t?usp=sharing"",""สิงห์บุรี!I151"")+IMPORTRANGE(""https://docs.google.com/spreadsheets/d/1H1EalTWKUSzO4Z1-1CwzoDUaVffgrThEBe2sl74kKG0/edit?usp=sharing"",""สุพรรณบุรี!I151"")+IMPORTRANGE(""https://docs.google.com/spreadsheets/d/1BmIruG_sIrJLYao_Pdr7zVArWsf"&amp;"oBt2692TMi6x_854/edit?usp=sharing"",""อ่างทอง!I151"")"),5)</f>
        <v>5</v>
      </c>
      <c r="J151" s="323">
        <f ca="1">IFERROR(__xludf.DUMMYFUNCTION("IMPORTRANGE(""https://docs.google.com/spreadsheets/d/13wPX838HrBrQMCywv1BsuMkt4PEKTChp52zj44s2izQ/edit?usp=sharing"",""กาญจนบุรี!J151"")+IMPORTRANGE(""https://docs.google.com/spreadsheets/d/1ddFKvqj1W1NEiWytbGlB1zMx_ykJDVtmfEQ-6-lIUBA/edit?usp=sharing"","&amp;"""จันทบุรี!J151"")+IMPORTRANGE(""https://docs.google.com/spreadsheets/d/1T1PQvRODqOBZk8BRht_U031fIS1beLA0Ub2CEytj2q0/edit?usp=sharing"",""ฉะเชิงเทรา!J151"")+IMPORTRANGE(""https://docs.google.com/spreadsheets/d/11tr1B-Bhyr79v2bkwVh5h_fR-PStkgjlZtkrZpYurG0/"&amp;"edit?usp=sharing"",""ชลบุรี!J151"")+IMPORTRANGE(""https://docs.google.com/spreadsheets/d/1hh-FVnSX0vozXhGluamEcS54Dw9_zqW0N7qJUWgJ0Sw/edit?usp=sharing"",""ชัยนาท!J151"")+IMPORTRANGE(""https://docs.google.com/spreadsheets/d/1jkqa6GXxSacMcY1eN8AHjMNJ_7dDXMJ"&amp;"VRLDlaFSOdPM/edit?usp=sharing"",""ตราด!J151"")+IMPORTRANGE(""https://docs.google.com/spreadsheets/d/18hSgUJ3VwClqi_qtULmmW3cLr0oe3OKaSYoKzdpTsYQ/edit?usp=sharing"",""นครนายก!J151"")+IMPORTRANGE(""https://docs.google.com/spreadsheets/d/1YTZo6WM2dQ6Ix6FSdnL"&amp;"5P7uVnVKu40sxZu975tgG10E/edit?usp=sharing"",""นครปฐม!J151"")+IMPORTRANGE(""https://docs.google.com/spreadsheets/d/1OYoGg4WDg5RIzwGeB10padOxJF9E_Vljuvvct_M7RDo/edit?usp=sharing"",""ปทุมธานี!J151"")+IMPORTRANGE(""https://docs.google.com/spreadsheets/d/1GbCI"&amp;"E4D4wk9FUozzqk7SxfDMxDVBwVmI5zcaVUSzKAc/edit?usp=sharing"",""ประจวบคีรีขันธ์!J151"")+IMPORTRANGE(""https://docs.google.com/spreadsheets/d/1vVf6wykvW_lAyu7Yo9L4hUTqHqIeP_qcVuxCtosJEbg/edit?usp=sharing"",""ปราจีนบุรี!J151"")+IMPORTRANGE(""https://docs.googl"&amp;"e.com/spreadsheets/d/1BIDqLLg5jk3v59G8NlR8rk5xfQDKne0sAvZHSj7TI6I/edit?usp=sharing"",""พระนครศรีอยุธยา!J151"")+IMPORTRANGE(""https://docs.google.com/spreadsheets/d/1YXvxf8Yu6_rV4hTBrwMqAcAnv6DfhUxh5emyM3CJp_w/edit?usp=sharing"",""เพชรบุรี!J151"")+IMPORTRA"&amp;"NGE(""https://docs.google.com/spreadsheets/d/19KBlQQs7uwvsao6t2n-KvW3Ax8J8uRRfZPq1zPbXgKc/edit?usp=sharing"",""ระยอง!J151"")+IMPORTRANGE(""https://docs.google.com/spreadsheets/d/1jQ6P4QcrGM89YfqcC_PxOHGCMq5ezhucwJd8ci-NHng/edit?usp=sharing"",""ราชบุรี!J15"&amp;"1"")+IMPORTRANGE(""https://docs.google.com/spreadsheets/d/1lufeA2cfFqM-elVq2hznhDzC6Pr7wkJ9ZG_sYNGCMCU/edit?usp=sharing"",""ลพบุรี!J151"")+IMPORTRANGE(""https://docs.google.com/spreadsheets/d/10oOiF7loTyfsTkbd4MpaIm0HQ9SwB7IYHdIUvt-U1Uc/edit?usp=sharing"""&amp;",""สระแก้ว!J151"")+IMPORTRANGE(""https://docs.google.com/spreadsheets/d/1xmPlrr1QbdSIKvl1dWUl9K4PjAfSL9oeMr_37QVzcxc/edit?usp=sharing"",""สระบุรี!J151"")+IMPORTRANGE(""https://docs.google.com/spreadsheets/d/1j51vR6CYVGhABJpv6tkstgok82RLpXieLzW1yOY5rHw/edi"&amp;"t?usp=sharing"",""สิงห์บุรี!J151"")+IMPORTRANGE(""https://docs.google.com/spreadsheets/d/1H1EalTWKUSzO4Z1-1CwzoDUaVffgrThEBe2sl74kKG0/edit?usp=sharing"",""สุพรรณบุรี!J151"")+IMPORTRANGE(""https://docs.google.com/spreadsheets/d/1BmIruG_sIrJLYao_Pdr7zVArWsf"&amp;"oBt2692TMi6x_854/edit?usp=sharing"",""อ่างทอง!J151"")"),0)</f>
        <v>0</v>
      </c>
      <c r="K151" s="88">
        <f t="shared" ca="1" si="123"/>
        <v>0</v>
      </c>
      <c r="L151" s="87"/>
      <c r="M151" s="87"/>
      <c r="N151" s="87"/>
      <c r="O151" s="87"/>
      <c r="P151" s="87"/>
      <c r="Q151" s="89"/>
      <c r="R151" s="90"/>
      <c r="S151" s="90"/>
      <c r="T151" s="90"/>
      <c r="U151" s="90"/>
    </row>
    <row r="152" spans="1:21" ht="19.5" x14ac:dyDescent="0.3">
      <c r="A152" s="319"/>
      <c r="B152" s="82"/>
      <c r="C152" s="82"/>
      <c r="D152" s="320"/>
      <c r="E152" s="321" t="s">
        <v>65</v>
      </c>
      <c r="F152" s="82"/>
      <c r="G152" s="84"/>
      <c r="H152" s="322" t="s">
        <v>35</v>
      </c>
      <c r="I152" s="323">
        <f ca="1">IFERROR(__xludf.DUMMYFUNCTION("IMPORTRANGE(""https://docs.google.com/spreadsheets/d/13wPX838HrBrQMCywv1BsuMkt4PEKTChp52zj44s2izQ/edit?usp=sharing"",""กาญจนบุรี!I152"")+IMPORTRANGE(""https://docs.google.com/spreadsheets/d/1ddFKvqj1W1NEiWytbGlB1zMx_ykJDVtmfEQ-6-lIUBA/edit?usp=sharing"","&amp;"""จันทบุรี!I152"")+IMPORTRANGE(""https://docs.google.com/spreadsheets/d/1T1PQvRODqOBZk8BRht_U031fIS1beLA0Ub2CEytj2q0/edit?usp=sharing"",""ฉะเชิงเทรา!I152"")+IMPORTRANGE(""https://docs.google.com/spreadsheets/d/11tr1B-Bhyr79v2bkwVh5h_fR-PStkgjlZtkrZpYurG0/"&amp;"edit?usp=sharing"",""ชลบุรี!I152"")+IMPORTRANGE(""https://docs.google.com/spreadsheets/d/1hh-FVnSX0vozXhGluamEcS54Dw9_zqW0N7qJUWgJ0Sw/edit?usp=sharing"",""ชัยนาท!I152"")+IMPORTRANGE(""https://docs.google.com/spreadsheets/d/1jkqa6GXxSacMcY1eN8AHjMNJ_7dDXMJ"&amp;"VRLDlaFSOdPM/edit?usp=sharing"",""ตราด!I152"")+IMPORTRANGE(""https://docs.google.com/spreadsheets/d/18hSgUJ3VwClqi_qtULmmW3cLr0oe3OKaSYoKzdpTsYQ/edit?usp=sharing"",""นครนายก!I152"")+IMPORTRANGE(""https://docs.google.com/spreadsheets/d/1YTZo6WM2dQ6Ix6FSdnL"&amp;"5P7uVnVKu40sxZu975tgG10E/edit?usp=sharing"",""นครปฐม!I152"")+IMPORTRANGE(""https://docs.google.com/spreadsheets/d/1OYoGg4WDg5RIzwGeB10padOxJF9E_Vljuvvct_M7RDo/edit?usp=sharing"",""ปทุมธานี!I152"")+IMPORTRANGE(""https://docs.google.com/spreadsheets/d/1GbCI"&amp;"E4D4wk9FUozzqk7SxfDMxDVBwVmI5zcaVUSzKAc/edit?usp=sharing"",""ประจวบคีรีขันธ์!I152"")+IMPORTRANGE(""https://docs.google.com/spreadsheets/d/1vVf6wykvW_lAyu7Yo9L4hUTqHqIeP_qcVuxCtosJEbg/edit?usp=sharing"",""ปราจีนบุรี!I152"")+IMPORTRANGE(""https://docs.googl"&amp;"e.com/spreadsheets/d/1BIDqLLg5jk3v59G8NlR8rk5xfQDKne0sAvZHSj7TI6I/edit?usp=sharing"",""พระนครศรีอยุธยา!I152"")+IMPORTRANGE(""https://docs.google.com/spreadsheets/d/1YXvxf8Yu6_rV4hTBrwMqAcAnv6DfhUxh5emyM3CJp_w/edit?usp=sharing"",""เพชรบุรี!I152"")+IMPORTRA"&amp;"NGE(""https://docs.google.com/spreadsheets/d/19KBlQQs7uwvsao6t2n-KvW3Ax8J8uRRfZPq1zPbXgKc/edit?usp=sharing"",""ระยอง!I152"")+IMPORTRANGE(""https://docs.google.com/spreadsheets/d/1jQ6P4QcrGM89YfqcC_PxOHGCMq5ezhucwJd8ci-NHng/edit?usp=sharing"",""ราชบุรี!I15"&amp;"2"")+IMPORTRANGE(""https://docs.google.com/spreadsheets/d/1lufeA2cfFqM-elVq2hznhDzC6Pr7wkJ9ZG_sYNGCMCU/edit?usp=sharing"",""ลพบุรี!I152"")+IMPORTRANGE(""https://docs.google.com/spreadsheets/d/10oOiF7loTyfsTkbd4MpaIm0HQ9SwB7IYHdIUvt-U1Uc/edit?usp=sharing"""&amp;",""สระแก้ว!I152"")+IMPORTRANGE(""https://docs.google.com/spreadsheets/d/1xmPlrr1QbdSIKvl1dWUl9K4PjAfSL9oeMr_37QVzcxc/edit?usp=sharing"",""สระบุรี!I152"")+IMPORTRANGE(""https://docs.google.com/spreadsheets/d/1j51vR6CYVGhABJpv6tkstgok82RLpXieLzW1yOY5rHw/edi"&amp;"t?usp=sharing"",""สิงห์บุรี!I152"")+IMPORTRANGE(""https://docs.google.com/spreadsheets/d/1H1EalTWKUSzO4Z1-1CwzoDUaVffgrThEBe2sl74kKG0/edit?usp=sharing"",""สุพรรณบุรี!I152"")+IMPORTRANGE(""https://docs.google.com/spreadsheets/d/1BmIruG_sIrJLYao_Pdr7zVArWsf"&amp;"oBt2692TMi6x_854/edit?usp=sharing"",""อ่างทอง!I152"")"),180)</f>
        <v>180</v>
      </c>
      <c r="J152" s="323">
        <f ca="1">IFERROR(__xludf.DUMMYFUNCTION("IMPORTRANGE(""https://docs.google.com/spreadsheets/d/13wPX838HrBrQMCywv1BsuMkt4PEKTChp52zj44s2izQ/edit?usp=sharing"",""กาญจนบุรี!J152"")+IMPORTRANGE(""https://docs.google.com/spreadsheets/d/1ddFKvqj1W1NEiWytbGlB1zMx_ykJDVtmfEQ-6-lIUBA/edit?usp=sharing"","&amp;"""จันทบุรี!J152"")+IMPORTRANGE(""https://docs.google.com/spreadsheets/d/1T1PQvRODqOBZk8BRht_U031fIS1beLA0Ub2CEytj2q0/edit?usp=sharing"",""ฉะเชิงเทรา!J152"")+IMPORTRANGE(""https://docs.google.com/spreadsheets/d/11tr1B-Bhyr79v2bkwVh5h_fR-PStkgjlZtkrZpYurG0/"&amp;"edit?usp=sharing"",""ชลบุรี!J152"")+IMPORTRANGE(""https://docs.google.com/spreadsheets/d/1hh-FVnSX0vozXhGluamEcS54Dw9_zqW0N7qJUWgJ0Sw/edit?usp=sharing"",""ชัยนาท!J152"")+IMPORTRANGE(""https://docs.google.com/spreadsheets/d/1jkqa6GXxSacMcY1eN8AHjMNJ_7dDXMJ"&amp;"VRLDlaFSOdPM/edit?usp=sharing"",""ตราด!J152"")+IMPORTRANGE(""https://docs.google.com/spreadsheets/d/18hSgUJ3VwClqi_qtULmmW3cLr0oe3OKaSYoKzdpTsYQ/edit?usp=sharing"",""นครนายก!J152"")+IMPORTRANGE(""https://docs.google.com/spreadsheets/d/1YTZo6WM2dQ6Ix6FSdnL"&amp;"5P7uVnVKu40sxZu975tgG10E/edit?usp=sharing"",""นครปฐม!J152"")+IMPORTRANGE(""https://docs.google.com/spreadsheets/d/1OYoGg4WDg5RIzwGeB10padOxJF9E_Vljuvvct_M7RDo/edit?usp=sharing"",""ปทุมธานี!J152"")+IMPORTRANGE(""https://docs.google.com/spreadsheets/d/1GbCI"&amp;"E4D4wk9FUozzqk7SxfDMxDVBwVmI5zcaVUSzKAc/edit?usp=sharing"",""ประจวบคีรีขันธ์!J152"")+IMPORTRANGE(""https://docs.google.com/spreadsheets/d/1vVf6wykvW_lAyu7Yo9L4hUTqHqIeP_qcVuxCtosJEbg/edit?usp=sharing"",""ปราจีนบุรี!J152"")+IMPORTRANGE(""https://docs.googl"&amp;"e.com/spreadsheets/d/1BIDqLLg5jk3v59G8NlR8rk5xfQDKne0sAvZHSj7TI6I/edit?usp=sharing"",""พระนครศรีอยุธยา!J152"")+IMPORTRANGE(""https://docs.google.com/spreadsheets/d/1YXvxf8Yu6_rV4hTBrwMqAcAnv6DfhUxh5emyM3CJp_w/edit?usp=sharing"",""เพชรบุรี!J152"")+IMPORTRA"&amp;"NGE(""https://docs.google.com/spreadsheets/d/19KBlQQs7uwvsao6t2n-KvW3Ax8J8uRRfZPq1zPbXgKc/edit?usp=sharing"",""ระยอง!J152"")+IMPORTRANGE(""https://docs.google.com/spreadsheets/d/1jQ6P4QcrGM89YfqcC_PxOHGCMq5ezhucwJd8ci-NHng/edit?usp=sharing"",""ราชบุรี!J15"&amp;"2"")+IMPORTRANGE(""https://docs.google.com/spreadsheets/d/1lufeA2cfFqM-elVq2hznhDzC6Pr7wkJ9ZG_sYNGCMCU/edit?usp=sharing"",""ลพบุรี!J152"")+IMPORTRANGE(""https://docs.google.com/spreadsheets/d/10oOiF7loTyfsTkbd4MpaIm0HQ9SwB7IYHdIUvt-U1Uc/edit?usp=sharing"""&amp;",""สระแก้ว!J152"")+IMPORTRANGE(""https://docs.google.com/spreadsheets/d/1xmPlrr1QbdSIKvl1dWUl9K4PjAfSL9oeMr_37QVzcxc/edit?usp=sharing"",""สระบุรี!J152"")+IMPORTRANGE(""https://docs.google.com/spreadsheets/d/1j51vR6CYVGhABJpv6tkstgok82RLpXieLzW1yOY5rHw/edi"&amp;"t?usp=sharing"",""สิงห์บุรี!J152"")+IMPORTRANGE(""https://docs.google.com/spreadsheets/d/1H1EalTWKUSzO4Z1-1CwzoDUaVffgrThEBe2sl74kKG0/edit?usp=sharing"",""สุพรรณบุรี!J152"")+IMPORTRANGE(""https://docs.google.com/spreadsheets/d/1BmIruG_sIrJLYao_Pdr7zVArWsf"&amp;"oBt2692TMi6x_854/edit?usp=sharing"",""อ่างทอง!J152"")"),70)</f>
        <v>70</v>
      </c>
      <c r="K152" s="88">
        <f t="shared" ca="1" si="123"/>
        <v>38.888888888888886</v>
      </c>
      <c r="L152" s="87"/>
      <c r="M152" s="87"/>
      <c r="N152" s="87"/>
      <c r="O152" s="87"/>
      <c r="P152" s="87"/>
      <c r="Q152" s="89"/>
      <c r="R152" s="90"/>
      <c r="S152" s="90"/>
      <c r="T152" s="90"/>
      <c r="U152" s="90"/>
    </row>
    <row r="153" spans="1:21" ht="19.5" x14ac:dyDescent="0.3">
      <c r="A153" s="319"/>
      <c r="B153" s="82"/>
      <c r="C153" s="82"/>
      <c r="D153" s="321"/>
      <c r="E153" s="324"/>
      <c r="F153" s="82"/>
      <c r="G153" s="84"/>
      <c r="H153" s="322" t="s">
        <v>54</v>
      </c>
      <c r="I153" s="323">
        <f ca="1">IFERROR(__xludf.DUMMYFUNCTION("IMPORTRANGE(""https://docs.google.com/spreadsheets/d/13wPX838HrBrQMCywv1BsuMkt4PEKTChp52zj44s2izQ/edit?usp=sharing"",""กาญจนบุรี!I153"")+IMPORTRANGE(""https://docs.google.com/spreadsheets/d/1ddFKvqj1W1NEiWytbGlB1zMx_ykJDVtmfEQ-6-lIUBA/edit?usp=sharing"","&amp;"""จันทบุรี!I153"")+IMPORTRANGE(""https://docs.google.com/spreadsheets/d/1T1PQvRODqOBZk8BRht_U031fIS1beLA0Ub2CEytj2q0/edit?usp=sharing"",""ฉะเชิงเทรา!I153"")+IMPORTRANGE(""https://docs.google.com/spreadsheets/d/11tr1B-Bhyr79v2bkwVh5h_fR-PStkgjlZtkrZpYurG0/"&amp;"edit?usp=sharing"",""ชลบุรี!I153"")+IMPORTRANGE(""https://docs.google.com/spreadsheets/d/1hh-FVnSX0vozXhGluamEcS54Dw9_zqW0N7qJUWgJ0Sw/edit?usp=sharing"",""ชัยนาท!I153"")+IMPORTRANGE(""https://docs.google.com/spreadsheets/d/1jkqa6GXxSacMcY1eN8AHjMNJ_7dDXMJ"&amp;"VRLDlaFSOdPM/edit?usp=sharing"",""ตราด!I153"")+IMPORTRANGE(""https://docs.google.com/spreadsheets/d/18hSgUJ3VwClqi_qtULmmW3cLr0oe3OKaSYoKzdpTsYQ/edit?usp=sharing"",""นครนายก!I153"")+IMPORTRANGE(""https://docs.google.com/spreadsheets/d/1YTZo6WM2dQ6Ix6FSdnL"&amp;"5P7uVnVKu40sxZu975tgG10E/edit?usp=sharing"",""นครปฐม!I153"")+IMPORTRANGE(""https://docs.google.com/spreadsheets/d/1OYoGg4WDg5RIzwGeB10padOxJF9E_Vljuvvct_M7RDo/edit?usp=sharing"",""ปทุมธานี!I153"")+IMPORTRANGE(""https://docs.google.com/spreadsheets/d/1GbCI"&amp;"E4D4wk9FUozzqk7SxfDMxDVBwVmI5zcaVUSzKAc/edit?usp=sharing"",""ประจวบคีรีขันธ์!I153"")+IMPORTRANGE(""https://docs.google.com/spreadsheets/d/1vVf6wykvW_lAyu7Yo9L4hUTqHqIeP_qcVuxCtosJEbg/edit?usp=sharing"",""ปราจีนบุรี!I153"")+IMPORTRANGE(""https://docs.googl"&amp;"e.com/spreadsheets/d/1BIDqLLg5jk3v59G8NlR8rk5xfQDKne0sAvZHSj7TI6I/edit?usp=sharing"",""พระนครศรีอยุธยา!I153"")+IMPORTRANGE(""https://docs.google.com/spreadsheets/d/1YXvxf8Yu6_rV4hTBrwMqAcAnv6DfhUxh5emyM3CJp_w/edit?usp=sharing"",""เพชรบุรี!I153"")+IMPORTRA"&amp;"NGE(""https://docs.google.com/spreadsheets/d/19KBlQQs7uwvsao6t2n-KvW3Ax8J8uRRfZPq1zPbXgKc/edit?usp=sharing"",""ระยอง!I153"")+IMPORTRANGE(""https://docs.google.com/spreadsheets/d/1jQ6P4QcrGM89YfqcC_PxOHGCMq5ezhucwJd8ci-NHng/edit?usp=sharing"",""ราชบุรี!I15"&amp;"3"")+IMPORTRANGE(""https://docs.google.com/spreadsheets/d/1lufeA2cfFqM-elVq2hznhDzC6Pr7wkJ9ZG_sYNGCMCU/edit?usp=sharing"",""ลพบุรี!I153"")+IMPORTRANGE(""https://docs.google.com/spreadsheets/d/10oOiF7loTyfsTkbd4MpaIm0HQ9SwB7IYHdIUvt-U1Uc/edit?usp=sharing"""&amp;",""สระแก้ว!I153"")+IMPORTRANGE(""https://docs.google.com/spreadsheets/d/1xmPlrr1QbdSIKvl1dWUl9K4PjAfSL9oeMr_37QVzcxc/edit?usp=sharing"",""สระบุรี!I153"")+IMPORTRANGE(""https://docs.google.com/spreadsheets/d/1j51vR6CYVGhABJpv6tkstgok82RLpXieLzW1yOY5rHw/edi"&amp;"t?usp=sharing"",""สิงห์บุรี!I153"")+IMPORTRANGE(""https://docs.google.com/spreadsheets/d/1H1EalTWKUSzO4Z1-1CwzoDUaVffgrThEBe2sl74kKG0/edit?usp=sharing"",""สุพรรณบุรี!I153"")+IMPORTRANGE(""https://docs.google.com/spreadsheets/d/1BmIruG_sIrJLYao_Pdr7zVArWsf"&amp;"oBt2692TMi6x_854/edit?usp=sharing"",""อ่างทอง!I153"")"),18)</f>
        <v>18</v>
      </c>
      <c r="J153" s="323">
        <f ca="1">IFERROR(__xludf.DUMMYFUNCTION("IMPORTRANGE(""https://docs.google.com/spreadsheets/d/13wPX838HrBrQMCywv1BsuMkt4PEKTChp52zj44s2izQ/edit?usp=sharing"",""กาญจนบุรี!J153"")+IMPORTRANGE(""https://docs.google.com/spreadsheets/d/1ddFKvqj1W1NEiWytbGlB1zMx_ykJDVtmfEQ-6-lIUBA/edit?usp=sharing"","&amp;"""จันทบุรี!J153"")+IMPORTRANGE(""https://docs.google.com/spreadsheets/d/1T1PQvRODqOBZk8BRht_U031fIS1beLA0Ub2CEytj2q0/edit?usp=sharing"",""ฉะเชิงเทรา!J153"")+IMPORTRANGE(""https://docs.google.com/spreadsheets/d/11tr1B-Bhyr79v2bkwVh5h_fR-PStkgjlZtkrZpYurG0/"&amp;"edit?usp=sharing"",""ชลบุรี!J153"")+IMPORTRANGE(""https://docs.google.com/spreadsheets/d/1hh-FVnSX0vozXhGluamEcS54Dw9_zqW0N7qJUWgJ0Sw/edit?usp=sharing"",""ชัยนาท!J153"")+IMPORTRANGE(""https://docs.google.com/spreadsheets/d/1jkqa6GXxSacMcY1eN8AHjMNJ_7dDXMJ"&amp;"VRLDlaFSOdPM/edit?usp=sharing"",""ตราด!J153"")+IMPORTRANGE(""https://docs.google.com/spreadsheets/d/18hSgUJ3VwClqi_qtULmmW3cLr0oe3OKaSYoKzdpTsYQ/edit?usp=sharing"",""นครนายก!J153"")+IMPORTRANGE(""https://docs.google.com/spreadsheets/d/1YTZo6WM2dQ6Ix6FSdnL"&amp;"5P7uVnVKu40sxZu975tgG10E/edit?usp=sharing"",""นครปฐม!J153"")+IMPORTRANGE(""https://docs.google.com/spreadsheets/d/1OYoGg4WDg5RIzwGeB10padOxJF9E_Vljuvvct_M7RDo/edit?usp=sharing"",""ปทุมธานี!J153"")+IMPORTRANGE(""https://docs.google.com/spreadsheets/d/1GbCI"&amp;"E4D4wk9FUozzqk7SxfDMxDVBwVmI5zcaVUSzKAc/edit?usp=sharing"",""ประจวบคีรีขันธ์!J153"")+IMPORTRANGE(""https://docs.google.com/spreadsheets/d/1vVf6wykvW_lAyu7Yo9L4hUTqHqIeP_qcVuxCtosJEbg/edit?usp=sharing"",""ปราจีนบุรี!J153"")+IMPORTRANGE(""https://docs.googl"&amp;"e.com/spreadsheets/d/1BIDqLLg5jk3v59G8NlR8rk5xfQDKne0sAvZHSj7TI6I/edit?usp=sharing"",""พระนครศรีอยุธยา!J153"")+IMPORTRANGE(""https://docs.google.com/spreadsheets/d/1YXvxf8Yu6_rV4hTBrwMqAcAnv6DfhUxh5emyM3CJp_w/edit?usp=sharing"",""เพชรบุรี!J153"")+IMPORTRA"&amp;"NGE(""https://docs.google.com/spreadsheets/d/19KBlQQs7uwvsao6t2n-KvW3Ax8J8uRRfZPq1zPbXgKc/edit?usp=sharing"",""ระยอง!J153"")+IMPORTRANGE(""https://docs.google.com/spreadsheets/d/1jQ6P4QcrGM89YfqcC_PxOHGCMq5ezhucwJd8ci-NHng/edit?usp=sharing"",""ราชบุรี!J15"&amp;"3"")+IMPORTRANGE(""https://docs.google.com/spreadsheets/d/1lufeA2cfFqM-elVq2hznhDzC6Pr7wkJ9ZG_sYNGCMCU/edit?usp=sharing"",""ลพบุรี!J153"")+IMPORTRANGE(""https://docs.google.com/spreadsheets/d/10oOiF7loTyfsTkbd4MpaIm0HQ9SwB7IYHdIUvt-U1Uc/edit?usp=sharing"""&amp;",""สระแก้ว!J153"")+IMPORTRANGE(""https://docs.google.com/spreadsheets/d/1xmPlrr1QbdSIKvl1dWUl9K4PjAfSL9oeMr_37QVzcxc/edit?usp=sharing"",""สระบุรี!J153"")+IMPORTRANGE(""https://docs.google.com/spreadsheets/d/1j51vR6CYVGhABJpv6tkstgok82RLpXieLzW1yOY5rHw/edi"&amp;"t?usp=sharing"",""สิงห์บุรี!J153"")+IMPORTRANGE(""https://docs.google.com/spreadsheets/d/1H1EalTWKUSzO4Z1-1CwzoDUaVffgrThEBe2sl74kKG0/edit?usp=sharing"",""สุพรรณบุรี!J153"")+IMPORTRANGE(""https://docs.google.com/spreadsheets/d/1BmIruG_sIrJLYao_Pdr7zVArWsf"&amp;"oBt2692TMi6x_854/edit?usp=sharing"",""อ่างทอง!J153"")"),7)</f>
        <v>7</v>
      </c>
      <c r="K153" s="88">
        <f t="shared" ca="1" si="123"/>
        <v>38.888888888888886</v>
      </c>
      <c r="L153" s="87"/>
      <c r="M153" s="87"/>
      <c r="N153" s="87"/>
      <c r="O153" s="87"/>
      <c r="P153" s="87"/>
      <c r="Q153" s="89"/>
      <c r="R153" s="90"/>
      <c r="S153" s="90"/>
      <c r="T153" s="90"/>
      <c r="U153" s="90"/>
    </row>
    <row r="154" spans="1:21" ht="18.75" x14ac:dyDescent="0.25">
      <c r="A154" s="325"/>
      <c r="B154" s="326"/>
      <c r="C154" s="326"/>
      <c r="D154" s="327" t="s">
        <v>66</v>
      </c>
      <c r="E154" s="326"/>
      <c r="F154" s="326"/>
      <c r="G154" s="328"/>
      <c r="H154" s="329" t="s">
        <v>61</v>
      </c>
      <c r="I154" s="330">
        <f ca="1">IFERROR(__xludf.DUMMYFUNCTION("IMPORTRANGE(""https://docs.google.com/spreadsheets/d/13wPX838HrBrQMCywv1BsuMkt4PEKTChp52zj44s2izQ/edit?usp=sharing"",""กาญจนบุรี!I154"")+IMPORTRANGE(""https://docs.google.com/spreadsheets/d/1ddFKvqj1W1NEiWytbGlB1zMx_ykJDVtmfEQ-6-lIUBA/edit?usp=sharing"","&amp;"""จันทบุรี!I154"")+IMPORTRANGE(""https://docs.google.com/spreadsheets/d/1T1PQvRODqOBZk8BRht_U031fIS1beLA0Ub2CEytj2q0/edit?usp=sharing"",""ฉะเชิงเทรา!I154"")+IMPORTRANGE(""https://docs.google.com/spreadsheets/d/11tr1B-Bhyr79v2bkwVh5h_fR-PStkgjlZtkrZpYurG0/"&amp;"edit?usp=sharing"",""ชลบุรี!I154"")+IMPORTRANGE(""https://docs.google.com/spreadsheets/d/1hh-FVnSX0vozXhGluamEcS54Dw9_zqW0N7qJUWgJ0Sw/edit?usp=sharing"",""ชัยนาท!I154"")+IMPORTRANGE(""https://docs.google.com/spreadsheets/d/1jkqa6GXxSacMcY1eN8AHjMNJ_7dDXMJ"&amp;"VRLDlaFSOdPM/edit?usp=sharing"",""ตราด!I154"")+IMPORTRANGE(""https://docs.google.com/spreadsheets/d/18hSgUJ3VwClqi_qtULmmW3cLr0oe3OKaSYoKzdpTsYQ/edit?usp=sharing"",""นครนายก!I154"")+IMPORTRANGE(""https://docs.google.com/spreadsheets/d/1YTZo6WM2dQ6Ix6FSdnL"&amp;"5P7uVnVKu40sxZu975tgG10E/edit?usp=sharing"",""นครปฐม!I154"")+IMPORTRANGE(""https://docs.google.com/spreadsheets/d/1OYoGg4WDg5RIzwGeB10padOxJF9E_Vljuvvct_M7RDo/edit?usp=sharing"",""ปทุมธานี!I154"")+IMPORTRANGE(""https://docs.google.com/spreadsheets/d/1GbCI"&amp;"E4D4wk9FUozzqk7SxfDMxDVBwVmI5zcaVUSzKAc/edit?usp=sharing"",""ประจวบคีรีขันธ์!I154"")+IMPORTRANGE(""https://docs.google.com/spreadsheets/d/1vVf6wykvW_lAyu7Yo9L4hUTqHqIeP_qcVuxCtosJEbg/edit?usp=sharing"",""ปราจีนบุรี!I154"")+IMPORTRANGE(""https://docs.googl"&amp;"e.com/spreadsheets/d/1BIDqLLg5jk3v59G8NlR8rk5xfQDKne0sAvZHSj7TI6I/edit?usp=sharing"",""พระนครศรีอยุธยา!I154"")+IMPORTRANGE(""https://docs.google.com/spreadsheets/d/1YXvxf8Yu6_rV4hTBrwMqAcAnv6DfhUxh5emyM3CJp_w/edit?usp=sharing"",""เพชรบุรี!I154"")+IMPORTRA"&amp;"NGE(""https://docs.google.com/spreadsheets/d/19KBlQQs7uwvsao6t2n-KvW3Ax8J8uRRfZPq1zPbXgKc/edit?usp=sharing"",""ระยอง!I154"")+IMPORTRANGE(""https://docs.google.com/spreadsheets/d/1jQ6P4QcrGM89YfqcC_PxOHGCMq5ezhucwJd8ci-NHng/edit?usp=sharing"",""ราชบุรี!I15"&amp;"4"")+IMPORTRANGE(""https://docs.google.com/spreadsheets/d/1lufeA2cfFqM-elVq2hznhDzC6Pr7wkJ9ZG_sYNGCMCU/edit?usp=sharing"",""ลพบุรี!I154"")+IMPORTRANGE(""https://docs.google.com/spreadsheets/d/10oOiF7loTyfsTkbd4MpaIm0HQ9SwB7IYHdIUvt-U1Uc/edit?usp=sharing"""&amp;",""สระแก้ว!I154"")+IMPORTRANGE(""https://docs.google.com/spreadsheets/d/1xmPlrr1QbdSIKvl1dWUl9K4PjAfSL9oeMr_37QVzcxc/edit?usp=sharing"",""สระบุรี!I154"")+IMPORTRANGE(""https://docs.google.com/spreadsheets/d/1j51vR6CYVGhABJpv6tkstgok82RLpXieLzW1yOY5rHw/edi"&amp;"t?usp=sharing"",""สิงห์บุรี!I154"")+IMPORTRANGE(""https://docs.google.com/spreadsheets/d/1H1EalTWKUSzO4Z1-1CwzoDUaVffgrThEBe2sl74kKG0/edit?usp=sharing"",""สุพรรณบุรี!I154"")+IMPORTRANGE(""https://docs.google.com/spreadsheets/d/1BmIruG_sIrJLYao_Pdr7zVArWsf"&amp;"oBt2692TMi6x_854/edit?usp=sharing"",""อ่างทอง!I154"")"),5)</f>
        <v>5</v>
      </c>
      <c r="J154" s="330">
        <f ca="1">IFERROR(__xludf.DUMMYFUNCTION("IMPORTRANGE(""https://docs.google.com/spreadsheets/d/13wPX838HrBrQMCywv1BsuMkt4PEKTChp52zj44s2izQ/edit?usp=sharing"",""กาญจนบุรี!J154"")+IMPORTRANGE(""https://docs.google.com/spreadsheets/d/1ddFKvqj1W1NEiWytbGlB1zMx_ykJDVtmfEQ-6-lIUBA/edit?usp=sharing"","&amp;"""จันทบุรี!J154"")+IMPORTRANGE(""https://docs.google.com/spreadsheets/d/1T1PQvRODqOBZk8BRht_U031fIS1beLA0Ub2CEytj2q0/edit?usp=sharing"",""ฉะเชิงเทรา!J154"")+IMPORTRANGE(""https://docs.google.com/spreadsheets/d/11tr1B-Bhyr79v2bkwVh5h_fR-PStkgjlZtkrZpYurG0/"&amp;"edit?usp=sharing"",""ชลบุรี!J154"")+IMPORTRANGE(""https://docs.google.com/spreadsheets/d/1hh-FVnSX0vozXhGluamEcS54Dw9_zqW0N7qJUWgJ0Sw/edit?usp=sharing"",""ชัยนาท!J154"")+IMPORTRANGE(""https://docs.google.com/spreadsheets/d/1jkqa6GXxSacMcY1eN8AHjMNJ_7dDXMJ"&amp;"VRLDlaFSOdPM/edit?usp=sharing"",""ตราด!J154"")+IMPORTRANGE(""https://docs.google.com/spreadsheets/d/18hSgUJ3VwClqi_qtULmmW3cLr0oe3OKaSYoKzdpTsYQ/edit?usp=sharing"",""นครนายก!J154"")+IMPORTRANGE(""https://docs.google.com/spreadsheets/d/1YTZo6WM2dQ6Ix6FSdnL"&amp;"5P7uVnVKu40sxZu975tgG10E/edit?usp=sharing"",""นครปฐม!J154"")+IMPORTRANGE(""https://docs.google.com/spreadsheets/d/1OYoGg4WDg5RIzwGeB10padOxJF9E_Vljuvvct_M7RDo/edit?usp=sharing"",""ปทุมธานี!J154"")+IMPORTRANGE(""https://docs.google.com/spreadsheets/d/1GbCI"&amp;"E4D4wk9FUozzqk7SxfDMxDVBwVmI5zcaVUSzKAc/edit?usp=sharing"",""ประจวบคีรีขันธ์!J154"")+IMPORTRANGE(""https://docs.google.com/spreadsheets/d/1vVf6wykvW_lAyu7Yo9L4hUTqHqIeP_qcVuxCtosJEbg/edit?usp=sharing"",""ปราจีนบุรี!J154"")+IMPORTRANGE(""https://docs.googl"&amp;"e.com/spreadsheets/d/1BIDqLLg5jk3v59G8NlR8rk5xfQDKne0sAvZHSj7TI6I/edit?usp=sharing"",""พระนครศรีอยุธยา!J154"")+IMPORTRANGE(""https://docs.google.com/spreadsheets/d/1YXvxf8Yu6_rV4hTBrwMqAcAnv6DfhUxh5emyM3CJp_w/edit?usp=sharing"",""เพชรบุรี!J154"")+IMPORTRA"&amp;"NGE(""https://docs.google.com/spreadsheets/d/19KBlQQs7uwvsao6t2n-KvW3Ax8J8uRRfZPq1zPbXgKc/edit?usp=sharing"",""ระยอง!J154"")+IMPORTRANGE(""https://docs.google.com/spreadsheets/d/1jQ6P4QcrGM89YfqcC_PxOHGCMq5ezhucwJd8ci-NHng/edit?usp=sharing"",""ราชบุรี!J15"&amp;"4"")+IMPORTRANGE(""https://docs.google.com/spreadsheets/d/1lufeA2cfFqM-elVq2hznhDzC6Pr7wkJ9ZG_sYNGCMCU/edit?usp=sharing"",""ลพบุรี!J154"")+IMPORTRANGE(""https://docs.google.com/spreadsheets/d/10oOiF7loTyfsTkbd4MpaIm0HQ9SwB7IYHdIUvt-U1Uc/edit?usp=sharing"""&amp;",""สระแก้ว!J154"")+IMPORTRANGE(""https://docs.google.com/spreadsheets/d/1xmPlrr1QbdSIKvl1dWUl9K4PjAfSL9oeMr_37QVzcxc/edit?usp=sharing"",""สระบุรี!J154"")+IMPORTRANGE(""https://docs.google.com/spreadsheets/d/1j51vR6CYVGhABJpv6tkstgok82RLpXieLzW1yOY5rHw/edi"&amp;"t?usp=sharing"",""สิงห์บุรี!J154"")+IMPORTRANGE(""https://docs.google.com/spreadsheets/d/1H1EalTWKUSzO4Z1-1CwzoDUaVffgrThEBe2sl74kKG0/edit?usp=sharing"",""สุพรรณบุรี!J154"")+IMPORTRANGE(""https://docs.google.com/spreadsheets/d/1BmIruG_sIrJLYao_Pdr7zVArWsf"&amp;"oBt2692TMi6x_854/edit?usp=sharing"",""อ่างทอง!J154"")"),0)</f>
        <v>0</v>
      </c>
      <c r="K154" s="88">
        <f t="shared" ca="1" si="123"/>
        <v>0</v>
      </c>
      <c r="L154" s="331"/>
      <c r="M154" s="331"/>
      <c r="N154" s="331"/>
      <c r="O154" s="331"/>
      <c r="P154" s="331"/>
      <c r="Q154" s="89"/>
      <c r="R154" s="90"/>
      <c r="S154" s="90"/>
      <c r="T154" s="90"/>
      <c r="U154" s="90"/>
    </row>
    <row r="155" spans="1:21" ht="19.5" x14ac:dyDescent="0.3">
      <c r="A155" s="332" t="s">
        <v>67</v>
      </c>
      <c r="B155" s="333"/>
      <c r="C155" s="334"/>
      <c r="D155" s="333"/>
      <c r="E155" s="333"/>
      <c r="F155" s="333"/>
      <c r="G155" s="333"/>
      <c r="H155" s="333"/>
      <c r="I155" s="335"/>
      <c r="J155" s="335"/>
      <c r="K155" s="336"/>
      <c r="L155" s="337"/>
      <c r="M155" s="337"/>
      <c r="N155" s="337"/>
      <c r="O155" s="337"/>
      <c r="P155" s="337"/>
      <c r="Q155" s="202"/>
      <c r="R155" s="203"/>
      <c r="S155" s="203"/>
      <c r="T155" s="203"/>
      <c r="U155" s="203"/>
    </row>
    <row r="156" spans="1:21" ht="19.5" x14ac:dyDescent="0.3">
      <c r="A156" s="204"/>
      <c r="B156" s="53" t="s">
        <v>68</v>
      </c>
      <c r="C156" s="52"/>
      <c r="D156" s="52"/>
      <c r="E156" s="52"/>
      <c r="F156" s="52"/>
      <c r="G156" s="55"/>
      <c r="H156" s="338" t="s">
        <v>35</v>
      </c>
      <c r="I156" s="207">
        <f ca="1">I167</f>
        <v>150</v>
      </c>
      <c r="J156" s="207">
        <f>J168</f>
        <v>0</v>
      </c>
      <c r="K156" s="208">
        <f ca="1">IF(I156&gt;0,J156*100/I156,0)</f>
        <v>0</v>
      </c>
      <c r="L156" s="58"/>
      <c r="M156" s="58"/>
      <c r="N156" s="58"/>
      <c r="O156" s="58"/>
      <c r="P156" s="58"/>
      <c r="Q156" s="209"/>
      <c r="R156" s="210"/>
      <c r="S156" s="210"/>
      <c r="T156" s="210"/>
      <c r="U156" s="210"/>
    </row>
    <row r="157" spans="1:21" ht="19.5" x14ac:dyDescent="0.3">
      <c r="A157" s="211"/>
      <c r="B157" s="70"/>
      <c r="C157" s="212" t="s">
        <v>18</v>
      </c>
      <c r="D157" s="213" t="s">
        <v>19</v>
      </c>
      <c r="E157" s="70"/>
      <c r="F157" s="70"/>
      <c r="G157" s="72"/>
      <c r="H157" s="214" t="s">
        <v>14</v>
      </c>
      <c r="I157" s="74"/>
      <c r="J157" s="74"/>
      <c r="K157" s="75"/>
      <c r="L157" s="215">
        <f t="shared" ref="L157:N157" ca="1" si="124">L158+L159</f>
        <v>31500</v>
      </c>
      <c r="M157" s="215">
        <f t="shared" ca="1" si="124"/>
        <v>75140</v>
      </c>
      <c r="N157" s="215">
        <f t="shared" ca="1" si="124"/>
        <v>18068</v>
      </c>
      <c r="O157" s="215">
        <f t="shared" ref="O157:O165" ca="1" si="125">IF(L157&gt;0,N157*100/L157,0)</f>
        <v>57.358730158730161</v>
      </c>
      <c r="P157" s="215">
        <f t="shared" ref="P157:P165" ca="1" si="126">IF(M157&gt;0,N157*100/M157,0)</f>
        <v>24.045781208410965</v>
      </c>
      <c r="Q157" s="216">
        <f t="shared" ref="Q157:S157" ca="1" si="127">Q158+Q159</f>
        <v>0</v>
      </c>
      <c r="R157" s="217">
        <f t="shared" ca="1" si="127"/>
        <v>0</v>
      </c>
      <c r="S157" s="217">
        <f t="shared" ca="1" si="127"/>
        <v>0</v>
      </c>
      <c r="T157" s="217">
        <f t="shared" ref="T157:T165" ca="1" si="128">IF(Q157&gt;0,S157*100/Q157,0)</f>
        <v>0</v>
      </c>
      <c r="U157" s="217">
        <f t="shared" ref="U157:U165" ca="1" si="129">IF(R157&gt;0,S157*100/R157,0)</f>
        <v>0</v>
      </c>
    </row>
    <row r="158" spans="1:21" ht="18.75" x14ac:dyDescent="0.25">
      <c r="A158" s="211"/>
      <c r="B158" s="70"/>
      <c r="C158" s="70"/>
      <c r="D158" s="70"/>
      <c r="E158" s="78" t="s">
        <v>20</v>
      </c>
      <c r="F158" s="70"/>
      <c r="G158" s="72"/>
      <c r="H158" s="218" t="s">
        <v>14</v>
      </c>
      <c r="I158" s="74"/>
      <c r="J158" s="74"/>
      <c r="K158" s="75"/>
      <c r="L158" s="91">
        <f t="shared" ref="L158:N158" ca="1" si="130">L161+L164</f>
        <v>0</v>
      </c>
      <c r="M158" s="91">
        <f t="shared" ca="1" si="130"/>
        <v>0</v>
      </c>
      <c r="N158" s="91">
        <f t="shared" ca="1" si="130"/>
        <v>0</v>
      </c>
      <c r="O158" s="91">
        <f t="shared" ca="1" si="125"/>
        <v>0</v>
      </c>
      <c r="P158" s="91">
        <f t="shared" ca="1" si="126"/>
        <v>0</v>
      </c>
      <c r="Q158" s="219">
        <f t="shared" ref="Q158:S158" ca="1" si="131">Q161+Q164</f>
        <v>0</v>
      </c>
      <c r="R158" s="136">
        <f t="shared" ca="1" si="131"/>
        <v>0</v>
      </c>
      <c r="S158" s="136">
        <f t="shared" ca="1" si="131"/>
        <v>0</v>
      </c>
      <c r="T158" s="136">
        <f t="shared" ca="1" si="128"/>
        <v>0</v>
      </c>
      <c r="U158" s="136">
        <f t="shared" ca="1" si="129"/>
        <v>0</v>
      </c>
    </row>
    <row r="159" spans="1:21" ht="18.75" x14ac:dyDescent="0.25">
      <c r="A159" s="211"/>
      <c r="B159" s="70"/>
      <c r="C159" s="70"/>
      <c r="D159" s="70"/>
      <c r="E159" s="78" t="s">
        <v>21</v>
      </c>
      <c r="F159" s="70"/>
      <c r="G159" s="72"/>
      <c r="H159" s="218" t="s">
        <v>14</v>
      </c>
      <c r="I159" s="74"/>
      <c r="J159" s="74"/>
      <c r="K159" s="75"/>
      <c r="L159" s="91">
        <f t="shared" ref="L159:N159" ca="1" si="132">L162+L165</f>
        <v>31500</v>
      </c>
      <c r="M159" s="91">
        <f t="shared" ca="1" si="132"/>
        <v>75140</v>
      </c>
      <c r="N159" s="91">
        <f t="shared" ca="1" si="132"/>
        <v>18068</v>
      </c>
      <c r="O159" s="91">
        <f t="shared" ca="1" si="125"/>
        <v>57.358730158730161</v>
      </c>
      <c r="P159" s="91">
        <f t="shared" ca="1" si="126"/>
        <v>24.045781208410965</v>
      </c>
      <c r="Q159" s="134">
        <f t="shared" ref="Q159:S159" ca="1" si="133">Q162+Q165</f>
        <v>0</v>
      </c>
      <c r="R159" s="135">
        <f t="shared" ca="1" si="133"/>
        <v>0</v>
      </c>
      <c r="S159" s="135">
        <f t="shared" ca="1" si="133"/>
        <v>0</v>
      </c>
      <c r="T159" s="135">
        <f t="shared" ca="1" si="128"/>
        <v>0</v>
      </c>
      <c r="U159" s="135">
        <f t="shared" ca="1" si="129"/>
        <v>0</v>
      </c>
    </row>
    <row r="160" spans="1:21" ht="18.75" x14ac:dyDescent="0.25">
      <c r="A160" s="211"/>
      <c r="B160" s="70"/>
      <c r="C160" s="70"/>
      <c r="D160" s="71" t="s">
        <v>22</v>
      </c>
      <c r="E160" s="70"/>
      <c r="F160" s="70"/>
      <c r="G160" s="72"/>
      <c r="H160" s="220" t="s">
        <v>14</v>
      </c>
      <c r="I160" s="221"/>
      <c r="J160" s="221"/>
      <c r="K160" s="222"/>
      <c r="L160" s="91">
        <f t="shared" ref="L160:N160" ca="1" si="134">L161+L162</f>
        <v>31500</v>
      </c>
      <c r="M160" s="91">
        <f t="shared" ca="1" si="134"/>
        <v>75140</v>
      </c>
      <c r="N160" s="91">
        <f t="shared" ca="1" si="134"/>
        <v>18068</v>
      </c>
      <c r="O160" s="91">
        <f t="shared" ca="1" si="125"/>
        <v>57.358730158730161</v>
      </c>
      <c r="P160" s="91">
        <f t="shared" ca="1" si="126"/>
        <v>24.045781208410965</v>
      </c>
      <c r="Q160" s="134">
        <f t="shared" ref="Q160:S160" ca="1" si="135">Q161+Q162</f>
        <v>0</v>
      </c>
      <c r="R160" s="135">
        <f t="shared" ca="1" si="135"/>
        <v>0</v>
      </c>
      <c r="S160" s="135">
        <f t="shared" ca="1" si="135"/>
        <v>0</v>
      </c>
      <c r="T160" s="135">
        <f t="shared" ca="1" si="128"/>
        <v>0</v>
      </c>
      <c r="U160" s="135">
        <f t="shared" ca="1" si="129"/>
        <v>0</v>
      </c>
    </row>
    <row r="161" spans="1:21" ht="18.75" x14ac:dyDescent="0.25">
      <c r="A161" s="211"/>
      <c r="B161" s="70"/>
      <c r="C161" s="70"/>
      <c r="D161" s="70"/>
      <c r="E161" s="78" t="s">
        <v>36</v>
      </c>
      <c r="F161" s="70"/>
      <c r="G161" s="72"/>
      <c r="H161" s="220" t="s">
        <v>14</v>
      </c>
      <c r="I161" s="221"/>
      <c r="J161" s="221"/>
      <c r="K161" s="222"/>
      <c r="L161" s="91">
        <f ca="1">IFERROR(__xludf.DUMMYFUNCTION("IMPORTRANGE(""https://docs.google.com/spreadsheets/d/13wPX838HrBrQMCywv1BsuMkt4PEKTChp52zj44s2izQ/edit?usp=sharing"",""กาญจนบุรี!L161"")+IMPORTRANGE(""https://docs.google.com/spreadsheets/d/1ddFKvqj1W1NEiWytbGlB1zMx_ykJDVtmfEQ-6-lIUBA/edit?usp=sharing"","&amp;"""จันทบุรี!L161"")+IMPORTRANGE(""https://docs.google.com/spreadsheets/d/1T1PQvRODqOBZk8BRht_U031fIS1beLA0Ub2CEytj2q0/edit?usp=sharing"",""ฉะเชิงเทรา!L161"")+IMPORTRANGE(""https://docs.google.com/spreadsheets/d/11tr1B-Bhyr79v2bkwVh5h_fR-PStkgjlZtkrZpYurG0/"&amp;"edit?usp=sharing"",""ชลบุรี!L161"")+IMPORTRANGE(""https://docs.google.com/spreadsheets/d/1hh-FVnSX0vozXhGluamEcS54Dw9_zqW0N7qJUWgJ0Sw/edit?usp=sharing"",""ชัยนาท!L161"")+IMPORTRANGE(""https://docs.google.com/spreadsheets/d/1jkqa6GXxSacMcY1eN8AHjMNJ_7dDXMJ"&amp;"VRLDlaFSOdPM/edit?usp=sharing"",""ตราด!L161"")+IMPORTRANGE(""https://docs.google.com/spreadsheets/d/18hSgUJ3VwClqi_qtULmmW3cLr0oe3OKaSYoKzdpTsYQ/edit?usp=sharing"",""นครนายก!L161"")+IMPORTRANGE(""https://docs.google.com/spreadsheets/d/1YTZo6WM2dQ6Ix6FSdnL"&amp;"5P7uVnVKu40sxZu975tgG10E/edit?usp=sharing"",""นครปฐม!L161"")+IMPORTRANGE(""https://docs.google.com/spreadsheets/d/1OYoGg4WDg5RIzwGeB10padOxJF9E_Vljuvvct_M7RDo/edit?usp=sharing"",""ปทุมธานี!L161"")+IMPORTRANGE(""https://docs.google.com/spreadsheets/d/1GbCI"&amp;"E4D4wk9FUozzqk7SxfDMxDVBwVmI5zcaVUSzKAc/edit?usp=sharing"",""ประจวบคีรีขันธ์!L161"")+IMPORTRANGE(""https://docs.google.com/spreadsheets/d/1vVf6wykvW_lAyu7Yo9L4hUTqHqIeP_qcVuxCtosJEbg/edit?usp=sharing"",""ปราจีนบุรี!L161"")+IMPORTRANGE(""https://docs.googl"&amp;"e.com/spreadsheets/d/1BIDqLLg5jk3v59G8NlR8rk5xfQDKne0sAvZHSj7TI6I/edit?usp=sharing"",""พระนครศรีอยุธยา!L161"")+IMPORTRANGE(""https://docs.google.com/spreadsheets/d/1YXvxf8Yu6_rV4hTBrwMqAcAnv6DfhUxh5emyM3CJp_w/edit?usp=sharing"",""เพชรบุรี!L161"")+IMPORTRA"&amp;"NGE(""https://docs.google.com/spreadsheets/d/19KBlQQs7uwvsao6t2n-KvW3Ax8J8uRRfZPq1zPbXgKc/edit?usp=sharing"",""ระยอง!L161"")+IMPORTRANGE(""https://docs.google.com/spreadsheets/d/1jQ6P4QcrGM89YfqcC_PxOHGCMq5ezhucwJd8ci-NHng/edit?usp=sharing"",""ราชบุรี!L16"&amp;"1"")+IMPORTRANGE(""https://docs.google.com/spreadsheets/d/1lufeA2cfFqM-elVq2hznhDzC6Pr7wkJ9ZG_sYNGCMCU/edit?usp=sharing"",""ลพบุรี!L161"")+IMPORTRANGE(""https://docs.google.com/spreadsheets/d/10oOiF7loTyfsTkbd4MpaIm0HQ9SwB7IYHdIUvt-U1Uc/edit?usp=sharing"""&amp;",""สระแก้ว!L161"")+IMPORTRANGE(""https://docs.google.com/spreadsheets/d/1xmPlrr1QbdSIKvl1dWUl9K4PjAfSL9oeMr_37QVzcxc/edit?usp=sharing"",""สระบุรี!L161"")+IMPORTRANGE(""https://docs.google.com/spreadsheets/d/1j51vR6CYVGhABJpv6tkstgok82RLpXieLzW1yOY5rHw/edi"&amp;"t?usp=sharing"",""สิงห์บุรี!L161"")+IMPORTRANGE(""https://docs.google.com/spreadsheets/d/1H1EalTWKUSzO4Z1-1CwzoDUaVffgrThEBe2sl74kKG0/edit?usp=sharing"",""สุพรรณบุรี!L161"")+IMPORTRANGE(""https://docs.google.com/spreadsheets/d/1BmIruG_sIrJLYao_Pdr7zVArWsf"&amp;"oBt2692TMi6x_854/edit?usp=sharing"",""อ่างทอง!L161"")"),0)</f>
        <v>0</v>
      </c>
      <c r="M161" s="91">
        <f ca="1">IFERROR(__xludf.DUMMYFUNCTION("IMPORTRANGE(""https://docs.google.com/spreadsheets/d/13wPX838HrBrQMCywv1BsuMkt4PEKTChp52zj44s2izQ/edit?usp=sharing"",""กาญจนบุรี!M161"")+IMPORTRANGE(""https://docs.google.com/spreadsheets/d/1ddFKvqj1W1NEiWytbGlB1zMx_ykJDVtmfEQ-6-lIUBA/edit?usp=sharing"","&amp;"""จันทบุรี!M161"")+IMPORTRANGE(""https://docs.google.com/spreadsheets/d/1T1PQvRODqOBZk8BRht_U031fIS1beLA0Ub2CEytj2q0/edit?usp=sharing"",""ฉะเชิงเทรา!M161"")+IMPORTRANGE(""https://docs.google.com/spreadsheets/d/11tr1B-Bhyr79v2bkwVh5h_fR-PStkgjlZtkrZpYurG0/"&amp;"edit?usp=sharing"",""ชลบุรี!M161"")+IMPORTRANGE(""https://docs.google.com/spreadsheets/d/1hh-FVnSX0vozXhGluamEcS54Dw9_zqW0N7qJUWgJ0Sw/edit?usp=sharing"",""ชัยนาท!M161"")+IMPORTRANGE(""https://docs.google.com/spreadsheets/d/1jkqa6GXxSacMcY1eN8AHjMNJ_7dDXMJ"&amp;"VRLDlaFSOdPM/edit?usp=sharing"",""ตราด!M161"")+IMPORTRANGE(""https://docs.google.com/spreadsheets/d/18hSgUJ3VwClqi_qtULmmW3cLr0oe3OKaSYoKzdpTsYQ/edit?usp=sharing"",""นครนายก!M161"")+IMPORTRANGE(""https://docs.google.com/spreadsheets/d/1YTZo6WM2dQ6Ix6FSdnL"&amp;"5P7uVnVKu40sxZu975tgG10E/edit?usp=sharing"",""นครปฐม!M161"")+IMPORTRANGE(""https://docs.google.com/spreadsheets/d/1OYoGg4WDg5RIzwGeB10padOxJF9E_Vljuvvct_M7RDo/edit?usp=sharing"",""ปทุมธานี!M161"")+IMPORTRANGE(""https://docs.google.com/spreadsheets/d/1GbCI"&amp;"E4D4wk9FUozzqk7SxfDMxDVBwVmI5zcaVUSzKAc/edit?usp=sharing"",""ประจวบคีรีขันธ์!M161"")+IMPORTRANGE(""https://docs.google.com/spreadsheets/d/1vVf6wykvW_lAyu7Yo9L4hUTqHqIeP_qcVuxCtosJEbg/edit?usp=sharing"",""ปราจีนบุรี!M161"")+IMPORTRANGE(""https://docs.googl"&amp;"e.com/spreadsheets/d/1BIDqLLg5jk3v59G8NlR8rk5xfQDKne0sAvZHSj7TI6I/edit?usp=sharing"",""พระนครศรีอยุธยา!M161"")+IMPORTRANGE(""https://docs.google.com/spreadsheets/d/1YXvxf8Yu6_rV4hTBrwMqAcAnv6DfhUxh5emyM3CJp_w/edit?usp=sharing"",""เพชรบุรี!M161"")+IMPORTRA"&amp;"NGE(""https://docs.google.com/spreadsheets/d/19KBlQQs7uwvsao6t2n-KvW3Ax8J8uRRfZPq1zPbXgKc/edit?usp=sharing"",""ระยอง!M161"")+IMPORTRANGE(""https://docs.google.com/spreadsheets/d/1jQ6P4QcrGM89YfqcC_PxOHGCMq5ezhucwJd8ci-NHng/edit?usp=sharing"",""ราชบุรี!M16"&amp;"1"")+IMPORTRANGE(""https://docs.google.com/spreadsheets/d/1lufeA2cfFqM-elVq2hznhDzC6Pr7wkJ9ZG_sYNGCMCU/edit?usp=sharing"",""ลพบุรี!M161"")+IMPORTRANGE(""https://docs.google.com/spreadsheets/d/10oOiF7loTyfsTkbd4MpaIm0HQ9SwB7IYHdIUvt-U1Uc/edit?usp=sharing"""&amp;",""สระแก้ว!M161"")+IMPORTRANGE(""https://docs.google.com/spreadsheets/d/1xmPlrr1QbdSIKvl1dWUl9K4PjAfSL9oeMr_37QVzcxc/edit?usp=sharing"",""สระบุรี!M161"")+IMPORTRANGE(""https://docs.google.com/spreadsheets/d/1j51vR6CYVGhABJpv6tkstgok82RLpXieLzW1yOY5rHw/edi"&amp;"t?usp=sharing"",""สิงห์บุรี!M161"")+IMPORTRANGE(""https://docs.google.com/spreadsheets/d/1H1EalTWKUSzO4Z1-1CwzoDUaVffgrThEBe2sl74kKG0/edit?usp=sharing"",""สุพรรณบุรี!M161"")+IMPORTRANGE(""https://docs.google.com/spreadsheets/d/1BmIruG_sIrJLYao_Pdr7zVArWsf"&amp;"oBt2692TMi6x_854/edit?usp=sharing"",""อ่างทอง!M161"")"),0)</f>
        <v>0</v>
      </c>
      <c r="N161" s="91">
        <f ca="1">IFERROR(__xludf.DUMMYFUNCTION("IMPORTRANGE(""https://docs.google.com/spreadsheets/d/13wPX838HrBrQMCywv1BsuMkt4PEKTChp52zj44s2izQ/edit?usp=sharing"",""กาญจนบุรี!N161"")+IMPORTRANGE(""https://docs.google.com/spreadsheets/d/1ddFKvqj1W1NEiWytbGlB1zMx_ykJDVtmfEQ-6-lIUBA/edit?usp=sharing"","&amp;"""จันทบุรี!N161"")+IMPORTRANGE(""https://docs.google.com/spreadsheets/d/1T1PQvRODqOBZk8BRht_U031fIS1beLA0Ub2CEytj2q0/edit?usp=sharing"",""ฉะเชิงเทรา!N161"")+IMPORTRANGE(""https://docs.google.com/spreadsheets/d/11tr1B-Bhyr79v2bkwVh5h_fR-PStkgjlZtkrZpYurG0/"&amp;"edit?usp=sharing"",""ชลบุรี!N161"")+IMPORTRANGE(""https://docs.google.com/spreadsheets/d/1hh-FVnSX0vozXhGluamEcS54Dw9_zqW0N7qJUWgJ0Sw/edit?usp=sharing"",""ชัยนาท!N161"")+IMPORTRANGE(""https://docs.google.com/spreadsheets/d/1jkqa6GXxSacMcY1eN8AHjMNJ_7dDXMJ"&amp;"VRLDlaFSOdPM/edit?usp=sharing"",""ตราด!N161"")+IMPORTRANGE(""https://docs.google.com/spreadsheets/d/18hSgUJ3VwClqi_qtULmmW3cLr0oe3OKaSYoKzdpTsYQ/edit?usp=sharing"",""นครนายก!N161"")+IMPORTRANGE(""https://docs.google.com/spreadsheets/d/1YTZo6WM2dQ6Ix6FSdnL"&amp;"5P7uVnVKu40sxZu975tgG10E/edit?usp=sharing"",""นครปฐม!N161"")+IMPORTRANGE(""https://docs.google.com/spreadsheets/d/1OYoGg4WDg5RIzwGeB10padOxJF9E_Vljuvvct_M7RDo/edit?usp=sharing"",""ปทุมธานี!N161"")+IMPORTRANGE(""https://docs.google.com/spreadsheets/d/1GbCI"&amp;"E4D4wk9FUozzqk7SxfDMxDVBwVmI5zcaVUSzKAc/edit?usp=sharing"",""ประจวบคีรีขันธ์!N161"")+IMPORTRANGE(""https://docs.google.com/spreadsheets/d/1vVf6wykvW_lAyu7Yo9L4hUTqHqIeP_qcVuxCtosJEbg/edit?usp=sharing"",""ปราจีนบุรี!N161"")+IMPORTRANGE(""https://docs.googl"&amp;"e.com/spreadsheets/d/1BIDqLLg5jk3v59G8NlR8rk5xfQDKne0sAvZHSj7TI6I/edit?usp=sharing"",""พระนครศรีอยุธยา!N161"")+IMPORTRANGE(""https://docs.google.com/spreadsheets/d/1YXvxf8Yu6_rV4hTBrwMqAcAnv6DfhUxh5emyM3CJp_w/edit?usp=sharing"",""เพชรบุรี!N161"")+IMPORTRA"&amp;"NGE(""https://docs.google.com/spreadsheets/d/19KBlQQs7uwvsao6t2n-KvW3Ax8J8uRRfZPq1zPbXgKc/edit?usp=sharing"",""ระยอง!N161"")+IMPORTRANGE(""https://docs.google.com/spreadsheets/d/1jQ6P4QcrGM89YfqcC_PxOHGCMq5ezhucwJd8ci-NHng/edit?usp=sharing"",""ราชบุรี!N16"&amp;"1"")+IMPORTRANGE(""https://docs.google.com/spreadsheets/d/1lufeA2cfFqM-elVq2hznhDzC6Pr7wkJ9ZG_sYNGCMCU/edit?usp=sharing"",""ลพบุรี!N161"")+IMPORTRANGE(""https://docs.google.com/spreadsheets/d/10oOiF7loTyfsTkbd4MpaIm0HQ9SwB7IYHdIUvt-U1Uc/edit?usp=sharing"""&amp;",""สระแก้ว!N161"")+IMPORTRANGE(""https://docs.google.com/spreadsheets/d/1xmPlrr1QbdSIKvl1dWUl9K4PjAfSL9oeMr_37QVzcxc/edit?usp=sharing"",""สระบุรี!N161"")+IMPORTRANGE(""https://docs.google.com/spreadsheets/d/1j51vR6CYVGhABJpv6tkstgok82RLpXieLzW1yOY5rHw/edi"&amp;"t?usp=sharing"",""สิงห์บุรี!N161"")+IMPORTRANGE(""https://docs.google.com/spreadsheets/d/1H1EalTWKUSzO4Z1-1CwzoDUaVffgrThEBe2sl74kKG0/edit?usp=sharing"",""สุพรรณบุรี!N161"")+IMPORTRANGE(""https://docs.google.com/spreadsheets/d/1BmIruG_sIrJLYao_Pdr7zVArWsf"&amp;"oBt2692TMi6x_854/edit?usp=sharing"",""อ่างทอง!N161"")"),0)</f>
        <v>0</v>
      </c>
      <c r="O161" s="91">
        <f t="shared" ca="1" si="125"/>
        <v>0</v>
      </c>
      <c r="P161" s="91">
        <f t="shared" ca="1" si="126"/>
        <v>0</v>
      </c>
      <c r="Q161" s="79">
        <f ca="1">IFERROR(__xludf.DUMMYFUNCTION("IMPORTRANGE(""https://docs.google.com/spreadsheets/d/13wPX838HrBrQMCywv1BsuMkt4PEKTChp52zj44s2izQ/edit?usp=sharing"",""กาญจนบุรี!Q161"")+IMPORTRANGE(""https://docs.google.com/spreadsheets/d/1ddFKvqj1W1NEiWytbGlB1zMx_ykJDVtmfEQ-6-lIUBA/edit?usp=sharing"","&amp;"""จันทบุรี!Q161"")+IMPORTRANGE(""https://docs.google.com/spreadsheets/d/1T1PQvRODqOBZk8BRht_U031fIS1beLA0Ub2CEytj2q0/edit?usp=sharing"",""ฉะเชิงเทรา!Q161"")+IMPORTRANGE(""https://docs.google.com/spreadsheets/d/11tr1B-Bhyr79v2bkwVh5h_fR-PStkgjlZtkrZpYurG0/"&amp;"edit?usp=sharing"",""ชลบุรี!Q161"")+IMPORTRANGE(""https://docs.google.com/spreadsheets/d/1hh-FVnSX0vozXhGluamEcS54Dw9_zqW0N7qJUWgJ0Sw/edit?usp=sharing"",""ชัยนาท!Q161"")+IMPORTRANGE(""https://docs.google.com/spreadsheets/d/1jkqa6GXxSacMcY1eN8AHjMNJ_7dDXMJ"&amp;"VRLDlaFSOdPM/edit?usp=sharing"",""ตราด!Q161"")+IMPORTRANGE(""https://docs.google.com/spreadsheets/d/18hSgUJ3VwClqi_qtULmmW3cLr0oe3OKaSYoKzdpTsYQ/edit?usp=sharing"",""นครนายก!Q161"")+IMPORTRANGE(""https://docs.google.com/spreadsheets/d/1YTZo6WM2dQ6Ix6FSdnL"&amp;"5P7uVnVKu40sxZu975tgG10E/edit?usp=sharing"",""นครปฐม!Q161"")+IMPORTRANGE(""https://docs.google.com/spreadsheets/d/1OYoGg4WDg5RIzwGeB10padOxJF9E_Vljuvvct_M7RDo/edit?usp=sharing"",""ปทุมธานี!Q161"")+IMPORTRANGE(""https://docs.google.com/spreadsheets/d/1GbCI"&amp;"E4D4wk9FUozzqk7SxfDMxDVBwVmI5zcaVUSzKAc/edit?usp=sharing"",""ประจวบคีรีขันธ์!Q161"")+IMPORTRANGE(""https://docs.google.com/spreadsheets/d/1vVf6wykvW_lAyu7Yo9L4hUTqHqIeP_qcVuxCtosJEbg/edit?usp=sharing"",""ปราจีนบุรี!Q161"")+IMPORTRANGE(""https://docs.googl"&amp;"e.com/spreadsheets/d/1BIDqLLg5jk3v59G8NlR8rk5xfQDKne0sAvZHSj7TI6I/edit?usp=sharing"",""พระนครศรีอยุธยา!Q161"")+IMPORTRANGE(""https://docs.google.com/spreadsheets/d/1YXvxf8Yu6_rV4hTBrwMqAcAnv6DfhUxh5emyM3CJp_w/edit?usp=sharing"",""เพชรบุรี!Q161"")+IMPORTRA"&amp;"NGE(""https://docs.google.com/spreadsheets/d/19KBlQQs7uwvsao6t2n-KvW3Ax8J8uRRfZPq1zPbXgKc/edit?usp=sharing"",""ระยอง!Q161"")+IMPORTRANGE(""https://docs.google.com/spreadsheets/d/1jQ6P4QcrGM89YfqcC_PxOHGCMq5ezhucwJd8ci-NHng/edit?usp=sharing"",""ราชบุรี!Q16"&amp;"1"")+IMPORTRANGE(""https://docs.google.com/spreadsheets/d/1lufeA2cfFqM-elVq2hznhDzC6Pr7wkJ9ZG_sYNGCMCU/edit?usp=sharing"",""ลพบุรี!Q161"")+IMPORTRANGE(""https://docs.google.com/spreadsheets/d/10oOiF7loTyfsTkbd4MpaIm0HQ9SwB7IYHdIUvt-U1Uc/edit?usp=sharing"""&amp;",""สระแก้ว!Q161"")+IMPORTRANGE(""https://docs.google.com/spreadsheets/d/1xmPlrr1QbdSIKvl1dWUl9K4PjAfSL9oeMr_37QVzcxc/edit?usp=sharing"",""สระบุรี!Q161"")+IMPORTRANGE(""https://docs.google.com/spreadsheets/d/1j51vR6CYVGhABJpv6tkstgok82RLpXieLzW1yOY5rHw/edi"&amp;"t?usp=sharing"",""สิงห์บุรี!Q161"")+IMPORTRANGE(""https://docs.google.com/spreadsheets/d/1H1EalTWKUSzO4Z1-1CwzoDUaVffgrThEBe2sl74kKG0/edit?usp=sharing"",""สุพรรณบุรี!Q161"")+IMPORTRANGE(""https://docs.google.com/spreadsheets/d/1BmIruG_sIrJLYao_Pdr7zVArWsf"&amp;"oBt2692TMi6x_854/edit?usp=sharing"",""อ่างทอง!Q161"")"),0)</f>
        <v>0</v>
      </c>
      <c r="R161" s="80">
        <f ca="1">IFERROR(__xludf.DUMMYFUNCTION("IMPORTRANGE(""https://docs.google.com/spreadsheets/d/13wPX838HrBrQMCywv1BsuMkt4PEKTChp52zj44s2izQ/edit?usp=sharing"",""กาญจนบุรี!R161"")+IMPORTRANGE(""https://docs.google.com/spreadsheets/d/1ddFKvqj1W1NEiWytbGlB1zMx_ykJDVtmfEQ-6-lIUBA/edit?usp=sharing"","&amp;"""จันทบุรี!R161"")+IMPORTRANGE(""https://docs.google.com/spreadsheets/d/1T1PQvRODqOBZk8BRht_U031fIS1beLA0Ub2CEytj2q0/edit?usp=sharing"",""ฉะเชิงเทรา!R161"")+IMPORTRANGE(""https://docs.google.com/spreadsheets/d/11tr1B-Bhyr79v2bkwVh5h_fR-PStkgjlZtkrZpYurG0/"&amp;"edit?usp=sharing"",""ชลบุรี!R161"")+IMPORTRANGE(""https://docs.google.com/spreadsheets/d/1hh-FVnSX0vozXhGluamEcS54Dw9_zqW0N7qJUWgJ0Sw/edit?usp=sharing"",""ชัยนาท!R161"")+IMPORTRANGE(""https://docs.google.com/spreadsheets/d/1jkqa6GXxSacMcY1eN8AHjMNJ_7dDXMJ"&amp;"VRLDlaFSOdPM/edit?usp=sharing"",""ตราด!R161"")+IMPORTRANGE(""https://docs.google.com/spreadsheets/d/18hSgUJ3VwClqi_qtULmmW3cLr0oe3OKaSYoKzdpTsYQ/edit?usp=sharing"",""นครนายก!R161"")+IMPORTRANGE(""https://docs.google.com/spreadsheets/d/1YTZo6WM2dQ6Ix6FSdnL"&amp;"5P7uVnVKu40sxZu975tgG10E/edit?usp=sharing"",""นครปฐม!R161"")+IMPORTRANGE(""https://docs.google.com/spreadsheets/d/1OYoGg4WDg5RIzwGeB10padOxJF9E_Vljuvvct_M7RDo/edit?usp=sharing"",""ปทุมธานี!R161"")+IMPORTRANGE(""https://docs.google.com/spreadsheets/d/1GbCI"&amp;"E4D4wk9FUozzqk7SxfDMxDVBwVmI5zcaVUSzKAc/edit?usp=sharing"",""ประจวบคีรีขันธ์!R161"")+IMPORTRANGE(""https://docs.google.com/spreadsheets/d/1vVf6wykvW_lAyu7Yo9L4hUTqHqIeP_qcVuxCtosJEbg/edit?usp=sharing"",""ปราจีนบุรี!R161"")+IMPORTRANGE(""https://docs.googl"&amp;"e.com/spreadsheets/d/1BIDqLLg5jk3v59G8NlR8rk5xfQDKne0sAvZHSj7TI6I/edit?usp=sharing"",""พระนครศรีอยุธยา!R161"")+IMPORTRANGE(""https://docs.google.com/spreadsheets/d/1YXvxf8Yu6_rV4hTBrwMqAcAnv6DfhUxh5emyM3CJp_w/edit?usp=sharing"",""เพชรบุรี!R161"")+IMPORTRA"&amp;"NGE(""https://docs.google.com/spreadsheets/d/19KBlQQs7uwvsao6t2n-KvW3Ax8J8uRRfZPq1zPbXgKc/edit?usp=sharing"",""ระยอง!R161"")+IMPORTRANGE(""https://docs.google.com/spreadsheets/d/1jQ6P4QcrGM89YfqcC_PxOHGCMq5ezhucwJd8ci-NHng/edit?usp=sharing"",""ราชบุรี!R16"&amp;"1"")+IMPORTRANGE(""https://docs.google.com/spreadsheets/d/1lufeA2cfFqM-elVq2hznhDzC6Pr7wkJ9ZG_sYNGCMCU/edit?usp=sharing"",""ลพบุรี!R161"")+IMPORTRANGE(""https://docs.google.com/spreadsheets/d/10oOiF7loTyfsTkbd4MpaIm0HQ9SwB7IYHdIUvt-U1Uc/edit?usp=sharing"""&amp;",""สระแก้ว!R161"")+IMPORTRANGE(""https://docs.google.com/spreadsheets/d/1xmPlrr1QbdSIKvl1dWUl9K4PjAfSL9oeMr_37QVzcxc/edit?usp=sharing"",""สระบุรี!R161"")+IMPORTRANGE(""https://docs.google.com/spreadsheets/d/1j51vR6CYVGhABJpv6tkstgok82RLpXieLzW1yOY5rHw/edi"&amp;"t?usp=sharing"",""สิงห์บุรี!R161"")+IMPORTRANGE(""https://docs.google.com/spreadsheets/d/1H1EalTWKUSzO4Z1-1CwzoDUaVffgrThEBe2sl74kKG0/edit?usp=sharing"",""สุพรรณบุรี!R161"")+IMPORTRANGE(""https://docs.google.com/spreadsheets/d/1BmIruG_sIrJLYao_Pdr7zVArWsf"&amp;"oBt2692TMi6x_854/edit?usp=sharing"",""อ่างทอง!R161"")"),0)</f>
        <v>0</v>
      </c>
      <c r="S161" s="80">
        <f ca="1">IFERROR(__xludf.DUMMYFUNCTION("IMPORTRANGE(""https://docs.google.com/spreadsheets/d/13wPX838HrBrQMCywv1BsuMkt4PEKTChp52zj44s2izQ/edit?usp=sharing"",""กาญจนบุรี!S161"")+IMPORTRANGE(""https://docs.google.com/spreadsheets/d/1ddFKvqj1W1NEiWytbGlB1zMx_ykJDVtmfEQ-6-lIUBA/edit?usp=sharing"","&amp;"""จันทบุรี!S161"")+IMPORTRANGE(""https://docs.google.com/spreadsheets/d/1T1PQvRODqOBZk8BRht_U031fIS1beLA0Ub2CEytj2q0/edit?usp=sharing"",""ฉะเชิงเทรา!S161"")+IMPORTRANGE(""https://docs.google.com/spreadsheets/d/11tr1B-Bhyr79v2bkwVh5h_fR-PStkgjlZtkrZpYurG0/"&amp;"edit?usp=sharing"",""ชลบุรี!S161"")+IMPORTRANGE(""https://docs.google.com/spreadsheets/d/1hh-FVnSX0vozXhGluamEcS54Dw9_zqW0N7qJUWgJ0Sw/edit?usp=sharing"",""ชัยนาท!S161"")+IMPORTRANGE(""https://docs.google.com/spreadsheets/d/1jkqa6GXxSacMcY1eN8AHjMNJ_7dDXMJ"&amp;"VRLDlaFSOdPM/edit?usp=sharing"",""ตราด!S161"")+IMPORTRANGE(""https://docs.google.com/spreadsheets/d/18hSgUJ3VwClqi_qtULmmW3cLr0oe3OKaSYoKzdpTsYQ/edit?usp=sharing"",""นครนายก!S161"")+IMPORTRANGE(""https://docs.google.com/spreadsheets/d/1YTZo6WM2dQ6Ix6FSdnL"&amp;"5P7uVnVKu40sxZu975tgG10E/edit?usp=sharing"",""นครปฐม!S161"")+IMPORTRANGE(""https://docs.google.com/spreadsheets/d/1OYoGg4WDg5RIzwGeB10padOxJF9E_Vljuvvct_M7RDo/edit?usp=sharing"",""ปทุมธานี!S161"")+IMPORTRANGE(""https://docs.google.com/spreadsheets/d/1GbCI"&amp;"E4D4wk9FUozzqk7SxfDMxDVBwVmI5zcaVUSzKAc/edit?usp=sharing"",""ประจวบคีรีขันธ์!S161"")+IMPORTRANGE(""https://docs.google.com/spreadsheets/d/1vVf6wykvW_lAyu7Yo9L4hUTqHqIeP_qcVuxCtosJEbg/edit?usp=sharing"",""ปราจีนบุรี!S161"")+IMPORTRANGE(""https://docs.googl"&amp;"e.com/spreadsheets/d/1BIDqLLg5jk3v59G8NlR8rk5xfQDKne0sAvZHSj7TI6I/edit?usp=sharing"",""พระนครศรีอยุธยา!S161"")+IMPORTRANGE(""https://docs.google.com/spreadsheets/d/1YXvxf8Yu6_rV4hTBrwMqAcAnv6DfhUxh5emyM3CJp_w/edit?usp=sharing"",""เพชรบุรี!S161"")+IMPORTRA"&amp;"NGE(""https://docs.google.com/spreadsheets/d/19KBlQQs7uwvsao6t2n-KvW3Ax8J8uRRfZPq1zPbXgKc/edit?usp=sharing"",""ระยอง!S161"")+IMPORTRANGE(""https://docs.google.com/spreadsheets/d/1jQ6P4QcrGM89YfqcC_PxOHGCMq5ezhucwJd8ci-NHng/edit?usp=sharing"",""ราชบุรี!S16"&amp;"1"")+IMPORTRANGE(""https://docs.google.com/spreadsheets/d/1lufeA2cfFqM-elVq2hznhDzC6Pr7wkJ9ZG_sYNGCMCU/edit?usp=sharing"",""ลพบุรี!S161"")+IMPORTRANGE(""https://docs.google.com/spreadsheets/d/10oOiF7loTyfsTkbd4MpaIm0HQ9SwB7IYHdIUvt-U1Uc/edit?usp=sharing"""&amp;",""สระแก้ว!S161"")+IMPORTRANGE(""https://docs.google.com/spreadsheets/d/1xmPlrr1QbdSIKvl1dWUl9K4PjAfSL9oeMr_37QVzcxc/edit?usp=sharing"",""สระบุรี!S161"")+IMPORTRANGE(""https://docs.google.com/spreadsheets/d/1j51vR6CYVGhABJpv6tkstgok82RLpXieLzW1yOY5rHw/edi"&amp;"t?usp=sharing"",""สิงห์บุรี!S161"")+IMPORTRANGE(""https://docs.google.com/spreadsheets/d/1H1EalTWKUSzO4Z1-1CwzoDUaVffgrThEBe2sl74kKG0/edit?usp=sharing"",""สุพรรณบุรี!S161"")+IMPORTRANGE(""https://docs.google.com/spreadsheets/d/1BmIruG_sIrJLYao_Pdr7zVArWsf"&amp;"oBt2692TMi6x_854/edit?usp=sharing"",""อ่างทอง!S161"")"),0)</f>
        <v>0</v>
      </c>
      <c r="T161" s="136">
        <f t="shared" ca="1" si="128"/>
        <v>0</v>
      </c>
      <c r="U161" s="136">
        <f t="shared" ca="1" si="129"/>
        <v>0</v>
      </c>
    </row>
    <row r="162" spans="1:21" ht="18.75" x14ac:dyDescent="0.25">
      <c r="A162" s="211"/>
      <c r="B162" s="70"/>
      <c r="C162" s="70"/>
      <c r="D162" s="70"/>
      <c r="E162" s="78" t="s">
        <v>37</v>
      </c>
      <c r="F162" s="70"/>
      <c r="G162" s="72"/>
      <c r="H162" s="220" t="s">
        <v>14</v>
      </c>
      <c r="I162" s="221"/>
      <c r="J162" s="221"/>
      <c r="K162" s="222"/>
      <c r="L162" s="91">
        <f ca="1">IFERROR(__xludf.DUMMYFUNCTION("IMPORTRANGE(""https://docs.google.com/spreadsheets/d/13wPX838HrBrQMCywv1BsuMkt4PEKTChp52zj44s2izQ/edit?usp=sharing"",""กาญจนบุรี!L162"")+IMPORTRANGE(""https://docs.google.com/spreadsheets/d/1ddFKvqj1W1NEiWytbGlB1zMx_ykJDVtmfEQ-6-lIUBA/edit?usp=sharing"","&amp;"""จันทบุรี!L162"")+IMPORTRANGE(""https://docs.google.com/spreadsheets/d/1T1PQvRODqOBZk8BRht_U031fIS1beLA0Ub2CEytj2q0/edit?usp=sharing"",""ฉะเชิงเทรา!L162"")+IMPORTRANGE(""https://docs.google.com/spreadsheets/d/11tr1B-Bhyr79v2bkwVh5h_fR-PStkgjlZtkrZpYurG0/"&amp;"edit?usp=sharing"",""ชลบุรี!L162"")+IMPORTRANGE(""https://docs.google.com/spreadsheets/d/1hh-FVnSX0vozXhGluamEcS54Dw9_zqW0N7qJUWgJ0Sw/edit?usp=sharing"",""ชัยนาท!L162"")+IMPORTRANGE(""https://docs.google.com/spreadsheets/d/1jkqa6GXxSacMcY1eN8AHjMNJ_7dDXMJ"&amp;"VRLDlaFSOdPM/edit?usp=sharing"",""ตราด!L162"")+IMPORTRANGE(""https://docs.google.com/spreadsheets/d/18hSgUJ3VwClqi_qtULmmW3cLr0oe3OKaSYoKzdpTsYQ/edit?usp=sharing"",""นครนายก!L162"")+IMPORTRANGE(""https://docs.google.com/spreadsheets/d/1YTZo6WM2dQ6Ix6FSdnL"&amp;"5P7uVnVKu40sxZu975tgG10E/edit?usp=sharing"",""นครปฐม!L162"")+IMPORTRANGE(""https://docs.google.com/spreadsheets/d/1OYoGg4WDg5RIzwGeB10padOxJF9E_Vljuvvct_M7RDo/edit?usp=sharing"",""ปทุมธานี!L162"")+IMPORTRANGE(""https://docs.google.com/spreadsheets/d/1GbCI"&amp;"E4D4wk9FUozzqk7SxfDMxDVBwVmI5zcaVUSzKAc/edit?usp=sharing"",""ประจวบคีรีขันธ์!L162"")+IMPORTRANGE(""https://docs.google.com/spreadsheets/d/1vVf6wykvW_lAyu7Yo9L4hUTqHqIeP_qcVuxCtosJEbg/edit?usp=sharing"",""ปราจีนบุรี!L162"")+IMPORTRANGE(""https://docs.googl"&amp;"e.com/spreadsheets/d/1BIDqLLg5jk3v59G8NlR8rk5xfQDKne0sAvZHSj7TI6I/edit?usp=sharing"",""พระนครศรีอยุธยา!L162"")+IMPORTRANGE(""https://docs.google.com/spreadsheets/d/1YXvxf8Yu6_rV4hTBrwMqAcAnv6DfhUxh5emyM3CJp_w/edit?usp=sharing"",""เพชรบุรี!L162"")+IMPORTRA"&amp;"NGE(""https://docs.google.com/spreadsheets/d/19KBlQQs7uwvsao6t2n-KvW3Ax8J8uRRfZPq1zPbXgKc/edit?usp=sharing"",""ระยอง!L162"")+IMPORTRANGE(""https://docs.google.com/spreadsheets/d/1jQ6P4QcrGM89YfqcC_PxOHGCMq5ezhucwJd8ci-NHng/edit?usp=sharing"",""ราชบุรี!L16"&amp;"2"")+IMPORTRANGE(""https://docs.google.com/spreadsheets/d/1lufeA2cfFqM-elVq2hznhDzC6Pr7wkJ9ZG_sYNGCMCU/edit?usp=sharing"",""ลพบุรี!L162"")+IMPORTRANGE(""https://docs.google.com/spreadsheets/d/10oOiF7loTyfsTkbd4MpaIm0HQ9SwB7IYHdIUvt-U1Uc/edit?usp=sharing"""&amp;",""สระแก้ว!L162"")+IMPORTRANGE(""https://docs.google.com/spreadsheets/d/1xmPlrr1QbdSIKvl1dWUl9K4PjAfSL9oeMr_37QVzcxc/edit?usp=sharing"",""สระบุรี!L162"")+IMPORTRANGE(""https://docs.google.com/spreadsheets/d/1j51vR6CYVGhABJpv6tkstgok82RLpXieLzW1yOY5rHw/edi"&amp;"t?usp=sharing"",""สิงห์บุรี!L162"")+IMPORTRANGE(""https://docs.google.com/spreadsheets/d/1H1EalTWKUSzO4Z1-1CwzoDUaVffgrThEBe2sl74kKG0/edit?usp=sharing"",""สุพรรณบุรี!L162"")+IMPORTRANGE(""https://docs.google.com/spreadsheets/d/1BmIruG_sIrJLYao_Pdr7zVArWsf"&amp;"oBt2692TMi6x_854/edit?usp=sharing"",""อ่างทอง!L162"")"),31500)</f>
        <v>31500</v>
      </c>
      <c r="M162" s="91">
        <f ca="1">IFERROR(__xludf.DUMMYFUNCTION("IMPORTRANGE(""https://docs.google.com/spreadsheets/d/13wPX838HrBrQMCywv1BsuMkt4PEKTChp52zj44s2izQ/edit?usp=sharing"",""กาญจนบุรี!M162"")+IMPORTRANGE(""https://docs.google.com/spreadsheets/d/1ddFKvqj1W1NEiWytbGlB1zMx_ykJDVtmfEQ-6-lIUBA/edit?usp=sharing"","&amp;"""จันทบุรี!M162"")+IMPORTRANGE(""https://docs.google.com/spreadsheets/d/1T1PQvRODqOBZk8BRht_U031fIS1beLA0Ub2CEytj2q0/edit?usp=sharing"",""ฉะเชิงเทรา!M162"")+IMPORTRANGE(""https://docs.google.com/spreadsheets/d/11tr1B-Bhyr79v2bkwVh5h_fR-PStkgjlZtkrZpYurG0/"&amp;"edit?usp=sharing"",""ชลบุรี!M162"")+IMPORTRANGE(""https://docs.google.com/spreadsheets/d/1hh-FVnSX0vozXhGluamEcS54Dw9_zqW0N7qJUWgJ0Sw/edit?usp=sharing"",""ชัยนาท!M162"")+IMPORTRANGE(""https://docs.google.com/spreadsheets/d/1jkqa6GXxSacMcY1eN8AHjMNJ_7dDXMJ"&amp;"VRLDlaFSOdPM/edit?usp=sharing"",""ตราด!M162"")+IMPORTRANGE(""https://docs.google.com/spreadsheets/d/18hSgUJ3VwClqi_qtULmmW3cLr0oe3OKaSYoKzdpTsYQ/edit?usp=sharing"",""นครนายก!M162"")+IMPORTRANGE(""https://docs.google.com/spreadsheets/d/1YTZo6WM2dQ6Ix6FSdnL"&amp;"5P7uVnVKu40sxZu975tgG10E/edit?usp=sharing"",""นครปฐม!M162"")+IMPORTRANGE(""https://docs.google.com/spreadsheets/d/1OYoGg4WDg5RIzwGeB10padOxJF9E_Vljuvvct_M7RDo/edit?usp=sharing"",""ปทุมธานี!M162"")+IMPORTRANGE(""https://docs.google.com/spreadsheets/d/1GbCI"&amp;"E4D4wk9FUozzqk7SxfDMxDVBwVmI5zcaVUSzKAc/edit?usp=sharing"",""ประจวบคีรีขันธ์!M162"")+IMPORTRANGE(""https://docs.google.com/spreadsheets/d/1vVf6wykvW_lAyu7Yo9L4hUTqHqIeP_qcVuxCtosJEbg/edit?usp=sharing"",""ปราจีนบุรี!M162"")+IMPORTRANGE(""https://docs.googl"&amp;"e.com/spreadsheets/d/1BIDqLLg5jk3v59G8NlR8rk5xfQDKne0sAvZHSj7TI6I/edit?usp=sharing"",""พระนครศรีอยุธยา!M162"")+IMPORTRANGE(""https://docs.google.com/spreadsheets/d/1YXvxf8Yu6_rV4hTBrwMqAcAnv6DfhUxh5emyM3CJp_w/edit?usp=sharing"",""เพชรบุรี!M162"")+IMPORTRA"&amp;"NGE(""https://docs.google.com/spreadsheets/d/19KBlQQs7uwvsao6t2n-KvW3Ax8J8uRRfZPq1zPbXgKc/edit?usp=sharing"",""ระยอง!M162"")+IMPORTRANGE(""https://docs.google.com/spreadsheets/d/1jQ6P4QcrGM89YfqcC_PxOHGCMq5ezhucwJd8ci-NHng/edit?usp=sharing"",""ราชบุรี!M16"&amp;"2"")+IMPORTRANGE(""https://docs.google.com/spreadsheets/d/1lufeA2cfFqM-elVq2hznhDzC6Pr7wkJ9ZG_sYNGCMCU/edit?usp=sharing"",""ลพบุรี!M162"")+IMPORTRANGE(""https://docs.google.com/spreadsheets/d/10oOiF7loTyfsTkbd4MpaIm0HQ9SwB7IYHdIUvt-U1Uc/edit?usp=sharing"""&amp;",""สระแก้ว!M162"")+IMPORTRANGE(""https://docs.google.com/spreadsheets/d/1xmPlrr1QbdSIKvl1dWUl9K4PjAfSL9oeMr_37QVzcxc/edit?usp=sharing"",""สระบุรี!M162"")+IMPORTRANGE(""https://docs.google.com/spreadsheets/d/1j51vR6CYVGhABJpv6tkstgok82RLpXieLzW1yOY5rHw/edi"&amp;"t?usp=sharing"",""สิงห์บุรี!M162"")+IMPORTRANGE(""https://docs.google.com/spreadsheets/d/1H1EalTWKUSzO4Z1-1CwzoDUaVffgrThEBe2sl74kKG0/edit?usp=sharing"",""สุพรรณบุรี!M162"")+IMPORTRANGE(""https://docs.google.com/spreadsheets/d/1BmIruG_sIrJLYao_Pdr7zVArWsf"&amp;"oBt2692TMi6x_854/edit?usp=sharing"",""อ่างทอง!M162"")"),75140)</f>
        <v>75140</v>
      </c>
      <c r="N162" s="91">
        <f ca="1">IFERROR(__xludf.DUMMYFUNCTION("IMPORTRANGE(""https://docs.google.com/spreadsheets/d/13wPX838HrBrQMCywv1BsuMkt4PEKTChp52zj44s2izQ/edit?usp=sharing"",""กาญจนบุรี!N162"")+IMPORTRANGE(""https://docs.google.com/spreadsheets/d/1ddFKvqj1W1NEiWytbGlB1zMx_ykJDVtmfEQ-6-lIUBA/edit?usp=sharing"","&amp;"""จันทบุรี!N162"")+IMPORTRANGE(""https://docs.google.com/spreadsheets/d/1T1PQvRODqOBZk8BRht_U031fIS1beLA0Ub2CEytj2q0/edit?usp=sharing"",""ฉะเชิงเทรา!N162"")+IMPORTRANGE(""https://docs.google.com/spreadsheets/d/11tr1B-Bhyr79v2bkwVh5h_fR-PStkgjlZtkrZpYurG0/"&amp;"edit?usp=sharing"",""ชลบุรี!N162"")+IMPORTRANGE(""https://docs.google.com/spreadsheets/d/1hh-FVnSX0vozXhGluamEcS54Dw9_zqW0N7qJUWgJ0Sw/edit?usp=sharing"",""ชัยนาท!N162"")+IMPORTRANGE(""https://docs.google.com/spreadsheets/d/1jkqa6GXxSacMcY1eN8AHjMNJ_7dDXMJ"&amp;"VRLDlaFSOdPM/edit?usp=sharing"",""ตราด!N162"")+IMPORTRANGE(""https://docs.google.com/spreadsheets/d/18hSgUJ3VwClqi_qtULmmW3cLr0oe3OKaSYoKzdpTsYQ/edit?usp=sharing"",""นครนายก!N162"")+IMPORTRANGE(""https://docs.google.com/spreadsheets/d/1YTZo6WM2dQ6Ix6FSdnL"&amp;"5P7uVnVKu40sxZu975tgG10E/edit?usp=sharing"",""นครปฐม!N162"")+IMPORTRANGE(""https://docs.google.com/spreadsheets/d/1OYoGg4WDg5RIzwGeB10padOxJF9E_Vljuvvct_M7RDo/edit?usp=sharing"",""ปทุมธานี!N162"")+IMPORTRANGE(""https://docs.google.com/spreadsheets/d/1GbCI"&amp;"E4D4wk9FUozzqk7SxfDMxDVBwVmI5zcaVUSzKAc/edit?usp=sharing"",""ประจวบคีรีขันธ์!N162"")+IMPORTRANGE(""https://docs.google.com/spreadsheets/d/1vVf6wykvW_lAyu7Yo9L4hUTqHqIeP_qcVuxCtosJEbg/edit?usp=sharing"",""ปราจีนบุรี!N162"")+IMPORTRANGE(""https://docs.googl"&amp;"e.com/spreadsheets/d/1BIDqLLg5jk3v59G8NlR8rk5xfQDKne0sAvZHSj7TI6I/edit?usp=sharing"",""พระนครศรีอยุธยา!N162"")+IMPORTRANGE(""https://docs.google.com/spreadsheets/d/1YXvxf8Yu6_rV4hTBrwMqAcAnv6DfhUxh5emyM3CJp_w/edit?usp=sharing"",""เพชรบุรี!N162"")+IMPORTRA"&amp;"NGE(""https://docs.google.com/spreadsheets/d/19KBlQQs7uwvsao6t2n-KvW3Ax8J8uRRfZPq1zPbXgKc/edit?usp=sharing"",""ระยอง!N162"")+IMPORTRANGE(""https://docs.google.com/spreadsheets/d/1jQ6P4QcrGM89YfqcC_PxOHGCMq5ezhucwJd8ci-NHng/edit?usp=sharing"",""ราชบุรี!N16"&amp;"2"")+IMPORTRANGE(""https://docs.google.com/spreadsheets/d/1lufeA2cfFqM-elVq2hznhDzC6Pr7wkJ9ZG_sYNGCMCU/edit?usp=sharing"",""ลพบุรี!N162"")+IMPORTRANGE(""https://docs.google.com/spreadsheets/d/10oOiF7loTyfsTkbd4MpaIm0HQ9SwB7IYHdIUvt-U1Uc/edit?usp=sharing"""&amp;",""สระแก้ว!N162"")+IMPORTRANGE(""https://docs.google.com/spreadsheets/d/1xmPlrr1QbdSIKvl1dWUl9K4PjAfSL9oeMr_37QVzcxc/edit?usp=sharing"",""สระบุรี!N162"")+IMPORTRANGE(""https://docs.google.com/spreadsheets/d/1j51vR6CYVGhABJpv6tkstgok82RLpXieLzW1yOY5rHw/edi"&amp;"t?usp=sharing"",""สิงห์บุรี!N162"")+IMPORTRANGE(""https://docs.google.com/spreadsheets/d/1H1EalTWKUSzO4Z1-1CwzoDUaVffgrThEBe2sl74kKG0/edit?usp=sharing"",""สุพรรณบุรี!N162"")+IMPORTRANGE(""https://docs.google.com/spreadsheets/d/1BmIruG_sIrJLYao_Pdr7zVArWsf"&amp;"oBt2692TMi6x_854/edit?usp=sharing"",""อ่างทอง!N162"")"),18068)</f>
        <v>18068</v>
      </c>
      <c r="O162" s="91">
        <f t="shared" ca="1" si="125"/>
        <v>57.358730158730161</v>
      </c>
      <c r="P162" s="91">
        <f t="shared" ca="1" si="126"/>
        <v>24.045781208410965</v>
      </c>
      <c r="Q162" s="134">
        <f ca="1">IFERROR(__xludf.DUMMYFUNCTION("IMPORTRANGE(""https://docs.google.com/spreadsheets/d/13wPX838HrBrQMCywv1BsuMkt4PEKTChp52zj44s2izQ/edit?usp=sharing"",""กาญจนบุรี!Q162"")+IMPORTRANGE(""https://docs.google.com/spreadsheets/d/1ddFKvqj1W1NEiWytbGlB1zMx_ykJDVtmfEQ-6-lIUBA/edit?usp=sharing"","&amp;"""จันทบุรี!Q162"")+IMPORTRANGE(""https://docs.google.com/spreadsheets/d/1T1PQvRODqOBZk8BRht_U031fIS1beLA0Ub2CEytj2q0/edit?usp=sharing"",""ฉะเชิงเทรา!Q162"")+IMPORTRANGE(""https://docs.google.com/spreadsheets/d/11tr1B-Bhyr79v2bkwVh5h_fR-PStkgjlZtkrZpYurG0/"&amp;"edit?usp=sharing"",""ชลบุรี!Q162"")+IMPORTRANGE(""https://docs.google.com/spreadsheets/d/1hh-FVnSX0vozXhGluamEcS54Dw9_zqW0N7qJUWgJ0Sw/edit?usp=sharing"",""ชัยนาท!Q162"")+IMPORTRANGE(""https://docs.google.com/spreadsheets/d/1jkqa6GXxSacMcY1eN8AHjMNJ_7dDXMJ"&amp;"VRLDlaFSOdPM/edit?usp=sharing"",""ตราด!Q162"")+IMPORTRANGE(""https://docs.google.com/spreadsheets/d/18hSgUJ3VwClqi_qtULmmW3cLr0oe3OKaSYoKzdpTsYQ/edit?usp=sharing"",""นครนายก!Q162"")+IMPORTRANGE(""https://docs.google.com/spreadsheets/d/1YTZo6WM2dQ6Ix6FSdnL"&amp;"5P7uVnVKu40sxZu975tgG10E/edit?usp=sharing"",""นครปฐม!Q162"")+IMPORTRANGE(""https://docs.google.com/spreadsheets/d/1OYoGg4WDg5RIzwGeB10padOxJF9E_Vljuvvct_M7RDo/edit?usp=sharing"",""ปทุมธานี!Q162"")+IMPORTRANGE(""https://docs.google.com/spreadsheets/d/1GbCI"&amp;"E4D4wk9FUozzqk7SxfDMxDVBwVmI5zcaVUSzKAc/edit?usp=sharing"",""ประจวบคีรีขันธ์!Q162"")+IMPORTRANGE(""https://docs.google.com/spreadsheets/d/1vVf6wykvW_lAyu7Yo9L4hUTqHqIeP_qcVuxCtosJEbg/edit?usp=sharing"",""ปราจีนบุรี!Q162"")+IMPORTRANGE(""https://docs.googl"&amp;"e.com/spreadsheets/d/1BIDqLLg5jk3v59G8NlR8rk5xfQDKne0sAvZHSj7TI6I/edit?usp=sharing"",""พระนครศรีอยุธยา!Q162"")+IMPORTRANGE(""https://docs.google.com/spreadsheets/d/1YXvxf8Yu6_rV4hTBrwMqAcAnv6DfhUxh5emyM3CJp_w/edit?usp=sharing"",""เพชรบุรี!Q162"")+IMPORTRA"&amp;"NGE(""https://docs.google.com/spreadsheets/d/19KBlQQs7uwvsao6t2n-KvW3Ax8J8uRRfZPq1zPbXgKc/edit?usp=sharing"",""ระยอง!Q162"")+IMPORTRANGE(""https://docs.google.com/spreadsheets/d/1jQ6P4QcrGM89YfqcC_PxOHGCMq5ezhucwJd8ci-NHng/edit?usp=sharing"",""ราชบุรี!Q16"&amp;"2"")+IMPORTRANGE(""https://docs.google.com/spreadsheets/d/1lufeA2cfFqM-elVq2hznhDzC6Pr7wkJ9ZG_sYNGCMCU/edit?usp=sharing"",""ลพบุรี!Q162"")+IMPORTRANGE(""https://docs.google.com/spreadsheets/d/10oOiF7loTyfsTkbd4MpaIm0HQ9SwB7IYHdIUvt-U1Uc/edit?usp=sharing"""&amp;",""สระแก้ว!Q162"")+IMPORTRANGE(""https://docs.google.com/spreadsheets/d/1xmPlrr1QbdSIKvl1dWUl9K4PjAfSL9oeMr_37QVzcxc/edit?usp=sharing"",""สระบุรี!Q162"")+IMPORTRANGE(""https://docs.google.com/spreadsheets/d/1j51vR6CYVGhABJpv6tkstgok82RLpXieLzW1yOY5rHw/edi"&amp;"t?usp=sharing"",""สิงห์บุรี!Q162"")+IMPORTRANGE(""https://docs.google.com/spreadsheets/d/1H1EalTWKUSzO4Z1-1CwzoDUaVffgrThEBe2sl74kKG0/edit?usp=sharing"",""สุพรรณบุรี!Q162"")+IMPORTRANGE(""https://docs.google.com/spreadsheets/d/1BmIruG_sIrJLYao_Pdr7zVArWsf"&amp;"oBt2692TMi6x_854/edit?usp=sharing"",""อ่างทอง!Q162"")"),0)</f>
        <v>0</v>
      </c>
      <c r="R162" s="135">
        <f ca="1">IFERROR(__xludf.DUMMYFUNCTION("IMPORTRANGE(""https://docs.google.com/spreadsheets/d/13wPX838HrBrQMCywv1BsuMkt4PEKTChp52zj44s2izQ/edit?usp=sharing"",""กาญจนบุรี!R162"")+IMPORTRANGE(""https://docs.google.com/spreadsheets/d/1ddFKvqj1W1NEiWytbGlB1zMx_ykJDVtmfEQ-6-lIUBA/edit?usp=sharing"","&amp;"""จันทบุรี!R162"")+IMPORTRANGE(""https://docs.google.com/spreadsheets/d/1T1PQvRODqOBZk8BRht_U031fIS1beLA0Ub2CEytj2q0/edit?usp=sharing"",""ฉะเชิงเทรา!R162"")+IMPORTRANGE(""https://docs.google.com/spreadsheets/d/11tr1B-Bhyr79v2bkwVh5h_fR-PStkgjlZtkrZpYurG0/"&amp;"edit?usp=sharing"",""ชลบุรี!R162"")+IMPORTRANGE(""https://docs.google.com/spreadsheets/d/1hh-FVnSX0vozXhGluamEcS54Dw9_zqW0N7qJUWgJ0Sw/edit?usp=sharing"",""ชัยนาท!R162"")+IMPORTRANGE(""https://docs.google.com/spreadsheets/d/1jkqa6GXxSacMcY1eN8AHjMNJ_7dDXMJ"&amp;"VRLDlaFSOdPM/edit?usp=sharing"",""ตราด!R162"")+IMPORTRANGE(""https://docs.google.com/spreadsheets/d/18hSgUJ3VwClqi_qtULmmW3cLr0oe3OKaSYoKzdpTsYQ/edit?usp=sharing"",""นครนายก!R162"")+IMPORTRANGE(""https://docs.google.com/spreadsheets/d/1YTZo6WM2dQ6Ix6FSdnL"&amp;"5P7uVnVKu40sxZu975tgG10E/edit?usp=sharing"",""นครปฐม!R162"")+IMPORTRANGE(""https://docs.google.com/spreadsheets/d/1OYoGg4WDg5RIzwGeB10padOxJF9E_Vljuvvct_M7RDo/edit?usp=sharing"",""ปทุมธานี!R162"")+IMPORTRANGE(""https://docs.google.com/spreadsheets/d/1GbCI"&amp;"E4D4wk9FUozzqk7SxfDMxDVBwVmI5zcaVUSzKAc/edit?usp=sharing"",""ประจวบคีรีขันธ์!R162"")+IMPORTRANGE(""https://docs.google.com/spreadsheets/d/1vVf6wykvW_lAyu7Yo9L4hUTqHqIeP_qcVuxCtosJEbg/edit?usp=sharing"",""ปราจีนบุรี!R162"")+IMPORTRANGE(""https://docs.googl"&amp;"e.com/spreadsheets/d/1BIDqLLg5jk3v59G8NlR8rk5xfQDKne0sAvZHSj7TI6I/edit?usp=sharing"",""พระนครศรีอยุธยา!R162"")+IMPORTRANGE(""https://docs.google.com/spreadsheets/d/1YXvxf8Yu6_rV4hTBrwMqAcAnv6DfhUxh5emyM3CJp_w/edit?usp=sharing"",""เพชรบุรี!R162"")+IMPORTRA"&amp;"NGE(""https://docs.google.com/spreadsheets/d/19KBlQQs7uwvsao6t2n-KvW3Ax8J8uRRfZPq1zPbXgKc/edit?usp=sharing"",""ระยอง!R162"")+IMPORTRANGE(""https://docs.google.com/spreadsheets/d/1jQ6P4QcrGM89YfqcC_PxOHGCMq5ezhucwJd8ci-NHng/edit?usp=sharing"",""ราชบุรี!R16"&amp;"2"")+IMPORTRANGE(""https://docs.google.com/spreadsheets/d/1lufeA2cfFqM-elVq2hznhDzC6Pr7wkJ9ZG_sYNGCMCU/edit?usp=sharing"",""ลพบุรี!R162"")+IMPORTRANGE(""https://docs.google.com/spreadsheets/d/10oOiF7loTyfsTkbd4MpaIm0HQ9SwB7IYHdIUvt-U1Uc/edit?usp=sharing"""&amp;",""สระแก้ว!R162"")+IMPORTRANGE(""https://docs.google.com/spreadsheets/d/1xmPlrr1QbdSIKvl1dWUl9K4PjAfSL9oeMr_37QVzcxc/edit?usp=sharing"",""สระบุรี!R162"")+IMPORTRANGE(""https://docs.google.com/spreadsheets/d/1j51vR6CYVGhABJpv6tkstgok82RLpXieLzW1yOY5rHw/edi"&amp;"t?usp=sharing"",""สิงห์บุรี!R162"")+IMPORTRANGE(""https://docs.google.com/spreadsheets/d/1H1EalTWKUSzO4Z1-1CwzoDUaVffgrThEBe2sl74kKG0/edit?usp=sharing"",""สุพรรณบุรี!R162"")+IMPORTRANGE(""https://docs.google.com/spreadsheets/d/1BmIruG_sIrJLYao_Pdr7zVArWsf"&amp;"oBt2692TMi6x_854/edit?usp=sharing"",""อ่างทอง!R162"")"),0)</f>
        <v>0</v>
      </c>
      <c r="S162" s="135">
        <f ca="1">IFERROR(__xludf.DUMMYFUNCTION("IMPORTRANGE(""https://docs.google.com/spreadsheets/d/13wPX838HrBrQMCywv1BsuMkt4PEKTChp52zj44s2izQ/edit?usp=sharing"",""กาญจนบุรี!S162"")+IMPORTRANGE(""https://docs.google.com/spreadsheets/d/1ddFKvqj1W1NEiWytbGlB1zMx_ykJDVtmfEQ-6-lIUBA/edit?usp=sharing"","&amp;"""จันทบุรี!S162"")+IMPORTRANGE(""https://docs.google.com/spreadsheets/d/1T1PQvRODqOBZk8BRht_U031fIS1beLA0Ub2CEytj2q0/edit?usp=sharing"",""ฉะเชิงเทรา!S162"")+IMPORTRANGE(""https://docs.google.com/spreadsheets/d/11tr1B-Bhyr79v2bkwVh5h_fR-PStkgjlZtkrZpYurG0/"&amp;"edit?usp=sharing"",""ชลบุรี!S162"")+IMPORTRANGE(""https://docs.google.com/spreadsheets/d/1hh-FVnSX0vozXhGluamEcS54Dw9_zqW0N7qJUWgJ0Sw/edit?usp=sharing"",""ชัยนาท!S162"")+IMPORTRANGE(""https://docs.google.com/spreadsheets/d/1jkqa6GXxSacMcY1eN8AHjMNJ_7dDXMJ"&amp;"VRLDlaFSOdPM/edit?usp=sharing"",""ตราด!S162"")+IMPORTRANGE(""https://docs.google.com/spreadsheets/d/18hSgUJ3VwClqi_qtULmmW3cLr0oe3OKaSYoKzdpTsYQ/edit?usp=sharing"",""นครนายก!S162"")+IMPORTRANGE(""https://docs.google.com/spreadsheets/d/1YTZo6WM2dQ6Ix6FSdnL"&amp;"5P7uVnVKu40sxZu975tgG10E/edit?usp=sharing"",""นครปฐม!S162"")+IMPORTRANGE(""https://docs.google.com/spreadsheets/d/1OYoGg4WDg5RIzwGeB10padOxJF9E_Vljuvvct_M7RDo/edit?usp=sharing"",""ปทุมธานี!S162"")+IMPORTRANGE(""https://docs.google.com/spreadsheets/d/1GbCI"&amp;"E4D4wk9FUozzqk7SxfDMxDVBwVmI5zcaVUSzKAc/edit?usp=sharing"",""ประจวบคีรีขันธ์!S162"")+IMPORTRANGE(""https://docs.google.com/spreadsheets/d/1vVf6wykvW_lAyu7Yo9L4hUTqHqIeP_qcVuxCtosJEbg/edit?usp=sharing"",""ปราจีนบุรี!S162"")+IMPORTRANGE(""https://docs.googl"&amp;"e.com/spreadsheets/d/1BIDqLLg5jk3v59G8NlR8rk5xfQDKne0sAvZHSj7TI6I/edit?usp=sharing"",""พระนครศรีอยุธยา!S162"")+IMPORTRANGE(""https://docs.google.com/spreadsheets/d/1YXvxf8Yu6_rV4hTBrwMqAcAnv6DfhUxh5emyM3CJp_w/edit?usp=sharing"",""เพชรบุรี!S162"")+IMPORTRA"&amp;"NGE(""https://docs.google.com/spreadsheets/d/19KBlQQs7uwvsao6t2n-KvW3Ax8J8uRRfZPq1zPbXgKc/edit?usp=sharing"",""ระยอง!S162"")+IMPORTRANGE(""https://docs.google.com/spreadsheets/d/1jQ6P4QcrGM89YfqcC_PxOHGCMq5ezhucwJd8ci-NHng/edit?usp=sharing"",""ราชบุรี!S16"&amp;"2"")+IMPORTRANGE(""https://docs.google.com/spreadsheets/d/1lufeA2cfFqM-elVq2hznhDzC6Pr7wkJ9ZG_sYNGCMCU/edit?usp=sharing"",""ลพบุรี!S162"")+IMPORTRANGE(""https://docs.google.com/spreadsheets/d/10oOiF7loTyfsTkbd4MpaIm0HQ9SwB7IYHdIUvt-U1Uc/edit?usp=sharing"""&amp;",""สระแก้ว!S162"")+IMPORTRANGE(""https://docs.google.com/spreadsheets/d/1xmPlrr1QbdSIKvl1dWUl9K4PjAfSL9oeMr_37QVzcxc/edit?usp=sharing"",""สระบุรี!S162"")+IMPORTRANGE(""https://docs.google.com/spreadsheets/d/1j51vR6CYVGhABJpv6tkstgok82RLpXieLzW1yOY5rHw/edi"&amp;"t?usp=sharing"",""สิงห์บุรี!S162"")+IMPORTRANGE(""https://docs.google.com/spreadsheets/d/1H1EalTWKUSzO4Z1-1CwzoDUaVffgrThEBe2sl74kKG0/edit?usp=sharing"",""สุพรรณบุรี!S162"")+IMPORTRANGE(""https://docs.google.com/spreadsheets/d/1BmIruG_sIrJLYao_Pdr7zVArWsf"&amp;"oBt2692TMi6x_854/edit?usp=sharing"",""อ่างทอง!S162"")"),0)</f>
        <v>0</v>
      </c>
      <c r="T162" s="135">
        <f t="shared" ca="1" si="128"/>
        <v>0</v>
      </c>
      <c r="U162" s="135">
        <f t="shared" ca="1" si="129"/>
        <v>0</v>
      </c>
    </row>
    <row r="163" spans="1:21" ht="18.75" x14ac:dyDescent="0.25">
      <c r="A163" s="211"/>
      <c r="B163" s="70"/>
      <c r="C163" s="70"/>
      <c r="D163" s="71" t="s">
        <v>23</v>
      </c>
      <c r="E163" s="70"/>
      <c r="F163" s="70"/>
      <c r="G163" s="72"/>
      <c r="H163" s="223" t="s">
        <v>14</v>
      </c>
      <c r="I163" s="221"/>
      <c r="J163" s="221"/>
      <c r="K163" s="222"/>
      <c r="L163" s="91">
        <f t="shared" ref="L163:N163" ca="1" si="136">L164+L165</f>
        <v>0</v>
      </c>
      <c r="M163" s="91">
        <f t="shared" ca="1" si="136"/>
        <v>0</v>
      </c>
      <c r="N163" s="91">
        <f t="shared" ca="1" si="136"/>
        <v>0</v>
      </c>
      <c r="O163" s="91">
        <f t="shared" ca="1" si="125"/>
        <v>0</v>
      </c>
      <c r="P163" s="91">
        <f t="shared" ca="1" si="126"/>
        <v>0</v>
      </c>
      <c r="Q163" s="134">
        <f t="shared" ref="Q163:S163" ca="1" si="137">Q164+Q165</f>
        <v>0</v>
      </c>
      <c r="R163" s="135">
        <f t="shared" ca="1" si="137"/>
        <v>0</v>
      </c>
      <c r="S163" s="135">
        <f t="shared" ca="1" si="137"/>
        <v>0</v>
      </c>
      <c r="T163" s="135">
        <f t="shared" ca="1" si="128"/>
        <v>0</v>
      </c>
      <c r="U163" s="135">
        <f t="shared" ca="1" si="129"/>
        <v>0</v>
      </c>
    </row>
    <row r="164" spans="1:21" ht="18.75" x14ac:dyDescent="0.25">
      <c r="A164" s="211"/>
      <c r="B164" s="70"/>
      <c r="C164" s="70"/>
      <c r="D164" s="70"/>
      <c r="E164" s="78" t="s">
        <v>20</v>
      </c>
      <c r="F164" s="70"/>
      <c r="G164" s="72"/>
      <c r="H164" s="220" t="s">
        <v>14</v>
      </c>
      <c r="I164" s="221"/>
      <c r="J164" s="221"/>
      <c r="K164" s="222"/>
      <c r="L164" s="91">
        <f ca="1">IFERROR(__xludf.DUMMYFUNCTION("IMPORTRANGE(""https://docs.google.com/spreadsheets/d/13wPX838HrBrQMCywv1BsuMkt4PEKTChp52zj44s2izQ/edit?usp=sharing"",""กาญจนบุรี!L164"")+IMPORTRANGE(""https://docs.google.com/spreadsheets/d/1ddFKvqj1W1NEiWytbGlB1zMx_ykJDVtmfEQ-6-lIUBA/edit?usp=sharing"","&amp;"""จันทบุรี!L164"")+IMPORTRANGE(""https://docs.google.com/spreadsheets/d/1T1PQvRODqOBZk8BRht_U031fIS1beLA0Ub2CEytj2q0/edit?usp=sharing"",""ฉะเชิงเทรา!L164"")+IMPORTRANGE(""https://docs.google.com/spreadsheets/d/11tr1B-Bhyr79v2bkwVh5h_fR-PStkgjlZtkrZpYurG0/"&amp;"edit?usp=sharing"",""ชลบุรี!L164"")+IMPORTRANGE(""https://docs.google.com/spreadsheets/d/1hh-FVnSX0vozXhGluamEcS54Dw9_zqW0N7qJUWgJ0Sw/edit?usp=sharing"",""ชัยนาท!L164"")+IMPORTRANGE(""https://docs.google.com/spreadsheets/d/1jkqa6GXxSacMcY1eN8AHjMNJ_7dDXMJ"&amp;"VRLDlaFSOdPM/edit?usp=sharing"",""ตราด!L164"")+IMPORTRANGE(""https://docs.google.com/spreadsheets/d/18hSgUJ3VwClqi_qtULmmW3cLr0oe3OKaSYoKzdpTsYQ/edit?usp=sharing"",""นครนายก!L164"")+IMPORTRANGE(""https://docs.google.com/spreadsheets/d/1YTZo6WM2dQ6Ix6FSdnL"&amp;"5P7uVnVKu40sxZu975tgG10E/edit?usp=sharing"",""นครปฐม!L164"")+IMPORTRANGE(""https://docs.google.com/spreadsheets/d/1OYoGg4WDg5RIzwGeB10padOxJF9E_Vljuvvct_M7RDo/edit?usp=sharing"",""ปทุมธานี!L164"")+IMPORTRANGE(""https://docs.google.com/spreadsheets/d/1GbCI"&amp;"E4D4wk9FUozzqk7SxfDMxDVBwVmI5zcaVUSzKAc/edit?usp=sharing"",""ประจวบคีรีขันธ์!L164"")+IMPORTRANGE(""https://docs.google.com/spreadsheets/d/1vVf6wykvW_lAyu7Yo9L4hUTqHqIeP_qcVuxCtosJEbg/edit?usp=sharing"",""ปราจีนบุรี!L164"")+IMPORTRANGE(""https://docs.googl"&amp;"e.com/spreadsheets/d/1BIDqLLg5jk3v59G8NlR8rk5xfQDKne0sAvZHSj7TI6I/edit?usp=sharing"",""พระนครศรีอยุธยา!L164"")+IMPORTRANGE(""https://docs.google.com/spreadsheets/d/1YXvxf8Yu6_rV4hTBrwMqAcAnv6DfhUxh5emyM3CJp_w/edit?usp=sharing"",""เพชรบุรี!L164"")+IMPORTRA"&amp;"NGE(""https://docs.google.com/spreadsheets/d/19KBlQQs7uwvsao6t2n-KvW3Ax8J8uRRfZPq1zPbXgKc/edit?usp=sharing"",""ระยอง!L164"")+IMPORTRANGE(""https://docs.google.com/spreadsheets/d/1jQ6P4QcrGM89YfqcC_PxOHGCMq5ezhucwJd8ci-NHng/edit?usp=sharing"",""ราชบุรี!L16"&amp;"4"")+IMPORTRANGE(""https://docs.google.com/spreadsheets/d/1lufeA2cfFqM-elVq2hznhDzC6Pr7wkJ9ZG_sYNGCMCU/edit?usp=sharing"",""ลพบุรี!L164"")+IMPORTRANGE(""https://docs.google.com/spreadsheets/d/10oOiF7loTyfsTkbd4MpaIm0HQ9SwB7IYHdIUvt-U1Uc/edit?usp=sharing"""&amp;",""สระแก้ว!L164"")+IMPORTRANGE(""https://docs.google.com/spreadsheets/d/1xmPlrr1QbdSIKvl1dWUl9K4PjAfSL9oeMr_37QVzcxc/edit?usp=sharing"",""สระบุรี!L164"")+IMPORTRANGE(""https://docs.google.com/spreadsheets/d/1j51vR6CYVGhABJpv6tkstgok82RLpXieLzW1yOY5rHw/edi"&amp;"t?usp=sharing"",""สิงห์บุรี!L164"")+IMPORTRANGE(""https://docs.google.com/spreadsheets/d/1H1EalTWKUSzO4Z1-1CwzoDUaVffgrThEBe2sl74kKG0/edit?usp=sharing"",""สุพรรณบุรี!L164"")+IMPORTRANGE(""https://docs.google.com/spreadsheets/d/1BmIruG_sIrJLYao_Pdr7zVArWsf"&amp;"oBt2692TMi6x_854/edit?usp=sharing"",""อ่างทอง!L164"")"),0)</f>
        <v>0</v>
      </c>
      <c r="M164" s="91">
        <f ca="1">IFERROR(__xludf.DUMMYFUNCTION("IMPORTRANGE(""https://docs.google.com/spreadsheets/d/13wPX838HrBrQMCywv1BsuMkt4PEKTChp52zj44s2izQ/edit?usp=sharing"",""กาญจนบุรี!M164"")+IMPORTRANGE(""https://docs.google.com/spreadsheets/d/1ddFKvqj1W1NEiWytbGlB1zMx_ykJDVtmfEQ-6-lIUBA/edit?usp=sharing"","&amp;"""จันทบุรี!M164"")+IMPORTRANGE(""https://docs.google.com/spreadsheets/d/1T1PQvRODqOBZk8BRht_U031fIS1beLA0Ub2CEytj2q0/edit?usp=sharing"",""ฉะเชิงเทรา!M164"")+IMPORTRANGE(""https://docs.google.com/spreadsheets/d/11tr1B-Bhyr79v2bkwVh5h_fR-PStkgjlZtkrZpYurG0/"&amp;"edit?usp=sharing"",""ชลบุรี!M164"")+IMPORTRANGE(""https://docs.google.com/spreadsheets/d/1hh-FVnSX0vozXhGluamEcS54Dw9_zqW0N7qJUWgJ0Sw/edit?usp=sharing"",""ชัยนาท!M164"")+IMPORTRANGE(""https://docs.google.com/spreadsheets/d/1jkqa6GXxSacMcY1eN8AHjMNJ_7dDXMJ"&amp;"VRLDlaFSOdPM/edit?usp=sharing"",""ตราด!M164"")+IMPORTRANGE(""https://docs.google.com/spreadsheets/d/18hSgUJ3VwClqi_qtULmmW3cLr0oe3OKaSYoKzdpTsYQ/edit?usp=sharing"",""นครนายก!M164"")+IMPORTRANGE(""https://docs.google.com/spreadsheets/d/1YTZo6WM2dQ6Ix6FSdnL"&amp;"5P7uVnVKu40sxZu975tgG10E/edit?usp=sharing"",""นครปฐม!M164"")+IMPORTRANGE(""https://docs.google.com/spreadsheets/d/1OYoGg4WDg5RIzwGeB10padOxJF9E_Vljuvvct_M7RDo/edit?usp=sharing"",""ปทุมธานี!M164"")+IMPORTRANGE(""https://docs.google.com/spreadsheets/d/1GbCI"&amp;"E4D4wk9FUozzqk7SxfDMxDVBwVmI5zcaVUSzKAc/edit?usp=sharing"",""ประจวบคีรีขันธ์!M164"")+IMPORTRANGE(""https://docs.google.com/spreadsheets/d/1vVf6wykvW_lAyu7Yo9L4hUTqHqIeP_qcVuxCtosJEbg/edit?usp=sharing"",""ปราจีนบุรี!M164"")+IMPORTRANGE(""https://docs.googl"&amp;"e.com/spreadsheets/d/1BIDqLLg5jk3v59G8NlR8rk5xfQDKne0sAvZHSj7TI6I/edit?usp=sharing"",""พระนครศรีอยุธยา!M164"")+IMPORTRANGE(""https://docs.google.com/spreadsheets/d/1YXvxf8Yu6_rV4hTBrwMqAcAnv6DfhUxh5emyM3CJp_w/edit?usp=sharing"",""เพชรบุรี!M164"")+IMPORTRA"&amp;"NGE(""https://docs.google.com/spreadsheets/d/19KBlQQs7uwvsao6t2n-KvW3Ax8J8uRRfZPq1zPbXgKc/edit?usp=sharing"",""ระยอง!M164"")+IMPORTRANGE(""https://docs.google.com/spreadsheets/d/1jQ6P4QcrGM89YfqcC_PxOHGCMq5ezhucwJd8ci-NHng/edit?usp=sharing"",""ราชบุรี!M16"&amp;"4"")+IMPORTRANGE(""https://docs.google.com/spreadsheets/d/1lufeA2cfFqM-elVq2hznhDzC6Pr7wkJ9ZG_sYNGCMCU/edit?usp=sharing"",""ลพบุรี!M164"")+IMPORTRANGE(""https://docs.google.com/spreadsheets/d/10oOiF7loTyfsTkbd4MpaIm0HQ9SwB7IYHdIUvt-U1Uc/edit?usp=sharing"""&amp;",""สระแก้ว!M164"")+IMPORTRANGE(""https://docs.google.com/spreadsheets/d/1xmPlrr1QbdSIKvl1dWUl9K4PjAfSL9oeMr_37QVzcxc/edit?usp=sharing"",""สระบุรี!M164"")+IMPORTRANGE(""https://docs.google.com/spreadsheets/d/1j51vR6CYVGhABJpv6tkstgok82RLpXieLzW1yOY5rHw/edi"&amp;"t?usp=sharing"",""สิงห์บุรี!M164"")+IMPORTRANGE(""https://docs.google.com/spreadsheets/d/1H1EalTWKUSzO4Z1-1CwzoDUaVffgrThEBe2sl74kKG0/edit?usp=sharing"",""สุพรรณบุรี!M164"")+IMPORTRANGE(""https://docs.google.com/spreadsheets/d/1BmIruG_sIrJLYao_Pdr7zVArWsf"&amp;"oBt2692TMi6x_854/edit?usp=sharing"",""อ่างทอง!M164"")"),0)</f>
        <v>0</v>
      </c>
      <c r="N164" s="91">
        <f ca="1">IFERROR(__xludf.DUMMYFUNCTION("IMPORTRANGE(""https://docs.google.com/spreadsheets/d/13wPX838HrBrQMCywv1BsuMkt4PEKTChp52zj44s2izQ/edit?usp=sharing"",""กาญจนบุรี!N164"")+IMPORTRANGE(""https://docs.google.com/spreadsheets/d/1ddFKvqj1W1NEiWytbGlB1zMx_ykJDVtmfEQ-6-lIUBA/edit?usp=sharing"","&amp;"""จันทบุรี!N164"")+IMPORTRANGE(""https://docs.google.com/spreadsheets/d/1T1PQvRODqOBZk8BRht_U031fIS1beLA0Ub2CEytj2q0/edit?usp=sharing"",""ฉะเชิงเทรา!N164"")+IMPORTRANGE(""https://docs.google.com/spreadsheets/d/11tr1B-Bhyr79v2bkwVh5h_fR-PStkgjlZtkrZpYurG0/"&amp;"edit?usp=sharing"",""ชลบุรี!N164"")+IMPORTRANGE(""https://docs.google.com/spreadsheets/d/1hh-FVnSX0vozXhGluamEcS54Dw9_zqW0N7qJUWgJ0Sw/edit?usp=sharing"",""ชัยนาท!N164"")+IMPORTRANGE(""https://docs.google.com/spreadsheets/d/1jkqa6GXxSacMcY1eN8AHjMNJ_7dDXMJ"&amp;"VRLDlaFSOdPM/edit?usp=sharing"",""ตราด!N164"")+IMPORTRANGE(""https://docs.google.com/spreadsheets/d/18hSgUJ3VwClqi_qtULmmW3cLr0oe3OKaSYoKzdpTsYQ/edit?usp=sharing"",""นครนายก!N164"")+IMPORTRANGE(""https://docs.google.com/spreadsheets/d/1YTZo6WM2dQ6Ix6FSdnL"&amp;"5P7uVnVKu40sxZu975tgG10E/edit?usp=sharing"",""นครปฐม!N164"")+IMPORTRANGE(""https://docs.google.com/spreadsheets/d/1OYoGg4WDg5RIzwGeB10padOxJF9E_Vljuvvct_M7RDo/edit?usp=sharing"",""ปทุมธานี!N164"")+IMPORTRANGE(""https://docs.google.com/spreadsheets/d/1GbCI"&amp;"E4D4wk9FUozzqk7SxfDMxDVBwVmI5zcaVUSzKAc/edit?usp=sharing"",""ประจวบคีรีขันธ์!N164"")+IMPORTRANGE(""https://docs.google.com/spreadsheets/d/1vVf6wykvW_lAyu7Yo9L4hUTqHqIeP_qcVuxCtosJEbg/edit?usp=sharing"",""ปราจีนบุรี!N164"")+IMPORTRANGE(""https://docs.googl"&amp;"e.com/spreadsheets/d/1BIDqLLg5jk3v59G8NlR8rk5xfQDKne0sAvZHSj7TI6I/edit?usp=sharing"",""พระนครศรีอยุธยา!N164"")+IMPORTRANGE(""https://docs.google.com/spreadsheets/d/1YXvxf8Yu6_rV4hTBrwMqAcAnv6DfhUxh5emyM3CJp_w/edit?usp=sharing"",""เพชรบุรี!N164"")+IMPORTRA"&amp;"NGE(""https://docs.google.com/spreadsheets/d/19KBlQQs7uwvsao6t2n-KvW3Ax8J8uRRfZPq1zPbXgKc/edit?usp=sharing"",""ระยอง!N164"")+IMPORTRANGE(""https://docs.google.com/spreadsheets/d/1jQ6P4QcrGM89YfqcC_PxOHGCMq5ezhucwJd8ci-NHng/edit?usp=sharing"",""ราชบุรี!N16"&amp;"4"")+IMPORTRANGE(""https://docs.google.com/spreadsheets/d/1lufeA2cfFqM-elVq2hznhDzC6Pr7wkJ9ZG_sYNGCMCU/edit?usp=sharing"",""ลพบุรี!N164"")+IMPORTRANGE(""https://docs.google.com/spreadsheets/d/10oOiF7loTyfsTkbd4MpaIm0HQ9SwB7IYHdIUvt-U1Uc/edit?usp=sharing"""&amp;",""สระแก้ว!N164"")+IMPORTRANGE(""https://docs.google.com/spreadsheets/d/1xmPlrr1QbdSIKvl1dWUl9K4PjAfSL9oeMr_37QVzcxc/edit?usp=sharing"",""สระบุรี!N164"")+IMPORTRANGE(""https://docs.google.com/spreadsheets/d/1j51vR6CYVGhABJpv6tkstgok82RLpXieLzW1yOY5rHw/edi"&amp;"t?usp=sharing"",""สิงห์บุรี!N164"")+IMPORTRANGE(""https://docs.google.com/spreadsheets/d/1H1EalTWKUSzO4Z1-1CwzoDUaVffgrThEBe2sl74kKG0/edit?usp=sharing"",""สุพรรณบุรี!N164"")+IMPORTRANGE(""https://docs.google.com/spreadsheets/d/1BmIruG_sIrJLYao_Pdr7zVArWsf"&amp;"oBt2692TMi6x_854/edit?usp=sharing"",""อ่างทอง!N164"")"),0)</f>
        <v>0</v>
      </c>
      <c r="O164" s="91">
        <f t="shared" ca="1" si="125"/>
        <v>0</v>
      </c>
      <c r="P164" s="91">
        <f t="shared" ca="1" si="126"/>
        <v>0</v>
      </c>
      <c r="Q164" s="79">
        <f ca="1">IFERROR(__xludf.DUMMYFUNCTION("IMPORTRANGE(""https://docs.google.com/spreadsheets/d/13wPX838HrBrQMCywv1BsuMkt4PEKTChp52zj44s2izQ/edit?usp=sharing"",""กาญจนบุรี!Q164"")+IMPORTRANGE(""https://docs.google.com/spreadsheets/d/1ddFKvqj1W1NEiWytbGlB1zMx_ykJDVtmfEQ-6-lIUBA/edit?usp=sharing"","&amp;"""จันทบุรี!Q164"")+IMPORTRANGE(""https://docs.google.com/spreadsheets/d/1T1PQvRODqOBZk8BRht_U031fIS1beLA0Ub2CEytj2q0/edit?usp=sharing"",""ฉะเชิงเทรา!Q164"")+IMPORTRANGE(""https://docs.google.com/spreadsheets/d/11tr1B-Bhyr79v2bkwVh5h_fR-PStkgjlZtkrZpYurG0/"&amp;"edit?usp=sharing"",""ชลบุรี!Q164"")+IMPORTRANGE(""https://docs.google.com/spreadsheets/d/1hh-FVnSX0vozXhGluamEcS54Dw9_zqW0N7qJUWgJ0Sw/edit?usp=sharing"",""ชัยนาท!Q164"")+IMPORTRANGE(""https://docs.google.com/spreadsheets/d/1jkqa6GXxSacMcY1eN8AHjMNJ_7dDXMJ"&amp;"VRLDlaFSOdPM/edit?usp=sharing"",""ตราด!Q164"")+IMPORTRANGE(""https://docs.google.com/spreadsheets/d/18hSgUJ3VwClqi_qtULmmW3cLr0oe3OKaSYoKzdpTsYQ/edit?usp=sharing"",""นครนายก!Q164"")+IMPORTRANGE(""https://docs.google.com/spreadsheets/d/1YTZo6WM2dQ6Ix6FSdnL"&amp;"5P7uVnVKu40sxZu975tgG10E/edit?usp=sharing"",""นครปฐม!Q164"")+IMPORTRANGE(""https://docs.google.com/spreadsheets/d/1OYoGg4WDg5RIzwGeB10padOxJF9E_Vljuvvct_M7RDo/edit?usp=sharing"",""ปทุมธานี!Q164"")+IMPORTRANGE(""https://docs.google.com/spreadsheets/d/1GbCI"&amp;"E4D4wk9FUozzqk7SxfDMxDVBwVmI5zcaVUSzKAc/edit?usp=sharing"",""ประจวบคีรีขันธ์!Q164"")+IMPORTRANGE(""https://docs.google.com/spreadsheets/d/1vVf6wykvW_lAyu7Yo9L4hUTqHqIeP_qcVuxCtosJEbg/edit?usp=sharing"",""ปราจีนบุรี!Q164"")+IMPORTRANGE(""https://docs.googl"&amp;"e.com/spreadsheets/d/1BIDqLLg5jk3v59G8NlR8rk5xfQDKne0sAvZHSj7TI6I/edit?usp=sharing"",""พระนครศรีอยุธยา!Q164"")+IMPORTRANGE(""https://docs.google.com/spreadsheets/d/1YXvxf8Yu6_rV4hTBrwMqAcAnv6DfhUxh5emyM3CJp_w/edit?usp=sharing"",""เพชรบุรี!Q164"")+IMPORTRA"&amp;"NGE(""https://docs.google.com/spreadsheets/d/19KBlQQs7uwvsao6t2n-KvW3Ax8J8uRRfZPq1zPbXgKc/edit?usp=sharing"",""ระยอง!Q164"")+IMPORTRANGE(""https://docs.google.com/spreadsheets/d/1jQ6P4QcrGM89YfqcC_PxOHGCMq5ezhucwJd8ci-NHng/edit?usp=sharing"",""ราชบุรี!Q16"&amp;"4"")+IMPORTRANGE(""https://docs.google.com/spreadsheets/d/1lufeA2cfFqM-elVq2hznhDzC6Pr7wkJ9ZG_sYNGCMCU/edit?usp=sharing"",""ลพบุรี!Q164"")+IMPORTRANGE(""https://docs.google.com/spreadsheets/d/10oOiF7loTyfsTkbd4MpaIm0HQ9SwB7IYHdIUvt-U1Uc/edit?usp=sharing"""&amp;",""สระแก้ว!Q164"")+IMPORTRANGE(""https://docs.google.com/spreadsheets/d/1xmPlrr1QbdSIKvl1dWUl9K4PjAfSL9oeMr_37QVzcxc/edit?usp=sharing"",""สระบุรี!Q164"")+IMPORTRANGE(""https://docs.google.com/spreadsheets/d/1j51vR6CYVGhABJpv6tkstgok82RLpXieLzW1yOY5rHw/edi"&amp;"t?usp=sharing"",""สิงห์บุรี!Q164"")+IMPORTRANGE(""https://docs.google.com/spreadsheets/d/1H1EalTWKUSzO4Z1-1CwzoDUaVffgrThEBe2sl74kKG0/edit?usp=sharing"",""สุพรรณบุรี!Q164"")+IMPORTRANGE(""https://docs.google.com/spreadsheets/d/1BmIruG_sIrJLYao_Pdr7zVArWsf"&amp;"oBt2692TMi6x_854/edit?usp=sharing"",""อ่างทอง!Q164"")"),0)</f>
        <v>0</v>
      </c>
      <c r="R164" s="80">
        <f ca="1">IFERROR(__xludf.DUMMYFUNCTION("IMPORTRANGE(""https://docs.google.com/spreadsheets/d/13wPX838HrBrQMCywv1BsuMkt4PEKTChp52zj44s2izQ/edit?usp=sharing"",""กาญจนบุรี!R164"")+IMPORTRANGE(""https://docs.google.com/spreadsheets/d/1ddFKvqj1W1NEiWytbGlB1zMx_ykJDVtmfEQ-6-lIUBA/edit?usp=sharing"","&amp;"""จันทบุรี!R164"")+IMPORTRANGE(""https://docs.google.com/spreadsheets/d/1T1PQvRODqOBZk8BRht_U031fIS1beLA0Ub2CEytj2q0/edit?usp=sharing"",""ฉะเชิงเทรา!R164"")+IMPORTRANGE(""https://docs.google.com/spreadsheets/d/11tr1B-Bhyr79v2bkwVh5h_fR-PStkgjlZtkrZpYurG0/"&amp;"edit?usp=sharing"",""ชลบุรี!R164"")+IMPORTRANGE(""https://docs.google.com/spreadsheets/d/1hh-FVnSX0vozXhGluamEcS54Dw9_zqW0N7qJUWgJ0Sw/edit?usp=sharing"",""ชัยนาท!R164"")+IMPORTRANGE(""https://docs.google.com/spreadsheets/d/1jkqa6GXxSacMcY1eN8AHjMNJ_7dDXMJ"&amp;"VRLDlaFSOdPM/edit?usp=sharing"",""ตราด!R164"")+IMPORTRANGE(""https://docs.google.com/spreadsheets/d/18hSgUJ3VwClqi_qtULmmW3cLr0oe3OKaSYoKzdpTsYQ/edit?usp=sharing"",""นครนายก!R164"")+IMPORTRANGE(""https://docs.google.com/spreadsheets/d/1YTZo6WM2dQ6Ix6FSdnL"&amp;"5P7uVnVKu40sxZu975tgG10E/edit?usp=sharing"",""นครปฐม!R164"")+IMPORTRANGE(""https://docs.google.com/spreadsheets/d/1OYoGg4WDg5RIzwGeB10padOxJF9E_Vljuvvct_M7RDo/edit?usp=sharing"",""ปทุมธานี!R164"")+IMPORTRANGE(""https://docs.google.com/spreadsheets/d/1GbCI"&amp;"E4D4wk9FUozzqk7SxfDMxDVBwVmI5zcaVUSzKAc/edit?usp=sharing"",""ประจวบคีรีขันธ์!R164"")+IMPORTRANGE(""https://docs.google.com/spreadsheets/d/1vVf6wykvW_lAyu7Yo9L4hUTqHqIeP_qcVuxCtosJEbg/edit?usp=sharing"",""ปราจีนบุรี!R164"")+IMPORTRANGE(""https://docs.googl"&amp;"e.com/spreadsheets/d/1BIDqLLg5jk3v59G8NlR8rk5xfQDKne0sAvZHSj7TI6I/edit?usp=sharing"",""พระนครศรีอยุธยา!R164"")+IMPORTRANGE(""https://docs.google.com/spreadsheets/d/1YXvxf8Yu6_rV4hTBrwMqAcAnv6DfhUxh5emyM3CJp_w/edit?usp=sharing"",""เพชรบุรี!R164"")+IMPORTRA"&amp;"NGE(""https://docs.google.com/spreadsheets/d/19KBlQQs7uwvsao6t2n-KvW3Ax8J8uRRfZPq1zPbXgKc/edit?usp=sharing"",""ระยอง!R164"")+IMPORTRANGE(""https://docs.google.com/spreadsheets/d/1jQ6P4QcrGM89YfqcC_PxOHGCMq5ezhucwJd8ci-NHng/edit?usp=sharing"",""ราชบุรี!R16"&amp;"4"")+IMPORTRANGE(""https://docs.google.com/spreadsheets/d/1lufeA2cfFqM-elVq2hznhDzC6Pr7wkJ9ZG_sYNGCMCU/edit?usp=sharing"",""ลพบุรี!R164"")+IMPORTRANGE(""https://docs.google.com/spreadsheets/d/10oOiF7loTyfsTkbd4MpaIm0HQ9SwB7IYHdIUvt-U1Uc/edit?usp=sharing"""&amp;",""สระแก้ว!R164"")+IMPORTRANGE(""https://docs.google.com/spreadsheets/d/1xmPlrr1QbdSIKvl1dWUl9K4PjAfSL9oeMr_37QVzcxc/edit?usp=sharing"",""สระบุรี!R164"")+IMPORTRANGE(""https://docs.google.com/spreadsheets/d/1j51vR6CYVGhABJpv6tkstgok82RLpXieLzW1yOY5rHw/edi"&amp;"t?usp=sharing"",""สิงห์บุรี!R164"")+IMPORTRANGE(""https://docs.google.com/spreadsheets/d/1H1EalTWKUSzO4Z1-1CwzoDUaVffgrThEBe2sl74kKG0/edit?usp=sharing"",""สุพรรณบุรี!R164"")+IMPORTRANGE(""https://docs.google.com/spreadsheets/d/1BmIruG_sIrJLYao_Pdr7zVArWsf"&amp;"oBt2692TMi6x_854/edit?usp=sharing"",""อ่างทอง!R164"")"),0)</f>
        <v>0</v>
      </c>
      <c r="S164" s="80">
        <f ca="1">IFERROR(__xludf.DUMMYFUNCTION("IMPORTRANGE(""https://docs.google.com/spreadsheets/d/13wPX838HrBrQMCywv1BsuMkt4PEKTChp52zj44s2izQ/edit?usp=sharing"",""กาญจนบุรี!S164"")+IMPORTRANGE(""https://docs.google.com/spreadsheets/d/1ddFKvqj1W1NEiWytbGlB1zMx_ykJDVtmfEQ-6-lIUBA/edit?usp=sharing"","&amp;"""จันทบุรี!S164"")+IMPORTRANGE(""https://docs.google.com/spreadsheets/d/1T1PQvRODqOBZk8BRht_U031fIS1beLA0Ub2CEytj2q0/edit?usp=sharing"",""ฉะเชิงเทรา!S164"")+IMPORTRANGE(""https://docs.google.com/spreadsheets/d/11tr1B-Bhyr79v2bkwVh5h_fR-PStkgjlZtkrZpYurG0/"&amp;"edit?usp=sharing"",""ชลบุรี!S164"")+IMPORTRANGE(""https://docs.google.com/spreadsheets/d/1hh-FVnSX0vozXhGluamEcS54Dw9_zqW0N7qJUWgJ0Sw/edit?usp=sharing"",""ชัยนาท!S164"")+IMPORTRANGE(""https://docs.google.com/spreadsheets/d/1jkqa6GXxSacMcY1eN8AHjMNJ_7dDXMJ"&amp;"VRLDlaFSOdPM/edit?usp=sharing"",""ตราด!S164"")+IMPORTRANGE(""https://docs.google.com/spreadsheets/d/18hSgUJ3VwClqi_qtULmmW3cLr0oe3OKaSYoKzdpTsYQ/edit?usp=sharing"",""นครนายก!S164"")+IMPORTRANGE(""https://docs.google.com/spreadsheets/d/1YTZo6WM2dQ6Ix6FSdnL"&amp;"5P7uVnVKu40sxZu975tgG10E/edit?usp=sharing"",""นครปฐม!S164"")+IMPORTRANGE(""https://docs.google.com/spreadsheets/d/1OYoGg4WDg5RIzwGeB10padOxJF9E_Vljuvvct_M7RDo/edit?usp=sharing"",""ปทุมธานี!S164"")+IMPORTRANGE(""https://docs.google.com/spreadsheets/d/1GbCI"&amp;"E4D4wk9FUozzqk7SxfDMxDVBwVmI5zcaVUSzKAc/edit?usp=sharing"",""ประจวบคีรีขันธ์!S164"")+IMPORTRANGE(""https://docs.google.com/spreadsheets/d/1vVf6wykvW_lAyu7Yo9L4hUTqHqIeP_qcVuxCtosJEbg/edit?usp=sharing"",""ปราจีนบุรี!S164"")+IMPORTRANGE(""https://docs.googl"&amp;"e.com/spreadsheets/d/1BIDqLLg5jk3v59G8NlR8rk5xfQDKne0sAvZHSj7TI6I/edit?usp=sharing"",""พระนครศรีอยุธยา!S164"")+IMPORTRANGE(""https://docs.google.com/spreadsheets/d/1YXvxf8Yu6_rV4hTBrwMqAcAnv6DfhUxh5emyM3CJp_w/edit?usp=sharing"",""เพชรบุรี!S164"")+IMPORTRA"&amp;"NGE(""https://docs.google.com/spreadsheets/d/19KBlQQs7uwvsao6t2n-KvW3Ax8J8uRRfZPq1zPbXgKc/edit?usp=sharing"",""ระยอง!S164"")+IMPORTRANGE(""https://docs.google.com/spreadsheets/d/1jQ6P4QcrGM89YfqcC_PxOHGCMq5ezhucwJd8ci-NHng/edit?usp=sharing"",""ราชบุรี!S16"&amp;"4"")+IMPORTRANGE(""https://docs.google.com/spreadsheets/d/1lufeA2cfFqM-elVq2hznhDzC6Pr7wkJ9ZG_sYNGCMCU/edit?usp=sharing"",""ลพบุรี!S164"")+IMPORTRANGE(""https://docs.google.com/spreadsheets/d/10oOiF7loTyfsTkbd4MpaIm0HQ9SwB7IYHdIUvt-U1Uc/edit?usp=sharing"""&amp;",""สระแก้ว!S164"")+IMPORTRANGE(""https://docs.google.com/spreadsheets/d/1xmPlrr1QbdSIKvl1dWUl9K4PjAfSL9oeMr_37QVzcxc/edit?usp=sharing"",""สระบุรี!S164"")+IMPORTRANGE(""https://docs.google.com/spreadsheets/d/1j51vR6CYVGhABJpv6tkstgok82RLpXieLzW1yOY5rHw/edi"&amp;"t?usp=sharing"",""สิงห์บุรี!S164"")+IMPORTRANGE(""https://docs.google.com/spreadsheets/d/1H1EalTWKUSzO4Z1-1CwzoDUaVffgrThEBe2sl74kKG0/edit?usp=sharing"",""สุพรรณบุรี!S164"")+IMPORTRANGE(""https://docs.google.com/spreadsheets/d/1BmIruG_sIrJLYao_Pdr7zVArWsf"&amp;"oBt2692TMi6x_854/edit?usp=sharing"",""อ่างทอง!S164"")"),0)</f>
        <v>0</v>
      </c>
      <c r="T164" s="136">
        <f t="shared" ca="1" si="128"/>
        <v>0</v>
      </c>
      <c r="U164" s="136">
        <f t="shared" ca="1" si="129"/>
        <v>0</v>
      </c>
    </row>
    <row r="165" spans="1:21" ht="18.75" x14ac:dyDescent="0.25">
      <c r="A165" s="211"/>
      <c r="B165" s="70"/>
      <c r="C165" s="70"/>
      <c r="D165" s="70"/>
      <c r="E165" s="78" t="s">
        <v>21</v>
      </c>
      <c r="F165" s="70"/>
      <c r="G165" s="72"/>
      <c r="H165" s="223" t="s">
        <v>14</v>
      </c>
      <c r="I165" s="221"/>
      <c r="J165" s="221"/>
      <c r="K165" s="222"/>
      <c r="L165" s="91">
        <f ca="1">IFERROR(__xludf.DUMMYFUNCTION("IMPORTRANGE(""https://docs.google.com/spreadsheets/d/13wPX838HrBrQMCywv1BsuMkt4PEKTChp52zj44s2izQ/edit?usp=sharing"",""กาญจนบุรี!L165"")+IMPORTRANGE(""https://docs.google.com/spreadsheets/d/1ddFKvqj1W1NEiWytbGlB1zMx_ykJDVtmfEQ-6-lIUBA/edit?usp=sharing"","&amp;"""จันทบุรี!L165"")+IMPORTRANGE(""https://docs.google.com/spreadsheets/d/1T1PQvRODqOBZk8BRht_U031fIS1beLA0Ub2CEytj2q0/edit?usp=sharing"",""ฉะเชิงเทรา!L165"")+IMPORTRANGE(""https://docs.google.com/spreadsheets/d/11tr1B-Bhyr79v2bkwVh5h_fR-PStkgjlZtkrZpYurG0/"&amp;"edit?usp=sharing"",""ชลบุรี!L165"")+IMPORTRANGE(""https://docs.google.com/spreadsheets/d/1hh-FVnSX0vozXhGluamEcS54Dw9_zqW0N7qJUWgJ0Sw/edit?usp=sharing"",""ชัยนาท!L165"")+IMPORTRANGE(""https://docs.google.com/spreadsheets/d/1jkqa6GXxSacMcY1eN8AHjMNJ_7dDXMJ"&amp;"VRLDlaFSOdPM/edit?usp=sharing"",""ตราด!L165"")+IMPORTRANGE(""https://docs.google.com/spreadsheets/d/18hSgUJ3VwClqi_qtULmmW3cLr0oe3OKaSYoKzdpTsYQ/edit?usp=sharing"",""นครนายก!L165"")+IMPORTRANGE(""https://docs.google.com/spreadsheets/d/1YTZo6WM2dQ6Ix6FSdnL"&amp;"5P7uVnVKu40sxZu975tgG10E/edit?usp=sharing"",""นครปฐม!L165"")+IMPORTRANGE(""https://docs.google.com/spreadsheets/d/1OYoGg4WDg5RIzwGeB10padOxJF9E_Vljuvvct_M7RDo/edit?usp=sharing"",""ปทุมธานี!L165"")+IMPORTRANGE(""https://docs.google.com/spreadsheets/d/1GbCI"&amp;"E4D4wk9FUozzqk7SxfDMxDVBwVmI5zcaVUSzKAc/edit?usp=sharing"",""ประจวบคีรีขันธ์!L165"")+IMPORTRANGE(""https://docs.google.com/spreadsheets/d/1vVf6wykvW_lAyu7Yo9L4hUTqHqIeP_qcVuxCtosJEbg/edit?usp=sharing"",""ปราจีนบุรี!L165"")+IMPORTRANGE(""https://docs.googl"&amp;"e.com/spreadsheets/d/1BIDqLLg5jk3v59G8NlR8rk5xfQDKne0sAvZHSj7TI6I/edit?usp=sharing"",""พระนครศรีอยุธยา!L165"")+IMPORTRANGE(""https://docs.google.com/spreadsheets/d/1YXvxf8Yu6_rV4hTBrwMqAcAnv6DfhUxh5emyM3CJp_w/edit?usp=sharing"",""เพชรบุรี!L165"")+IMPORTRA"&amp;"NGE(""https://docs.google.com/spreadsheets/d/19KBlQQs7uwvsao6t2n-KvW3Ax8J8uRRfZPq1zPbXgKc/edit?usp=sharing"",""ระยอง!L165"")+IMPORTRANGE(""https://docs.google.com/spreadsheets/d/1jQ6P4QcrGM89YfqcC_PxOHGCMq5ezhucwJd8ci-NHng/edit?usp=sharing"",""ราชบุรี!L16"&amp;"5"")+IMPORTRANGE(""https://docs.google.com/spreadsheets/d/1lufeA2cfFqM-elVq2hznhDzC6Pr7wkJ9ZG_sYNGCMCU/edit?usp=sharing"",""ลพบุรี!L165"")+IMPORTRANGE(""https://docs.google.com/spreadsheets/d/10oOiF7loTyfsTkbd4MpaIm0HQ9SwB7IYHdIUvt-U1Uc/edit?usp=sharing"""&amp;",""สระแก้ว!L165"")+IMPORTRANGE(""https://docs.google.com/spreadsheets/d/1xmPlrr1QbdSIKvl1dWUl9K4PjAfSL9oeMr_37QVzcxc/edit?usp=sharing"",""สระบุรี!L165"")+IMPORTRANGE(""https://docs.google.com/spreadsheets/d/1j51vR6CYVGhABJpv6tkstgok82RLpXieLzW1yOY5rHw/edi"&amp;"t?usp=sharing"",""สิงห์บุรี!L165"")+IMPORTRANGE(""https://docs.google.com/spreadsheets/d/1H1EalTWKUSzO4Z1-1CwzoDUaVffgrThEBe2sl74kKG0/edit?usp=sharing"",""สุพรรณบุรี!L165"")+IMPORTRANGE(""https://docs.google.com/spreadsheets/d/1BmIruG_sIrJLYao_Pdr7zVArWsf"&amp;"oBt2692TMi6x_854/edit?usp=sharing"",""อ่างทอง!L165"")"),0)</f>
        <v>0</v>
      </c>
      <c r="M165" s="91">
        <f ca="1">IFERROR(__xludf.DUMMYFUNCTION("IMPORTRANGE(""https://docs.google.com/spreadsheets/d/13wPX838HrBrQMCywv1BsuMkt4PEKTChp52zj44s2izQ/edit?usp=sharing"",""กาญจนบุรี!M165"")+IMPORTRANGE(""https://docs.google.com/spreadsheets/d/1ddFKvqj1W1NEiWytbGlB1zMx_ykJDVtmfEQ-6-lIUBA/edit?usp=sharing"","&amp;"""จันทบุรี!M165"")+IMPORTRANGE(""https://docs.google.com/spreadsheets/d/1T1PQvRODqOBZk8BRht_U031fIS1beLA0Ub2CEytj2q0/edit?usp=sharing"",""ฉะเชิงเทรา!M165"")+IMPORTRANGE(""https://docs.google.com/spreadsheets/d/11tr1B-Bhyr79v2bkwVh5h_fR-PStkgjlZtkrZpYurG0/"&amp;"edit?usp=sharing"",""ชลบุรี!M165"")+IMPORTRANGE(""https://docs.google.com/spreadsheets/d/1hh-FVnSX0vozXhGluamEcS54Dw9_zqW0N7qJUWgJ0Sw/edit?usp=sharing"",""ชัยนาท!M165"")+IMPORTRANGE(""https://docs.google.com/spreadsheets/d/1jkqa6GXxSacMcY1eN8AHjMNJ_7dDXMJ"&amp;"VRLDlaFSOdPM/edit?usp=sharing"",""ตราด!M165"")+IMPORTRANGE(""https://docs.google.com/spreadsheets/d/18hSgUJ3VwClqi_qtULmmW3cLr0oe3OKaSYoKzdpTsYQ/edit?usp=sharing"",""นครนายก!M165"")+IMPORTRANGE(""https://docs.google.com/spreadsheets/d/1YTZo6WM2dQ6Ix6FSdnL"&amp;"5P7uVnVKu40sxZu975tgG10E/edit?usp=sharing"",""นครปฐม!M165"")+IMPORTRANGE(""https://docs.google.com/spreadsheets/d/1OYoGg4WDg5RIzwGeB10padOxJF9E_Vljuvvct_M7RDo/edit?usp=sharing"",""ปทุมธานี!M165"")+IMPORTRANGE(""https://docs.google.com/spreadsheets/d/1GbCI"&amp;"E4D4wk9FUozzqk7SxfDMxDVBwVmI5zcaVUSzKAc/edit?usp=sharing"",""ประจวบคีรีขันธ์!M165"")+IMPORTRANGE(""https://docs.google.com/spreadsheets/d/1vVf6wykvW_lAyu7Yo9L4hUTqHqIeP_qcVuxCtosJEbg/edit?usp=sharing"",""ปราจีนบุรี!M165"")+IMPORTRANGE(""https://docs.googl"&amp;"e.com/spreadsheets/d/1BIDqLLg5jk3v59G8NlR8rk5xfQDKne0sAvZHSj7TI6I/edit?usp=sharing"",""พระนครศรีอยุธยา!M165"")+IMPORTRANGE(""https://docs.google.com/spreadsheets/d/1YXvxf8Yu6_rV4hTBrwMqAcAnv6DfhUxh5emyM3CJp_w/edit?usp=sharing"",""เพชรบุรี!M165"")+IMPORTRA"&amp;"NGE(""https://docs.google.com/spreadsheets/d/19KBlQQs7uwvsao6t2n-KvW3Ax8J8uRRfZPq1zPbXgKc/edit?usp=sharing"",""ระยอง!M165"")+IMPORTRANGE(""https://docs.google.com/spreadsheets/d/1jQ6P4QcrGM89YfqcC_PxOHGCMq5ezhucwJd8ci-NHng/edit?usp=sharing"",""ราชบุรี!M16"&amp;"5"")+IMPORTRANGE(""https://docs.google.com/spreadsheets/d/1lufeA2cfFqM-elVq2hznhDzC6Pr7wkJ9ZG_sYNGCMCU/edit?usp=sharing"",""ลพบุรี!M165"")+IMPORTRANGE(""https://docs.google.com/spreadsheets/d/10oOiF7loTyfsTkbd4MpaIm0HQ9SwB7IYHdIUvt-U1Uc/edit?usp=sharing"""&amp;",""สระแก้ว!M165"")+IMPORTRANGE(""https://docs.google.com/spreadsheets/d/1xmPlrr1QbdSIKvl1dWUl9K4PjAfSL9oeMr_37QVzcxc/edit?usp=sharing"",""สระบุรี!M165"")+IMPORTRANGE(""https://docs.google.com/spreadsheets/d/1j51vR6CYVGhABJpv6tkstgok82RLpXieLzW1yOY5rHw/edi"&amp;"t?usp=sharing"",""สิงห์บุรี!M165"")+IMPORTRANGE(""https://docs.google.com/spreadsheets/d/1H1EalTWKUSzO4Z1-1CwzoDUaVffgrThEBe2sl74kKG0/edit?usp=sharing"",""สุพรรณบุรี!M165"")+IMPORTRANGE(""https://docs.google.com/spreadsheets/d/1BmIruG_sIrJLYao_Pdr7zVArWsf"&amp;"oBt2692TMi6x_854/edit?usp=sharing"",""อ่างทอง!M165"")"),0)</f>
        <v>0</v>
      </c>
      <c r="N165" s="91">
        <f ca="1">IFERROR(__xludf.DUMMYFUNCTION("IMPORTRANGE(""https://docs.google.com/spreadsheets/d/13wPX838HrBrQMCywv1BsuMkt4PEKTChp52zj44s2izQ/edit?usp=sharing"",""กาญจนบุรี!N165"")+IMPORTRANGE(""https://docs.google.com/spreadsheets/d/1ddFKvqj1W1NEiWytbGlB1zMx_ykJDVtmfEQ-6-lIUBA/edit?usp=sharing"","&amp;"""จันทบุรี!N165"")+IMPORTRANGE(""https://docs.google.com/spreadsheets/d/1T1PQvRODqOBZk8BRht_U031fIS1beLA0Ub2CEytj2q0/edit?usp=sharing"",""ฉะเชิงเทรา!N165"")+IMPORTRANGE(""https://docs.google.com/spreadsheets/d/11tr1B-Bhyr79v2bkwVh5h_fR-PStkgjlZtkrZpYurG0/"&amp;"edit?usp=sharing"",""ชลบุรี!N165"")+IMPORTRANGE(""https://docs.google.com/spreadsheets/d/1hh-FVnSX0vozXhGluamEcS54Dw9_zqW0N7qJUWgJ0Sw/edit?usp=sharing"",""ชัยนาท!N165"")+IMPORTRANGE(""https://docs.google.com/spreadsheets/d/1jkqa6GXxSacMcY1eN8AHjMNJ_7dDXMJ"&amp;"VRLDlaFSOdPM/edit?usp=sharing"",""ตราด!N165"")+IMPORTRANGE(""https://docs.google.com/spreadsheets/d/18hSgUJ3VwClqi_qtULmmW3cLr0oe3OKaSYoKzdpTsYQ/edit?usp=sharing"",""นครนายก!N165"")+IMPORTRANGE(""https://docs.google.com/spreadsheets/d/1YTZo6WM2dQ6Ix6FSdnL"&amp;"5P7uVnVKu40sxZu975tgG10E/edit?usp=sharing"",""นครปฐม!N165"")+IMPORTRANGE(""https://docs.google.com/spreadsheets/d/1OYoGg4WDg5RIzwGeB10padOxJF9E_Vljuvvct_M7RDo/edit?usp=sharing"",""ปทุมธานี!N165"")+IMPORTRANGE(""https://docs.google.com/spreadsheets/d/1GbCI"&amp;"E4D4wk9FUozzqk7SxfDMxDVBwVmI5zcaVUSzKAc/edit?usp=sharing"",""ประจวบคีรีขันธ์!N165"")+IMPORTRANGE(""https://docs.google.com/spreadsheets/d/1vVf6wykvW_lAyu7Yo9L4hUTqHqIeP_qcVuxCtosJEbg/edit?usp=sharing"",""ปราจีนบุรี!N165"")+IMPORTRANGE(""https://docs.googl"&amp;"e.com/spreadsheets/d/1BIDqLLg5jk3v59G8NlR8rk5xfQDKne0sAvZHSj7TI6I/edit?usp=sharing"",""พระนครศรีอยุธยา!N165"")+IMPORTRANGE(""https://docs.google.com/spreadsheets/d/1YXvxf8Yu6_rV4hTBrwMqAcAnv6DfhUxh5emyM3CJp_w/edit?usp=sharing"",""เพชรบุรี!N165"")+IMPORTRA"&amp;"NGE(""https://docs.google.com/spreadsheets/d/19KBlQQs7uwvsao6t2n-KvW3Ax8J8uRRfZPq1zPbXgKc/edit?usp=sharing"",""ระยอง!N165"")+IMPORTRANGE(""https://docs.google.com/spreadsheets/d/1jQ6P4QcrGM89YfqcC_PxOHGCMq5ezhucwJd8ci-NHng/edit?usp=sharing"",""ราชบุรี!N16"&amp;"5"")+IMPORTRANGE(""https://docs.google.com/spreadsheets/d/1lufeA2cfFqM-elVq2hznhDzC6Pr7wkJ9ZG_sYNGCMCU/edit?usp=sharing"",""ลพบุรี!N165"")+IMPORTRANGE(""https://docs.google.com/spreadsheets/d/10oOiF7loTyfsTkbd4MpaIm0HQ9SwB7IYHdIUvt-U1Uc/edit?usp=sharing"""&amp;",""สระแก้ว!N165"")+IMPORTRANGE(""https://docs.google.com/spreadsheets/d/1xmPlrr1QbdSIKvl1dWUl9K4PjAfSL9oeMr_37QVzcxc/edit?usp=sharing"",""สระบุรี!N165"")+IMPORTRANGE(""https://docs.google.com/spreadsheets/d/1j51vR6CYVGhABJpv6tkstgok82RLpXieLzW1yOY5rHw/edi"&amp;"t?usp=sharing"",""สิงห์บุรี!N165"")+IMPORTRANGE(""https://docs.google.com/spreadsheets/d/1H1EalTWKUSzO4Z1-1CwzoDUaVffgrThEBe2sl74kKG0/edit?usp=sharing"",""สุพรรณบุรี!N165"")+IMPORTRANGE(""https://docs.google.com/spreadsheets/d/1BmIruG_sIrJLYao_Pdr7zVArWsf"&amp;"oBt2692TMi6x_854/edit?usp=sharing"",""อ่างทอง!N165"")"),0)</f>
        <v>0</v>
      </c>
      <c r="O165" s="91">
        <f t="shared" ca="1" si="125"/>
        <v>0</v>
      </c>
      <c r="P165" s="91">
        <f t="shared" ca="1" si="126"/>
        <v>0</v>
      </c>
      <c r="Q165" s="76">
        <f ca="1">IFERROR(__xludf.DUMMYFUNCTION("IMPORTRANGE(""https://docs.google.com/spreadsheets/d/13wPX838HrBrQMCywv1BsuMkt4PEKTChp52zj44s2izQ/edit?usp=sharing"",""กาญจนบุรี!Q165"")+IMPORTRANGE(""https://docs.google.com/spreadsheets/d/1ddFKvqj1W1NEiWytbGlB1zMx_ykJDVtmfEQ-6-lIUBA/edit?usp=sharing"","&amp;"""จันทบุรี!Q165"")+IMPORTRANGE(""https://docs.google.com/spreadsheets/d/1T1PQvRODqOBZk8BRht_U031fIS1beLA0Ub2CEytj2q0/edit?usp=sharing"",""ฉะเชิงเทรา!Q165"")+IMPORTRANGE(""https://docs.google.com/spreadsheets/d/11tr1B-Bhyr79v2bkwVh5h_fR-PStkgjlZtkrZpYurG0/"&amp;"edit?usp=sharing"",""ชลบุรี!Q165"")+IMPORTRANGE(""https://docs.google.com/spreadsheets/d/1hh-FVnSX0vozXhGluamEcS54Dw9_zqW0N7qJUWgJ0Sw/edit?usp=sharing"",""ชัยนาท!Q165"")+IMPORTRANGE(""https://docs.google.com/spreadsheets/d/1jkqa6GXxSacMcY1eN8AHjMNJ_7dDXMJ"&amp;"VRLDlaFSOdPM/edit?usp=sharing"",""ตราด!Q165"")+IMPORTRANGE(""https://docs.google.com/spreadsheets/d/18hSgUJ3VwClqi_qtULmmW3cLr0oe3OKaSYoKzdpTsYQ/edit?usp=sharing"",""นครนายก!Q165"")+IMPORTRANGE(""https://docs.google.com/spreadsheets/d/1YTZo6WM2dQ6Ix6FSdnL"&amp;"5P7uVnVKu40sxZu975tgG10E/edit?usp=sharing"",""นครปฐม!Q165"")+IMPORTRANGE(""https://docs.google.com/spreadsheets/d/1OYoGg4WDg5RIzwGeB10padOxJF9E_Vljuvvct_M7RDo/edit?usp=sharing"",""ปทุมธานี!Q165"")+IMPORTRANGE(""https://docs.google.com/spreadsheets/d/1GbCI"&amp;"E4D4wk9FUozzqk7SxfDMxDVBwVmI5zcaVUSzKAc/edit?usp=sharing"",""ประจวบคีรีขันธ์!Q165"")+IMPORTRANGE(""https://docs.google.com/spreadsheets/d/1vVf6wykvW_lAyu7Yo9L4hUTqHqIeP_qcVuxCtosJEbg/edit?usp=sharing"",""ปราจีนบุรี!Q165"")+IMPORTRANGE(""https://docs.googl"&amp;"e.com/spreadsheets/d/1BIDqLLg5jk3v59G8NlR8rk5xfQDKne0sAvZHSj7TI6I/edit?usp=sharing"",""พระนครศรีอยุธยา!Q165"")+IMPORTRANGE(""https://docs.google.com/spreadsheets/d/1YXvxf8Yu6_rV4hTBrwMqAcAnv6DfhUxh5emyM3CJp_w/edit?usp=sharing"",""เพชรบุรี!Q165"")+IMPORTRA"&amp;"NGE(""https://docs.google.com/spreadsheets/d/19KBlQQs7uwvsao6t2n-KvW3Ax8J8uRRfZPq1zPbXgKc/edit?usp=sharing"",""ระยอง!Q165"")+IMPORTRANGE(""https://docs.google.com/spreadsheets/d/1jQ6P4QcrGM89YfqcC_PxOHGCMq5ezhucwJd8ci-NHng/edit?usp=sharing"",""ราชบุรี!Q16"&amp;"5"")+IMPORTRANGE(""https://docs.google.com/spreadsheets/d/1lufeA2cfFqM-elVq2hznhDzC6Pr7wkJ9ZG_sYNGCMCU/edit?usp=sharing"",""ลพบุรี!Q165"")+IMPORTRANGE(""https://docs.google.com/spreadsheets/d/10oOiF7loTyfsTkbd4MpaIm0HQ9SwB7IYHdIUvt-U1Uc/edit?usp=sharing"""&amp;",""สระแก้ว!Q165"")+IMPORTRANGE(""https://docs.google.com/spreadsheets/d/1xmPlrr1QbdSIKvl1dWUl9K4PjAfSL9oeMr_37QVzcxc/edit?usp=sharing"",""สระบุรี!Q165"")+IMPORTRANGE(""https://docs.google.com/spreadsheets/d/1j51vR6CYVGhABJpv6tkstgok82RLpXieLzW1yOY5rHw/edi"&amp;"t?usp=sharing"",""สิงห์บุรี!Q165"")+IMPORTRANGE(""https://docs.google.com/spreadsheets/d/1H1EalTWKUSzO4Z1-1CwzoDUaVffgrThEBe2sl74kKG0/edit?usp=sharing"",""สุพรรณบุรี!Q165"")+IMPORTRANGE(""https://docs.google.com/spreadsheets/d/1BmIruG_sIrJLYao_Pdr7zVArWsf"&amp;"oBt2692TMi6x_854/edit?usp=sharing"",""อ่างทอง!Q165"")"),0)</f>
        <v>0</v>
      </c>
      <c r="R165" s="77">
        <f ca="1">IFERROR(__xludf.DUMMYFUNCTION("IMPORTRANGE(""https://docs.google.com/spreadsheets/d/13wPX838HrBrQMCywv1BsuMkt4PEKTChp52zj44s2izQ/edit?usp=sharing"",""กาญจนบุรี!R165"")+IMPORTRANGE(""https://docs.google.com/spreadsheets/d/1ddFKvqj1W1NEiWytbGlB1zMx_ykJDVtmfEQ-6-lIUBA/edit?usp=sharing"","&amp;"""จันทบุรี!R165"")+IMPORTRANGE(""https://docs.google.com/spreadsheets/d/1T1PQvRODqOBZk8BRht_U031fIS1beLA0Ub2CEytj2q0/edit?usp=sharing"",""ฉะเชิงเทรา!R165"")+IMPORTRANGE(""https://docs.google.com/spreadsheets/d/11tr1B-Bhyr79v2bkwVh5h_fR-PStkgjlZtkrZpYurG0/"&amp;"edit?usp=sharing"",""ชลบุรี!R165"")+IMPORTRANGE(""https://docs.google.com/spreadsheets/d/1hh-FVnSX0vozXhGluamEcS54Dw9_zqW0N7qJUWgJ0Sw/edit?usp=sharing"",""ชัยนาท!R165"")+IMPORTRANGE(""https://docs.google.com/spreadsheets/d/1jkqa6GXxSacMcY1eN8AHjMNJ_7dDXMJ"&amp;"VRLDlaFSOdPM/edit?usp=sharing"",""ตราด!R165"")+IMPORTRANGE(""https://docs.google.com/spreadsheets/d/18hSgUJ3VwClqi_qtULmmW3cLr0oe3OKaSYoKzdpTsYQ/edit?usp=sharing"",""นครนายก!R165"")+IMPORTRANGE(""https://docs.google.com/spreadsheets/d/1YTZo6WM2dQ6Ix6FSdnL"&amp;"5P7uVnVKu40sxZu975tgG10E/edit?usp=sharing"",""นครปฐม!R165"")+IMPORTRANGE(""https://docs.google.com/spreadsheets/d/1OYoGg4WDg5RIzwGeB10padOxJF9E_Vljuvvct_M7RDo/edit?usp=sharing"",""ปทุมธานี!R165"")+IMPORTRANGE(""https://docs.google.com/spreadsheets/d/1GbCI"&amp;"E4D4wk9FUozzqk7SxfDMxDVBwVmI5zcaVUSzKAc/edit?usp=sharing"",""ประจวบคีรีขันธ์!R165"")+IMPORTRANGE(""https://docs.google.com/spreadsheets/d/1vVf6wykvW_lAyu7Yo9L4hUTqHqIeP_qcVuxCtosJEbg/edit?usp=sharing"",""ปราจีนบุรี!R165"")+IMPORTRANGE(""https://docs.googl"&amp;"e.com/spreadsheets/d/1BIDqLLg5jk3v59G8NlR8rk5xfQDKne0sAvZHSj7TI6I/edit?usp=sharing"",""พระนครศรีอยุธยา!R165"")+IMPORTRANGE(""https://docs.google.com/spreadsheets/d/1YXvxf8Yu6_rV4hTBrwMqAcAnv6DfhUxh5emyM3CJp_w/edit?usp=sharing"",""เพชรบุรี!R165"")+IMPORTRA"&amp;"NGE(""https://docs.google.com/spreadsheets/d/19KBlQQs7uwvsao6t2n-KvW3Ax8J8uRRfZPq1zPbXgKc/edit?usp=sharing"",""ระยอง!R165"")+IMPORTRANGE(""https://docs.google.com/spreadsheets/d/1jQ6P4QcrGM89YfqcC_PxOHGCMq5ezhucwJd8ci-NHng/edit?usp=sharing"",""ราชบุรี!R16"&amp;"5"")+IMPORTRANGE(""https://docs.google.com/spreadsheets/d/1lufeA2cfFqM-elVq2hznhDzC6Pr7wkJ9ZG_sYNGCMCU/edit?usp=sharing"",""ลพบุรี!R165"")+IMPORTRANGE(""https://docs.google.com/spreadsheets/d/10oOiF7loTyfsTkbd4MpaIm0HQ9SwB7IYHdIUvt-U1Uc/edit?usp=sharing"""&amp;",""สระแก้ว!R165"")+IMPORTRANGE(""https://docs.google.com/spreadsheets/d/1xmPlrr1QbdSIKvl1dWUl9K4PjAfSL9oeMr_37QVzcxc/edit?usp=sharing"",""สระบุรี!R165"")+IMPORTRANGE(""https://docs.google.com/spreadsheets/d/1j51vR6CYVGhABJpv6tkstgok82RLpXieLzW1yOY5rHw/edi"&amp;"t?usp=sharing"",""สิงห์บุรี!R165"")+IMPORTRANGE(""https://docs.google.com/spreadsheets/d/1H1EalTWKUSzO4Z1-1CwzoDUaVffgrThEBe2sl74kKG0/edit?usp=sharing"",""สุพรรณบุรี!R165"")+IMPORTRANGE(""https://docs.google.com/spreadsheets/d/1BmIruG_sIrJLYao_Pdr7zVArWsf"&amp;"oBt2692TMi6x_854/edit?usp=sharing"",""อ่างทอง!R165"")"),0)</f>
        <v>0</v>
      </c>
      <c r="S165" s="77">
        <f ca="1">IFERROR(__xludf.DUMMYFUNCTION("IMPORTRANGE(""https://docs.google.com/spreadsheets/d/13wPX838HrBrQMCywv1BsuMkt4PEKTChp52zj44s2izQ/edit?usp=sharing"",""กาญจนบุรี!S165"")+IMPORTRANGE(""https://docs.google.com/spreadsheets/d/1ddFKvqj1W1NEiWytbGlB1zMx_ykJDVtmfEQ-6-lIUBA/edit?usp=sharing"","&amp;"""จันทบุรี!S165"")+IMPORTRANGE(""https://docs.google.com/spreadsheets/d/1T1PQvRODqOBZk8BRht_U031fIS1beLA0Ub2CEytj2q0/edit?usp=sharing"",""ฉะเชิงเทรา!S165"")+IMPORTRANGE(""https://docs.google.com/spreadsheets/d/11tr1B-Bhyr79v2bkwVh5h_fR-PStkgjlZtkrZpYurG0/"&amp;"edit?usp=sharing"",""ชลบุรี!S165"")+IMPORTRANGE(""https://docs.google.com/spreadsheets/d/1hh-FVnSX0vozXhGluamEcS54Dw9_zqW0N7qJUWgJ0Sw/edit?usp=sharing"",""ชัยนาท!S165"")+IMPORTRANGE(""https://docs.google.com/spreadsheets/d/1jkqa6GXxSacMcY1eN8AHjMNJ_7dDXMJ"&amp;"VRLDlaFSOdPM/edit?usp=sharing"",""ตราด!S165"")+IMPORTRANGE(""https://docs.google.com/spreadsheets/d/18hSgUJ3VwClqi_qtULmmW3cLr0oe3OKaSYoKzdpTsYQ/edit?usp=sharing"",""นครนายก!S165"")+IMPORTRANGE(""https://docs.google.com/spreadsheets/d/1YTZo6WM2dQ6Ix6FSdnL"&amp;"5P7uVnVKu40sxZu975tgG10E/edit?usp=sharing"",""นครปฐม!S165"")+IMPORTRANGE(""https://docs.google.com/spreadsheets/d/1OYoGg4WDg5RIzwGeB10padOxJF9E_Vljuvvct_M7RDo/edit?usp=sharing"",""ปทุมธานี!S165"")+IMPORTRANGE(""https://docs.google.com/spreadsheets/d/1GbCI"&amp;"E4D4wk9FUozzqk7SxfDMxDVBwVmI5zcaVUSzKAc/edit?usp=sharing"",""ประจวบคีรีขันธ์!S165"")+IMPORTRANGE(""https://docs.google.com/spreadsheets/d/1vVf6wykvW_lAyu7Yo9L4hUTqHqIeP_qcVuxCtosJEbg/edit?usp=sharing"",""ปราจีนบุรี!S165"")+IMPORTRANGE(""https://docs.googl"&amp;"e.com/spreadsheets/d/1BIDqLLg5jk3v59G8NlR8rk5xfQDKne0sAvZHSj7TI6I/edit?usp=sharing"",""พระนครศรีอยุธยา!S165"")+IMPORTRANGE(""https://docs.google.com/spreadsheets/d/1YXvxf8Yu6_rV4hTBrwMqAcAnv6DfhUxh5emyM3CJp_w/edit?usp=sharing"",""เพชรบุรี!S165"")+IMPORTRA"&amp;"NGE(""https://docs.google.com/spreadsheets/d/19KBlQQs7uwvsao6t2n-KvW3Ax8J8uRRfZPq1zPbXgKc/edit?usp=sharing"",""ระยอง!S165"")+IMPORTRANGE(""https://docs.google.com/spreadsheets/d/1jQ6P4QcrGM89YfqcC_PxOHGCMq5ezhucwJd8ci-NHng/edit?usp=sharing"",""ราชบุรี!S16"&amp;"5"")+IMPORTRANGE(""https://docs.google.com/spreadsheets/d/1lufeA2cfFqM-elVq2hznhDzC6Pr7wkJ9ZG_sYNGCMCU/edit?usp=sharing"",""ลพบุรี!S165"")+IMPORTRANGE(""https://docs.google.com/spreadsheets/d/10oOiF7loTyfsTkbd4MpaIm0HQ9SwB7IYHdIUvt-U1Uc/edit?usp=sharing"""&amp;",""สระแก้ว!S165"")+IMPORTRANGE(""https://docs.google.com/spreadsheets/d/1xmPlrr1QbdSIKvl1dWUl9K4PjAfSL9oeMr_37QVzcxc/edit?usp=sharing"",""สระบุรี!S165"")+IMPORTRANGE(""https://docs.google.com/spreadsheets/d/1j51vR6CYVGhABJpv6tkstgok82RLpXieLzW1yOY5rHw/edi"&amp;"t?usp=sharing"",""สิงห์บุรี!S165"")+IMPORTRANGE(""https://docs.google.com/spreadsheets/d/1H1EalTWKUSzO4Z1-1CwzoDUaVffgrThEBe2sl74kKG0/edit?usp=sharing"",""สุพรรณบุรี!S165"")+IMPORTRANGE(""https://docs.google.com/spreadsheets/d/1BmIruG_sIrJLYao_Pdr7zVArWsf"&amp;"oBt2692TMi6x_854/edit?usp=sharing"",""อ่างทอง!S165"")"),0)</f>
        <v>0</v>
      </c>
      <c r="T165" s="135">
        <f t="shared" ca="1" si="128"/>
        <v>0</v>
      </c>
      <c r="U165" s="135">
        <f t="shared" ca="1" si="129"/>
        <v>0</v>
      </c>
    </row>
    <row r="166" spans="1:21" ht="19.5" x14ac:dyDescent="0.3">
      <c r="A166" s="224"/>
      <c r="B166" s="225"/>
      <c r="C166" s="212" t="s">
        <v>18</v>
      </c>
      <c r="D166" s="226" t="s">
        <v>38</v>
      </c>
      <c r="E166" s="227"/>
      <c r="F166" s="227"/>
      <c r="G166" s="228"/>
      <c r="H166" s="318"/>
      <c r="I166" s="74"/>
      <c r="J166" s="74"/>
      <c r="K166" s="75"/>
      <c r="L166" s="75"/>
      <c r="M166" s="75"/>
      <c r="N166" s="75"/>
      <c r="O166" s="75"/>
      <c r="P166" s="75"/>
      <c r="Q166" s="89"/>
      <c r="R166" s="90"/>
      <c r="S166" s="90"/>
      <c r="T166" s="90"/>
      <c r="U166" s="90"/>
    </row>
    <row r="167" spans="1:21" ht="18.75" x14ac:dyDescent="0.25">
      <c r="A167" s="211"/>
      <c r="B167" s="70"/>
      <c r="C167" s="70"/>
      <c r="D167" s="78" t="s">
        <v>69</v>
      </c>
      <c r="E167" s="70"/>
      <c r="F167" s="70"/>
      <c r="G167" s="72"/>
      <c r="H167" s="223" t="s">
        <v>35</v>
      </c>
      <c r="I167" s="241">
        <f ca="1">IFERROR(__xludf.DUMMYFUNCTION("IMPORTRANGE(""https://docs.google.com/spreadsheets/d/13wPX838HrBrQMCywv1BsuMkt4PEKTChp52zj44s2izQ/edit?usp=sharing"",""กาญจนบุรี!I167"")+IMPORTRANGE(""https://docs.google.com/spreadsheets/d/1ddFKvqj1W1NEiWytbGlB1zMx_ykJDVtmfEQ-6-lIUBA/edit?usp=sharing"","&amp;"""จันทบุรี!I167"")+IMPORTRANGE(""https://docs.google.com/spreadsheets/d/1T1PQvRODqOBZk8BRht_U031fIS1beLA0Ub2CEytj2q0/edit?usp=sharing"",""ฉะเชิงเทรา!I167"")+IMPORTRANGE(""https://docs.google.com/spreadsheets/d/11tr1B-Bhyr79v2bkwVh5h_fR-PStkgjlZtkrZpYurG0/"&amp;"edit?usp=sharing"",""ชลบุรี!I167"")+IMPORTRANGE(""https://docs.google.com/spreadsheets/d/1hh-FVnSX0vozXhGluamEcS54Dw9_zqW0N7qJUWgJ0Sw/edit?usp=sharing"",""ชัยนาท!I167"")+IMPORTRANGE(""https://docs.google.com/spreadsheets/d/1jkqa6GXxSacMcY1eN8AHjMNJ_7dDXMJ"&amp;"VRLDlaFSOdPM/edit?usp=sharing"",""ตราด!I167"")+IMPORTRANGE(""https://docs.google.com/spreadsheets/d/18hSgUJ3VwClqi_qtULmmW3cLr0oe3OKaSYoKzdpTsYQ/edit?usp=sharing"",""นครนายก!I167"")+IMPORTRANGE(""https://docs.google.com/spreadsheets/d/1YTZo6WM2dQ6Ix6FSdnL"&amp;"5P7uVnVKu40sxZu975tgG10E/edit?usp=sharing"",""นครปฐม!I167"")+IMPORTRANGE(""https://docs.google.com/spreadsheets/d/1OYoGg4WDg5RIzwGeB10padOxJF9E_Vljuvvct_M7RDo/edit?usp=sharing"",""ปทุมธานี!I167"")+IMPORTRANGE(""https://docs.google.com/spreadsheets/d/1GbCI"&amp;"E4D4wk9FUozzqk7SxfDMxDVBwVmI5zcaVUSzKAc/edit?usp=sharing"",""ประจวบคีรีขันธ์!I167"")+IMPORTRANGE(""https://docs.google.com/spreadsheets/d/1vVf6wykvW_lAyu7Yo9L4hUTqHqIeP_qcVuxCtosJEbg/edit?usp=sharing"",""ปราจีนบุรี!I167"")+IMPORTRANGE(""https://docs.googl"&amp;"e.com/spreadsheets/d/1BIDqLLg5jk3v59G8NlR8rk5xfQDKne0sAvZHSj7TI6I/edit?usp=sharing"",""พระนครศรีอยุธยา!I167"")+IMPORTRANGE(""https://docs.google.com/spreadsheets/d/1YXvxf8Yu6_rV4hTBrwMqAcAnv6DfhUxh5emyM3CJp_w/edit?usp=sharing"",""เพชรบุรี!I167"")+IMPORTRA"&amp;"NGE(""https://docs.google.com/spreadsheets/d/19KBlQQs7uwvsao6t2n-KvW3Ax8J8uRRfZPq1zPbXgKc/edit?usp=sharing"",""ระยอง!I167"")+IMPORTRANGE(""https://docs.google.com/spreadsheets/d/1jQ6P4QcrGM89YfqcC_PxOHGCMq5ezhucwJd8ci-NHng/edit?usp=sharing"",""ราชบุรี!I16"&amp;"7"")+IMPORTRANGE(""https://docs.google.com/spreadsheets/d/1lufeA2cfFqM-elVq2hznhDzC6Pr7wkJ9ZG_sYNGCMCU/edit?usp=sharing"",""ลพบุรี!I167"")+IMPORTRANGE(""https://docs.google.com/spreadsheets/d/10oOiF7loTyfsTkbd4MpaIm0HQ9SwB7IYHdIUvt-U1Uc/edit?usp=sharing"""&amp;",""สระแก้ว!I167"")+IMPORTRANGE(""https://docs.google.com/spreadsheets/d/1xmPlrr1QbdSIKvl1dWUl9K4PjAfSL9oeMr_37QVzcxc/edit?usp=sharing"",""สระบุรี!I167"")+IMPORTRANGE(""https://docs.google.com/spreadsheets/d/1j51vR6CYVGhABJpv6tkstgok82RLpXieLzW1yOY5rHw/edi"&amp;"t?usp=sharing"",""สิงห์บุรี!I167"")+IMPORTRANGE(""https://docs.google.com/spreadsheets/d/1H1EalTWKUSzO4Z1-1CwzoDUaVffgrThEBe2sl74kKG0/edit?usp=sharing"",""สุพรรณบุรี!I167"")+IMPORTRANGE(""https://docs.google.com/spreadsheets/d/1BmIruG_sIrJLYao_Pdr7zVArWsf"&amp;"oBt2692TMi6x_854/edit?usp=sharing"",""อ่างทอง!I167"")"),150)</f>
        <v>150</v>
      </c>
      <c r="J167" s="241">
        <f ca="1">IFERROR(__xludf.DUMMYFUNCTION("IMPORTRANGE(""https://docs.google.com/spreadsheets/d/13wPX838HrBrQMCywv1BsuMkt4PEKTChp52zj44s2izQ/edit?usp=sharing"",""กาญจนบุรี!J167"")+IMPORTRANGE(""https://docs.google.com/spreadsheets/d/1ddFKvqj1W1NEiWytbGlB1zMx_ykJDVtmfEQ-6-lIUBA/edit?usp=sharing"","&amp;"""จันทบุรี!J167"")+IMPORTRANGE(""https://docs.google.com/spreadsheets/d/1T1PQvRODqOBZk8BRht_U031fIS1beLA0Ub2CEytj2q0/edit?usp=sharing"",""ฉะเชิงเทรา!J167"")+IMPORTRANGE(""https://docs.google.com/spreadsheets/d/11tr1B-Bhyr79v2bkwVh5h_fR-PStkgjlZtkrZpYurG0/"&amp;"edit?usp=sharing"",""ชลบุรี!J167"")+IMPORTRANGE(""https://docs.google.com/spreadsheets/d/1hh-FVnSX0vozXhGluamEcS54Dw9_zqW0N7qJUWgJ0Sw/edit?usp=sharing"",""ชัยนาท!J167"")+IMPORTRANGE(""https://docs.google.com/spreadsheets/d/1jkqa6GXxSacMcY1eN8AHjMNJ_7dDXMJ"&amp;"VRLDlaFSOdPM/edit?usp=sharing"",""ตราด!J167"")+IMPORTRANGE(""https://docs.google.com/spreadsheets/d/18hSgUJ3VwClqi_qtULmmW3cLr0oe3OKaSYoKzdpTsYQ/edit?usp=sharing"",""นครนายก!J167"")+IMPORTRANGE(""https://docs.google.com/spreadsheets/d/1YTZo6WM2dQ6Ix6FSdnL"&amp;"5P7uVnVKu40sxZu975tgG10E/edit?usp=sharing"",""นครปฐม!J167"")+IMPORTRANGE(""https://docs.google.com/spreadsheets/d/1OYoGg4WDg5RIzwGeB10padOxJF9E_Vljuvvct_M7RDo/edit?usp=sharing"",""ปทุมธานี!J167"")+IMPORTRANGE(""https://docs.google.com/spreadsheets/d/1GbCI"&amp;"E4D4wk9FUozzqk7SxfDMxDVBwVmI5zcaVUSzKAc/edit?usp=sharing"",""ประจวบคีรีขันธ์!J167"")+IMPORTRANGE(""https://docs.google.com/spreadsheets/d/1vVf6wykvW_lAyu7Yo9L4hUTqHqIeP_qcVuxCtosJEbg/edit?usp=sharing"",""ปราจีนบุรี!J167"")+IMPORTRANGE(""https://docs.googl"&amp;"e.com/spreadsheets/d/1BIDqLLg5jk3v59G8NlR8rk5xfQDKne0sAvZHSj7TI6I/edit?usp=sharing"",""พระนครศรีอยุธยา!J167"")+IMPORTRANGE(""https://docs.google.com/spreadsheets/d/1YXvxf8Yu6_rV4hTBrwMqAcAnv6DfhUxh5emyM3CJp_w/edit?usp=sharing"",""เพชรบุรี!J167"")+IMPORTRA"&amp;"NGE(""https://docs.google.com/spreadsheets/d/19KBlQQs7uwvsao6t2n-KvW3Ax8J8uRRfZPq1zPbXgKc/edit?usp=sharing"",""ระยอง!J167"")+IMPORTRANGE(""https://docs.google.com/spreadsheets/d/1jQ6P4QcrGM89YfqcC_PxOHGCMq5ezhucwJd8ci-NHng/edit?usp=sharing"",""ราชบุรี!J16"&amp;"7"")+IMPORTRANGE(""https://docs.google.com/spreadsheets/d/1lufeA2cfFqM-elVq2hznhDzC6Pr7wkJ9ZG_sYNGCMCU/edit?usp=sharing"",""ลพบุรี!J167"")+IMPORTRANGE(""https://docs.google.com/spreadsheets/d/10oOiF7loTyfsTkbd4MpaIm0HQ9SwB7IYHdIUvt-U1Uc/edit?usp=sharing"""&amp;",""สระแก้ว!J167"")+IMPORTRANGE(""https://docs.google.com/spreadsheets/d/1xmPlrr1QbdSIKvl1dWUl9K4PjAfSL9oeMr_37QVzcxc/edit?usp=sharing"",""สระบุรี!J167"")+IMPORTRANGE(""https://docs.google.com/spreadsheets/d/1j51vR6CYVGhABJpv6tkstgok82RLpXieLzW1yOY5rHw/edi"&amp;"t?usp=sharing"",""สิงห์บุรี!J167"")+IMPORTRANGE(""https://docs.google.com/spreadsheets/d/1H1EalTWKUSzO4Z1-1CwzoDUaVffgrThEBe2sl74kKG0/edit?usp=sharing"",""สุพรรณบุรี!J167"")+IMPORTRANGE(""https://docs.google.com/spreadsheets/d/1BmIruG_sIrJLYao_Pdr7zVArWsf"&amp;"oBt2692TMi6x_854/edit?usp=sharing"",""อ่างทอง!J167"")"),156)</f>
        <v>156</v>
      </c>
      <c r="K167" s="91">
        <f t="shared" ref="K167:K169" ca="1" si="138">IF(I167&gt;0,J167*100/I167,0)</f>
        <v>104</v>
      </c>
      <c r="L167" s="75"/>
      <c r="M167" s="75"/>
      <c r="N167" s="75"/>
      <c r="O167" s="75"/>
      <c r="P167" s="75"/>
      <c r="Q167" s="89"/>
      <c r="R167" s="90"/>
      <c r="S167" s="90"/>
      <c r="T167" s="90"/>
      <c r="U167" s="90"/>
    </row>
    <row r="168" spans="1:21" ht="18.75" x14ac:dyDescent="0.25">
      <c r="A168" s="211"/>
      <c r="B168" s="70"/>
      <c r="C168" s="70"/>
      <c r="D168" s="78" t="s">
        <v>70</v>
      </c>
      <c r="E168" s="70"/>
      <c r="F168" s="70"/>
      <c r="G168" s="72"/>
      <c r="H168" s="223" t="s">
        <v>35</v>
      </c>
      <c r="I168" s="241">
        <f t="shared" ref="I168:I169" ca="1" si="139">I167</f>
        <v>150</v>
      </c>
      <c r="J168" s="241">
        <v>0</v>
      </c>
      <c r="K168" s="91">
        <f t="shared" ca="1" si="138"/>
        <v>0</v>
      </c>
      <c r="L168" s="75"/>
      <c r="M168" s="75"/>
      <c r="N168" s="75"/>
      <c r="O168" s="75"/>
      <c r="P168" s="75"/>
      <c r="Q168" s="89"/>
      <c r="R168" s="90"/>
      <c r="S168" s="90"/>
      <c r="T168" s="90"/>
      <c r="U168" s="90"/>
    </row>
    <row r="169" spans="1:21" ht="18.75" x14ac:dyDescent="0.25">
      <c r="A169" s="339"/>
      <c r="B169" s="1"/>
      <c r="C169" s="1"/>
      <c r="D169" s="178" t="s">
        <v>71</v>
      </c>
      <c r="E169" s="1"/>
      <c r="F169" s="1"/>
      <c r="G169" s="179"/>
      <c r="H169" s="340" t="s">
        <v>35</v>
      </c>
      <c r="I169" s="341">
        <f t="shared" ca="1" si="139"/>
        <v>150</v>
      </c>
      <c r="J169" s="341">
        <v>0</v>
      </c>
      <c r="K169" s="183">
        <f t="shared" ca="1" si="138"/>
        <v>0</v>
      </c>
      <c r="L169" s="182"/>
      <c r="M169" s="182"/>
      <c r="N169" s="182"/>
      <c r="O169" s="182"/>
      <c r="P169" s="182"/>
      <c r="Q169" s="100"/>
      <c r="R169" s="101"/>
      <c r="S169" s="101"/>
      <c r="T169" s="101"/>
      <c r="U169" s="101"/>
    </row>
    <row r="170" spans="1:21" ht="19.5" x14ac:dyDescent="0.3">
      <c r="A170" s="342" t="s">
        <v>72</v>
      </c>
      <c r="B170" s="343"/>
      <c r="C170" s="343"/>
      <c r="D170" s="343"/>
      <c r="E170" s="344"/>
      <c r="F170" s="344"/>
      <c r="G170" s="344"/>
      <c r="H170" s="344"/>
      <c r="I170" s="345"/>
      <c r="J170" s="345"/>
      <c r="K170" s="346"/>
      <c r="L170" s="346"/>
      <c r="M170" s="346"/>
      <c r="N170" s="346"/>
      <c r="O170" s="346"/>
      <c r="P170" s="347"/>
      <c r="Q170" s="348"/>
      <c r="R170" s="349"/>
      <c r="S170" s="349"/>
      <c r="T170" s="349"/>
      <c r="U170" s="350"/>
    </row>
    <row r="171" spans="1:21" ht="19.5" x14ac:dyDescent="0.3">
      <c r="A171" s="351" t="s">
        <v>73</v>
      </c>
      <c r="B171" s="352"/>
      <c r="C171" s="352"/>
      <c r="D171" s="353"/>
      <c r="E171" s="353"/>
      <c r="F171" s="353"/>
      <c r="G171" s="354"/>
      <c r="H171" s="354"/>
      <c r="I171" s="355"/>
      <c r="J171" s="355"/>
      <c r="K171" s="356"/>
      <c r="L171" s="356"/>
      <c r="M171" s="356"/>
      <c r="N171" s="356"/>
      <c r="O171" s="356"/>
      <c r="P171" s="356"/>
      <c r="Q171" s="357"/>
      <c r="R171" s="358"/>
      <c r="S171" s="358"/>
      <c r="T171" s="358"/>
      <c r="U171" s="358"/>
    </row>
    <row r="172" spans="1:21" ht="19.5" x14ac:dyDescent="0.3">
      <c r="A172" s="359"/>
      <c r="B172" s="360" t="s">
        <v>74</v>
      </c>
      <c r="C172" s="361"/>
      <c r="D172" s="227"/>
      <c r="E172" s="227"/>
      <c r="F172" s="227"/>
      <c r="G172" s="228"/>
      <c r="H172" s="362" t="s">
        <v>35</v>
      </c>
      <c r="I172" s="363">
        <f t="shared" ref="I172:J172" ca="1" si="140">I183+I184</f>
        <v>203</v>
      </c>
      <c r="J172" s="363">
        <f t="shared" ca="1" si="140"/>
        <v>133</v>
      </c>
      <c r="K172" s="364">
        <f ca="1">IF(I172&gt;0,J172*100/I172,0)</f>
        <v>65.517241379310349</v>
      </c>
      <c r="L172" s="365"/>
      <c r="M172" s="365"/>
      <c r="N172" s="365"/>
      <c r="O172" s="365"/>
      <c r="P172" s="365"/>
      <c r="Q172" s="366"/>
      <c r="R172" s="367"/>
      <c r="S172" s="367"/>
      <c r="T172" s="367"/>
      <c r="U172" s="367"/>
    </row>
    <row r="173" spans="1:21" ht="19.5" x14ac:dyDescent="0.3">
      <c r="A173" s="211"/>
      <c r="B173" s="70"/>
      <c r="C173" s="212" t="s">
        <v>18</v>
      </c>
      <c r="D173" s="213" t="s">
        <v>19</v>
      </c>
      <c r="E173" s="70"/>
      <c r="F173" s="70"/>
      <c r="G173" s="72"/>
      <c r="H173" s="214" t="s">
        <v>14</v>
      </c>
      <c r="I173" s="74"/>
      <c r="J173" s="74"/>
      <c r="K173" s="75"/>
      <c r="L173" s="215">
        <f t="shared" ref="L173:N173" ca="1" si="141">L174+L175</f>
        <v>372210</v>
      </c>
      <c r="M173" s="215">
        <f t="shared" ca="1" si="141"/>
        <v>600140</v>
      </c>
      <c r="N173" s="215">
        <f t="shared" ca="1" si="141"/>
        <v>555773</v>
      </c>
      <c r="O173" s="215">
        <f t="shared" ref="O173:O181" ca="1" si="142">IF(L173&gt;0,N173*100/L173,0)</f>
        <v>149.31705220171409</v>
      </c>
      <c r="P173" s="215">
        <f t="shared" ref="P173:P181" ca="1" si="143">IF(M173&gt;0,N173*100/M173,0)</f>
        <v>92.607224980837799</v>
      </c>
      <c r="Q173" s="216">
        <f t="shared" ref="Q173:S173" ca="1" si="144">Q174+Q175</f>
        <v>0</v>
      </c>
      <c r="R173" s="217">
        <f t="shared" ca="1" si="144"/>
        <v>0</v>
      </c>
      <c r="S173" s="217">
        <f t="shared" ca="1" si="144"/>
        <v>0</v>
      </c>
      <c r="T173" s="217">
        <f t="shared" ref="T173:T181" ca="1" si="145">IF(Q173&gt;0,S173*100/Q173,0)</f>
        <v>0</v>
      </c>
      <c r="U173" s="217">
        <f t="shared" ref="U173:U181" ca="1" si="146">IF(R173&gt;0,S173*100/R173,0)</f>
        <v>0</v>
      </c>
    </row>
    <row r="174" spans="1:21" ht="18.75" x14ac:dyDescent="0.25">
      <c r="A174" s="211"/>
      <c r="B174" s="70"/>
      <c r="C174" s="70"/>
      <c r="D174" s="70"/>
      <c r="E174" s="78" t="s">
        <v>20</v>
      </c>
      <c r="F174" s="70"/>
      <c r="G174" s="72"/>
      <c r="H174" s="218" t="s">
        <v>14</v>
      </c>
      <c r="I174" s="74"/>
      <c r="J174" s="74"/>
      <c r="K174" s="75"/>
      <c r="L174" s="91">
        <f t="shared" ref="L174:N174" ca="1" si="147">L177+L180</f>
        <v>0</v>
      </c>
      <c r="M174" s="91">
        <f t="shared" ca="1" si="147"/>
        <v>0</v>
      </c>
      <c r="N174" s="91">
        <f t="shared" ca="1" si="147"/>
        <v>0</v>
      </c>
      <c r="O174" s="91">
        <f t="shared" ca="1" si="142"/>
        <v>0</v>
      </c>
      <c r="P174" s="91">
        <f t="shared" ca="1" si="143"/>
        <v>0</v>
      </c>
      <c r="Q174" s="219">
        <f t="shared" ref="Q174:S174" ca="1" si="148">Q177+Q180</f>
        <v>0</v>
      </c>
      <c r="R174" s="136">
        <f t="shared" ca="1" si="148"/>
        <v>0</v>
      </c>
      <c r="S174" s="136">
        <f t="shared" ca="1" si="148"/>
        <v>0</v>
      </c>
      <c r="T174" s="136">
        <f t="shared" ca="1" si="145"/>
        <v>0</v>
      </c>
      <c r="U174" s="136">
        <f t="shared" ca="1" si="146"/>
        <v>0</v>
      </c>
    </row>
    <row r="175" spans="1:21" ht="18.75" x14ac:dyDescent="0.25">
      <c r="A175" s="211"/>
      <c r="B175" s="70"/>
      <c r="C175" s="70"/>
      <c r="D175" s="70"/>
      <c r="E175" s="78" t="s">
        <v>21</v>
      </c>
      <c r="F175" s="70"/>
      <c r="G175" s="72"/>
      <c r="H175" s="218" t="s">
        <v>14</v>
      </c>
      <c r="I175" s="74"/>
      <c r="J175" s="74"/>
      <c r="K175" s="75"/>
      <c r="L175" s="91">
        <f t="shared" ref="L175:N175" ca="1" si="149">L178+L181</f>
        <v>372210</v>
      </c>
      <c r="M175" s="91">
        <f t="shared" ca="1" si="149"/>
        <v>600140</v>
      </c>
      <c r="N175" s="91">
        <f t="shared" ca="1" si="149"/>
        <v>555773</v>
      </c>
      <c r="O175" s="91">
        <f t="shared" ca="1" si="142"/>
        <v>149.31705220171409</v>
      </c>
      <c r="P175" s="91">
        <f t="shared" ca="1" si="143"/>
        <v>92.607224980837799</v>
      </c>
      <c r="Q175" s="134">
        <f t="shared" ref="Q175:S175" ca="1" si="150">Q178+Q181</f>
        <v>0</v>
      </c>
      <c r="R175" s="135">
        <f t="shared" ca="1" si="150"/>
        <v>0</v>
      </c>
      <c r="S175" s="135">
        <f t="shared" ca="1" si="150"/>
        <v>0</v>
      </c>
      <c r="T175" s="135">
        <f t="shared" ca="1" si="145"/>
        <v>0</v>
      </c>
      <c r="U175" s="135">
        <f t="shared" ca="1" si="146"/>
        <v>0</v>
      </c>
    </row>
    <row r="176" spans="1:21" ht="18.75" x14ac:dyDescent="0.25">
      <c r="A176" s="211"/>
      <c r="B176" s="70"/>
      <c r="C176" s="70"/>
      <c r="D176" s="71" t="s">
        <v>22</v>
      </c>
      <c r="E176" s="70"/>
      <c r="F176" s="70"/>
      <c r="G176" s="72"/>
      <c r="H176" s="220" t="s">
        <v>14</v>
      </c>
      <c r="I176" s="221"/>
      <c r="J176" s="221"/>
      <c r="K176" s="222"/>
      <c r="L176" s="91">
        <f t="shared" ref="L176:N176" ca="1" si="151">L177+L178</f>
        <v>372210</v>
      </c>
      <c r="M176" s="91">
        <f t="shared" ca="1" si="151"/>
        <v>600140</v>
      </c>
      <c r="N176" s="91">
        <f t="shared" ca="1" si="151"/>
        <v>555773</v>
      </c>
      <c r="O176" s="91">
        <f t="shared" ca="1" si="142"/>
        <v>149.31705220171409</v>
      </c>
      <c r="P176" s="91">
        <f t="shared" ca="1" si="143"/>
        <v>92.607224980837799</v>
      </c>
      <c r="Q176" s="134">
        <f t="shared" ref="Q176:S176" ca="1" si="152">Q177+Q178</f>
        <v>0</v>
      </c>
      <c r="R176" s="135">
        <f t="shared" ca="1" si="152"/>
        <v>0</v>
      </c>
      <c r="S176" s="135">
        <f t="shared" ca="1" si="152"/>
        <v>0</v>
      </c>
      <c r="T176" s="135">
        <f t="shared" ca="1" si="145"/>
        <v>0</v>
      </c>
      <c r="U176" s="135">
        <f t="shared" ca="1" si="146"/>
        <v>0</v>
      </c>
    </row>
    <row r="177" spans="1:21" ht="18.75" x14ac:dyDescent="0.25">
      <c r="A177" s="211"/>
      <c r="B177" s="70"/>
      <c r="C177" s="70"/>
      <c r="D177" s="70"/>
      <c r="E177" s="78" t="s">
        <v>36</v>
      </c>
      <c r="F177" s="70"/>
      <c r="G177" s="72"/>
      <c r="H177" s="220" t="s">
        <v>14</v>
      </c>
      <c r="I177" s="221"/>
      <c r="J177" s="221"/>
      <c r="K177" s="222"/>
      <c r="L177" s="91">
        <f ca="1">IFERROR(__xludf.DUMMYFUNCTION("IMPORTRANGE(""https://docs.google.com/spreadsheets/d/13wPX838HrBrQMCywv1BsuMkt4PEKTChp52zj44s2izQ/edit?usp=sharing"",""กาญจนบุรี!L177"")+IMPORTRANGE(""https://docs.google.com/spreadsheets/d/1ddFKvqj1W1NEiWytbGlB1zMx_ykJDVtmfEQ-6-lIUBA/edit?usp=sharing"","&amp;"""จันทบุรี!L177"")+IMPORTRANGE(""https://docs.google.com/spreadsheets/d/1T1PQvRODqOBZk8BRht_U031fIS1beLA0Ub2CEytj2q0/edit?usp=sharing"",""ฉะเชิงเทรา!L177"")+IMPORTRANGE(""https://docs.google.com/spreadsheets/d/11tr1B-Bhyr79v2bkwVh5h_fR-PStkgjlZtkrZpYurG0/"&amp;"edit?usp=sharing"",""ชลบุรี!L177"")+IMPORTRANGE(""https://docs.google.com/spreadsheets/d/1hh-FVnSX0vozXhGluamEcS54Dw9_zqW0N7qJUWgJ0Sw/edit?usp=sharing"",""ชัยนาท!L177"")+IMPORTRANGE(""https://docs.google.com/spreadsheets/d/1jkqa6GXxSacMcY1eN8AHjMNJ_7dDXMJ"&amp;"VRLDlaFSOdPM/edit?usp=sharing"",""ตราด!L177"")+IMPORTRANGE(""https://docs.google.com/spreadsheets/d/18hSgUJ3VwClqi_qtULmmW3cLr0oe3OKaSYoKzdpTsYQ/edit?usp=sharing"",""นครนายก!L177"")+IMPORTRANGE(""https://docs.google.com/spreadsheets/d/1YTZo6WM2dQ6Ix6FSdnL"&amp;"5P7uVnVKu40sxZu975tgG10E/edit?usp=sharing"",""นครปฐม!L177"")+IMPORTRANGE(""https://docs.google.com/spreadsheets/d/1OYoGg4WDg5RIzwGeB10padOxJF9E_Vljuvvct_M7RDo/edit?usp=sharing"",""ปทุมธานี!L177"")+IMPORTRANGE(""https://docs.google.com/spreadsheets/d/1GbCI"&amp;"E4D4wk9FUozzqk7SxfDMxDVBwVmI5zcaVUSzKAc/edit?usp=sharing"",""ประจวบคีรีขันธ์!L177"")+IMPORTRANGE(""https://docs.google.com/spreadsheets/d/1vVf6wykvW_lAyu7Yo9L4hUTqHqIeP_qcVuxCtosJEbg/edit?usp=sharing"",""ปราจีนบุรี!L177"")+IMPORTRANGE(""https://docs.googl"&amp;"e.com/spreadsheets/d/1BIDqLLg5jk3v59G8NlR8rk5xfQDKne0sAvZHSj7TI6I/edit?usp=sharing"",""พระนครศรีอยุธยา!L177"")+IMPORTRANGE(""https://docs.google.com/spreadsheets/d/1YXvxf8Yu6_rV4hTBrwMqAcAnv6DfhUxh5emyM3CJp_w/edit?usp=sharing"",""เพชรบุรี!L177"")+IMPORTRA"&amp;"NGE(""https://docs.google.com/spreadsheets/d/19KBlQQs7uwvsao6t2n-KvW3Ax8J8uRRfZPq1zPbXgKc/edit?usp=sharing"",""ระยอง!L177"")+IMPORTRANGE(""https://docs.google.com/spreadsheets/d/1jQ6P4QcrGM89YfqcC_PxOHGCMq5ezhucwJd8ci-NHng/edit?usp=sharing"",""ราชบุรี!L17"&amp;"7"")+IMPORTRANGE(""https://docs.google.com/spreadsheets/d/1lufeA2cfFqM-elVq2hznhDzC6Pr7wkJ9ZG_sYNGCMCU/edit?usp=sharing"",""ลพบุรี!L177"")+IMPORTRANGE(""https://docs.google.com/spreadsheets/d/10oOiF7loTyfsTkbd4MpaIm0HQ9SwB7IYHdIUvt-U1Uc/edit?usp=sharing"""&amp;",""สระแก้ว!L177"")+IMPORTRANGE(""https://docs.google.com/spreadsheets/d/1xmPlrr1QbdSIKvl1dWUl9K4PjAfSL9oeMr_37QVzcxc/edit?usp=sharing"",""สระบุรี!L177"")+IMPORTRANGE(""https://docs.google.com/spreadsheets/d/1j51vR6CYVGhABJpv6tkstgok82RLpXieLzW1yOY5rHw/edi"&amp;"t?usp=sharing"",""สิงห์บุรี!L177"")+IMPORTRANGE(""https://docs.google.com/spreadsheets/d/1H1EalTWKUSzO4Z1-1CwzoDUaVffgrThEBe2sl74kKG0/edit?usp=sharing"",""สุพรรณบุรี!L177"")+IMPORTRANGE(""https://docs.google.com/spreadsheets/d/1BmIruG_sIrJLYao_Pdr7zVArWsf"&amp;"oBt2692TMi6x_854/edit?usp=sharing"",""อ่างทอง!L177"")"),0)</f>
        <v>0</v>
      </c>
      <c r="M177" s="91">
        <f ca="1">IFERROR(__xludf.DUMMYFUNCTION("IMPORTRANGE(""https://docs.google.com/spreadsheets/d/13wPX838HrBrQMCywv1BsuMkt4PEKTChp52zj44s2izQ/edit?usp=sharing"",""กาญจนบุรี!M177"")+IMPORTRANGE(""https://docs.google.com/spreadsheets/d/1ddFKvqj1W1NEiWytbGlB1zMx_ykJDVtmfEQ-6-lIUBA/edit?usp=sharing"","&amp;"""จันทบุรี!M177"")+IMPORTRANGE(""https://docs.google.com/spreadsheets/d/1T1PQvRODqOBZk8BRht_U031fIS1beLA0Ub2CEytj2q0/edit?usp=sharing"",""ฉะเชิงเทรา!M177"")+IMPORTRANGE(""https://docs.google.com/spreadsheets/d/11tr1B-Bhyr79v2bkwVh5h_fR-PStkgjlZtkrZpYurG0/"&amp;"edit?usp=sharing"",""ชลบุรี!M177"")+IMPORTRANGE(""https://docs.google.com/spreadsheets/d/1hh-FVnSX0vozXhGluamEcS54Dw9_zqW0N7qJUWgJ0Sw/edit?usp=sharing"",""ชัยนาท!M177"")+IMPORTRANGE(""https://docs.google.com/spreadsheets/d/1jkqa6GXxSacMcY1eN8AHjMNJ_7dDXMJ"&amp;"VRLDlaFSOdPM/edit?usp=sharing"",""ตราด!M177"")+IMPORTRANGE(""https://docs.google.com/spreadsheets/d/18hSgUJ3VwClqi_qtULmmW3cLr0oe3OKaSYoKzdpTsYQ/edit?usp=sharing"",""นครนายก!M177"")+IMPORTRANGE(""https://docs.google.com/spreadsheets/d/1YTZo6WM2dQ6Ix6FSdnL"&amp;"5P7uVnVKu40sxZu975tgG10E/edit?usp=sharing"",""นครปฐม!M177"")+IMPORTRANGE(""https://docs.google.com/spreadsheets/d/1OYoGg4WDg5RIzwGeB10padOxJF9E_Vljuvvct_M7RDo/edit?usp=sharing"",""ปทุมธานี!M177"")+IMPORTRANGE(""https://docs.google.com/spreadsheets/d/1GbCI"&amp;"E4D4wk9FUozzqk7SxfDMxDVBwVmI5zcaVUSzKAc/edit?usp=sharing"",""ประจวบคีรีขันธ์!M177"")+IMPORTRANGE(""https://docs.google.com/spreadsheets/d/1vVf6wykvW_lAyu7Yo9L4hUTqHqIeP_qcVuxCtosJEbg/edit?usp=sharing"",""ปราจีนบุรี!M177"")+IMPORTRANGE(""https://docs.googl"&amp;"e.com/spreadsheets/d/1BIDqLLg5jk3v59G8NlR8rk5xfQDKne0sAvZHSj7TI6I/edit?usp=sharing"",""พระนครศรีอยุธยา!M177"")+IMPORTRANGE(""https://docs.google.com/spreadsheets/d/1YXvxf8Yu6_rV4hTBrwMqAcAnv6DfhUxh5emyM3CJp_w/edit?usp=sharing"",""เพชรบุรี!M177"")+IMPORTRA"&amp;"NGE(""https://docs.google.com/spreadsheets/d/19KBlQQs7uwvsao6t2n-KvW3Ax8J8uRRfZPq1zPbXgKc/edit?usp=sharing"",""ระยอง!M177"")+IMPORTRANGE(""https://docs.google.com/spreadsheets/d/1jQ6P4QcrGM89YfqcC_PxOHGCMq5ezhucwJd8ci-NHng/edit?usp=sharing"",""ราชบุรี!M17"&amp;"7"")+IMPORTRANGE(""https://docs.google.com/spreadsheets/d/1lufeA2cfFqM-elVq2hznhDzC6Pr7wkJ9ZG_sYNGCMCU/edit?usp=sharing"",""ลพบุรี!M177"")+IMPORTRANGE(""https://docs.google.com/spreadsheets/d/10oOiF7loTyfsTkbd4MpaIm0HQ9SwB7IYHdIUvt-U1Uc/edit?usp=sharing"""&amp;",""สระแก้ว!M177"")+IMPORTRANGE(""https://docs.google.com/spreadsheets/d/1xmPlrr1QbdSIKvl1dWUl9K4PjAfSL9oeMr_37QVzcxc/edit?usp=sharing"",""สระบุรี!M177"")+IMPORTRANGE(""https://docs.google.com/spreadsheets/d/1j51vR6CYVGhABJpv6tkstgok82RLpXieLzW1yOY5rHw/edi"&amp;"t?usp=sharing"",""สิงห์บุรี!M177"")+IMPORTRANGE(""https://docs.google.com/spreadsheets/d/1H1EalTWKUSzO4Z1-1CwzoDUaVffgrThEBe2sl74kKG0/edit?usp=sharing"",""สุพรรณบุรี!M177"")+IMPORTRANGE(""https://docs.google.com/spreadsheets/d/1BmIruG_sIrJLYao_Pdr7zVArWsf"&amp;"oBt2692TMi6x_854/edit?usp=sharing"",""อ่างทอง!M177"")"),0)</f>
        <v>0</v>
      </c>
      <c r="N177" s="91">
        <f ca="1">IFERROR(__xludf.DUMMYFUNCTION("IMPORTRANGE(""https://docs.google.com/spreadsheets/d/13wPX838HrBrQMCywv1BsuMkt4PEKTChp52zj44s2izQ/edit?usp=sharing"",""กาญจนบุรี!N177"")+IMPORTRANGE(""https://docs.google.com/spreadsheets/d/1ddFKvqj1W1NEiWytbGlB1zMx_ykJDVtmfEQ-6-lIUBA/edit?usp=sharing"","&amp;"""จันทบุรี!N177"")+IMPORTRANGE(""https://docs.google.com/spreadsheets/d/1T1PQvRODqOBZk8BRht_U031fIS1beLA0Ub2CEytj2q0/edit?usp=sharing"",""ฉะเชิงเทรา!N177"")+IMPORTRANGE(""https://docs.google.com/spreadsheets/d/11tr1B-Bhyr79v2bkwVh5h_fR-PStkgjlZtkrZpYurG0/"&amp;"edit?usp=sharing"",""ชลบุรี!N177"")+IMPORTRANGE(""https://docs.google.com/spreadsheets/d/1hh-FVnSX0vozXhGluamEcS54Dw9_zqW0N7qJUWgJ0Sw/edit?usp=sharing"",""ชัยนาท!N177"")+IMPORTRANGE(""https://docs.google.com/spreadsheets/d/1jkqa6GXxSacMcY1eN8AHjMNJ_7dDXMJ"&amp;"VRLDlaFSOdPM/edit?usp=sharing"",""ตราด!N177"")+IMPORTRANGE(""https://docs.google.com/spreadsheets/d/18hSgUJ3VwClqi_qtULmmW3cLr0oe3OKaSYoKzdpTsYQ/edit?usp=sharing"",""นครนายก!N177"")+IMPORTRANGE(""https://docs.google.com/spreadsheets/d/1YTZo6WM2dQ6Ix6FSdnL"&amp;"5P7uVnVKu40sxZu975tgG10E/edit?usp=sharing"",""นครปฐม!N177"")+IMPORTRANGE(""https://docs.google.com/spreadsheets/d/1OYoGg4WDg5RIzwGeB10padOxJF9E_Vljuvvct_M7RDo/edit?usp=sharing"",""ปทุมธานี!N177"")+IMPORTRANGE(""https://docs.google.com/spreadsheets/d/1GbCI"&amp;"E4D4wk9FUozzqk7SxfDMxDVBwVmI5zcaVUSzKAc/edit?usp=sharing"",""ประจวบคีรีขันธ์!N177"")+IMPORTRANGE(""https://docs.google.com/spreadsheets/d/1vVf6wykvW_lAyu7Yo9L4hUTqHqIeP_qcVuxCtosJEbg/edit?usp=sharing"",""ปราจีนบุรี!N177"")+IMPORTRANGE(""https://docs.googl"&amp;"e.com/spreadsheets/d/1BIDqLLg5jk3v59G8NlR8rk5xfQDKne0sAvZHSj7TI6I/edit?usp=sharing"",""พระนครศรีอยุธยา!N177"")+IMPORTRANGE(""https://docs.google.com/spreadsheets/d/1YXvxf8Yu6_rV4hTBrwMqAcAnv6DfhUxh5emyM3CJp_w/edit?usp=sharing"",""เพชรบุรี!N177"")+IMPORTRA"&amp;"NGE(""https://docs.google.com/spreadsheets/d/19KBlQQs7uwvsao6t2n-KvW3Ax8J8uRRfZPq1zPbXgKc/edit?usp=sharing"",""ระยอง!N177"")+IMPORTRANGE(""https://docs.google.com/spreadsheets/d/1jQ6P4QcrGM89YfqcC_PxOHGCMq5ezhucwJd8ci-NHng/edit?usp=sharing"",""ราชบุรี!N17"&amp;"7"")+IMPORTRANGE(""https://docs.google.com/spreadsheets/d/1lufeA2cfFqM-elVq2hznhDzC6Pr7wkJ9ZG_sYNGCMCU/edit?usp=sharing"",""ลพบุรี!N177"")+IMPORTRANGE(""https://docs.google.com/spreadsheets/d/10oOiF7loTyfsTkbd4MpaIm0HQ9SwB7IYHdIUvt-U1Uc/edit?usp=sharing"""&amp;",""สระแก้ว!N177"")+IMPORTRANGE(""https://docs.google.com/spreadsheets/d/1xmPlrr1QbdSIKvl1dWUl9K4PjAfSL9oeMr_37QVzcxc/edit?usp=sharing"",""สระบุรี!N177"")+IMPORTRANGE(""https://docs.google.com/spreadsheets/d/1j51vR6CYVGhABJpv6tkstgok82RLpXieLzW1yOY5rHw/edi"&amp;"t?usp=sharing"",""สิงห์บุรี!N177"")+IMPORTRANGE(""https://docs.google.com/spreadsheets/d/1H1EalTWKUSzO4Z1-1CwzoDUaVffgrThEBe2sl74kKG0/edit?usp=sharing"",""สุพรรณบุรี!N177"")+IMPORTRANGE(""https://docs.google.com/spreadsheets/d/1BmIruG_sIrJLYao_Pdr7zVArWsf"&amp;"oBt2692TMi6x_854/edit?usp=sharing"",""อ่างทอง!N177"")"),0)</f>
        <v>0</v>
      </c>
      <c r="O177" s="91">
        <f t="shared" ca="1" si="142"/>
        <v>0</v>
      </c>
      <c r="P177" s="91">
        <f t="shared" ca="1" si="143"/>
        <v>0</v>
      </c>
      <c r="Q177" s="79">
        <f ca="1">IFERROR(__xludf.DUMMYFUNCTION("IMPORTRANGE(""https://docs.google.com/spreadsheets/d/13wPX838HrBrQMCywv1BsuMkt4PEKTChp52zj44s2izQ/edit?usp=sharing"",""กาญจนบุรี!Q177"")+IMPORTRANGE(""https://docs.google.com/spreadsheets/d/1ddFKvqj1W1NEiWytbGlB1zMx_ykJDVtmfEQ-6-lIUBA/edit?usp=sharing"","&amp;"""จันทบุรี!Q177"")+IMPORTRANGE(""https://docs.google.com/spreadsheets/d/1T1PQvRODqOBZk8BRht_U031fIS1beLA0Ub2CEytj2q0/edit?usp=sharing"",""ฉะเชิงเทรา!Q177"")+IMPORTRANGE(""https://docs.google.com/spreadsheets/d/11tr1B-Bhyr79v2bkwVh5h_fR-PStkgjlZtkrZpYurG0/"&amp;"edit?usp=sharing"",""ชลบุรี!Q177"")+IMPORTRANGE(""https://docs.google.com/spreadsheets/d/1hh-FVnSX0vozXhGluamEcS54Dw9_zqW0N7qJUWgJ0Sw/edit?usp=sharing"",""ชัยนาท!Q177"")+IMPORTRANGE(""https://docs.google.com/spreadsheets/d/1jkqa6GXxSacMcY1eN8AHjMNJ_7dDXMJ"&amp;"VRLDlaFSOdPM/edit?usp=sharing"",""ตราด!Q177"")+IMPORTRANGE(""https://docs.google.com/spreadsheets/d/18hSgUJ3VwClqi_qtULmmW3cLr0oe3OKaSYoKzdpTsYQ/edit?usp=sharing"",""นครนายก!Q177"")+IMPORTRANGE(""https://docs.google.com/spreadsheets/d/1YTZo6WM2dQ6Ix6FSdnL"&amp;"5P7uVnVKu40sxZu975tgG10E/edit?usp=sharing"",""นครปฐม!Q177"")+IMPORTRANGE(""https://docs.google.com/spreadsheets/d/1OYoGg4WDg5RIzwGeB10padOxJF9E_Vljuvvct_M7RDo/edit?usp=sharing"",""ปทุมธานี!Q177"")+IMPORTRANGE(""https://docs.google.com/spreadsheets/d/1GbCI"&amp;"E4D4wk9FUozzqk7SxfDMxDVBwVmI5zcaVUSzKAc/edit?usp=sharing"",""ประจวบคีรีขันธ์!Q177"")+IMPORTRANGE(""https://docs.google.com/spreadsheets/d/1vVf6wykvW_lAyu7Yo9L4hUTqHqIeP_qcVuxCtosJEbg/edit?usp=sharing"",""ปราจีนบุรี!Q177"")+IMPORTRANGE(""https://docs.googl"&amp;"e.com/spreadsheets/d/1BIDqLLg5jk3v59G8NlR8rk5xfQDKne0sAvZHSj7TI6I/edit?usp=sharing"",""พระนครศรีอยุธยา!Q177"")+IMPORTRANGE(""https://docs.google.com/spreadsheets/d/1YXvxf8Yu6_rV4hTBrwMqAcAnv6DfhUxh5emyM3CJp_w/edit?usp=sharing"",""เพชรบุรี!Q177"")+IMPORTRA"&amp;"NGE(""https://docs.google.com/spreadsheets/d/19KBlQQs7uwvsao6t2n-KvW3Ax8J8uRRfZPq1zPbXgKc/edit?usp=sharing"",""ระยอง!Q177"")+IMPORTRANGE(""https://docs.google.com/spreadsheets/d/1jQ6P4QcrGM89YfqcC_PxOHGCMq5ezhucwJd8ci-NHng/edit?usp=sharing"",""ราชบุรี!Q17"&amp;"7"")+IMPORTRANGE(""https://docs.google.com/spreadsheets/d/1lufeA2cfFqM-elVq2hznhDzC6Pr7wkJ9ZG_sYNGCMCU/edit?usp=sharing"",""ลพบุรี!Q177"")+IMPORTRANGE(""https://docs.google.com/spreadsheets/d/10oOiF7loTyfsTkbd4MpaIm0HQ9SwB7IYHdIUvt-U1Uc/edit?usp=sharing"""&amp;",""สระแก้ว!Q177"")+IMPORTRANGE(""https://docs.google.com/spreadsheets/d/1xmPlrr1QbdSIKvl1dWUl9K4PjAfSL9oeMr_37QVzcxc/edit?usp=sharing"",""สระบุรี!Q177"")+IMPORTRANGE(""https://docs.google.com/spreadsheets/d/1j51vR6CYVGhABJpv6tkstgok82RLpXieLzW1yOY5rHw/edi"&amp;"t?usp=sharing"",""สิงห์บุรี!Q177"")+IMPORTRANGE(""https://docs.google.com/spreadsheets/d/1H1EalTWKUSzO4Z1-1CwzoDUaVffgrThEBe2sl74kKG0/edit?usp=sharing"",""สุพรรณบุรี!Q177"")+IMPORTRANGE(""https://docs.google.com/spreadsheets/d/1BmIruG_sIrJLYao_Pdr7zVArWsf"&amp;"oBt2692TMi6x_854/edit?usp=sharing"",""อ่างทอง!Q177"")"),0)</f>
        <v>0</v>
      </c>
      <c r="R177" s="80">
        <f ca="1">IFERROR(__xludf.DUMMYFUNCTION("IMPORTRANGE(""https://docs.google.com/spreadsheets/d/13wPX838HrBrQMCywv1BsuMkt4PEKTChp52zj44s2izQ/edit?usp=sharing"",""กาญจนบุรี!R177"")+IMPORTRANGE(""https://docs.google.com/spreadsheets/d/1ddFKvqj1W1NEiWytbGlB1zMx_ykJDVtmfEQ-6-lIUBA/edit?usp=sharing"","&amp;"""จันทบุรี!R177"")+IMPORTRANGE(""https://docs.google.com/spreadsheets/d/1T1PQvRODqOBZk8BRht_U031fIS1beLA0Ub2CEytj2q0/edit?usp=sharing"",""ฉะเชิงเทรา!R177"")+IMPORTRANGE(""https://docs.google.com/spreadsheets/d/11tr1B-Bhyr79v2bkwVh5h_fR-PStkgjlZtkrZpYurG0/"&amp;"edit?usp=sharing"",""ชลบุรี!R177"")+IMPORTRANGE(""https://docs.google.com/spreadsheets/d/1hh-FVnSX0vozXhGluamEcS54Dw9_zqW0N7qJUWgJ0Sw/edit?usp=sharing"",""ชัยนาท!R177"")+IMPORTRANGE(""https://docs.google.com/spreadsheets/d/1jkqa6GXxSacMcY1eN8AHjMNJ_7dDXMJ"&amp;"VRLDlaFSOdPM/edit?usp=sharing"",""ตราด!R177"")+IMPORTRANGE(""https://docs.google.com/spreadsheets/d/18hSgUJ3VwClqi_qtULmmW3cLr0oe3OKaSYoKzdpTsYQ/edit?usp=sharing"",""นครนายก!R177"")+IMPORTRANGE(""https://docs.google.com/spreadsheets/d/1YTZo6WM2dQ6Ix6FSdnL"&amp;"5P7uVnVKu40sxZu975tgG10E/edit?usp=sharing"",""นครปฐม!R177"")+IMPORTRANGE(""https://docs.google.com/spreadsheets/d/1OYoGg4WDg5RIzwGeB10padOxJF9E_Vljuvvct_M7RDo/edit?usp=sharing"",""ปทุมธานี!R177"")+IMPORTRANGE(""https://docs.google.com/spreadsheets/d/1GbCI"&amp;"E4D4wk9FUozzqk7SxfDMxDVBwVmI5zcaVUSzKAc/edit?usp=sharing"",""ประจวบคีรีขันธ์!R177"")+IMPORTRANGE(""https://docs.google.com/spreadsheets/d/1vVf6wykvW_lAyu7Yo9L4hUTqHqIeP_qcVuxCtosJEbg/edit?usp=sharing"",""ปราจีนบุรี!R177"")+IMPORTRANGE(""https://docs.googl"&amp;"e.com/spreadsheets/d/1BIDqLLg5jk3v59G8NlR8rk5xfQDKne0sAvZHSj7TI6I/edit?usp=sharing"",""พระนครศรีอยุธยา!R177"")+IMPORTRANGE(""https://docs.google.com/spreadsheets/d/1YXvxf8Yu6_rV4hTBrwMqAcAnv6DfhUxh5emyM3CJp_w/edit?usp=sharing"",""เพชรบุรี!R177"")+IMPORTRA"&amp;"NGE(""https://docs.google.com/spreadsheets/d/19KBlQQs7uwvsao6t2n-KvW3Ax8J8uRRfZPq1zPbXgKc/edit?usp=sharing"",""ระยอง!R177"")+IMPORTRANGE(""https://docs.google.com/spreadsheets/d/1jQ6P4QcrGM89YfqcC_PxOHGCMq5ezhucwJd8ci-NHng/edit?usp=sharing"",""ราชบุรี!R17"&amp;"7"")+IMPORTRANGE(""https://docs.google.com/spreadsheets/d/1lufeA2cfFqM-elVq2hznhDzC6Pr7wkJ9ZG_sYNGCMCU/edit?usp=sharing"",""ลพบุรี!R177"")+IMPORTRANGE(""https://docs.google.com/spreadsheets/d/10oOiF7loTyfsTkbd4MpaIm0HQ9SwB7IYHdIUvt-U1Uc/edit?usp=sharing"""&amp;",""สระแก้ว!R177"")+IMPORTRANGE(""https://docs.google.com/spreadsheets/d/1xmPlrr1QbdSIKvl1dWUl9K4PjAfSL9oeMr_37QVzcxc/edit?usp=sharing"",""สระบุรี!R177"")+IMPORTRANGE(""https://docs.google.com/spreadsheets/d/1j51vR6CYVGhABJpv6tkstgok82RLpXieLzW1yOY5rHw/edi"&amp;"t?usp=sharing"",""สิงห์บุรี!R177"")+IMPORTRANGE(""https://docs.google.com/spreadsheets/d/1H1EalTWKUSzO4Z1-1CwzoDUaVffgrThEBe2sl74kKG0/edit?usp=sharing"",""สุพรรณบุรี!R177"")+IMPORTRANGE(""https://docs.google.com/spreadsheets/d/1BmIruG_sIrJLYao_Pdr7zVArWsf"&amp;"oBt2692TMi6x_854/edit?usp=sharing"",""อ่างทอง!R177"")"),0)</f>
        <v>0</v>
      </c>
      <c r="S177" s="80">
        <f ca="1">IFERROR(__xludf.DUMMYFUNCTION("IMPORTRANGE(""https://docs.google.com/spreadsheets/d/13wPX838HrBrQMCywv1BsuMkt4PEKTChp52zj44s2izQ/edit?usp=sharing"",""กาญจนบุรี!S177"")+IMPORTRANGE(""https://docs.google.com/spreadsheets/d/1ddFKvqj1W1NEiWytbGlB1zMx_ykJDVtmfEQ-6-lIUBA/edit?usp=sharing"","&amp;"""จันทบุรี!S177"")+IMPORTRANGE(""https://docs.google.com/spreadsheets/d/1T1PQvRODqOBZk8BRht_U031fIS1beLA0Ub2CEytj2q0/edit?usp=sharing"",""ฉะเชิงเทรา!S177"")+IMPORTRANGE(""https://docs.google.com/spreadsheets/d/11tr1B-Bhyr79v2bkwVh5h_fR-PStkgjlZtkrZpYurG0/"&amp;"edit?usp=sharing"",""ชลบุรี!S177"")+IMPORTRANGE(""https://docs.google.com/spreadsheets/d/1hh-FVnSX0vozXhGluamEcS54Dw9_zqW0N7qJUWgJ0Sw/edit?usp=sharing"",""ชัยนาท!S177"")+IMPORTRANGE(""https://docs.google.com/spreadsheets/d/1jkqa6GXxSacMcY1eN8AHjMNJ_7dDXMJ"&amp;"VRLDlaFSOdPM/edit?usp=sharing"",""ตราด!S177"")+IMPORTRANGE(""https://docs.google.com/spreadsheets/d/18hSgUJ3VwClqi_qtULmmW3cLr0oe3OKaSYoKzdpTsYQ/edit?usp=sharing"",""นครนายก!S177"")+IMPORTRANGE(""https://docs.google.com/spreadsheets/d/1YTZo6WM2dQ6Ix6FSdnL"&amp;"5P7uVnVKu40sxZu975tgG10E/edit?usp=sharing"",""นครปฐม!S177"")+IMPORTRANGE(""https://docs.google.com/spreadsheets/d/1OYoGg4WDg5RIzwGeB10padOxJF9E_Vljuvvct_M7RDo/edit?usp=sharing"",""ปทุมธานี!S177"")+IMPORTRANGE(""https://docs.google.com/spreadsheets/d/1GbCI"&amp;"E4D4wk9FUozzqk7SxfDMxDVBwVmI5zcaVUSzKAc/edit?usp=sharing"",""ประจวบคีรีขันธ์!S177"")+IMPORTRANGE(""https://docs.google.com/spreadsheets/d/1vVf6wykvW_lAyu7Yo9L4hUTqHqIeP_qcVuxCtosJEbg/edit?usp=sharing"",""ปราจีนบุรี!S177"")+IMPORTRANGE(""https://docs.googl"&amp;"e.com/spreadsheets/d/1BIDqLLg5jk3v59G8NlR8rk5xfQDKne0sAvZHSj7TI6I/edit?usp=sharing"",""พระนครศรีอยุธยา!S177"")+IMPORTRANGE(""https://docs.google.com/spreadsheets/d/1YXvxf8Yu6_rV4hTBrwMqAcAnv6DfhUxh5emyM3CJp_w/edit?usp=sharing"",""เพชรบุรี!S177"")+IMPORTRA"&amp;"NGE(""https://docs.google.com/spreadsheets/d/19KBlQQs7uwvsao6t2n-KvW3Ax8J8uRRfZPq1zPbXgKc/edit?usp=sharing"",""ระยอง!S177"")+IMPORTRANGE(""https://docs.google.com/spreadsheets/d/1jQ6P4QcrGM89YfqcC_PxOHGCMq5ezhucwJd8ci-NHng/edit?usp=sharing"",""ราชบุรี!S17"&amp;"7"")+IMPORTRANGE(""https://docs.google.com/spreadsheets/d/1lufeA2cfFqM-elVq2hznhDzC6Pr7wkJ9ZG_sYNGCMCU/edit?usp=sharing"",""ลพบุรี!S177"")+IMPORTRANGE(""https://docs.google.com/spreadsheets/d/10oOiF7loTyfsTkbd4MpaIm0HQ9SwB7IYHdIUvt-U1Uc/edit?usp=sharing"""&amp;",""สระแก้ว!S177"")+IMPORTRANGE(""https://docs.google.com/spreadsheets/d/1xmPlrr1QbdSIKvl1dWUl9K4PjAfSL9oeMr_37QVzcxc/edit?usp=sharing"",""สระบุรี!S177"")+IMPORTRANGE(""https://docs.google.com/spreadsheets/d/1j51vR6CYVGhABJpv6tkstgok82RLpXieLzW1yOY5rHw/edi"&amp;"t?usp=sharing"",""สิงห์บุรี!S177"")+IMPORTRANGE(""https://docs.google.com/spreadsheets/d/1H1EalTWKUSzO4Z1-1CwzoDUaVffgrThEBe2sl74kKG0/edit?usp=sharing"",""สุพรรณบุรี!S177"")+IMPORTRANGE(""https://docs.google.com/spreadsheets/d/1BmIruG_sIrJLYao_Pdr7zVArWsf"&amp;"oBt2692TMi6x_854/edit?usp=sharing"",""อ่างทอง!S177"")"),0)</f>
        <v>0</v>
      </c>
      <c r="T177" s="136">
        <f t="shared" ca="1" si="145"/>
        <v>0</v>
      </c>
      <c r="U177" s="136">
        <f t="shared" ca="1" si="146"/>
        <v>0</v>
      </c>
    </row>
    <row r="178" spans="1:21" ht="18.75" x14ac:dyDescent="0.25">
      <c r="A178" s="211"/>
      <c r="B178" s="70"/>
      <c r="C178" s="70"/>
      <c r="D178" s="70"/>
      <c r="E178" s="78" t="s">
        <v>37</v>
      </c>
      <c r="F178" s="70"/>
      <c r="G178" s="72"/>
      <c r="H178" s="220" t="s">
        <v>14</v>
      </c>
      <c r="I178" s="221"/>
      <c r="J178" s="221"/>
      <c r="K178" s="222"/>
      <c r="L178" s="91">
        <f ca="1">IFERROR(__xludf.DUMMYFUNCTION("IMPORTRANGE(""https://docs.google.com/spreadsheets/d/13wPX838HrBrQMCywv1BsuMkt4PEKTChp52zj44s2izQ/edit?usp=sharing"",""กาญจนบุรี!L178"")+IMPORTRANGE(""https://docs.google.com/spreadsheets/d/1ddFKvqj1W1NEiWytbGlB1zMx_ykJDVtmfEQ-6-lIUBA/edit?usp=sharing"","&amp;"""จันทบุรี!L178"")+IMPORTRANGE(""https://docs.google.com/spreadsheets/d/1T1PQvRODqOBZk8BRht_U031fIS1beLA0Ub2CEytj2q0/edit?usp=sharing"",""ฉะเชิงเทรา!L178"")+IMPORTRANGE(""https://docs.google.com/spreadsheets/d/11tr1B-Bhyr79v2bkwVh5h_fR-PStkgjlZtkrZpYurG0/"&amp;"edit?usp=sharing"",""ชลบุรี!L178"")+IMPORTRANGE(""https://docs.google.com/spreadsheets/d/1hh-FVnSX0vozXhGluamEcS54Dw9_zqW0N7qJUWgJ0Sw/edit?usp=sharing"",""ชัยนาท!L178"")+IMPORTRANGE(""https://docs.google.com/spreadsheets/d/1jkqa6GXxSacMcY1eN8AHjMNJ_7dDXMJ"&amp;"VRLDlaFSOdPM/edit?usp=sharing"",""ตราด!L178"")+IMPORTRANGE(""https://docs.google.com/spreadsheets/d/18hSgUJ3VwClqi_qtULmmW3cLr0oe3OKaSYoKzdpTsYQ/edit?usp=sharing"",""นครนายก!L178"")+IMPORTRANGE(""https://docs.google.com/spreadsheets/d/1YTZo6WM2dQ6Ix6FSdnL"&amp;"5P7uVnVKu40sxZu975tgG10E/edit?usp=sharing"",""นครปฐม!L178"")+IMPORTRANGE(""https://docs.google.com/spreadsheets/d/1OYoGg4WDg5RIzwGeB10padOxJF9E_Vljuvvct_M7RDo/edit?usp=sharing"",""ปทุมธานี!L178"")+IMPORTRANGE(""https://docs.google.com/spreadsheets/d/1GbCI"&amp;"E4D4wk9FUozzqk7SxfDMxDVBwVmI5zcaVUSzKAc/edit?usp=sharing"",""ประจวบคีรีขันธ์!L178"")+IMPORTRANGE(""https://docs.google.com/spreadsheets/d/1vVf6wykvW_lAyu7Yo9L4hUTqHqIeP_qcVuxCtosJEbg/edit?usp=sharing"",""ปราจีนบุรี!L178"")+IMPORTRANGE(""https://docs.googl"&amp;"e.com/spreadsheets/d/1BIDqLLg5jk3v59G8NlR8rk5xfQDKne0sAvZHSj7TI6I/edit?usp=sharing"",""พระนครศรีอยุธยา!L178"")+IMPORTRANGE(""https://docs.google.com/spreadsheets/d/1YXvxf8Yu6_rV4hTBrwMqAcAnv6DfhUxh5emyM3CJp_w/edit?usp=sharing"",""เพชรบุรี!L178"")+IMPORTRA"&amp;"NGE(""https://docs.google.com/spreadsheets/d/19KBlQQs7uwvsao6t2n-KvW3Ax8J8uRRfZPq1zPbXgKc/edit?usp=sharing"",""ระยอง!L178"")+IMPORTRANGE(""https://docs.google.com/spreadsheets/d/1jQ6P4QcrGM89YfqcC_PxOHGCMq5ezhucwJd8ci-NHng/edit?usp=sharing"",""ราชบุรี!L17"&amp;"8"")+IMPORTRANGE(""https://docs.google.com/spreadsheets/d/1lufeA2cfFqM-elVq2hznhDzC6Pr7wkJ9ZG_sYNGCMCU/edit?usp=sharing"",""ลพบุรี!L178"")+IMPORTRANGE(""https://docs.google.com/spreadsheets/d/10oOiF7loTyfsTkbd4MpaIm0HQ9SwB7IYHdIUvt-U1Uc/edit?usp=sharing"""&amp;",""สระแก้ว!L178"")+IMPORTRANGE(""https://docs.google.com/spreadsheets/d/1xmPlrr1QbdSIKvl1dWUl9K4PjAfSL9oeMr_37QVzcxc/edit?usp=sharing"",""สระบุรี!L178"")+IMPORTRANGE(""https://docs.google.com/spreadsheets/d/1j51vR6CYVGhABJpv6tkstgok82RLpXieLzW1yOY5rHw/edi"&amp;"t?usp=sharing"",""สิงห์บุรี!L178"")+IMPORTRANGE(""https://docs.google.com/spreadsheets/d/1H1EalTWKUSzO4Z1-1CwzoDUaVffgrThEBe2sl74kKG0/edit?usp=sharing"",""สุพรรณบุรี!L178"")+IMPORTRANGE(""https://docs.google.com/spreadsheets/d/1BmIruG_sIrJLYao_Pdr7zVArWsf"&amp;"oBt2692TMi6x_854/edit?usp=sharing"",""อ่างทอง!L178"")"),372210)</f>
        <v>372210</v>
      </c>
      <c r="M178" s="91">
        <f ca="1">IFERROR(__xludf.DUMMYFUNCTION("IMPORTRANGE(""https://docs.google.com/spreadsheets/d/13wPX838HrBrQMCywv1BsuMkt4PEKTChp52zj44s2izQ/edit?usp=sharing"",""กาญจนบุรี!M178"")+IMPORTRANGE(""https://docs.google.com/spreadsheets/d/1ddFKvqj1W1NEiWytbGlB1zMx_ykJDVtmfEQ-6-lIUBA/edit?usp=sharing"","&amp;"""จันทบุรี!M178"")+IMPORTRANGE(""https://docs.google.com/spreadsheets/d/1T1PQvRODqOBZk8BRht_U031fIS1beLA0Ub2CEytj2q0/edit?usp=sharing"",""ฉะเชิงเทรา!M178"")+IMPORTRANGE(""https://docs.google.com/spreadsheets/d/11tr1B-Bhyr79v2bkwVh5h_fR-PStkgjlZtkrZpYurG0/"&amp;"edit?usp=sharing"",""ชลบุรี!M178"")+IMPORTRANGE(""https://docs.google.com/spreadsheets/d/1hh-FVnSX0vozXhGluamEcS54Dw9_zqW0N7qJUWgJ0Sw/edit?usp=sharing"",""ชัยนาท!M178"")+IMPORTRANGE(""https://docs.google.com/spreadsheets/d/1jkqa6GXxSacMcY1eN8AHjMNJ_7dDXMJ"&amp;"VRLDlaFSOdPM/edit?usp=sharing"",""ตราด!M178"")+IMPORTRANGE(""https://docs.google.com/spreadsheets/d/18hSgUJ3VwClqi_qtULmmW3cLr0oe3OKaSYoKzdpTsYQ/edit?usp=sharing"",""นครนายก!M178"")+IMPORTRANGE(""https://docs.google.com/spreadsheets/d/1YTZo6WM2dQ6Ix6FSdnL"&amp;"5P7uVnVKu40sxZu975tgG10E/edit?usp=sharing"",""นครปฐม!M178"")+IMPORTRANGE(""https://docs.google.com/spreadsheets/d/1OYoGg4WDg5RIzwGeB10padOxJF9E_Vljuvvct_M7RDo/edit?usp=sharing"",""ปทุมธานี!M178"")+IMPORTRANGE(""https://docs.google.com/spreadsheets/d/1GbCI"&amp;"E4D4wk9FUozzqk7SxfDMxDVBwVmI5zcaVUSzKAc/edit?usp=sharing"",""ประจวบคีรีขันธ์!M178"")+IMPORTRANGE(""https://docs.google.com/spreadsheets/d/1vVf6wykvW_lAyu7Yo9L4hUTqHqIeP_qcVuxCtosJEbg/edit?usp=sharing"",""ปราจีนบุรี!M178"")+IMPORTRANGE(""https://docs.googl"&amp;"e.com/spreadsheets/d/1BIDqLLg5jk3v59G8NlR8rk5xfQDKne0sAvZHSj7TI6I/edit?usp=sharing"",""พระนครศรีอยุธยา!M178"")+IMPORTRANGE(""https://docs.google.com/spreadsheets/d/1YXvxf8Yu6_rV4hTBrwMqAcAnv6DfhUxh5emyM3CJp_w/edit?usp=sharing"",""เพชรบุรี!M178"")+IMPORTRA"&amp;"NGE(""https://docs.google.com/spreadsheets/d/19KBlQQs7uwvsao6t2n-KvW3Ax8J8uRRfZPq1zPbXgKc/edit?usp=sharing"",""ระยอง!M178"")+IMPORTRANGE(""https://docs.google.com/spreadsheets/d/1jQ6P4QcrGM89YfqcC_PxOHGCMq5ezhucwJd8ci-NHng/edit?usp=sharing"",""ราชบุรี!M17"&amp;"8"")+IMPORTRANGE(""https://docs.google.com/spreadsheets/d/1lufeA2cfFqM-elVq2hznhDzC6Pr7wkJ9ZG_sYNGCMCU/edit?usp=sharing"",""ลพบุรี!M178"")+IMPORTRANGE(""https://docs.google.com/spreadsheets/d/10oOiF7loTyfsTkbd4MpaIm0HQ9SwB7IYHdIUvt-U1Uc/edit?usp=sharing"""&amp;",""สระแก้ว!M178"")+IMPORTRANGE(""https://docs.google.com/spreadsheets/d/1xmPlrr1QbdSIKvl1dWUl9K4PjAfSL9oeMr_37QVzcxc/edit?usp=sharing"",""สระบุรี!M178"")+IMPORTRANGE(""https://docs.google.com/spreadsheets/d/1j51vR6CYVGhABJpv6tkstgok82RLpXieLzW1yOY5rHw/edi"&amp;"t?usp=sharing"",""สิงห์บุรี!M178"")+IMPORTRANGE(""https://docs.google.com/spreadsheets/d/1H1EalTWKUSzO4Z1-1CwzoDUaVffgrThEBe2sl74kKG0/edit?usp=sharing"",""สุพรรณบุรี!M178"")+IMPORTRANGE(""https://docs.google.com/spreadsheets/d/1BmIruG_sIrJLYao_Pdr7zVArWsf"&amp;"oBt2692TMi6x_854/edit?usp=sharing"",""อ่างทอง!M178"")"),600140)</f>
        <v>600140</v>
      </c>
      <c r="N178" s="91">
        <f ca="1">IFERROR(__xludf.DUMMYFUNCTION("IMPORTRANGE(""https://docs.google.com/spreadsheets/d/13wPX838HrBrQMCywv1BsuMkt4PEKTChp52zj44s2izQ/edit?usp=sharing"",""กาญจนบุรี!N178"")+IMPORTRANGE(""https://docs.google.com/spreadsheets/d/1ddFKvqj1W1NEiWytbGlB1zMx_ykJDVtmfEQ-6-lIUBA/edit?usp=sharing"","&amp;"""จันทบุรี!N178"")+IMPORTRANGE(""https://docs.google.com/spreadsheets/d/1T1PQvRODqOBZk8BRht_U031fIS1beLA0Ub2CEytj2q0/edit?usp=sharing"",""ฉะเชิงเทรา!N178"")+IMPORTRANGE(""https://docs.google.com/spreadsheets/d/11tr1B-Bhyr79v2bkwVh5h_fR-PStkgjlZtkrZpYurG0/"&amp;"edit?usp=sharing"",""ชลบุรี!N178"")+IMPORTRANGE(""https://docs.google.com/spreadsheets/d/1hh-FVnSX0vozXhGluamEcS54Dw9_zqW0N7qJUWgJ0Sw/edit?usp=sharing"",""ชัยนาท!N178"")+IMPORTRANGE(""https://docs.google.com/spreadsheets/d/1jkqa6GXxSacMcY1eN8AHjMNJ_7dDXMJ"&amp;"VRLDlaFSOdPM/edit?usp=sharing"",""ตราด!N178"")+IMPORTRANGE(""https://docs.google.com/spreadsheets/d/18hSgUJ3VwClqi_qtULmmW3cLr0oe3OKaSYoKzdpTsYQ/edit?usp=sharing"",""นครนายก!N178"")+IMPORTRANGE(""https://docs.google.com/spreadsheets/d/1YTZo6WM2dQ6Ix6FSdnL"&amp;"5P7uVnVKu40sxZu975tgG10E/edit?usp=sharing"",""นครปฐม!N178"")+IMPORTRANGE(""https://docs.google.com/spreadsheets/d/1OYoGg4WDg5RIzwGeB10padOxJF9E_Vljuvvct_M7RDo/edit?usp=sharing"",""ปทุมธานี!N178"")+IMPORTRANGE(""https://docs.google.com/spreadsheets/d/1GbCI"&amp;"E4D4wk9FUozzqk7SxfDMxDVBwVmI5zcaVUSzKAc/edit?usp=sharing"",""ประจวบคีรีขันธ์!N178"")+IMPORTRANGE(""https://docs.google.com/spreadsheets/d/1vVf6wykvW_lAyu7Yo9L4hUTqHqIeP_qcVuxCtosJEbg/edit?usp=sharing"",""ปราจีนบุรี!N178"")+IMPORTRANGE(""https://docs.googl"&amp;"e.com/spreadsheets/d/1BIDqLLg5jk3v59G8NlR8rk5xfQDKne0sAvZHSj7TI6I/edit?usp=sharing"",""พระนครศรีอยุธยา!N178"")+IMPORTRANGE(""https://docs.google.com/spreadsheets/d/1YXvxf8Yu6_rV4hTBrwMqAcAnv6DfhUxh5emyM3CJp_w/edit?usp=sharing"",""เพชรบุรี!N178"")+IMPORTRA"&amp;"NGE(""https://docs.google.com/spreadsheets/d/19KBlQQs7uwvsao6t2n-KvW3Ax8J8uRRfZPq1zPbXgKc/edit?usp=sharing"",""ระยอง!N178"")+IMPORTRANGE(""https://docs.google.com/spreadsheets/d/1jQ6P4QcrGM89YfqcC_PxOHGCMq5ezhucwJd8ci-NHng/edit?usp=sharing"",""ราชบุรี!N17"&amp;"8"")+IMPORTRANGE(""https://docs.google.com/spreadsheets/d/1lufeA2cfFqM-elVq2hznhDzC6Pr7wkJ9ZG_sYNGCMCU/edit?usp=sharing"",""ลพบุรี!N178"")+IMPORTRANGE(""https://docs.google.com/spreadsheets/d/10oOiF7loTyfsTkbd4MpaIm0HQ9SwB7IYHdIUvt-U1Uc/edit?usp=sharing"""&amp;",""สระแก้ว!N178"")+IMPORTRANGE(""https://docs.google.com/spreadsheets/d/1xmPlrr1QbdSIKvl1dWUl9K4PjAfSL9oeMr_37QVzcxc/edit?usp=sharing"",""สระบุรี!N178"")+IMPORTRANGE(""https://docs.google.com/spreadsheets/d/1j51vR6CYVGhABJpv6tkstgok82RLpXieLzW1yOY5rHw/edi"&amp;"t?usp=sharing"",""สิงห์บุรี!N178"")+IMPORTRANGE(""https://docs.google.com/spreadsheets/d/1H1EalTWKUSzO4Z1-1CwzoDUaVffgrThEBe2sl74kKG0/edit?usp=sharing"",""สุพรรณบุรี!N178"")+IMPORTRANGE(""https://docs.google.com/spreadsheets/d/1BmIruG_sIrJLYao_Pdr7zVArWsf"&amp;"oBt2692TMi6x_854/edit?usp=sharing"",""อ่างทอง!N178"")"),555773)</f>
        <v>555773</v>
      </c>
      <c r="O178" s="91">
        <f t="shared" ca="1" si="142"/>
        <v>149.31705220171409</v>
      </c>
      <c r="P178" s="91">
        <f t="shared" ca="1" si="143"/>
        <v>92.607224980837799</v>
      </c>
      <c r="Q178" s="134">
        <f ca="1">IFERROR(__xludf.DUMMYFUNCTION("IMPORTRANGE(""https://docs.google.com/spreadsheets/d/13wPX838HrBrQMCywv1BsuMkt4PEKTChp52zj44s2izQ/edit?usp=sharing"",""กาญจนบุรี!Q178"")+IMPORTRANGE(""https://docs.google.com/spreadsheets/d/1ddFKvqj1W1NEiWytbGlB1zMx_ykJDVtmfEQ-6-lIUBA/edit?usp=sharing"","&amp;"""จันทบุรี!Q178"")+IMPORTRANGE(""https://docs.google.com/spreadsheets/d/1T1PQvRODqOBZk8BRht_U031fIS1beLA0Ub2CEytj2q0/edit?usp=sharing"",""ฉะเชิงเทรา!Q178"")+IMPORTRANGE(""https://docs.google.com/spreadsheets/d/11tr1B-Bhyr79v2bkwVh5h_fR-PStkgjlZtkrZpYurG0/"&amp;"edit?usp=sharing"",""ชลบุรี!Q178"")+IMPORTRANGE(""https://docs.google.com/spreadsheets/d/1hh-FVnSX0vozXhGluamEcS54Dw9_zqW0N7qJUWgJ0Sw/edit?usp=sharing"",""ชัยนาท!Q178"")+IMPORTRANGE(""https://docs.google.com/spreadsheets/d/1jkqa6GXxSacMcY1eN8AHjMNJ_7dDXMJ"&amp;"VRLDlaFSOdPM/edit?usp=sharing"",""ตราด!Q178"")+IMPORTRANGE(""https://docs.google.com/spreadsheets/d/18hSgUJ3VwClqi_qtULmmW3cLr0oe3OKaSYoKzdpTsYQ/edit?usp=sharing"",""นครนายก!Q178"")+IMPORTRANGE(""https://docs.google.com/spreadsheets/d/1YTZo6WM2dQ6Ix6FSdnL"&amp;"5P7uVnVKu40sxZu975tgG10E/edit?usp=sharing"",""นครปฐม!Q178"")+IMPORTRANGE(""https://docs.google.com/spreadsheets/d/1OYoGg4WDg5RIzwGeB10padOxJF9E_Vljuvvct_M7RDo/edit?usp=sharing"",""ปทุมธานี!Q178"")+IMPORTRANGE(""https://docs.google.com/spreadsheets/d/1GbCI"&amp;"E4D4wk9FUozzqk7SxfDMxDVBwVmI5zcaVUSzKAc/edit?usp=sharing"",""ประจวบคีรีขันธ์!Q178"")+IMPORTRANGE(""https://docs.google.com/spreadsheets/d/1vVf6wykvW_lAyu7Yo9L4hUTqHqIeP_qcVuxCtosJEbg/edit?usp=sharing"",""ปราจีนบุรี!Q178"")+IMPORTRANGE(""https://docs.googl"&amp;"e.com/spreadsheets/d/1BIDqLLg5jk3v59G8NlR8rk5xfQDKne0sAvZHSj7TI6I/edit?usp=sharing"",""พระนครศรีอยุธยา!Q178"")+IMPORTRANGE(""https://docs.google.com/spreadsheets/d/1YXvxf8Yu6_rV4hTBrwMqAcAnv6DfhUxh5emyM3CJp_w/edit?usp=sharing"",""เพชรบุรี!Q178"")+IMPORTRA"&amp;"NGE(""https://docs.google.com/spreadsheets/d/19KBlQQs7uwvsao6t2n-KvW3Ax8J8uRRfZPq1zPbXgKc/edit?usp=sharing"",""ระยอง!Q178"")+IMPORTRANGE(""https://docs.google.com/spreadsheets/d/1jQ6P4QcrGM89YfqcC_PxOHGCMq5ezhucwJd8ci-NHng/edit?usp=sharing"",""ราชบุรี!Q17"&amp;"8"")+IMPORTRANGE(""https://docs.google.com/spreadsheets/d/1lufeA2cfFqM-elVq2hznhDzC6Pr7wkJ9ZG_sYNGCMCU/edit?usp=sharing"",""ลพบุรี!Q178"")+IMPORTRANGE(""https://docs.google.com/spreadsheets/d/10oOiF7loTyfsTkbd4MpaIm0HQ9SwB7IYHdIUvt-U1Uc/edit?usp=sharing"""&amp;",""สระแก้ว!Q178"")+IMPORTRANGE(""https://docs.google.com/spreadsheets/d/1xmPlrr1QbdSIKvl1dWUl9K4PjAfSL9oeMr_37QVzcxc/edit?usp=sharing"",""สระบุรี!Q178"")+IMPORTRANGE(""https://docs.google.com/spreadsheets/d/1j51vR6CYVGhABJpv6tkstgok82RLpXieLzW1yOY5rHw/edi"&amp;"t?usp=sharing"",""สิงห์บุรี!Q178"")+IMPORTRANGE(""https://docs.google.com/spreadsheets/d/1H1EalTWKUSzO4Z1-1CwzoDUaVffgrThEBe2sl74kKG0/edit?usp=sharing"",""สุพรรณบุรี!Q178"")+IMPORTRANGE(""https://docs.google.com/spreadsheets/d/1BmIruG_sIrJLYao_Pdr7zVArWsf"&amp;"oBt2692TMi6x_854/edit?usp=sharing"",""อ่างทอง!Q178"")"),0)</f>
        <v>0</v>
      </c>
      <c r="R178" s="135">
        <f ca="1">IFERROR(__xludf.DUMMYFUNCTION("IMPORTRANGE(""https://docs.google.com/spreadsheets/d/13wPX838HrBrQMCywv1BsuMkt4PEKTChp52zj44s2izQ/edit?usp=sharing"",""กาญจนบุรี!R178"")+IMPORTRANGE(""https://docs.google.com/spreadsheets/d/1ddFKvqj1W1NEiWytbGlB1zMx_ykJDVtmfEQ-6-lIUBA/edit?usp=sharing"","&amp;"""จันทบุรี!R178"")+IMPORTRANGE(""https://docs.google.com/spreadsheets/d/1T1PQvRODqOBZk8BRht_U031fIS1beLA0Ub2CEytj2q0/edit?usp=sharing"",""ฉะเชิงเทรา!R178"")+IMPORTRANGE(""https://docs.google.com/spreadsheets/d/11tr1B-Bhyr79v2bkwVh5h_fR-PStkgjlZtkrZpYurG0/"&amp;"edit?usp=sharing"",""ชลบุรี!R178"")+IMPORTRANGE(""https://docs.google.com/spreadsheets/d/1hh-FVnSX0vozXhGluamEcS54Dw9_zqW0N7qJUWgJ0Sw/edit?usp=sharing"",""ชัยนาท!R178"")+IMPORTRANGE(""https://docs.google.com/spreadsheets/d/1jkqa6GXxSacMcY1eN8AHjMNJ_7dDXMJ"&amp;"VRLDlaFSOdPM/edit?usp=sharing"",""ตราด!R178"")+IMPORTRANGE(""https://docs.google.com/spreadsheets/d/18hSgUJ3VwClqi_qtULmmW3cLr0oe3OKaSYoKzdpTsYQ/edit?usp=sharing"",""นครนายก!R178"")+IMPORTRANGE(""https://docs.google.com/spreadsheets/d/1YTZo6WM2dQ6Ix6FSdnL"&amp;"5P7uVnVKu40sxZu975tgG10E/edit?usp=sharing"",""นครปฐม!R178"")+IMPORTRANGE(""https://docs.google.com/spreadsheets/d/1OYoGg4WDg5RIzwGeB10padOxJF9E_Vljuvvct_M7RDo/edit?usp=sharing"",""ปทุมธานี!R178"")+IMPORTRANGE(""https://docs.google.com/spreadsheets/d/1GbCI"&amp;"E4D4wk9FUozzqk7SxfDMxDVBwVmI5zcaVUSzKAc/edit?usp=sharing"",""ประจวบคีรีขันธ์!R178"")+IMPORTRANGE(""https://docs.google.com/spreadsheets/d/1vVf6wykvW_lAyu7Yo9L4hUTqHqIeP_qcVuxCtosJEbg/edit?usp=sharing"",""ปราจีนบุรี!R178"")+IMPORTRANGE(""https://docs.googl"&amp;"e.com/spreadsheets/d/1BIDqLLg5jk3v59G8NlR8rk5xfQDKne0sAvZHSj7TI6I/edit?usp=sharing"",""พระนครศรีอยุธยา!R178"")+IMPORTRANGE(""https://docs.google.com/spreadsheets/d/1YXvxf8Yu6_rV4hTBrwMqAcAnv6DfhUxh5emyM3CJp_w/edit?usp=sharing"",""เพชรบุรี!R178"")+IMPORTRA"&amp;"NGE(""https://docs.google.com/spreadsheets/d/19KBlQQs7uwvsao6t2n-KvW3Ax8J8uRRfZPq1zPbXgKc/edit?usp=sharing"",""ระยอง!R178"")+IMPORTRANGE(""https://docs.google.com/spreadsheets/d/1jQ6P4QcrGM89YfqcC_PxOHGCMq5ezhucwJd8ci-NHng/edit?usp=sharing"",""ราชบุรี!R17"&amp;"8"")+IMPORTRANGE(""https://docs.google.com/spreadsheets/d/1lufeA2cfFqM-elVq2hznhDzC6Pr7wkJ9ZG_sYNGCMCU/edit?usp=sharing"",""ลพบุรี!R178"")+IMPORTRANGE(""https://docs.google.com/spreadsheets/d/10oOiF7loTyfsTkbd4MpaIm0HQ9SwB7IYHdIUvt-U1Uc/edit?usp=sharing"""&amp;",""สระแก้ว!R178"")+IMPORTRANGE(""https://docs.google.com/spreadsheets/d/1xmPlrr1QbdSIKvl1dWUl9K4PjAfSL9oeMr_37QVzcxc/edit?usp=sharing"",""สระบุรี!R178"")+IMPORTRANGE(""https://docs.google.com/spreadsheets/d/1j51vR6CYVGhABJpv6tkstgok82RLpXieLzW1yOY5rHw/edi"&amp;"t?usp=sharing"",""สิงห์บุรี!R178"")+IMPORTRANGE(""https://docs.google.com/spreadsheets/d/1H1EalTWKUSzO4Z1-1CwzoDUaVffgrThEBe2sl74kKG0/edit?usp=sharing"",""สุพรรณบุรี!R178"")+IMPORTRANGE(""https://docs.google.com/spreadsheets/d/1BmIruG_sIrJLYao_Pdr7zVArWsf"&amp;"oBt2692TMi6x_854/edit?usp=sharing"",""อ่างทอง!R178"")"),0)</f>
        <v>0</v>
      </c>
      <c r="S178" s="135">
        <f ca="1">IFERROR(__xludf.DUMMYFUNCTION("IMPORTRANGE(""https://docs.google.com/spreadsheets/d/13wPX838HrBrQMCywv1BsuMkt4PEKTChp52zj44s2izQ/edit?usp=sharing"",""กาญจนบุรี!S178"")+IMPORTRANGE(""https://docs.google.com/spreadsheets/d/1ddFKvqj1W1NEiWytbGlB1zMx_ykJDVtmfEQ-6-lIUBA/edit?usp=sharing"","&amp;"""จันทบุรี!S178"")+IMPORTRANGE(""https://docs.google.com/spreadsheets/d/1T1PQvRODqOBZk8BRht_U031fIS1beLA0Ub2CEytj2q0/edit?usp=sharing"",""ฉะเชิงเทรา!S178"")+IMPORTRANGE(""https://docs.google.com/spreadsheets/d/11tr1B-Bhyr79v2bkwVh5h_fR-PStkgjlZtkrZpYurG0/"&amp;"edit?usp=sharing"",""ชลบุรี!S178"")+IMPORTRANGE(""https://docs.google.com/spreadsheets/d/1hh-FVnSX0vozXhGluamEcS54Dw9_zqW0N7qJUWgJ0Sw/edit?usp=sharing"",""ชัยนาท!S178"")+IMPORTRANGE(""https://docs.google.com/spreadsheets/d/1jkqa6GXxSacMcY1eN8AHjMNJ_7dDXMJ"&amp;"VRLDlaFSOdPM/edit?usp=sharing"",""ตราด!S178"")+IMPORTRANGE(""https://docs.google.com/spreadsheets/d/18hSgUJ3VwClqi_qtULmmW3cLr0oe3OKaSYoKzdpTsYQ/edit?usp=sharing"",""นครนายก!S178"")+IMPORTRANGE(""https://docs.google.com/spreadsheets/d/1YTZo6WM2dQ6Ix6FSdnL"&amp;"5P7uVnVKu40sxZu975tgG10E/edit?usp=sharing"",""นครปฐม!S178"")+IMPORTRANGE(""https://docs.google.com/spreadsheets/d/1OYoGg4WDg5RIzwGeB10padOxJF9E_Vljuvvct_M7RDo/edit?usp=sharing"",""ปทุมธานี!S178"")+IMPORTRANGE(""https://docs.google.com/spreadsheets/d/1GbCI"&amp;"E4D4wk9FUozzqk7SxfDMxDVBwVmI5zcaVUSzKAc/edit?usp=sharing"",""ประจวบคีรีขันธ์!S178"")+IMPORTRANGE(""https://docs.google.com/spreadsheets/d/1vVf6wykvW_lAyu7Yo9L4hUTqHqIeP_qcVuxCtosJEbg/edit?usp=sharing"",""ปราจีนบุรี!S178"")+IMPORTRANGE(""https://docs.googl"&amp;"e.com/spreadsheets/d/1BIDqLLg5jk3v59G8NlR8rk5xfQDKne0sAvZHSj7TI6I/edit?usp=sharing"",""พระนครศรีอยุธยา!S178"")+IMPORTRANGE(""https://docs.google.com/spreadsheets/d/1YXvxf8Yu6_rV4hTBrwMqAcAnv6DfhUxh5emyM3CJp_w/edit?usp=sharing"",""เพชรบุรี!S178"")+IMPORTRA"&amp;"NGE(""https://docs.google.com/spreadsheets/d/19KBlQQs7uwvsao6t2n-KvW3Ax8J8uRRfZPq1zPbXgKc/edit?usp=sharing"",""ระยอง!S178"")+IMPORTRANGE(""https://docs.google.com/spreadsheets/d/1jQ6P4QcrGM89YfqcC_PxOHGCMq5ezhucwJd8ci-NHng/edit?usp=sharing"",""ราชบุรี!S17"&amp;"8"")+IMPORTRANGE(""https://docs.google.com/spreadsheets/d/1lufeA2cfFqM-elVq2hznhDzC6Pr7wkJ9ZG_sYNGCMCU/edit?usp=sharing"",""ลพบุรี!S178"")+IMPORTRANGE(""https://docs.google.com/spreadsheets/d/10oOiF7loTyfsTkbd4MpaIm0HQ9SwB7IYHdIUvt-U1Uc/edit?usp=sharing"""&amp;",""สระแก้ว!S178"")+IMPORTRANGE(""https://docs.google.com/spreadsheets/d/1xmPlrr1QbdSIKvl1dWUl9K4PjAfSL9oeMr_37QVzcxc/edit?usp=sharing"",""สระบุรี!S178"")+IMPORTRANGE(""https://docs.google.com/spreadsheets/d/1j51vR6CYVGhABJpv6tkstgok82RLpXieLzW1yOY5rHw/edi"&amp;"t?usp=sharing"",""สิงห์บุรี!S178"")+IMPORTRANGE(""https://docs.google.com/spreadsheets/d/1H1EalTWKUSzO4Z1-1CwzoDUaVffgrThEBe2sl74kKG0/edit?usp=sharing"",""สุพรรณบุรี!S178"")+IMPORTRANGE(""https://docs.google.com/spreadsheets/d/1BmIruG_sIrJLYao_Pdr7zVArWsf"&amp;"oBt2692TMi6x_854/edit?usp=sharing"",""อ่างทอง!S178"")"),0)</f>
        <v>0</v>
      </c>
      <c r="T178" s="135">
        <f t="shared" ca="1" si="145"/>
        <v>0</v>
      </c>
      <c r="U178" s="135">
        <f t="shared" ca="1" si="146"/>
        <v>0</v>
      </c>
    </row>
    <row r="179" spans="1:21" ht="18.75" x14ac:dyDescent="0.25">
      <c r="A179" s="211"/>
      <c r="B179" s="70"/>
      <c r="C179" s="70"/>
      <c r="D179" s="71" t="s">
        <v>23</v>
      </c>
      <c r="E179" s="70"/>
      <c r="F179" s="70"/>
      <c r="G179" s="72"/>
      <c r="H179" s="223" t="s">
        <v>14</v>
      </c>
      <c r="I179" s="221"/>
      <c r="J179" s="221"/>
      <c r="K179" s="222"/>
      <c r="L179" s="91">
        <f t="shared" ref="L179:N179" ca="1" si="153">L180+L181</f>
        <v>0</v>
      </c>
      <c r="M179" s="91">
        <f t="shared" ca="1" si="153"/>
        <v>0</v>
      </c>
      <c r="N179" s="91">
        <f t="shared" ca="1" si="153"/>
        <v>0</v>
      </c>
      <c r="O179" s="91">
        <f t="shared" ca="1" si="142"/>
        <v>0</v>
      </c>
      <c r="P179" s="91">
        <f t="shared" ca="1" si="143"/>
        <v>0</v>
      </c>
      <c r="Q179" s="134">
        <f t="shared" ref="Q179:S179" ca="1" si="154">Q180+Q181</f>
        <v>0</v>
      </c>
      <c r="R179" s="135">
        <f t="shared" ca="1" si="154"/>
        <v>0</v>
      </c>
      <c r="S179" s="135">
        <f t="shared" ca="1" si="154"/>
        <v>0</v>
      </c>
      <c r="T179" s="135">
        <f t="shared" ca="1" si="145"/>
        <v>0</v>
      </c>
      <c r="U179" s="135">
        <f t="shared" ca="1" si="146"/>
        <v>0</v>
      </c>
    </row>
    <row r="180" spans="1:21" ht="18.75" x14ac:dyDescent="0.25">
      <c r="A180" s="211"/>
      <c r="B180" s="70"/>
      <c r="C180" s="70"/>
      <c r="D180" s="70"/>
      <c r="E180" s="78" t="s">
        <v>20</v>
      </c>
      <c r="F180" s="70"/>
      <c r="G180" s="72"/>
      <c r="H180" s="220" t="s">
        <v>14</v>
      </c>
      <c r="I180" s="221"/>
      <c r="J180" s="221"/>
      <c r="K180" s="222"/>
      <c r="L180" s="91">
        <f ca="1">IFERROR(__xludf.DUMMYFUNCTION("IMPORTRANGE(""https://docs.google.com/spreadsheets/d/13wPX838HrBrQMCywv1BsuMkt4PEKTChp52zj44s2izQ/edit?usp=sharing"",""กาญจนบุรี!L180"")+IMPORTRANGE(""https://docs.google.com/spreadsheets/d/1ddFKvqj1W1NEiWytbGlB1zMx_ykJDVtmfEQ-6-lIUBA/edit?usp=sharing"","&amp;"""จันทบุรี!L180"")+IMPORTRANGE(""https://docs.google.com/spreadsheets/d/1T1PQvRODqOBZk8BRht_U031fIS1beLA0Ub2CEytj2q0/edit?usp=sharing"",""ฉะเชิงเทรา!L180"")+IMPORTRANGE(""https://docs.google.com/spreadsheets/d/11tr1B-Bhyr79v2bkwVh5h_fR-PStkgjlZtkrZpYurG0/"&amp;"edit?usp=sharing"",""ชลบุรี!L180"")+IMPORTRANGE(""https://docs.google.com/spreadsheets/d/1hh-FVnSX0vozXhGluamEcS54Dw9_zqW0N7qJUWgJ0Sw/edit?usp=sharing"",""ชัยนาท!L180"")+IMPORTRANGE(""https://docs.google.com/spreadsheets/d/1jkqa6GXxSacMcY1eN8AHjMNJ_7dDXMJ"&amp;"VRLDlaFSOdPM/edit?usp=sharing"",""ตราด!L180"")+IMPORTRANGE(""https://docs.google.com/spreadsheets/d/18hSgUJ3VwClqi_qtULmmW3cLr0oe3OKaSYoKzdpTsYQ/edit?usp=sharing"",""นครนายก!L180"")+IMPORTRANGE(""https://docs.google.com/spreadsheets/d/1YTZo6WM2dQ6Ix6FSdnL"&amp;"5P7uVnVKu40sxZu975tgG10E/edit?usp=sharing"",""นครปฐม!L180"")+IMPORTRANGE(""https://docs.google.com/spreadsheets/d/1OYoGg4WDg5RIzwGeB10padOxJF9E_Vljuvvct_M7RDo/edit?usp=sharing"",""ปทุมธานี!L180"")+IMPORTRANGE(""https://docs.google.com/spreadsheets/d/1GbCI"&amp;"E4D4wk9FUozzqk7SxfDMxDVBwVmI5zcaVUSzKAc/edit?usp=sharing"",""ประจวบคีรีขันธ์!L180"")+IMPORTRANGE(""https://docs.google.com/spreadsheets/d/1vVf6wykvW_lAyu7Yo9L4hUTqHqIeP_qcVuxCtosJEbg/edit?usp=sharing"",""ปราจีนบุรี!L180"")+IMPORTRANGE(""https://docs.googl"&amp;"e.com/spreadsheets/d/1BIDqLLg5jk3v59G8NlR8rk5xfQDKne0sAvZHSj7TI6I/edit?usp=sharing"",""พระนครศรีอยุธยา!L180"")+IMPORTRANGE(""https://docs.google.com/spreadsheets/d/1YXvxf8Yu6_rV4hTBrwMqAcAnv6DfhUxh5emyM3CJp_w/edit?usp=sharing"",""เพชรบุรี!L180"")+IMPORTRA"&amp;"NGE(""https://docs.google.com/spreadsheets/d/19KBlQQs7uwvsao6t2n-KvW3Ax8J8uRRfZPq1zPbXgKc/edit?usp=sharing"",""ระยอง!L180"")+IMPORTRANGE(""https://docs.google.com/spreadsheets/d/1jQ6P4QcrGM89YfqcC_PxOHGCMq5ezhucwJd8ci-NHng/edit?usp=sharing"",""ราชบุรี!L18"&amp;"0"")+IMPORTRANGE(""https://docs.google.com/spreadsheets/d/1lufeA2cfFqM-elVq2hznhDzC6Pr7wkJ9ZG_sYNGCMCU/edit?usp=sharing"",""ลพบุรี!L180"")+IMPORTRANGE(""https://docs.google.com/spreadsheets/d/10oOiF7loTyfsTkbd4MpaIm0HQ9SwB7IYHdIUvt-U1Uc/edit?usp=sharing"""&amp;",""สระแก้ว!L180"")+IMPORTRANGE(""https://docs.google.com/spreadsheets/d/1xmPlrr1QbdSIKvl1dWUl9K4PjAfSL9oeMr_37QVzcxc/edit?usp=sharing"",""สระบุรี!L180"")+IMPORTRANGE(""https://docs.google.com/spreadsheets/d/1j51vR6CYVGhABJpv6tkstgok82RLpXieLzW1yOY5rHw/edi"&amp;"t?usp=sharing"",""สิงห์บุรี!L180"")+IMPORTRANGE(""https://docs.google.com/spreadsheets/d/1H1EalTWKUSzO4Z1-1CwzoDUaVffgrThEBe2sl74kKG0/edit?usp=sharing"",""สุพรรณบุรี!L180"")+IMPORTRANGE(""https://docs.google.com/spreadsheets/d/1BmIruG_sIrJLYao_Pdr7zVArWsf"&amp;"oBt2692TMi6x_854/edit?usp=sharing"",""อ่างทอง!L180"")"),0)</f>
        <v>0</v>
      </c>
      <c r="M180" s="91">
        <f ca="1">IFERROR(__xludf.DUMMYFUNCTION("IMPORTRANGE(""https://docs.google.com/spreadsheets/d/13wPX838HrBrQMCywv1BsuMkt4PEKTChp52zj44s2izQ/edit?usp=sharing"",""กาญจนบุรี!M180"")+IMPORTRANGE(""https://docs.google.com/spreadsheets/d/1ddFKvqj1W1NEiWytbGlB1zMx_ykJDVtmfEQ-6-lIUBA/edit?usp=sharing"","&amp;"""จันทบุรี!M180"")+IMPORTRANGE(""https://docs.google.com/spreadsheets/d/1T1PQvRODqOBZk8BRht_U031fIS1beLA0Ub2CEytj2q0/edit?usp=sharing"",""ฉะเชิงเทรา!M180"")+IMPORTRANGE(""https://docs.google.com/spreadsheets/d/11tr1B-Bhyr79v2bkwVh5h_fR-PStkgjlZtkrZpYurG0/"&amp;"edit?usp=sharing"",""ชลบุรี!M180"")+IMPORTRANGE(""https://docs.google.com/spreadsheets/d/1hh-FVnSX0vozXhGluamEcS54Dw9_zqW0N7qJUWgJ0Sw/edit?usp=sharing"",""ชัยนาท!M180"")+IMPORTRANGE(""https://docs.google.com/spreadsheets/d/1jkqa6GXxSacMcY1eN8AHjMNJ_7dDXMJ"&amp;"VRLDlaFSOdPM/edit?usp=sharing"",""ตราด!M180"")+IMPORTRANGE(""https://docs.google.com/spreadsheets/d/18hSgUJ3VwClqi_qtULmmW3cLr0oe3OKaSYoKzdpTsYQ/edit?usp=sharing"",""นครนายก!M180"")+IMPORTRANGE(""https://docs.google.com/spreadsheets/d/1YTZo6WM2dQ6Ix6FSdnL"&amp;"5P7uVnVKu40sxZu975tgG10E/edit?usp=sharing"",""นครปฐม!M180"")+IMPORTRANGE(""https://docs.google.com/spreadsheets/d/1OYoGg4WDg5RIzwGeB10padOxJF9E_Vljuvvct_M7RDo/edit?usp=sharing"",""ปทุมธานี!M180"")+IMPORTRANGE(""https://docs.google.com/spreadsheets/d/1GbCI"&amp;"E4D4wk9FUozzqk7SxfDMxDVBwVmI5zcaVUSzKAc/edit?usp=sharing"",""ประจวบคีรีขันธ์!M180"")+IMPORTRANGE(""https://docs.google.com/spreadsheets/d/1vVf6wykvW_lAyu7Yo9L4hUTqHqIeP_qcVuxCtosJEbg/edit?usp=sharing"",""ปราจีนบุรี!M180"")+IMPORTRANGE(""https://docs.googl"&amp;"e.com/spreadsheets/d/1BIDqLLg5jk3v59G8NlR8rk5xfQDKne0sAvZHSj7TI6I/edit?usp=sharing"",""พระนครศรีอยุธยา!M180"")+IMPORTRANGE(""https://docs.google.com/spreadsheets/d/1YXvxf8Yu6_rV4hTBrwMqAcAnv6DfhUxh5emyM3CJp_w/edit?usp=sharing"",""เพชรบุรี!M180"")+IMPORTRA"&amp;"NGE(""https://docs.google.com/spreadsheets/d/19KBlQQs7uwvsao6t2n-KvW3Ax8J8uRRfZPq1zPbXgKc/edit?usp=sharing"",""ระยอง!M180"")+IMPORTRANGE(""https://docs.google.com/spreadsheets/d/1jQ6P4QcrGM89YfqcC_PxOHGCMq5ezhucwJd8ci-NHng/edit?usp=sharing"",""ราชบุรี!M18"&amp;"0"")+IMPORTRANGE(""https://docs.google.com/spreadsheets/d/1lufeA2cfFqM-elVq2hznhDzC6Pr7wkJ9ZG_sYNGCMCU/edit?usp=sharing"",""ลพบุรี!M180"")+IMPORTRANGE(""https://docs.google.com/spreadsheets/d/10oOiF7loTyfsTkbd4MpaIm0HQ9SwB7IYHdIUvt-U1Uc/edit?usp=sharing"""&amp;",""สระแก้ว!M180"")+IMPORTRANGE(""https://docs.google.com/spreadsheets/d/1xmPlrr1QbdSIKvl1dWUl9K4PjAfSL9oeMr_37QVzcxc/edit?usp=sharing"",""สระบุรี!M180"")+IMPORTRANGE(""https://docs.google.com/spreadsheets/d/1j51vR6CYVGhABJpv6tkstgok82RLpXieLzW1yOY5rHw/edi"&amp;"t?usp=sharing"",""สิงห์บุรี!M180"")+IMPORTRANGE(""https://docs.google.com/spreadsheets/d/1H1EalTWKUSzO4Z1-1CwzoDUaVffgrThEBe2sl74kKG0/edit?usp=sharing"",""สุพรรณบุรี!M180"")+IMPORTRANGE(""https://docs.google.com/spreadsheets/d/1BmIruG_sIrJLYao_Pdr7zVArWsf"&amp;"oBt2692TMi6x_854/edit?usp=sharing"",""อ่างทอง!M180"")"),0)</f>
        <v>0</v>
      </c>
      <c r="N180" s="91">
        <f ca="1">IFERROR(__xludf.DUMMYFUNCTION("IMPORTRANGE(""https://docs.google.com/spreadsheets/d/13wPX838HrBrQMCywv1BsuMkt4PEKTChp52zj44s2izQ/edit?usp=sharing"",""กาญจนบุรี!N180"")+IMPORTRANGE(""https://docs.google.com/spreadsheets/d/1ddFKvqj1W1NEiWytbGlB1zMx_ykJDVtmfEQ-6-lIUBA/edit?usp=sharing"","&amp;"""จันทบุรี!N180"")+IMPORTRANGE(""https://docs.google.com/spreadsheets/d/1T1PQvRODqOBZk8BRht_U031fIS1beLA0Ub2CEytj2q0/edit?usp=sharing"",""ฉะเชิงเทรา!N180"")+IMPORTRANGE(""https://docs.google.com/spreadsheets/d/11tr1B-Bhyr79v2bkwVh5h_fR-PStkgjlZtkrZpYurG0/"&amp;"edit?usp=sharing"",""ชลบุรี!N180"")+IMPORTRANGE(""https://docs.google.com/spreadsheets/d/1hh-FVnSX0vozXhGluamEcS54Dw9_zqW0N7qJUWgJ0Sw/edit?usp=sharing"",""ชัยนาท!N180"")+IMPORTRANGE(""https://docs.google.com/spreadsheets/d/1jkqa6GXxSacMcY1eN8AHjMNJ_7dDXMJ"&amp;"VRLDlaFSOdPM/edit?usp=sharing"",""ตราด!N180"")+IMPORTRANGE(""https://docs.google.com/spreadsheets/d/18hSgUJ3VwClqi_qtULmmW3cLr0oe3OKaSYoKzdpTsYQ/edit?usp=sharing"",""นครนายก!N180"")+IMPORTRANGE(""https://docs.google.com/spreadsheets/d/1YTZo6WM2dQ6Ix6FSdnL"&amp;"5P7uVnVKu40sxZu975tgG10E/edit?usp=sharing"",""นครปฐม!N180"")+IMPORTRANGE(""https://docs.google.com/spreadsheets/d/1OYoGg4WDg5RIzwGeB10padOxJF9E_Vljuvvct_M7RDo/edit?usp=sharing"",""ปทุมธานี!N180"")+IMPORTRANGE(""https://docs.google.com/spreadsheets/d/1GbCI"&amp;"E4D4wk9FUozzqk7SxfDMxDVBwVmI5zcaVUSzKAc/edit?usp=sharing"",""ประจวบคีรีขันธ์!N180"")+IMPORTRANGE(""https://docs.google.com/spreadsheets/d/1vVf6wykvW_lAyu7Yo9L4hUTqHqIeP_qcVuxCtosJEbg/edit?usp=sharing"",""ปราจีนบุรี!N180"")+IMPORTRANGE(""https://docs.googl"&amp;"e.com/spreadsheets/d/1BIDqLLg5jk3v59G8NlR8rk5xfQDKne0sAvZHSj7TI6I/edit?usp=sharing"",""พระนครศรีอยุธยา!N180"")+IMPORTRANGE(""https://docs.google.com/spreadsheets/d/1YXvxf8Yu6_rV4hTBrwMqAcAnv6DfhUxh5emyM3CJp_w/edit?usp=sharing"",""เพชรบุรี!N180"")+IMPORTRA"&amp;"NGE(""https://docs.google.com/spreadsheets/d/19KBlQQs7uwvsao6t2n-KvW3Ax8J8uRRfZPq1zPbXgKc/edit?usp=sharing"",""ระยอง!N180"")+IMPORTRANGE(""https://docs.google.com/spreadsheets/d/1jQ6P4QcrGM89YfqcC_PxOHGCMq5ezhucwJd8ci-NHng/edit?usp=sharing"",""ราชบุรี!N18"&amp;"0"")+IMPORTRANGE(""https://docs.google.com/spreadsheets/d/1lufeA2cfFqM-elVq2hznhDzC6Pr7wkJ9ZG_sYNGCMCU/edit?usp=sharing"",""ลพบุรี!N180"")+IMPORTRANGE(""https://docs.google.com/spreadsheets/d/10oOiF7loTyfsTkbd4MpaIm0HQ9SwB7IYHdIUvt-U1Uc/edit?usp=sharing"""&amp;",""สระแก้ว!N180"")+IMPORTRANGE(""https://docs.google.com/spreadsheets/d/1xmPlrr1QbdSIKvl1dWUl9K4PjAfSL9oeMr_37QVzcxc/edit?usp=sharing"",""สระบุรี!N180"")+IMPORTRANGE(""https://docs.google.com/spreadsheets/d/1j51vR6CYVGhABJpv6tkstgok82RLpXieLzW1yOY5rHw/edi"&amp;"t?usp=sharing"",""สิงห์บุรี!N180"")+IMPORTRANGE(""https://docs.google.com/spreadsheets/d/1H1EalTWKUSzO4Z1-1CwzoDUaVffgrThEBe2sl74kKG0/edit?usp=sharing"",""สุพรรณบุรี!N180"")+IMPORTRANGE(""https://docs.google.com/spreadsheets/d/1BmIruG_sIrJLYao_Pdr7zVArWsf"&amp;"oBt2692TMi6x_854/edit?usp=sharing"",""อ่างทอง!N180"")"),0)</f>
        <v>0</v>
      </c>
      <c r="O180" s="91">
        <f t="shared" ca="1" si="142"/>
        <v>0</v>
      </c>
      <c r="P180" s="91">
        <f t="shared" ca="1" si="143"/>
        <v>0</v>
      </c>
      <c r="Q180" s="79">
        <f ca="1">IFERROR(__xludf.DUMMYFUNCTION("IMPORTRANGE(""https://docs.google.com/spreadsheets/d/13wPX838HrBrQMCywv1BsuMkt4PEKTChp52zj44s2izQ/edit?usp=sharing"",""กาญจนบุรี!Q180"")+IMPORTRANGE(""https://docs.google.com/spreadsheets/d/1ddFKvqj1W1NEiWytbGlB1zMx_ykJDVtmfEQ-6-lIUBA/edit?usp=sharing"","&amp;"""จันทบุรี!Q180"")+IMPORTRANGE(""https://docs.google.com/spreadsheets/d/1T1PQvRODqOBZk8BRht_U031fIS1beLA0Ub2CEytj2q0/edit?usp=sharing"",""ฉะเชิงเทรา!Q180"")+IMPORTRANGE(""https://docs.google.com/spreadsheets/d/11tr1B-Bhyr79v2bkwVh5h_fR-PStkgjlZtkrZpYurG0/"&amp;"edit?usp=sharing"",""ชลบุรี!Q180"")+IMPORTRANGE(""https://docs.google.com/spreadsheets/d/1hh-FVnSX0vozXhGluamEcS54Dw9_zqW0N7qJUWgJ0Sw/edit?usp=sharing"",""ชัยนาท!Q180"")+IMPORTRANGE(""https://docs.google.com/spreadsheets/d/1jkqa6GXxSacMcY1eN8AHjMNJ_7dDXMJ"&amp;"VRLDlaFSOdPM/edit?usp=sharing"",""ตราด!Q180"")+IMPORTRANGE(""https://docs.google.com/spreadsheets/d/18hSgUJ3VwClqi_qtULmmW3cLr0oe3OKaSYoKzdpTsYQ/edit?usp=sharing"",""นครนายก!Q180"")+IMPORTRANGE(""https://docs.google.com/spreadsheets/d/1YTZo6WM2dQ6Ix6FSdnL"&amp;"5P7uVnVKu40sxZu975tgG10E/edit?usp=sharing"",""นครปฐม!Q180"")+IMPORTRANGE(""https://docs.google.com/spreadsheets/d/1OYoGg4WDg5RIzwGeB10padOxJF9E_Vljuvvct_M7RDo/edit?usp=sharing"",""ปทุมธานี!Q180"")+IMPORTRANGE(""https://docs.google.com/spreadsheets/d/1GbCI"&amp;"E4D4wk9FUozzqk7SxfDMxDVBwVmI5zcaVUSzKAc/edit?usp=sharing"",""ประจวบคีรีขันธ์!Q180"")+IMPORTRANGE(""https://docs.google.com/spreadsheets/d/1vVf6wykvW_lAyu7Yo9L4hUTqHqIeP_qcVuxCtosJEbg/edit?usp=sharing"",""ปราจีนบุรี!Q180"")+IMPORTRANGE(""https://docs.googl"&amp;"e.com/spreadsheets/d/1BIDqLLg5jk3v59G8NlR8rk5xfQDKne0sAvZHSj7TI6I/edit?usp=sharing"",""พระนครศรีอยุธยา!Q180"")+IMPORTRANGE(""https://docs.google.com/spreadsheets/d/1YXvxf8Yu6_rV4hTBrwMqAcAnv6DfhUxh5emyM3CJp_w/edit?usp=sharing"",""เพชรบุรี!Q180"")+IMPORTRA"&amp;"NGE(""https://docs.google.com/spreadsheets/d/19KBlQQs7uwvsao6t2n-KvW3Ax8J8uRRfZPq1zPbXgKc/edit?usp=sharing"",""ระยอง!Q180"")+IMPORTRANGE(""https://docs.google.com/spreadsheets/d/1jQ6P4QcrGM89YfqcC_PxOHGCMq5ezhucwJd8ci-NHng/edit?usp=sharing"",""ราชบุรี!Q18"&amp;"0"")+IMPORTRANGE(""https://docs.google.com/spreadsheets/d/1lufeA2cfFqM-elVq2hznhDzC6Pr7wkJ9ZG_sYNGCMCU/edit?usp=sharing"",""ลพบุรี!Q180"")+IMPORTRANGE(""https://docs.google.com/spreadsheets/d/10oOiF7loTyfsTkbd4MpaIm0HQ9SwB7IYHdIUvt-U1Uc/edit?usp=sharing"""&amp;",""สระแก้ว!Q180"")+IMPORTRANGE(""https://docs.google.com/spreadsheets/d/1xmPlrr1QbdSIKvl1dWUl9K4PjAfSL9oeMr_37QVzcxc/edit?usp=sharing"",""สระบุรี!Q180"")+IMPORTRANGE(""https://docs.google.com/spreadsheets/d/1j51vR6CYVGhABJpv6tkstgok82RLpXieLzW1yOY5rHw/edi"&amp;"t?usp=sharing"",""สิงห์บุรี!Q180"")+IMPORTRANGE(""https://docs.google.com/spreadsheets/d/1H1EalTWKUSzO4Z1-1CwzoDUaVffgrThEBe2sl74kKG0/edit?usp=sharing"",""สุพรรณบุรี!Q180"")+IMPORTRANGE(""https://docs.google.com/spreadsheets/d/1BmIruG_sIrJLYao_Pdr7zVArWsf"&amp;"oBt2692TMi6x_854/edit?usp=sharing"",""อ่างทอง!Q180"")"),0)</f>
        <v>0</v>
      </c>
      <c r="R180" s="80">
        <f ca="1">IFERROR(__xludf.DUMMYFUNCTION("IMPORTRANGE(""https://docs.google.com/spreadsheets/d/13wPX838HrBrQMCywv1BsuMkt4PEKTChp52zj44s2izQ/edit?usp=sharing"",""กาญจนบุรี!R180"")+IMPORTRANGE(""https://docs.google.com/spreadsheets/d/1ddFKvqj1W1NEiWytbGlB1zMx_ykJDVtmfEQ-6-lIUBA/edit?usp=sharing"","&amp;"""จันทบุรี!R180"")+IMPORTRANGE(""https://docs.google.com/spreadsheets/d/1T1PQvRODqOBZk8BRht_U031fIS1beLA0Ub2CEytj2q0/edit?usp=sharing"",""ฉะเชิงเทรา!R180"")+IMPORTRANGE(""https://docs.google.com/spreadsheets/d/11tr1B-Bhyr79v2bkwVh5h_fR-PStkgjlZtkrZpYurG0/"&amp;"edit?usp=sharing"",""ชลบุรี!R180"")+IMPORTRANGE(""https://docs.google.com/spreadsheets/d/1hh-FVnSX0vozXhGluamEcS54Dw9_zqW0N7qJUWgJ0Sw/edit?usp=sharing"",""ชัยนาท!R180"")+IMPORTRANGE(""https://docs.google.com/spreadsheets/d/1jkqa6GXxSacMcY1eN8AHjMNJ_7dDXMJ"&amp;"VRLDlaFSOdPM/edit?usp=sharing"",""ตราด!R180"")+IMPORTRANGE(""https://docs.google.com/spreadsheets/d/18hSgUJ3VwClqi_qtULmmW3cLr0oe3OKaSYoKzdpTsYQ/edit?usp=sharing"",""นครนายก!R180"")+IMPORTRANGE(""https://docs.google.com/spreadsheets/d/1YTZo6WM2dQ6Ix6FSdnL"&amp;"5P7uVnVKu40sxZu975tgG10E/edit?usp=sharing"",""นครปฐม!R180"")+IMPORTRANGE(""https://docs.google.com/spreadsheets/d/1OYoGg4WDg5RIzwGeB10padOxJF9E_Vljuvvct_M7RDo/edit?usp=sharing"",""ปทุมธานี!R180"")+IMPORTRANGE(""https://docs.google.com/spreadsheets/d/1GbCI"&amp;"E4D4wk9FUozzqk7SxfDMxDVBwVmI5zcaVUSzKAc/edit?usp=sharing"",""ประจวบคีรีขันธ์!R180"")+IMPORTRANGE(""https://docs.google.com/spreadsheets/d/1vVf6wykvW_lAyu7Yo9L4hUTqHqIeP_qcVuxCtosJEbg/edit?usp=sharing"",""ปราจีนบุรี!R180"")+IMPORTRANGE(""https://docs.googl"&amp;"e.com/spreadsheets/d/1BIDqLLg5jk3v59G8NlR8rk5xfQDKne0sAvZHSj7TI6I/edit?usp=sharing"",""พระนครศรีอยุธยา!R180"")+IMPORTRANGE(""https://docs.google.com/spreadsheets/d/1YXvxf8Yu6_rV4hTBrwMqAcAnv6DfhUxh5emyM3CJp_w/edit?usp=sharing"",""เพชรบุรี!R180"")+IMPORTRA"&amp;"NGE(""https://docs.google.com/spreadsheets/d/19KBlQQs7uwvsao6t2n-KvW3Ax8J8uRRfZPq1zPbXgKc/edit?usp=sharing"",""ระยอง!R180"")+IMPORTRANGE(""https://docs.google.com/spreadsheets/d/1jQ6P4QcrGM89YfqcC_PxOHGCMq5ezhucwJd8ci-NHng/edit?usp=sharing"",""ราชบุรี!R18"&amp;"0"")+IMPORTRANGE(""https://docs.google.com/spreadsheets/d/1lufeA2cfFqM-elVq2hznhDzC6Pr7wkJ9ZG_sYNGCMCU/edit?usp=sharing"",""ลพบุรี!R180"")+IMPORTRANGE(""https://docs.google.com/spreadsheets/d/10oOiF7loTyfsTkbd4MpaIm0HQ9SwB7IYHdIUvt-U1Uc/edit?usp=sharing"""&amp;",""สระแก้ว!R180"")+IMPORTRANGE(""https://docs.google.com/spreadsheets/d/1xmPlrr1QbdSIKvl1dWUl9K4PjAfSL9oeMr_37QVzcxc/edit?usp=sharing"",""สระบุรี!R180"")+IMPORTRANGE(""https://docs.google.com/spreadsheets/d/1j51vR6CYVGhABJpv6tkstgok82RLpXieLzW1yOY5rHw/edi"&amp;"t?usp=sharing"",""สิงห์บุรี!R180"")+IMPORTRANGE(""https://docs.google.com/spreadsheets/d/1H1EalTWKUSzO4Z1-1CwzoDUaVffgrThEBe2sl74kKG0/edit?usp=sharing"",""สุพรรณบุรี!R180"")+IMPORTRANGE(""https://docs.google.com/spreadsheets/d/1BmIruG_sIrJLYao_Pdr7zVArWsf"&amp;"oBt2692TMi6x_854/edit?usp=sharing"",""อ่างทอง!R180"")"),0)</f>
        <v>0</v>
      </c>
      <c r="S180" s="80">
        <f ca="1">IFERROR(__xludf.DUMMYFUNCTION("IMPORTRANGE(""https://docs.google.com/spreadsheets/d/13wPX838HrBrQMCywv1BsuMkt4PEKTChp52zj44s2izQ/edit?usp=sharing"",""กาญจนบุรี!S180"")+IMPORTRANGE(""https://docs.google.com/spreadsheets/d/1ddFKvqj1W1NEiWytbGlB1zMx_ykJDVtmfEQ-6-lIUBA/edit?usp=sharing"","&amp;"""จันทบุรี!S180"")+IMPORTRANGE(""https://docs.google.com/spreadsheets/d/1T1PQvRODqOBZk8BRht_U031fIS1beLA0Ub2CEytj2q0/edit?usp=sharing"",""ฉะเชิงเทรา!S180"")+IMPORTRANGE(""https://docs.google.com/spreadsheets/d/11tr1B-Bhyr79v2bkwVh5h_fR-PStkgjlZtkrZpYurG0/"&amp;"edit?usp=sharing"",""ชลบุรี!S180"")+IMPORTRANGE(""https://docs.google.com/spreadsheets/d/1hh-FVnSX0vozXhGluamEcS54Dw9_zqW0N7qJUWgJ0Sw/edit?usp=sharing"",""ชัยนาท!S180"")+IMPORTRANGE(""https://docs.google.com/spreadsheets/d/1jkqa6GXxSacMcY1eN8AHjMNJ_7dDXMJ"&amp;"VRLDlaFSOdPM/edit?usp=sharing"",""ตราด!S180"")+IMPORTRANGE(""https://docs.google.com/spreadsheets/d/18hSgUJ3VwClqi_qtULmmW3cLr0oe3OKaSYoKzdpTsYQ/edit?usp=sharing"",""นครนายก!S180"")+IMPORTRANGE(""https://docs.google.com/spreadsheets/d/1YTZo6WM2dQ6Ix6FSdnL"&amp;"5P7uVnVKu40sxZu975tgG10E/edit?usp=sharing"",""นครปฐม!S180"")+IMPORTRANGE(""https://docs.google.com/spreadsheets/d/1OYoGg4WDg5RIzwGeB10padOxJF9E_Vljuvvct_M7RDo/edit?usp=sharing"",""ปทุมธานี!S180"")+IMPORTRANGE(""https://docs.google.com/spreadsheets/d/1GbCI"&amp;"E4D4wk9FUozzqk7SxfDMxDVBwVmI5zcaVUSzKAc/edit?usp=sharing"",""ประจวบคีรีขันธ์!S180"")+IMPORTRANGE(""https://docs.google.com/spreadsheets/d/1vVf6wykvW_lAyu7Yo9L4hUTqHqIeP_qcVuxCtosJEbg/edit?usp=sharing"",""ปราจีนบุรี!S180"")+IMPORTRANGE(""https://docs.googl"&amp;"e.com/spreadsheets/d/1BIDqLLg5jk3v59G8NlR8rk5xfQDKne0sAvZHSj7TI6I/edit?usp=sharing"",""พระนครศรีอยุธยา!S180"")+IMPORTRANGE(""https://docs.google.com/spreadsheets/d/1YXvxf8Yu6_rV4hTBrwMqAcAnv6DfhUxh5emyM3CJp_w/edit?usp=sharing"",""เพชรบุรี!S180"")+IMPORTRA"&amp;"NGE(""https://docs.google.com/spreadsheets/d/19KBlQQs7uwvsao6t2n-KvW3Ax8J8uRRfZPq1zPbXgKc/edit?usp=sharing"",""ระยอง!S180"")+IMPORTRANGE(""https://docs.google.com/spreadsheets/d/1jQ6P4QcrGM89YfqcC_PxOHGCMq5ezhucwJd8ci-NHng/edit?usp=sharing"",""ราชบุรี!S18"&amp;"0"")+IMPORTRANGE(""https://docs.google.com/spreadsheets/d/1lufeA2cfFqM-elVq2hznhDzC6Pr7wkJ9ZG_sYNGCMCU/edit?usp=sharing"",""ลพบุรี!S180"")+IMPORTRANGE(""https://docs.google.com/spreadsheets/d/10oOiF7loTyfsTkbd4MpaIm0HQ9SwB7IYHdIUvt-U1Uc/edit?usp=sharing"""&amp;",""สระแก้ว!S180"")+IMPORTRANGE(""https://docs.google.com/spreadsheets/d/1xmPlrr1QbdSIKvl1dWUl9K4PjAfSL9oeMr_37QVzcxc/edit?usp=sharing"",""สระบุรี!S180"")+IMPORTRANGE(""https://docs.google.com/spreadsheets/d/1j51vR6CYVGhABJpv6tkstgok82RLpXieLzW1yOY5rHw/edi"&amp;"t?usp=sharing"",""สิงห์บุรี!S180"")+IMPORTRANGE(""https://docs.google.com/spreadsheets/d/1H1EalTWKUSzO4Z1-1CwzoDUaVffgrThEBe2sl74kKG0/edit?usp=sharing"",""สุพรรณบุรี!S180"")+IMPORTRANGE(""https://docs.google.com/spreadsheets/d/1BmIruG_sIrJLYao_Pdr7zVArWsf"&amp;"oBt2692TMi6x_854/edit?usp=sharing"",""อ่างทอง!S180"")"),0)</f>
        <v>0</v>
      </c>
      <c r="T180" s="136">
        <f t="shared" ca="1" si="145"/>
        <v>0</v>
      </c>
      <c r="U180" s="136">
        <f t="shared" ca="1" si="146"/>
        <v>0</v>
      </c>
    </row>
    <row r="181" spans="1:21" ht="18.75" x14ac:dyDescent="0.25">
      <c r="A181" s="211"/>
      <c r="B181" s="70"/>
      <c r="C181" s="70"/>
      <c r="D181" s="70"/>
      <c r="E181" s="78" t="s">
        <v>21</v>
      </c>
      <c r="F181" s="70"/>
      <c r="G181" s="72"/>
      <c r="H181" s="223" t="s">
        <v>14</v>
      </c>
      <c r="I181" s="221"/>
      <c r="J181" s="221"/>
      <c r="K181" s="222"/>
      <c r="L181" s="91">
        <f ca="1">IFERROR(__xludf.DUMMYFUNCTION("IMPORTRANGE(""https://docs.google.com/spreadsheets/d/13wPX838HrBrQMCywv1BsuMkt4PEKTChp52zj44s2izQ/edit?usp=sharing"",""กาญจนบุรี!L181"")+IMPORTRANGE(""https://docs.google.com/spreadsheets/d/1ddFKvqj1W1NEiWytbGlB1zMx_ykJDVtmfEQ-6-lIUBA/edit?usp=sharing"","&amp;"""จันทบุรี!L181"")+IMPORTRANGE(""https://docs.google.com/spreadsheets/d/1T1PQvRODqOBZk8BRht_U031fIS1beLA0Ub2CEytj2q0/edit?usp=sharing"",""ฉะเชิงเทรา!L181"")+IMPORTRANGE(""https://docs.google.com/spreadsheets/d/11tr1B-Bhyr79v2bkwVh5h_fR-PStkgjlZtkrZpYurG0/"&amp;"edit?usp=sharing"",""ชลบุรี!L181"")+IMPORTRANGE(""https://docs.google.com/spreadsheets/d/1hh-FVnSX0vozXhGluamEcS54Dw9_zqW0N7qJUWgJ0Sw/edit?usp=sharing"",""ชัยนาท!L181"")+IMPORTRANGE(""https://docs.google.com/spreadsheets/d/1jkqa6GXxSacMcY1eN8AHjMNJ_7dDXMJ"&amp;"VRLDlaFSOdPM/edit?usp=sharing"",""ตราด!L181"")+IMPORTRANGE(""https://docs.google.com/spreadsheets/d/18hSgUJ3VwClqi_qtULmmW3cLr0oe3OKaSYoKzdpTsYQ/edit?usp=sharing"",""นครนายก!L181"")+IMPORTRANGE(""https://docs.google.com/spreadsheets/d/1YTZo6WM2dQ6Ix6FSdnL"&amp;"5P7uVnVKu40sxZu975tgG10E/edit?usp=sharing"",""นครปฐม!L181"")+IMPORTRANGE(""https://docs.google.com/spreadsheets/d/1OYoGg4WDg5RIzwGeB10padOxJF9E_Vljuvvct_M7RDo/edit?usp=sharing"",""ปทุมธานี!L181"")+IMPORTRANGE(""https://docs.google.com/spreadsheets/d/1GbCI"&amp;"E4D4wk9FUozzqk7SxfDMxDVBwVmI5zcaVUSzKAc/edit?usp=sharing"",""ประจวบคีรีขันธ์!L181"")+IMPORTRANGE(""https://docs.google.com/spreadsheets/d/1vVf6wykvW_lAyu7Yo9L4hUTqHqIeP_qcVuxCtosJEbg/edit?usp=sharing"",""ปราจีนบุรี!L181"")+IMPORTRANGE(""https://docs.googl"&amp;"e.com/spreadsheets/d/1BIDqLLg5jk3v59G8NlR8rk5xfQDKne0sAvZHSj7TI6I/edit?usp=sharing"",""พระนครศรีอยุธยา!L181"")+IMPORTRANGE(""https://docs.google.com/spreadsheets/d/1YXvxf8Yu6_rV4hTBrwMqAcAnv6DfhUxh5emyM3CJp_w/edit?usp=sharing"",""เพชรบุรี!L181"")+IMPORTRA"&amp;"NGE(""https://docs.google.com/spreadsheets/d/19KBlQQs7uwvsao6t2n-KvW3Ax8J8uRRfZPq1zPbXgKc/edit?usp=sharing"",""ระยอง!L181"")+IMPORTRANGE(""https://docs.google.com/spreadsheets/d/1jQ6P4QcrGM89YfqcC_PxOHGCMq5ezhucwJd8ci-NHng/edit?usp=sharing"",""ราชบุรี!L18"&amp;"1"")+IMPORTRANGE(""https://docs.google.com/spreadsheets/d/1lufeA2cfFqM-elVq2hznhDzC6Pr7wkJ9ZG_sYNGCMCU/edit?usp=sharing"",""ลพบุรี!L181"")+IMPORTRANGE(""https://docs.google.com/spreadsheets/d/10oOiF7loTyfsTkbd4MpaIm0HQ9SwB7IYHdIUvt-U1Uc/edit?usp=sharing"""&amp;",""สระแก้ว!L181"")+IMPORTRANGE(""https://docs.google.com/spreadsheets/d/1xmPlrr1QbdSIKvl1dWUl9K4PjAfSL9oeMr_37QVzcxc/edit?usp=sharing"",""สระบุรี!L181"")+IMPORTRANGE(""https://docs.google.com/spreadsheets/d/1j51vR6CYVGhABJpv6tkstgok82RLpXieLzW1yOY5rHw/edi"&amp;"t?usp=sharing"",""สิงห์บุรี!L181"")+IMPORTRANGE(""https://docs.google.com/spreadsheets/d/1H1EalTWKUSzO4Z1-1CwzoDUaVffgrThEBe2sl74kKG0/edit?usp=sharing"",""สุพรรณบุรี!L181"")+IMPORTRANGE(""https://docs.google.com/spreadsheets/d/1BmIruG_sIrJLYao_Pdr7zVArWsf"&amp;"oBt2692TMi6x_854/edit?usp=sharing"",""อ่างทอง!L181"")"),0)</f>
        <v>0</v>
      </c>
      <c r="M181" s="91">
        <f ca="1">IFERROR(__xludf.DUMMYFUNCTION("IMPORTRANGE(""https://docs.google.com/spreadsheets/d/13wPX838HrBrQMCywv1BsuMkt4PEKTChp52zj44s2izQ/edit?usp=sharing"",""กาญจนบุรี!M181"")+IMPORTRANGE(""https://docs.google.com/spreadsheets/d/1ddFKvqj1W1NEiWytbGlB1zMx_ykJDVtmfEQ-6-lIUBA/edit?usp=sharing"","&amp;"""จันทบุรี!M181"")+IMPORTRANGE(""https://docs.google.com/spreadsheets/d/1T1PQvRODqOBZk8BRht_U031fIS1beLA0Ub2CEytj2q0/edit?usp=sharing"",""ฉะเชิงเทรา!M181"")+IMPORTRANGE(""https://docs.google.com/spreadsheets/d/11tr1B-Bhyr79v2bkwVh5h_fR-PStkgjlZtkrZpYurG0/"&amp;"edit?usp=sharing"",""ชลบุรี!M181"")+IMPORTRANGE(""https://docs.google.com/spreadsheets/d/1hh-FVnSX0vozXhGluamEcS54Dw9_zqW0N7qJUWgJ0Sw/edit?usp=sharing"",""ชัยนาท!M181"")+IMPORTRANGE(""https://docs.google.com/spreadsheets/d/1jkqa6GXxSacMcY1eN8AHjMNJ_7dDXMJ"&amp;"VRLDlaFSOdPM/edit?usp=sharing"",""ตราด!M181"")+IMPORTRANGE(""https://docs.google.com/spreadsheets/d/18hSgUJ3VwClqi_qtULmmW3cLr0oe3OKaSYoKzdpTsYQ/edit?usp=sharing"",""นครนายก!M181"")+IMPORTRANGE(""https://docs.google.com/spreadsheets/d/1YTZo6WM2dQ6Ix6FSdnL"&amp;"5P7uVnVKu40sxZu975tgG10E/edit?usp=sharing"",""นครปฐม!M181"")+IMPORTRANGE(""https://docs.google.com/spreadsheets/d/1OYoGg4WDg5RIzwGeB10padOxJF9E_Vljuvvct_M7RDo/edit?usp=sharing"",""ปทุมธานี!M181"")+IMPORTRANGE(""https://docs.google.com/spreadsheets/d/1GbCI"&amp;"E4D4wk9FUozzqk7SxfDMxDVBwVmI5zcaVUSzKAc/edit?usp=sharing"",""ประจวบคีรีขันธ์!M181"")+IMPORTRANGE(""https://docs.google.com/spreadsheets/d/1vVf6wykvW_lAyu7Yo9L4hUTqHqIeP_qcVuxCtosJEbg/edit?usp=sharing"",""ปราจีนบุรี!M181"")+IMPORTRANGE(""https://docs.googl"&amp;"e.com/spreadsheets/d/1BIDqLLg5jk3v59G8NlR8rk5xfQDKne0sAvZHSj7TI6I/edit?usp=sharing"",""พระนครศรีอยุธยา!M181"")+IMPORTRANGE(""https://docs.google.com/spreadsheets/d/1YXvxf8Yu6_rV4hTBrwMqAcAnv6DfhUxh5emyM3CJp_w/edit?usp=sharing"",""เพชรบุรี!M181"")+IMPORTRA"&amp;"NGE(""https://docs.google.com/spreadsheets/d/19KBlQQs7uwvsao6t2n-KvW3Ax8J8uRRfZPq1zPbXgKc/edit?usp=sharing"",""ระยอง!M181"")+IMPORTRANGE(""https://docs.google.com/spreadsheets/d/1jQ6P4QcrGM89YfqcC_PxOHGCMq5ezhucwJd8ci-NHng/edit?usp=sharing"",""ราชบุรี!M18"&amp;"1"")+IMPORTRANGE(""https://docs.google.com/spreadsheets/d/1lufeA2cfFqM-elVq2hznhDzC6Pr7wkJ9ZG_sYNGCMCU/edit?usp=sharing"",""ลพบุรี!M181"")+IMPORTRANGE(""https://docs.google.com/spreadsheets/d/10oOiF7loTyfsTkbd4MpaIm0HQ9SwB7IYHdIUvt-U1Uc/edit?usp=sharing"""&amp;",""สระแก้ว!M181"")+IMPORTRANGE(""https://docs.google.com/spreadsheets/d/1xmPlrr1QbdSIKvl1dWUl9K4PjAfSL9oeMr_37QVzcxc/edit?usp=sharing"",""สระบุรี!M181"")+IMPORTRANGE(""https://docs.google.com/spreadsheets/d/1j51vR6CYVGhABJpv6tkstgok82RLpXieLzW1yOY5rHw/edi"&amp;"t?usp=sharing"",""สิงห์บุรี!M181"")+IMPORTRANGE(""https://docs.google.com/spreadsheets/d/1H1EalTWKUSzO4Z1-1CwzoDUaVffgrThEBe2sl74kKG0/edit?usp=sharing"",""สุพรรณบุรี!M181"")+IMPORTRANGE(""https://docs.google.com/spreadsheets/d/1BmIruG_sIrJLYao_Pdr7zVArWsf"&amp;"oBt2692TMi6x_854/edit?usp=sharing"",""อ่างทอง!M181"")"),0)</f>
        <v>0</v>
      </c>
      <c r="N181" s="91">
        <f ca="1">IFERROR(__xludf.DUMMYFUNCTION("IMPORTRANGE(""https://docs.google.com/spreadsheets/d/13wPX838HrBrQMCywv1BsuMkt4PEKTChp52zj44s2izQ/edit?usp=sharing"",""กาญจนบุรี!N181"")+IMPORTRANGE(""https://docs.google.com/spreadsheets/d/1ddFKvqj1W1NEiWytbGlB1zMx_ykJDVtmfEQ-6-lIUBA/edit?usp=sharing"","&amp;"""จันทบุรี!N181"")+IMPORTRANGE(""https://docs.google.com/spreadsheets/d/1T1PQvRODqOBZk8BRht_U031fIS1beLA0Ub2CEytj2q0/edit?usp=sharing"",""ฉะเชิงเทรา!N181"")+IMPORTRANGE(""https://docs.google.com/spreadsheets/d/11tr1B-Bhyr79v2bkwVh5h_fR-PStkgjlZtkrZpYurG0/"&amp;"edit?usp=sharing"",""ชลบุรี!N181"")+IMPORTRANGE(""https://docs.google.com/spreadsheets/d/1hh-FVnSX0vozXhGluamEcS54Dw9_zqW0N7qJUWgJ0Sw/edit?usp=sharing"",""ชัยนาท!N181"")+IMPORTRANGE(""https://docs.google.com/spreadsheets/d/1jkqa6GXxSacMcY1eN8AHjMNJ_7dDXMJ"&amp;"VRLDlaFSOdPM/edit?usp=sharing"",""ตราด!N181"")+IMPORTRANGE(""https://docs.google.com/spreadsheets/d/18hSgUJ3VwClqi_qtULmmW3cLr0oe3OKaSYoKzdpTsYQ/edit?usp=sharing"",""นครนายก!N181"")+IMPORTRANGE(""https://docs.google.com/spreadsheets/d/1YTZo6WM2dQ6Ix6FSdnL"&amp;"5P7uVnVKu40sxZu975tgG10E/edit?usp=sharing"",""นครปฐม!N181"")+IMPORTRANGE(""https://docs.google.com/spreadsheets/d/1OYoGg4WDg5RIzwGeB10padOxJF9E_Vljuvvct_M7RDo/edit?usp=sharing"",""ปทุมธานี!N181"")+IMPORTRANGE(""https://docs.google.com/spreadsheets/d/1GbCI"&amp;"E4D4wk9FUozzqk7SxfDMxDVBwVmI5zcaVUSzKAc/edit?usp=sharing"",""ประจวบคีรีขันธ์!N181"")+IMPORTRANGE(""https://docs.google.com/spreadsheets/d/1vVf6wykvW_lAyu7Yo9L4hUTqHqIeP_qcVuxCtosJEbg/edit?usp=sharing"",""ปราจีนบุรี!N181"")+IMPORTRANGE(""https://docs.googl"&amp;"e.com/spreadsheets/d/1BIDqLLg5jk3v59G8NlR8rk5xfQDKne0sAvZHSj7TI6I/edit?usp=sharing"",""พระนครศรีอยุธยา!N181"")+IMPORTRANGE(""https://docs.google.com/spreadsheets/d/1YXvxf8Yu6_rV4hTBrwMqAcAnv6DfhUxh5emyM3CJp_w/edit?usp=sharing"",""เพชรบุรี!N181"")+IMPORTRA"&amp;"NGE(""https://docs.google.com/spreadsheets/d/19KBlQQs7uwvsao6t2n-KvW3Ax8J8uRRfZPq1zPbXgKc/edit?usp=sharing"",""ระยอง!N181"")+IMPORTRANGE(""https://docs.google.com/spreadsheets/d/1jQ6P4QcrGM89YfqcC_PxOHGCMq5ezhucwJd8ci-NHng/edit?usp=sharing"",""ราชบุรี!N18"&amp;"1"")+IMPORTRANGE(""https://docs.google.com/spreadsheets/d/1lufeA2cfFqM-elVq2hznhDzC6Pr7wkJ9ZG_sYNGCMCU/edit?usp=sharing"",""ลพบุรี!N181"")+IMPORTRANGE(""https://docs.google.com/spreadsheets/d/10oOiF7loTyfsTkbd4MpaIm0HQ9SwB7IYHdIUvt-U1Uc/edit?usp=sharing"""&amp;",""สระแก้ว!N181"")+IMPORTRANGE(""https://docs.google.com/spreadsheets/d/1xmPlrr1QbdSIKvl1dWUl9K4PjAfSL9oeMr_37QVzcxc/edit?usp=sharing"",""สระบุรี!N181"")+IMPORTRANGE(""https://docs.google.com/spreadsheets/d/1j51vR6CYVGhABJpv6tkstgok82RLpXieLzW1yOY5rHw/edi"&amp;"t?usp=sharing"",""สิงห์บุรี!N181"")+IMPORTRANGE(""https://docs.google.com/spreadsheets/d/1H1EalTWKUSzO4Z1-1CwzoDUaVffgrThEBe2sl74kKG0/edit?usp=sharing"",""สุพรรณบุรี!N181"")+IMPORTRANGE(""https://docs.google.com/spreadsheets/d/1BmIruG_sIrJLYao_Pdr7zVArWsf"&amp;"oBt2692TMi6x_854/edit?usp=sharing"",""อ่างทอง!N181"")"),0)</f>
        <v>0</v>
      </c>
      <c r="O181" s="91">
        <f t="shared" ca="1" si="142"/>
        <v>0</v>
      </c>
      <c r="P181" s="91">
        <f t="shared" ca="1" si="143"/>
        <v>0</v>
      </c>
      <c r="Q181" s="76">
        <f ca="1">IFERROR(__xludf.DUMMYFUNCTION("IMPORTRANGE(""https://docs.google.com/spreadsheets/d/13wPX838HrBrQMCywv1BsuMkt4PEKTChp52zj44s2izQ/edit?usp=sharing"",""กาญจนบุรี!Q181"")+IMPORTRANGE(""https://docs.google.com/spreadsheets/d/1ddFKvqj1W1NEiWytbGlB1zMx_ykJDVtmfEQ-6-lIUBA/edit?usp=sharing"","&amp;"""จันทบุรี!Q181"")+IMPORTRANGE(""https://docs.google.com/spreadsheets/d/1T1PQvRODqOBZk8BRht_U031fIS1beLA0Ub2CEytj2q0/edit?usp=sharing"",""ฉะเชิงเทรา!Q181"")+IMPORTRANGE(""https://docs.google.com/spreadsheets/d/11tr1B-Bhyr79v2bkwVh5h_fR-PStkgjlZtkrZpYurG0/"&amp;"edit?usp=sharing"",""ชลบุรี!Q181"")+IMPORTRANGE(""https://docs.google.com/spreadsheets/d/1hh-FVnSX0vozXhGluamEcS54Dw9_zqW0N7qJUWgJ0Sw/edit?usp=sharing"",""ชัยนาท!Q181"")+IMPORTRANGE(""https://docs.google.com/spreadsheets/d/1jkqa6GXxSacMcY1eN8AHjMNJ_7dDXMJ"&amp;"VRLDlaFSOdPM/edit?usp=sharing"",""ตราด!Q181"")+IMPORTRANGE(""https://docs.google.com/spreadsheets/d/18hSgUJ3VwClqi_qtULmmW3cLr0oe3OKaSYoKzdpTsYQ/edit?usp=sharing"",""นครนายก!Q181"")+IMPORTRANGE(""https://docs.google.com/spreadsheets/d/1YTZo6WM2dQ6Ix6FSdnL"&amp;"5P7uVnVKu40sxZu975tgG10E/edit?usp=sharing"",""นครปฐม!Q181"")+IMPORTRANGE(""https://docs.google.com/spreadsheets/d/1OYoGg4WDg5RIzwGeB10padOxJF9E_Vljuvvct_M7RDo/edit?usp=sharing"",""ปทุมธานี!Q181"")+IMPORTRANGE(""https://docs.google.com/spreadsheets/d/1GbCI"&amp;"E4D4wk9FUozzqk7SxfDMxDVBwVmI5zcaVUSzKAc/edit?usp=sharing"",""ประจวบคีรีขันธ์!Q181"")+IMPORTRANGE(""https://docs.google.com/spreadsheets/d/1vVf6wykvW_lAyu7Yo9L4hUTqHqIeP_qcVuxCtosJEbg/edit?usp=sharing"",""ปราจีนบุรี!Q181"")+IMPORTRANGE(""https://docs.googl"&amp;"e.com/spreadsheets/d/1BIDqLLg5jk3v59G8NlR8rk5xfQDKne0sAvZHSj7TI6I/edit?usp=sharing"",""พระนครศรีอยุธยา!Q181"")+IMPORTRANGE(""https://docs.google.com/spreadsheets/d/1YXvxf8Yu6_rV4hTBrwMqAcAnv6DfhUxh5emyM3CJp_w/edit?usp=sharing"",""เพชรบุรี!Q181"")+IMPORTRA"&amp;"NGE(""https://docs.google.com/spreadsheets/d/19KBlQQs7uwvsao6t2n-KvW3Ax8J8uRRfZPq1zPbXgKc/edit?usp=sharing"",""ระยอง!Q181"")+IMPORTRANGE(""https://docs.google.com/spreadsheets/d/1jQ6P4QcrGM89YfqcC_PxOHGCMq5ezhucwJd8ci-NHng/edit?usp=sharing"",""ราชบุรี!Q18"&amp;"1"")+IMPORTRANGE(""https://docs.google.com/spreadsheets/d/1lufeA2cfFqM-elVq2hznhDzC6Pr7wkJ9ZG_sYNGCMCU/edit?usp=sharing"",""ลพบุรี!Q181"")+IMPORTRANGE(""https://docs.google.com/spreadsheets/d/10oOiF7loTyfsTkbd4MpaIm0HQ9SwB7IYHdIUvt-U1Uc/edit?usp=sharing"""&amp;",""สระแก้ว!Q181"")+IMPORTRANGE(""https://docs.google.com/spreadsheets/d/1xmPlrr1QbdSIKvl1dWUl9K4PjAfSL9oeMr_37QVzcxc/edit?usp=sharing"",""สระบุรี!Q181"")+IMPORTRANGE(""https://docs.google.com/spreadsheets/d/1j51vR6CYVGhABJpv6tkstgok82RLpXieLzW1yOY5rHw/edi"&amp;"t?usp=sharing"",""สิงห์บุรี!Q181"")+IMPORTRANGE(""https://docs.google.com/spreadsheets/d/1H1EalTWKUSzO4Z1-1CwzoDUaVffgrThEBe2sl74kKG0/edit?usp=sharing"",""สุพรรณบุรี!Q181"")+IMPORTRANGE(""https://docs.google.com/spreadsheets/d/1BmIruG_sIrJLYao_Pdr7zVArWsf"&amp;"oBt2692TMi6x_854/edit?usp=sharing"",""อ่างทอง!Q181"")"),0)</f>
        <v>0</v>
      </c>
      <c r="R181" s="77">
        <f ca="1">IFERROR(__xludf.DUMMYFUNCTION("IMPORTRANGE(""https://docs.google.com/spreadsheets/d/13wPX838HrBrQMCywv1BsuMkt4PEKTChp52zj44s2izQ/edit?usp=sharing"",""กาญจนบุรี!R181"")+IMPORTRANGE(""https://docs.google.com/spreadsheets/d/1ddFKvqj1W1NEiWytbGlB1zMx_ykJDVtmfEQ-6-lIUBA/edit?usp=sharing"","&amp;"""จันทบุรี!R181"")+IMPORTRANGE(""https://docs.google.com/spreadsheets/d/1T1PQvRODqOBZk8BRht_U031fIS1beLA0Ub2CEytj2q0/edit?usp=sharing"",""ฉะเชิงเทรา!R181"")+IMPORTRANGE(""https://docs.google.com/spreadsheets/d/11tr1B-Bhyr79v2bkwVh5h_fR-PStkgjlZtkrZpYurG0/"&amp;"edit?usp=sharing"",""ชลบุรี!R181"")+IMPORTRANGE(""https://docs.google.com/spreadsheets/d/1hh-FVnSX0vozXhGluamEcS54Dw9_zqW0N7qJUWgJ0Sw/edit?usp=sharing"",""ชัยนาท!R181"")+IMPORTRANGE(""https://docs.google.com/spreadsheets/d/1jkqa6GXxSacMcY1eN8AHjMNJ_7dDXMJ"&amp;"VRLDlaFSOdPM/edit?usp=sharing"",""ตราด!R181"")+IMPORTRANGE(""https://docs.google.com/spreadsheets/d/18hSgUJ3VwClqi_qtULmmW3cLr0oe3OKaSYoKzdpTsYQ/edit?usp=sharing"",""นครนายก!R181"")+IMPORTRANGE(""https://docs.google.com/spreadsheets/d/1YTZo6WM2dQ6Ix6FSdnL"&amp;"5P7uVnVKu40sxZu975tgG10E/edit?usp=sharing"",""นครปฐม!R181"")+IMPORTRANGE(""https://docs.google.com/spreadsheets/d/1OYoGg4WDg5RIzwGeB10padOxJF9E_Vljuvvct_M7RDo/edit?usp=sharing"",""ปทุมธานี!R181"")+IMPORTRANGE(""https://docs.google.com/spreadsheets/d/1GbCI"&amp;"E4D4wk9FUozzqk7SxfDMxDVBwVmI5zcaVUSzKAc/edit?usp=sharing"",""ประจวบคีรีขันธ์!R181"")+IMPORTRANGE(""https://docs.google.com/spreadsheets/d/1vVf6wykvW_lAyu7Yo9L4hUTqHqIeP_qcVuxCtosJEbg/edit?usp=sharing"",""ปราจีนบุรี!R181"")+IMPORTRANGE(""https://docs.googl"&amp;"e.com/spreadsheets/d/1BIDqLLg5jk3v59G8NlR8rk5xfQDKne0sAvZHSj7TI6I/edit?usp=sharing"",""พระนครศรีอยุธยา!R181"")+IMPORTRANGE(""https://docs.google.com/spreadsheets/d/1YXvxf8Yu6_rV4hTBrwMqAcAnv6DfhUxh5emyM3CJp_w/edit?usp=sharing"",""เพชรบุรี!R181"")+IMPORTRA"&amp;"NGE(""https://docs.google.com/spreadsheets/d/19KBlQQs7uwvsao6t2n-KvW3Ax8J8uRRfZPq1zPbXgKc/edit?usp=sharing"",""ระยอง!R181"")+IMPORTRANGE(""https://docs.google.com/spreadsheets/d/1jQ6P4QcrGM89YfqcC_PxOHGCMq5ezhucwJd8ci-NHng/edit?usp=sharing"",""ราชบุรี!R18"&amp;"1"")+IMPORTRANGE(""https://docs.google.com/spreadsheets/d/1lufeA2cfFqM-elVq2hznhDzC6Pr7wkJ9ZG_sYNGCMCU/edit?usp=sharing"",""ลพบุรี!R181"")+IMPORTRANGE(""https://docs.google.com/spreadsheets/d/10oOiF7loTyfsTkbd4MpaIm0HQ9SwB7IYHdIUvt-U1Uc/edit?usp=sharing"""&amp;",""สระแก้ว!R181"")+IMPORTRANGE(""https://docs.google.com/spreadsheets/d/1xmPlrr1QbdSIKvl1dWUl9K4PjAfSL9oeMr_37QVzcxc/edit?usp=sharing"",""สระบุรี!R181"")+IMPORTRANGE(""https://docs.google.com/spreadsheets/d/1j51vR6CYVGhABJpv6tkstgok82RLpXieLzW1yOY5rHw/edi"&amp;"t?usp=sharing"",""สิงห์บุรี!R181"")+IMPORTRANGE(""https://docs.google.com/spreadsheets/d/1H1EalTWKUSzO4Z1-1CwzoDUaVffgrThEBe2sl74kKG0/edit?usp=sharing"",""สุพรรณบุรี!R181"")+IMPORTRANGE(""https://docs.google.com/spreadsheets/d/1BmIruG_sIrJLYao_Pdr7zVArWsf"&amp;"oBt2692TMi6x_854/edit?usp=sharing"",""อ่างทอง!R181"")"),0)</f>
        <v>0</v>
      </c>
      <c r="S181" s="77">
        <f ca="1">IFERROR(__xludf.DUMMYFUNCTION("IMPORTRANGE(""https://docs.google.com/spreadsheets/d/13wPX838HrBrQMCywv1BsuMkt4PEKTChp52zj44s2izQ/edit?usp=sharing"",""กาญจนบุรี!S181"")+IMPORTRANGE(""https://docs.google.com/spreadsheets/d/1ddFKvqj1W1NEiWytbGlB1zMx_ykJDVtmfEQ-6-lIUBA/edit?usp=sharing"","&amp;"""จันทบุรี!S181"")+IMPORTRANGE(""https://docs.google.com/spreadsheets/d/1T1PQvRODqOBZk8BRht_U031fIS1beLA0Ub2CEytj2q0/edit?usp=sharing"",""ฉะเชิงเทรา!S181"")+IMPORTRANGE(""https://docs.google.com/spreadsheets/d/11tr1B-Bhyr79v2bkwVh5h_fR-PStkgjlZtkrZpYurG0/"&amp;"edit?usp=sharing"",""ชลบุรี!S181"")+IMPORTRANGE(""https://docs.google.com/spreadsheets/d/1hh-FVnSX0vozXhGluamEcS54Dw9_zqW0N7qJUWgJ0Sw/edit?usp=sharing"",""ชัยนาท!S181"")+IMPORTRANGE(""https://docs.google.com/spreadsheets/d/1jkqa6GXxSacMcY1eN8AHjMNJ_7dDXMJ"&amp;"VRLDlaFSOdPM/edit?usp=sharing"",""ตราด!S181"")+IMPORTRANGE(""https://docs.google.com/spreadsheets/d/18hSgUJ3VwClqi_qtULmmW3cLr0oe3OKaSYoKzdpTsYQ/edit?usp=sharing"",""นครนายก!S181"")+IMPORTRANGE(""https://docs.google.com/spreadsheets/d/1YTZo6WM2dQ6Ix6FSdnL"&amp;"5P7uVnVKu40sxZu975tgG10E/edit?usp=sharing"",""นครปฐม!S181"")+IMPORTRANGE(""https://docs.google.com/spreadsheets/d/1OYoGg4WDg5RIzwGeB10padOxJF9E_Vljuvvct_M7RDo/edit?usp=sharing"",""ปทุมธานี!S181"")+IMPORTRANGE(""https://docs.google.com/spreadsheets/d/1GbCI"&amp;"E4D4wk9FUozzqk7SxfDMxDVBwVmI5zcaVUSzKAc/edit?usp=sharing"",""ประจวบคีรีขันธ์!S181"")+IMPORTRANGE(""https://docs.google.com/spreadsheets/d/1vVf6wykvW_lAyu7Yo9L4hUTqHqIeP_qcVuxCtosJEbg/edit?usp=sharing"",""ปราจีนบุรี!S181"")+IMPORTRANGE(""https://docs.googl"&amp;"e.com/spreadsheets/d/1BIDqLLg5jk3v59G8NlR8rk5xfQDKne0sAvZHSj7TI6I/edit?usp=sharing"",""พระนครศรีอยุธยา!S181"")+IMPORTRANGE(""https://docs.google.com/spreadsheets/d/1YXvxf8Yu6_rV4hTBrwMqAcAnv6DfhUxh5emyM3CJp_w/edit?usp=sharing"",""เพชรบุรี!S181"")+IMPORTRA"&amp;"NGE(""https://docs.google.com/spreadsheets/d/19KBlQQs7uwvsao6t2n-KvW3Ax8J8uRRfZPq1zPbXgKc/edit?usp=sharing"",""ระยอง!S181"")+IMPORTRANGE(""https://docs.google.com/spreadsheets/d/1jQ6P4QcrGM89YfqcC_PxOHGCMq5ezhucwJd8ci-NHng/edit?usp=sharing"",""ราชบุรี!S18"&amp;"1"")+IMPORTRANGE(""https://docs.google.com/spreadsheets/d/1lufeA2cfFqM-elVq2hznhDzC6Pr7wkJ9ZG_sYNGCMCU/edit?usp=sharing"",""ลพบุรี!S181"")+IMPORTRANGE(""https://docs.google.com/spreadsheets/d/10oOiF7loTyfsTkbd4MpaIm0HQ9SwB7IYHdIUvt-U1Uc/edit?usp=sharing"""&amp;",""สระแก้ว!S181"")+IMPORTRANGE(""https://docs.google.com/spreadsheets/d/1xmPlrr1QbdSIKvl1dWUl9K4PjAfSL9oeMr_37QVzcxc/edit?usp=sharing"",""สระบุรี!S181"")+IMPORTRANGE(""https://docs.google.com/spreadsheets/d/1j51vR6CYVGhABJpv6tkstgok82RLpXieLzW1yOY5rHw/edi"&amp;"t?usp=sharing"",""สิงห์บุรี!S181"")+IMPORTRANGE(""https://docs.google.com/spreadsheets/d/1H1EalTWKUSzO4Z1-1CwzoDUaVffgrThEBe2sl74kKG0/edit?usp=sharing"",""สุพรรณบุรี!S181"")+IMPORTRANGE(""https://docs.google.com/spreadsheets/d/1BmIruG_sIrJLYao_Pdr7zVArWsf"&amp;"oBt2692TMi6x_854/edit?usp=sharing"",""อ่างทอง!S181"")"),0)</f>
        <v>0</v>
      </c>
      <c r="T181" s="135">
        <f t="shared" ca="1" si="145"/>
        <v>0</v>
      </c>
      <c r="U181" s="135">
        <f t="shared" ca="1" si="146"/>
        <v>0</v>
      </c>
    </row>
    <row r="182" spans="1:21" ht="19.5" x14ac:dyDescent="0.3">
      <c r="A182" s="224"/>
      <c r="B182" s="225"/>
      <c r="C182" s="212" t="s">
        <v>18</v>
      </c>
      <c r="D182" s="226" t="s">
        <v>38</v>
      </c>
      <c r="E182" s="227"/>
      <c r="F182" s="227"/>
      <c r="G182" s="228"/>
      <c r="H182" s="318"/>
      <c r="I182" s="74"/>
      <c r="J182" s="74"/>
      <c r="K182" s="75"/>
      <c r="L182" s="75"/>
      <c r="M182" s="75"/>
      <c r="N182" s="75"/>
      <c r="O182" s="75"/>
      <c r="P182" s="75"/>
      <c r="Q182" s="89"/>
      <c r="R182" s="90"/>
      <c r="S182" s="90"/>
      <c r="T182" s="90"/>
      <c r="U182" s="90"/>
    </row>
    <row r="183" spans="1:21" ht="18.75" x14ac:dyDescent="0.25">
      <c r="A183" s="368"/>
      <c r="B183" s="70"/>
      <c r="C183" s="369"/>
      <c r="D183" s="369" t="s">
        <v>75</v>
      </c>
      <c r="E183" s="70"/>
      <c r="F183" s="70"/>
      <c r="G183" s="72"/>
      <c r="H183" s="370" t="s">
        <v>35</v>
      </c>
      <c r="I183" s="241">
        <f ca="1">IFERROR(__xludf.DUMMYFUNCTION("IMPORTRANGE(""https://docs.google.com/spreadsheets/d/13wPX838HrBrQMCywv1BsuMkt4PEKTChp52zj44s2izQ/edit?usp=sharing"",""กาญจนบุรี!I183"")+IMPORTRANGE(""https://docs.google.com/spreadsheets/d/1ddFKvqj1W1NEiWytbGlB1zMx_ykJDVtmfEQ-6-lIUBA/edit?usp=sharing"","&amp;"""จันทบุรี!I183"")+IMPORTRANGE(""https://docs.google.com/spreadsheets/d/1T1PQvRODqOBZk8BRht_U031fIS1beLA0Ub2CEytj2q0/edit?usp=sharing"",""ฉะเชิงเทรา!I183"")+IMPORTRANGE(""https://docs.google.com/spreadsheets/d/11tr1B-Bhyr79v2bkwVh5h_fR-PStkgjlZtkrZpYurG0/"&amp;"edit?usp=sharing"",""ชลบุรี!I183"")+IMPORTRANGE(""https://docs.google.com/spreadsheets/d/1hh-FVnSX0vozXhGluamEcS54Dw9_zqW0N7qJUWgJ0Sw/edit?usp=sharing"",""ชัยนาท!I183"")+IMPORTRANGE(""https://docs.google.com/spreadsheets/d/1jkqa6GXxSacMcY1eN8AHjMNJ_7dDXMJ"&amp;"VRLDlaFSOdPM/edit?usp=sharing"",""ตราด!I183"")+IMPORTRANGE(""https://docs.google.com/spreadsheets/d/18hSgUJ3VwClqi_qtULmmW3cLr0oe3OKaSYoKzdpTsYQ/edit?usp=sharing"",""นครนายก!I183"")+IMPORTRANGE(""https://docs.google.com/spreadsheets/d/1YTZo6WM2dQ6Ix6FSdnL"&amp;"5P7uVnVKu40sxZu975tgG10E/edit?usp=sharing"",""นครปฐม!I183"")+IMPORTRANGE(""https://docs.google.com/spreadsheets/d/1OYoGg4WDg5RIzwGeB10padOxJF9E_Vljuvvct_M7RDo/edit?usp=sharing"",""ปทุมธานี!I183"")+IMPORTRANGE(""https://docs.google.com/spreadsheets/d/1GbCI"&amp;"E4D4wk9FUozzqk7SxfDMxDVBwVmI5zcaVUSzKAc/edit?usp=sharing"",""ประจวบคีรีขันธ์!I183"")+IMPORTRANGE(""https://docs.google.com/spreadsheets/d/1vVf6wykvW_lAyu7Yo9L4hUTqHqIeP_qcVuxCtosJEbg/edit?usp=sharing"",""ปราจีนบุรี!I183"")+IMPORTRANGE(""https://docs.googl"&amp;"e.com/spreadsheets/d/1BIDqLLg5jk3v59G8NlR8rk5xfQDKne0sAvZHSj7TI6I/edit?usp=sharing"",""พระนครศรีอยุธยา!I183"")+IMPORTRANGE(""https://docs.google.com/spreadsheets/d/1YXvxf8Yu6_rV4hTBrwMqAcAnv6DfhUxh5emyM3CJp_w/edit?usp=sharing"",""เพชรบุรี!I183"")+IMPORTRA"&amp;"NGE(""https://docs.google.com/spreadsheets/d/19KBlQQs7uwvsao6t2n-KvW3Ax8J8uRRfZPq1zPbXgKc/edit?usp=sharing"",""ระยอง!I183"")+IMPORTRANGE(""https://docs.google.com/spreadsheets/d/1jQ6P4QcrGM89YfqcC_PxOHGCMq5ezhucwJd8ci-NHng/edit?usp=sharing"",""ราชบุรี!I18"&amp;"3"")+IMPORTRANGE(""https://docs.google.com/spreadsheets/d/1lufeA2cfFqM-elVq2hznhDzC6Pr7wkJ9ZG_sYNGCMCU/edit?usp=sharing"",""ลพบุรี!I183"")+IMPORTRANGE(""https://docs.google.com/spreadsheets/d/10oOiF7loTyfsTkbd4MpaIm0HQ9SwB7IYHdIUvt-U1Uc/edit?usp=sharing"""&amp;",""สระแก้ว!I183"")+IMPORTRANGE(""https://docs.google.com/spreadsheets/d/1xmPlrr1QbdSIKvl1dWUl9K4PjAfSL9oeMr_37QVzcxc/edit?usp=sharing"",""สระบุรี!I183"")+IMPORTRANGE(""https://docs.google.com/spreadsheets/d/1j51vR6CYVGhABJpv6tkstgok82RLpXieLzW1yOY5rHw/edi"&amp;"t?usp=sharing"",""สิงห์บุรี!I183"")+IMPORTRANGE(""https://docs.google.com/spreadsheets/d/1H1EalTWKUSzO4Z1-1CwzoDUaVffgrThEBe2sl74kKG0/edit?usp=sharing"",""สุพรรณบุรี!I183"")+IMPORTRANGE(""https://docs.google.com/spreadsheets/d/1BmIruG_sIrJLYao_Pdr7zVArWsf"&amp;"oBt2692TMi6x_854/edit?usp=sharing"",""อ่างทอง!I183"")"),133)</f>
        <v>133</v>
      </c>
      <c r="J183" s="241">
        <f ca="1">IFERROR(__xludf.DUMMYFUNCTION("IMPORTRANGE(""https://docs.google.com/spreadsheets/d/13wPX838HrBrQMCywv1BsuMkt4PEKTChp52zj44s2izQ/edit?usp=sharing"",""กาญจนบุรี!J183"")+IMPORTRANGE(""https://docs.google.com/spreadsheets/d/1ddFKvqj1W1NEiWytbGlB1zMx_ykJDVtmfEQ-6-lIUBA/edit?usp=sharing"","&amp;"""จันทบุรี!J183"")+IMPORTRANGE(""https://docs.google.com/spreadsheets/d/1T1PQvRODqOBZk8BRht_U031fIS1beLA0Ub2CEytj2q0/edit?usp=sharing"",""ฉะเชิงเทรา!J183"")+IMPORTRANGE(""https://docs.google.com/spreadsheets/d/11tr1B-Bhyr79v2bkwVh5h_fR-PStkgjlZtkrZpYurG0/"&amp;"edit?usp=sharing"",""ชลบุรี!J183"")+IMPORTRANGE(""https://docs.google.com/spreadsheets/d/1hh-FVnSX0vozXhGluamEcS54Dw9_zqW0N7qJUWgJ0Sw/edit?usp=sharing"",""ชัยนาท!J183"")+IMPORTRANGE(""https://docs.google.com/spreadsheets/d/1jkqa6GXxSacMcY1eN8AHjMNJ_7dDXMJ"&amp;"VRLDlaFSOdPM/edit?usp=sharing"",""ตราด!J183"")+IMPORTRANGE(""https://docs.google.com/spreadsheets/d/18hSgUJ3VwClqi_qtULmmW3cLr0oe3OKaSYoKzdpTsYQ/edit?usp=sharing"",""นครนายก!J183"")+IMPORTRANGE(""https://docs.google.com/spreadsheets/d/1YTZo6WM2dQ6Ix6FSdnL"&amp;"5P7uVnVKu40sxZu975tgG10E/edit?usp=sharing"",""นครปฐม!J183"")+IMPORTRANGE(""https://docs.google.com/spreadsheets/d/1OYoGg4WDg5RIzwGeB10padOxJF9E_Vljuvvct_M7RDo/edit?usp=sharing"",""ปทุมธานี!J183"")+IMPORTRANGE(""https://docs.google.com/spreadsheets/d/1GbCI"&amp;"E4D4wk9FUozzqk7SxfDMxDVBwVmI5zcaVUSzKAc/edit?usp=sharing"",""ประจวบคีรีขันธ์!J183"")+IMPORTRANGE(""https://docs.google.com/spreadsheets/d/1vVf6wykvW_lAyu7Yo9L4hUTqHqIeP_qcVuxCtosJEbg/edit?usp=sharing"",""ปราจีนบุรี!J183"")+IMPORTRANGE(""https://docs.googl"&amp;"e.com/spreadsheets/d/1BIDqLLg5jk3v59G8NlR8rk5xfQDKne0sAvZHSj7TI6I/edit?usp=sharing"",""พระนครศรีอยุธยา!J183"")+IMPORTRANGE(""https://docs.google.com/spreadsheets/d/1YXvxf8Yu6_rV4hTBrwMqAcAnv6DfhUxh5emyM3CJp_w/edit?usp=sharing"",""เพชรบุรี!J183"")+IMPORTRA"&amp;"NGE(""https://docs.google.com/spreadsheets/d/19KBlQQs7uwvsao6t2n-KvW3Ax8J8uRRfZPq1zPbXgKc/edit?usp=sharing"",""ระยอง!J183"")+IMPORTRANGE(""https://docs.google.com/spreadsheets/d/1jQ6P4QcrGM89YfqcC_PxOHGCMq5ezhucwJd8ci-NHng/edit?usp=sharing"",""ราชบุรี!J18"&amp;"3"")+IMPORTRANGE(""https://docs.google.com/spreadsheets/d/1lufeA2cfFqM-elVq2hznhDzC6Pr7wkJ9ZG_sYNGCMCU/edit?usp=sharing"",""ลพบุรี!J183"")+IMPORTRANGE(""https://docs.google.com/spreadsheets/d/10oOiF7loTyfsTkbd4MpaIm0HQ9SwB7IYHdIUvt-U1Uc/edit?usp=sharing"""&amp;",""สระแก้ว!J183"")+IMPORTRANGE(""https://docs.google.com/spreadsheets/d/1xmPlrr1QbdSIKvl1dWUl9K4PjAfSL9oeMr_37QVzcxc/edit?usp=sharing"",""สระบุรี!J183"")+IMPORTRANGE(""https://docs.google.com/spreadsheets/d/1j51vR6CYVGhABJpv6tkstgok82RLpXieLzW1yOY5rHw/edi"&amp;"t?usp=sharing"",""สิงห์บุรี!J183"")+IMPORTRANGE(""https://docs.google.com/spreadsheets/d/1H1EalTWKUSzO4Z1-1CwzoDUaVffgrThEBe2sl74kKG0/edit?usp=sharing"",""สุพรรณบุรี!J183"")+IMPORTRANGE(""https://docs.google.com/spreadsheets/d/1BmIruG_sIrJLYao_Pdr7zVArWsf"&amp;"oBt2692TMi6x_854/edit?usp=sharing"",""อ่างทอง!J183"")"),133)</f>
        <v>133</v>
      </c>
      <c r="K183" s="91">
        <f t="shared" ref="K183:K185" ca="1" si="155">IF(I183&gt;0,J183*100/I183,0)</f>
        <v>100</v>
      </c>
      <c r="L183" s="75"/>
      <c r="M183" s="75"/>
      <c r="N183" s="75"/>
      <c r="O183" s="75"/>
      <c r="P183" s="75"/>
      <c r="Q183" s="89"/>
      <c r="R183" s="90"/>
      <c r="S183" s="90"/>
      <c r="T183" s="90"/>
      <c r="U183" s="90"/>
    </row>
    <row r="184" spans="1:21" ht="18.75" x14ac:dyDescent="0.25">
      <c r="A184" s="368"/>
      <c r="B184" s="371"/>
      <c r="C184" s="369"/>
      <c r="D184" s="369" t="s">
        <v>76</v>
      </c>
      <c r="E184" s="70"/>
      <c r="F184" s="70"/>
      <c r="G184" s="72"/>
      <c r="H184" s="370" t="s">
        <v>35</v>
      </c>
      <c r="I184" s="241">
        <v>70</v>
      </c>
      <c r="J184" s="241">
        <v>0</v>
      </c>
      <c r="K184" s="91">
        <f t="shared" si="155"/>
        <v>0</v>
      </c>
      <c r="L184" s="75"/>
      <c r="M184" s="75"/>
      <c r="N184" s="75"/>
      <c r="O184" s="75"/>
      <c r="P184" s="75"/>
      <c r="Q184" s="89"/>
      <c r="R184" s="90"/>
      <c r="S184" s="90"/>
      <c r="T184" s="90"/>
      <c r="U184" s="90"/>
    </row>
    <row r="185" spans="1:21" ht="19.5" x14ac:dyDescent="0.3">
      <c r="A185" s="359"/>
      <c r="B185" s="360" t="s">
        <v>77</v>
      </c>
      <c r="C185" s="361"/>
      <c r="D185" s="227"/>
      <c r="E185" s="227"/>
      <c r="F185" s="227"/>
      <c r="G185" s="228"/>
      <c r="H185" s="362" t="s">
        <v>35</v>
      </c>
      <c r="I185" s="363">
        <f t="shared" ref="I185:J185" ca="1" si="156">I230+I231</f>
        <v>0</v>
      </c>
      <c r="J185" s="363">
        <f t="shared" ca="1" si="156"/>
        <v>0</v>
      </c>
      <c r="K185" s="364">
        <f t="shared" ca="1" si="155"/>
        <v>0</v>
      </c>
      <c r="L185" s="365"/>
      <c r="M185" s="365"/>
      <c r="N185" s="365"/>
      <c r="O185" s="365"/>
      <c r="P185" s="365"/>
      <c r="Q185" s="366"/>
      <c r="R185" s="367"/>
      <c r="S185" s="367"/>
      <c r="T185" s="367"/>
      <c r="U185" s="367"/>
    </row>
    <row r="186" spans="1:21" ht="19.5" x14ac:dyDescent="0.3">
      <c r="A186" s="211"/>
      <c r="B186" s="70"/>
      <c r="C186" s="212" t="s">
        <v>18</v>
      </c>
      <c r="D186" s="213" t="s">
        <v>19</v>
      </c>
      <c r="E186" s="70"/>
      <c r="F186" s="70"/>
      <c r="G186" s="72"/>
      <c r="H186" s="214" t="s">
        <v>14</v>
      </c>
      <c r="I186" s="74"/>
      <c r="J186" s="74"/>
      <c r="K186" s="75"/>
      <c r="L186" s="215">
        <f t="shared" ref="L186:N186" ca="1" si="157">L187+L188</f>
        <v>3396000</v>
      </c>
      <c r="M186" s="215">
        <f t="shared" ca="1" si="157"/>
        <v>3289271</v>
      </c>
      <c r="N186" s="215">
        <f t="shared" ca="1" si="157"/>
        <v>2281189.9599999902</v>
      </c>
      <c r="O186" s="215">
        <f t="shared" ref="O186:O194" ca="1" si="158">IF(L186&gt;0,N186*100/L186,0)</f>
        <v>67.172849234393112</v>
      </c>
      <c r="P186" s="215">
        <f t="shared" ref="P186:P194" ca="1" si="159">IF(M186&gt;0,N186*100/M186,0)</f>
        <v>69.352448004435942</v>
      </c>
      <c r="Q186" s="216">
        <f t="shared" ref="Q186:S186" ca="1" si="160">Q187+Q188</f>
        <v>1356738</v>
      </c>
      <c r="R186" s="217">
        <f t="shared" ca="1" si="160"/>
        <v>1430738</v>
      </c>
      <c r="S186" s="217">
        <f t="shared" ca="1" si="160"/>
        <v>169200</v>
      </c>
      <c r="T186" s="217">
        <f t="shared" ref="T186:T194" ca="1" si="161">IF(Q186&gt;0,S186*100/Q186,0)</f>
        <v>12.471088743736816</v>
      </c>
      <c r="U186" s="217">
        <f t="shared" ref="U186:U194" ca="1" si="162">IF(R186&gt;0,S186*100/R186,0)</f>
        <v>11.826064590442135</v>
      </c>
    </row>
    <row r="187" spans="1:21" ht="18.75" x14ac:dyDescent="0.25">
      <c r="A187" s="211"/>
      <c r="B187" s="70"/>
      <c r="C187" s="70"/>
      <c r="D187" s="70"/>
      <c r="E187" s="78" t="s">
        <v>20</v>
      </c>
      <c r="F187" s="70"/>
      <c r="G187" s="72"/>
      <c r="H187" s="218" t="s">
        <v>14</v>
      </c>
      <c r="I187" s="74"/>
      <c r="J187" s="74"/>
      <c r="K187" s="75"/>
      <c r="L187" s="91">
        <f t="shared" ref="L187:N187" ca="1" si="163">L190+L193</f>
        <v>0</v>
      </c>
      <c r="M187" s="91">
        <f t="shared" ca="1" si="163"/>
        <v>0</v>
      </c>
      <c r="N187" s="91">
        <f t="shared" ca="1" si="163"/>
        <v>0</v>
      </c>
      <c r="O187" s="91">
        <f t="shared" ca="1" si="158"/>
        <v>0</v>
      </c>
      <c r="P187" s="91">
        <f t="shared" ca="1" si="159"/>
        <v>0</v>
      </c>
      <c r="Q187" s="219">
        <f t="shared" ref="Q187:S187" ca="1" si="164">Q190+Q193</f>
        <v>0</v>
      </c>
      <c r="R187" s="136">
        <f t="shared" ca="1" si="164"/>
        <v>0</v>
      </c>
      <c r="S187" s="136">
        <f t="shared" ca="1" si="164"/>
        <v>0</v>
      </c>
      <c r="T187" s="136">
        <f t="shared" ca="1" si="161"/>
        <v>0</v>
      </c>
      <c r="U187" s="136">
        <f t="shared" ca="1" si="162"/>
        <v>0</v>
      </c>
    </row>
    <row r="188" spans="1:21" ht="18.75" x14ac:dyDescent="0.25">
      <c r="A188" s="211"/>
      <c r="B188" s="70"/>
      <c r="C188" s="70"/>
      <c r="D188" s="70"/>
      <c r="E188" s="78" t="s">
        <v>21</v>
      </c>
      <c r="F188" s="70"/>
      <c r="G188" s="72"/>
      <c r="H188" s="218" t="s">
        <v>14</v>
      </c>
      <c r="I188" s="74"/>
      <c r="J188" s="74"/>
      <c r="K188" s="75"/>
      <c r="L188" s="91">
        <f t="shared" ref="L188:N188" ca="1" si="165">L191+L194</f>
        <v>3396000</v>
      </c>
      <c r="M188" s="91">
        <f t="shared" ca="1" si="165"/>
        <v>3289271</v>
      </c>
      <c r="N188" s="91">
        <f t="shared" ca="1" si="165"/>
        <v>2281189.9599999902</v>
      </c>
      <c r="O188" s="91">
        <f t="shared" ca="1" si="158"/>
        <v>67.172849234393112</v>
      </c>
      <c r="P188" s="91">
        <f t="shared" ca="1" si="159"/>
        <v>69.352448004435942</v>
      </c>
      <c r="Q188" s="134">
        <f t="shared" ref="Q188:S188" ca="1" si="166">Q191+Q194</f>
        <v>1356738</v>
      </c>
      <c r="R188" s="135">
        <f t="shared" ca="1" si="166"/>
        <v>1430738</v>
      </c>
      <c r="S188" s="135">
        <f t="shared" ca="1" si="166"/>
        <v>169200</v>
      </c>
      <c r="T188" s="135">
        <f t="shared" ca="1" si="161"/>
        <v>12.471088743736816</v>
      </c>
      <c r="U188" s="135">
        <f t="shared" ca="1" si="162"/>
        <v>11.826064590442135</v>
      </c>
    </row>
    <row r="189" spans="1:21" ht="18.75" x14ac:dyDescent="0.25">
      <c r="A189" s="211"/>
      <c r="B189" s="70"/>
      <c r="C189" s="70"/>
      <c r="D189" s="71" t="s">
        <v>22</v>
      </c>
      <c r="E189" s="70"/>
      <c r="F189" s="70"/>
      <c r="G189" s="72"/>
      <c r="H189" s="220" t="s">
        <v>14</v>
      </c>
      <c r="I189" s="221"/>
      <c r="J189" s="221"/>
      <c r="K189" s="222"/>
      <c r="L189" s="91">
        <f t="shared" ref="L189:N189" ca="1" si="167">L190+L191</f>
        <v>3396000</v>
      </c>
      <c r="M189" s="91">
        <f t="shared" ca="1" si="167"/>
        <v>3289271</v>
      </c>
      <c r="N189" s="91">
        <f t="shared" ca="1" si="167"/>
        <v>2281189.9599999902</v>
      </c>
      <c r="O189" s="91">
        <f t="shared" ca="1" si="158"/>
        <v>67.172849234393112</v>
      </c>
      <c r="P189" s="91">
        <f t="shared" ca="1" si="159"/>
        <v>69.352448004435942</v>
      </c>
      <c r="Q189" s="134">
        <f t="shared" ref="Q189:S189" ca="1" si="168">Q190+Q191</f>
        <v>1356738</v>
      </c>
      <c r="R189" s="135">
        <f t="shared" ca="1" si="168"/>
        <v>1430738</v>
      </c>
      <c r="S189" s="135">
        <f t="shared" ca="1" si="168"/>
        <v>169200</v>
      </c>
      <c r="T189" s="135">
        <f t="shared" ca="1" si="161"/>
        <v>12.471088743736816</v>
      </c>
      <c r="U189" s="135">
        <f t="shared" ca="1" si="162"/>
        <v>11.826064590442135</v>
      </c>
    </row>
    <row r="190" spans="1:21" ht="18.75" x14ac:dyDescent="0.25">
      <c r="A190" s="211"/>
      <c r="B190" s="70"/>
      <c r="C190" s="70"/>
      <c r="D190" s="70"/>
      <c r="E190" s="78" t="s">
        <v>36</v>
      </c>
      <c r="F190" s="70"/>
      <c r="G190" s="72"/>
      <c r="H190" s="220" t="s">
        <v>14</v>
      </c>
      <c r="I190" s="221"/>
      <c r="J190" s="221"/>
      <c r="K190" s="222"/>
      <c r="L190" s="91">
        <f ca="1">IFERROR(__xludf.DUMMYFUNCTION("IMPORTRANGE(""https://docs.google.com/spreadsheets/d/13wPX838HrBrQMCywv1BsuMkt4PEKTChp52zj44s2izQ/edit?usp=sharing"",""กาญจนบุรี!L190"")+IMPORTRANGE(""https://docs.google.com/spreadsheets/d/1ddFKvqj1W1NEiWytbGlB1zMx_ykJDVtmfEQ-6-lIUBA/edit?usp=sharing"","&amp;"""จันทบุรี!L190"")+IMPORTRANGE(""https://docs.google.com/spreadsheets/d/1T1PQvRODqOBZk8BRht_U031fIS1beLA0Ub2CEytj2q0/edit?usp=sharing"",""ฉะเชิงเทรา!L190"")+IMPORTRANGE(""https://docs.google.com/spreadsheets/d/11tr1B-Bhyr79v2bkwVh5h_fR-PStkgjlZtkrZpYurG0/"&amp;"edit?usp=sharing"",""ชลบุรี!L190"")+IMPORTRANGE(""https://docs.google.com/spreadsheets/d/1hh-FVnSX0vozXhGluamEcS54Dw9_zqW0N7qJUWgJ0Sw/edit?usp=sharing"",""ชัยนาท!L190"")+IMPORTRANGE(""https://docs.google.com/spreadsheets/d/1jkqa6GXxSacMcY1eN8AHjMNJ_7dDXMJ"&amp;"VRLDlaFSOdPM/edit?usp=sharing"",""ตราด!L190"")+IMPORTRANGE(""https://docs.google.com/spreadsheets/d/18hSgUJ3VwClqi_qtULmmW3cLr0oe3OKaSYoKzdpTsYQ/edit?usp=sharing"",""นครนายก!L190"")+IMPORTRANGE(""https://docs.google.com/spreadsheets/d/1YTZo6WM2dQ6Ix6FSdnL"&amp;"5P7uVnVKu40sxZu975tgG10E/edit?usp=sharing"",""นครปฐม!L190"")+IMPORTRANGE(""https://docs.google.com/spreadsheets/d/1OYoGg4WDg5RIzwGeB10padOxJF9E_Vljuvvct_M7RDo/edit?usp=sharing"",""ปทุมธานี!L190"")+IMPORTRANGE(""https://docs.google.com/spreadsheets/d/1GbCI"&amp;"E4D4wk9FUozzqk7SxfDMxDVBwVmI5zcaVUSzKAc/edit?usp=sharing"",""ประจวบคีรีขันธ์!L190"")+IMPORTRANGE(""https://docs.google.com/spreadsheets/d/1vVf6wykvW_lAyu7Yo9L4hUTqHqIeP_qcVuxCtosJEbg/edit?usp=sharing"",""ปราจีนบุรี!L190"")+IMPORTRANGE(""https://docs.googl"&amp;"e.com/spreadsheets/d/1BIDqLLg5jk3v59G8NlR8rk5xfQDKne0sAvZHSj7TI6I/edit?usp=sharing"",""พระนครศรีอยุธยา!L190"")+IMPORTRANGE(""https://docs.google.com/spreadsheets/d/1YXvxf8Yu6_rV4hTBrwMqAcAnv6DfhUxh5emyM3CJp_w/edit?usp=sharing"",""เพชรบุรี!L190"")+IMPORTRA"&amp;"NGE(""https://docs.google.com/spreadsheets/d/19KBlQQs7uwvsao6t2n-KvW3Ax8J8uRRfZPq1zPbXgKc/edit?usp=sharing"",""ระยอง!L190"")+IMPORTRANGE(""https://docs.google.com/spreadsheets/d/1jQ6P4QcrGM89YfqcC_PxOHGCMq5ezhucwJd8ci-NHng/edit?usp=sharing"",""ราชบุรี!L19"&amp;"0"")+IMPORTRANGE(""https://docs.google.com/spreadsheets/d/1lufeA2cfFqM-elVq2hznhDzC6Pr7wkJ9ZG_sYNGCMCU/edit?usp=sharing"",""ลพบุรี!L190"")+IMPORTRANGE(""https://docs.google.com/spreadsheets/d/10oOiF7loTyfsTkbd4MpaIm0HQ9SwB7IYHdIUvt-U1Uc/edit?usp=sharing"""&amp;",""สระแก้ว!L190"")+IMPORTRANGE(""https://docs.google.com/spreadsheets/d/1xmPlrr1QbdSIKvl1dWUl9K4PjAfSL9oeMr_37QVzcxc/edit?usp=sharing"",""สระบุรี!L190"")+IMPORTRANGE(""https://docs.google.com/spreadsheets/d/1j51vR6CYVGhABJpv6tkstgok82RLpXieLzW1yOY5rHw/edi"&amp;"t?usp=sharing"",""สิงห์บุรี!L190"")+IMPORTRANGE(""https://docs.google.com/spreadsheets/d/1H1EalTWKUSzO4Z1-1CwzoDUaVffgrThEBe2sl74kKG0/edit?usp=sharing"",""สุพรรณบุรี!L190"")+IMPORTRANGE(""https://docs.google.com/spreadsheets/d/1BmIruG_sIrJLYao_Pdr7zVArWsf"&amp;"oBt2692TMi6x_854/edit?usp=sharing"",""อ่างทอง!L190"")"),0)</f>
        <v>0</v>
      </c>
      <c r="M190" s="91">
        <f ca="1">IFERROR(__xludf.DUMMYFUNCTION("IMPORTRANGE(""https://docs.google.com/spreadsheets/d/13wPX838HrBrQMCywv1BsuMkt4PEKTChp52zj44s2izQ/edit?usp=sharing"",""กาญจนบุรี!M190"")+IMPORTRANGE(""https://docs.google.com/spreadsheets/d/1ddFKvqj1W1NEiWytbGlB1zMx_ykJDVtmfEQ-6-lIUBA/edit?usp=sharing"","&amp;"""จันทบุรี!M190"")+IMPORTRANGE(""https://docs.google.com/spreadsheets/d/1T1PQvRODqOBZk8BRht_U031fIS1beLA0Ub2CEytj2q0/edit?usp=sharing"",""ฉะเชิงเทรา!M190"")+IMPORTRANGE(""https://docs.google.com/spreadsheets/d/11tr1B-Bhyr79v2bkwVh5h_fR-PStkgjlZtkrZpYurG0/"&amp;"edit?usp=sharing"",""ชลบุรี!M190"")+IMPORTRANGE(""https://docs.google.com/spreadsheets/d/1hh-FVnSX0vozXhGluamEcS54Dw9_zqW0N7qJUWgJ0Sw/edit?usp=sharing"",""ชัยนาท!M190"")+IMPORTRANGE(""https://docs.google.com/spreadsheets/d/1jkqa6GXxSacMcY1eN8AHjMNJ_7dDXMJ"&amp;"VRLDlaFSOdPM/edit?usp=sharing"",""ตราด!M190"")+IMPORTRANGE(""https://docs.google.com/spreadsheets/d/18hSgUJ3VwClqi_qtULmmW3cLr0oe3OKaSYoKzdpTsYQ/edit?usp=sharing"",""นครนายก!M190"")+IMPORTRANGE(""https://docs.google.com/spreadsheets/d/1YTZo6WM2dQ6Ix6FSdnL"&amp;"5P7uVnVKu40sxZu975tgG10E/edit?usp=sharing"",""นครปฐม!M190"")+IMPORTRANGE(""https://docs.google.com/spreadsheets/d/1OYoGg4WDg5RIzwGeB10padOxJF9E_Vljuvvct_M7RDo/edit?usp=sharing"",""ปทุมธานี!M190"")+IMPORTRANGE(""https://docs.google.com/spreadsheets/d/1GbCI"&amp;"E4D4wk9FUozzqk7SxfDMxDVBwVmI5zcaVUSzKAc/edit?usp=sharing"",""ประจวบคีรีขันธ์!M190"")+IMPORTRANGE(""https://docs.google.com/spreadsheets/d/1vVf6wykvW_lAyu7Yo9L4hUTqHqIeP_qcVuxCtosJEbg/edit?usp=sharing"",""ปราจีนบุรี!M190"")+IMPORTRANGE(""https://docs.googl"&amp;"e.com/spreadsheets/d/1BIDqLLg5jk3v59G8NlR8rk5xfQDKne0sAvZHSj7TI6I/edit?usp=sharing"",""พระนครศรีอยุธยา!M190"")+IMPORTRANGE(""https://docs.google.com/spreadsheets/d/1YXvxf8Yu6_rV4hTBrwMqAcAnv6DfhUxh5emyM3CJp_w/edit?usp=sharing"",""เพชรบุรี!M190"")+IMPORTRA"&amp;"NGE(""https://docs.google.com/spreadsheets/d/19KBlQQs7uwvsao6t2n-KvW3Ax8J8uRRfZPq1zPbXgKc/edit?usp=sharing"",""ระยอง!M190"")+IMPORTRANGE(""https://docs.google.com/spreadsheets/d/1jQ6P4QcrGM89YfqcC_PxOHGCMq5ezhucwJd8ci-NHng/edit?usp=sharing"",""ราชบุรี!M19"&amp;"0"")+IMPORTRANGE(""https://docs.google.com/spreadsheets/d/1lufeA2cfFqM-elVq2hznhDzC6Pr7wkJ9ZG_sYNGCMCU/edit?usp=sharing"",""ลพบุรี!M190"")+IMPORTRANGE(""https://docs.google.com/spreadsheets/d/10oOiF7loTyfsTkbd4MpaIm0HQ9SwB7IYHdIUvt-U1Uc/edit?usp=sharing"""&amp;",""สระแก้ว!M190"")+IMPORTRANGE(""https://docs.google.com/spreadsheets/d/1xmPlrr1QbdSIKvl1dWUl9K4PjAfSL9oeMr_37QVzcxc/edit?usp=sharing"",""สระบุรี!M190"")+IMPORTRANGE(""https://docs.google.com/spreadsheets/d/1j51vR6CYVGhABJpv6tkstgok82RLpXieLzW1yOY5rHw/edi"&amp;"t?usp=sharing"",""สิงห์บุรี!M190"")+IMPORTRANGE(""https://docs.google.com/spreadsheets/d/1H1EalTWKUSzO4Z1-1CwzoDUaVffgrThEBe2sl74kKG0/edit?usp=sharing"",""สุพรรณบุรี!M190"")+IMPORTRANGE(""https://docs.google.com/spreadsheets/d/1BmIruG_sIrJLYao_Pdr7zVArWsf"&amp;"oBt2692TMi6x_854/edit?usp=sharing"",""อ่างทอง!M190"")"),0)</f>
        <v>0</v>
      </c>
      <c r="N190" s="91">
        <f ca="1">IFERROR(__xludf.DUMMYFUNCTION("IMPORTRANGE(""https://docs.google.com/spreadsheets/d/13wPX838HrBrQMCywv1BsuMkt4PEKTChp52zj44s2izQ/edit?usp=sharing"",""กาญจนบุรี!N190"")+IMPORTRANGE(""https://docs.google.com/spreadsheets/d/1ddFKvqj1W1NEiWytbGlB1zMx_ykJDVtmfEQ-6-lIUBA/edit?usp=sharing"","&amp;"""จันทบุรี!N190"")+IMPORTRANGE(""https://docs.google.com/spreadsheets/d/1T1PQvRODqOBZk8BRht_U031fIS1beLA0Ub2CEytj2q0/edit?usp=sharing"",""ฉะเชิงเทรา!N190"")+IMPORTRANGE(""https://docs.google.com/spreadsheets/d/11tr1B-Bhyr79v2bkwVh5h_fR-PStkgjlZtkrZpYurG0/"&amp;"edit?usp=sharing"",""ชลบุรี!N190"")+IMPORTRANGE(""https://docs.google.com/spreadsheets/d/1hh-FVnSX0vozXhGluamEcS54Dw9_zqW0N7qJUWgJ0Sw/edit?usp=sharing"",""ชัยนาท!N190"")+IMPORTRANGE(""https://docs.google.com/spreadsheets/d/1jkqa6GXxSacMcY1eN8AHjMNJ_7dDXMJ"&amp;"VRLDlaFSOdPM/edit?usp=sharing"",""ตราด!N190"")+IMPORTRANGE(""https://docs.google.com/spreadsheets/d/18hSgUJ3VwClqi_qtULmmW3cLr0oe3OKaSYoKzdpTsYQ/edit?usp=sharing"",""นครนายก!N190"")+IMPORTRANGE(""https://docs.google.com/spreadsheets/d/1YTZo6WM2dQ6Ix6FSdnL"&amp;"5P7uVnVKu40sxZu975tgG10E/edit?usp=sharing"",""นครปฐม!N190"")+IMPORTRANGE(""https://docs.google.com/spreadsheets/d/1OYoGg4WDg5RIzwGeB10padOxJF9E_Vljuvvct_M7RDo/edit?usp=sharing"",""ปทุมธานี!N190"")+IMPORTRANGE(""https://docs.google.com/spreadsheets/d/1GbCI"&amp;"E4D4wk9FUozzqk7SxfDMxDVBwVmI5zcaVUSzKAc/edit?usp=sharing"",""ประจวบคีรีขันธ์!N190"")+IMPORTRANGE(""https://docs.google.com/spreadsheets/d/1vVf6wykvW_lAyu7Yo9L4hUTqHqIeP_qcVuxCtosJEbg/edit?usp=sharing"",""ปราจีนบุรี!N190"")+IMPORTRANGE(""https://docs.googl"&amp;"e.com/spreadsheets/d/1BIDqLLg5jk3v59G8NlR8rk5xfQDKne0sAvZHSj7TI6I/edit?usp=sharing"",""พระนครศรีอยุธยา!N190"")+IMPORTRANGE(""https://docs.google.com/spreadsheets/d/1YXvxf8Yu6_rV4hTBrwMqAcAnv6DfhUxh5emyM3CJp_w/edit?usp=sharing"",""เพชรบุรี!N190"")+IMPORTRA"&amp;"NGE(""https://docs.google.com/spreadsheets/d/19KBlQQs7uwvsao6t2n-KvW3Ax8J8uRRfZPq1zPbXgKc/edit?usp=sharing"",""ระยอง!N190"")+IMPORTRANGE(""https://docs.google.com/spreadsheets/d/1jQ6P4QcrGM89YfqcC_PxOHGCMq5ezhucwJd8ci-NHng/edit?usp=sharing"",""ราชบุรี!N19"&amp;"0"")+IMPORTRANGE(""https://docs.google.com/spreadsheets/d/1lufeA2cfFqM-elVq2hznhDzC6Pr7wkJ9ZG_sYNGCMCU/edit?usp=sharing"",""ลพบุรี!N190"")+IMPORTRANGE(""https://docs.google.com/spreadsheets/d/10oOiF7loTyfsTkbd4MpaIm0HQ9SwB7IYHdIUvt-U1Uc/edit?usp=sharing"""&amp;",""สระแก้ว!N190"")+IMPORTRANGE(""https://docs.google.com/spreadsheets/d/1xmPlrr1QbdSIKvl1dWUl9K4PjAfSL9oeMr_37QVzcxc/edit?usp=sharing"",""สระบุรี!N190"")+IMPORTRANGE(""https://docs.google.com/spreadsheets/d/1j51vR6CYVGhABJpv6tkstgok82RLpXieLzW1yOY5rHw/edi"&amp;"t?usp=sharing"",""สิงห์บุรี!N190"")+IMPORTRANGE(""https://docs.google.com/spreadsheets/d/1H1EalTWKUSzO4Z1-1CwzoDUaVffgrThEBe2sl74kKG0/edit?usp=sharing"",""สุพรรณบุรี!N190"")+IMPORTRANGE(""https://docs.google.com/spreadsheets/d/1BmIruG_sIrJLYao_Pdr7zVArWsf"&amp;"oBt2692TMi6x_854/edit?usp=sharing"",""อ่างทอง!N190"")"),0)</f>
        <v>0</v>
      </c>
      <c r="O190" s="91">
        <f t="shared" ca="1" si="158"/>
        <v>0</v>
      </c>
      <c r="P190" s="91">
        <f t="shared" ca="1" si="159"/>
        <v>0</v>
      </c>
      <c r="Q190" s="79">
        <f ca="1">IFERROR(__xludf.DUMMYFUNCTION("IMPORTRANGE(""https://docs.google.com/spreadsheets/d/13wPX838HrBrQMCywv1BsuMkt4PEKTChp52zj44s2izQ/edit?usp=sharing"",""กาญจนบุรี!Q190"")+IMPORTRANGE(""https://docs.google.com/spreadsheets/d/1ddFKvqj1W1NEiWytbGlB1zMx_ykJDVtmfEQ-6-lIUBA/edit?usp=sharing"","&amp;"""จันทบุรี!Q190"")+IMPORTRANGE(""https://docs.google.com/spreadsheets/d/1T1PQvRODqOBZk8BRht_U031fIS1beLA0Ub2CEytj2q0/edit?usp=sharing"",""ฉะเชิงเทรา!Q190"")+IMPORTRANGE(""https://docs.google.com/spreadsheets/d/11tr1B-Bhyr79v2bkwVh5h_fR-PStkgjlZtkrZpYurG0/"&amp;"edit?usp=sharing"",""ชลบุรี!Q190"")+IMPORTRANGE(""https://docs.google.com/spreadsheets/d/1hh-FVnSX0vozXhGluamEcS54Dw9_zqW0N7qJUWgJ0Sw/edit?usp=sharing"",""ชัยนาท!Q190"")+IMPORTRANGE(""https://docs.google.com/spreadsheets/d/1jkqa6GXxSacMcY1eN8AHjMNJ_7dDXMJ"&amp;"VRLDlaFSOdPM/edit?usp=sharing"",""ตราด!Q190"")+IMPORTRANGE(""https://docs.google.com/spreadsheets/d/18hSgUJ3VwClqi_qtULmmW3cLr0oe3OKaSYoKzdpTsYQ/edit?usp=sharing"",""นครนายก!Q190"")+IMPORTRANGE(""https://docs.google.com/spreadsheets/d/1YTZo6WM2dQ6Ix6FSdnL"&amp;"5P7uVnVKu40sxZu975tgG10E/edit?usp=sharing"",""นครปฐม!Q190"")+IMPORTRANGE(""https://docs.google.com/spreadsheets/d/1OYoGg4WDg5RIzwGeB10padOxJF9E_Vljuvvct_M7RDo/edit?usp=sharing"",""ปทุมธานี!Q190"")+IMPORTRANGE(""https://docs.google.com/spreadsheets/d/1GbCI"&amp;"E4D4wk9FUozzqk7SxfDMxDVBwVmI5zcaVUSzKAc/edit?usp=sharing"",""ประจวบคีรีขันธ์!Q190"")+IMPORTRANGE(""https://docs.google.com/spreadsheets/d/1vVf6wykvW_lAyu7Yo9L4hUTqHqIeP_qcVuxCtosJEbg/edit?usp=sharing"",""ปราจีนบุรี!Q190"")+IMPORTRANGE(""https://docs.googl"&amp;"e.com/spreadsheets/d/1BIDqLLg5jk3v59G8NlR8rk5xfQDKne0sAvZHSj7TI6I/edit?usp=sharing"",""พระนครศรีอยุธยา!Q190"")+IMPORTRANGE(""https://docs.google.com/spreadsheets/d/1YXvxf8Yu6_rV4hTBrwMqAcAnv6DfhUxh5emyM3CJp_w/edit?usp=sharing"",""เพชรบุรี!Q190"")+IMPORTRA"&amp;"NGE(""https://docs.google.com/spreadsheets/d/19KBlQQs7uwvsao6t2n-KvW3Ax8J8uRRfZPq1zPbXgKc/edit?usp=sharing"",""ระยอง!Q190"")+IMPORTRANGE(""https://docs.google.com/spreadsheets/d/1jQ6P4QcrGM89YfqcC_PxOHGCMq5ezhucwJd8ci-NHng/edit?usp=sharing"",""ราชบุรี!Q19"&amp;"0"")+IMPORTRANGE(""https://docs.google.com/spreadsheets/d/1lufeA2cfFqM-elVq2hznhDzC6Pr7wkJ9ZG_sYNGCMCU/edit?usp=sharing"",""ลพบุรี!Q190"")+IMPORTRANGE(""https://docs.google.com/spreadsheets/d/10oOiF7loTyfsTkbd4MpaIm0HQ9SwB7IYHdIUvt-U1Uc/edit?usp=sharing"""&amp;",""สระแก้ว!Q190"")+IMPORTRANGE(""https://docs.google.com/spreadsheets/d/1xmPlrr1QbdSIKvl1dWUl9K4PjAfSL9oeMr_37QVzcxc/edit?usp=sharing"",""สระบุรี!Q190"")+IMPORTRANGE(""https://docs.google.com/spreadsheets/d/1j51vR6CYVGhABJpv6tkstgok82RLpXieLzW1yOY5rHw/edi"&amp;"t?usp=sharing"",""สิงห์บุรี!Q190"")+IMPORTRANGE(""https://docs.google.com/spreadsheets/d/1H1EalTWKUSzO4Z1-1CwzoDUaVffgrThEBe2sl74kKG0/edit?usp=sharing"",""สุพรรณบุรี!Q190"")+IMPORTRANGE(""https://docs.google.com/spreadsheets/d/1BmIruG_sIrJLYao_Pdr7zVArWsf"&amp;"oBt2692TMi6x_854/edit?usp=sharing"",""อ่างทอง!Q190"")"),0)</f>
        <v>0</v>
      </c>
      <c r="R190" s="80">
        <f ca="1">IFERROR(__xludf.DUMMYFUNCTION("IMPORTRANGE(""https://docs.google.com/spreadsheets/d/13wPX838HrBrQMCywv1BsuMkt4PEKTChp52zj44s2izQ/edit?usp=sharing"",""กาญจนบุรี!R190"")+IMPORTRANGE(""https://docs.google.com/spreadsheets/d/1ddFKvqj1W1NEiWytbGlB1zMx_ykJDVtmfEQ-6-lIUBA/edit?usp=sharing"","&amp;"""จันทบุรี!R190"")+IMPORTRANGE(""https://docs.google.com/spreadsheets/d/1T1PQvRODqOBZk8BRht_U031fIS1beLA0Ub2CEytj2q0/edit?usp=sharing"",""ฉะเชิงเทรา!R190"")+IMPORTRANGE(""https://docs.google.com/spreadsheets/d/11tr1B-Bhyr79v2bkwVh5h_fR-PStkgjlZtkrZpYurG0/"&amp;"edit?usp=sharing"",""ชลบุรี!R190"")+IMPORTRANGE(""https://docs.google.com/spreadsheets/d/1hh-FVnSX0vozXhGluamEcS54Dw9_zqW0N7qJUWgJ0Sw/edit?usp=sharing"",""ชัยนาท!R190"")+IMPORTRANGE(""https://docs.google.com/spreadsheets/d/1jkqa6GXxSacMcY1eN8AHjMNJ_7dDXMJ"&amp;"VRLDlaFSOdPM/edit?usp=sharing"",""ตราด!R190"")+IMPORTRANGE(""https://docs.google.com/spreadsheets/d/18hSgUJ3VwClqi_qtULmmW3cLr0oe3OKaSYoKzdpTsYQ/edit?usp=sharing"",""นครนายก!R190"")+IMPORTRANGE(""https://docs.google.com/spreadsheets/d/1YTZo6WM2dQ6Ix6FSdnL"&amp;"5P7uVnVKu40sxZu975tgG10E/edit?usp=sharing"",""นครปฐม!R190"")+IMPORTRANGE(""https://docs.google.com/spreadsheets/d/1OYoGg4WDg5RIzwGeB10padOxJF9E_Vljuvvct_M7RDo/edit?usp=sharing"",""ปทุมธานี!R190"")+IMPORTRANGE(""https://docs.google.com/spreadsheets/d/1GbCI"&amp;"E4D4wk9FUozzqk7SxfDMxDVBwVmI5zcaVUSzKAc/edit?usp=sharing"",""ประจวบคีรีขันธ์!R190"")+IMPORTRANGE(""https://docs.google.com/spreadsheets/d/1vVf6wykvW_lAyu7Yo9L4hUTqHqIeP_qcVuxCtosJEbg/edit?usp=sharing"",""ปราจีนบุรี!R190"")+IMPORTRANGE(""https://docs.googl"&amp;"e.com/spreadsheets/d/1BIDqLLg5jk3v59G8NlR8rk5xfQDKne0sAvZHSj7TI6I/edit?usp=sharing"",""พระนครศรีอยุธยา!R190"")+IMPORTRANGE(""https://docs.google.com/spreadsheets/d/1YXvxf8Yu6_rV4hTBrwMqAcAnv6DfhUxh5emyM3CJp_w/edit?usp=sharing"",""เพชรบุรี!R190"")+IMPORTRA"&amp;"NGE(""https://docs.google.com/spreadsheets/d/19KBlQQs7uwvsao6t2n-KvW3Ax8J8uRRfZPq1zPbXgKc/edit?usp=sharing"",""ระยอง!R190"")+IMPORTRANGE(""https://docs.google.com/spreadsheets/d/1jQ6P4QcrGM89YfqcC_PxOHGCMq5ezhucwJd8ci-NHng/edit?usp=sharing"",""ราชบุรี!R19"&amp;"0"")+IMPORTRANGE(""https://docs.google.com/spreadsheets/d/1lufeA2cfFqM-elVq2hznhDzC6Pr7wkJ9ZG_sYNGCMCU/edit?usp=sharing"",""ลพบุรี!R190"")+IMPORTRANGE(""https://docs.google.com/spreadsheets/d/10oOiF7loTyfsTkbd4MpaIm0HQ9SwB7IYHdIUvt-U1Uc/edit?usp=sharing"""&amp;",""สระแก้ว!R190"")+IMPORTRANGE(""https://docs.google.com/spreadsheets/d/1xmPlrr1QbdSIKvl1dWUl9K4PjAfSL9oeMr_37QVzcxc/edit?usp=sharing"",""สระบุรี!R190"")+IMPORTRANGE(""https://docs.google.com/spreadsheets/d/1j51vR6CYVGhABJpv6tkstgok82RLpXieLzW1yOY5rHw/edi"&amp;"t?usp=sharing"",""สิงห์บุรี!R190"")+IMPORTRANGE(""https://docs.google.com/spreadsheets/d/1H1EalTWKUSzO4Z1-1CwzoDUaVffgrThEBe2sl74kKG0/edit?usp=sharing"",""สุพรรณบุรี!R190"")+IMPORTRANGE(""https://docs.google.com/spreadsheets/d/1BmIruG_sIrJLYao_Pdr7zVArWsf"&amp;"oBt2692TMi6x_854/edit?usp=sharing"",""อ่างทอง!R190"")"),0)</f>
        <v>0</v>
      </c>
      <c r="S190" s="80">
        <f ca="1">IFERROR(__xludf.DUMMYFUNCTION("IMPORTRANGE(""https://docs.google.com/spreadsheets/d/13wPX838HrBrQMCywv1BsuMkt4PEKTChp52zj44s2izQ/edit?usp=sharing"",""กาญจนบุรี!S190"")+IMPORTRANGE(""https://docs.google.com/spreadsheets/d/1ddFKvqj1W1NEiWytbGlB1zMx_ykJDVtmfEQ-6-lIUBA/edit?usp=sharing"","&amp;"""จันทบุรี!S190"")+IMPORTRANGE(""https://docs.google.com/spreadsheets/d/1T1PQvRODqOBZk8BRht_U031fIS1beLA0Ub2CEytj2q0/edit?usp=sharing"",""ฉะเชิงเทรา!S190"")+IMPORTRANGE(""https://docs.google.com/spreadsheets/d/11tr1B-Bhyr79v2bkwVh5h_fR-PStkgjlZtkrZpYurG0/"&amp;"edit?usp=sharing"",""ชลบุรี!S190"")+IMPORTRANGE(""https://docs.google.com/spreadsheets/d/1hh-FVnSX0vozXhGluamEcS54Dw9_zqW0N7qJUWgJ0Sw/edit?usp=sharing"",""ชัยนาท!S190"")+IMPORTRANGE(""https://docs.google.com/spreadsheets/d/1jkqa6GXxSacMcY1eN8AHjMNJ_7dDXMJ"&amp;"VRLDlaFSOdPM/edit?usp=sharing"",""ตราด!S190"")+IMPORTRANGE(""https://docs.google.com/spreadsheets/d/18hSgUJ3VwClqi_qtULmmW3cLr0oe3OKaSYoKzdpTsYQ/edit?usp=sharing"",""นครนายก!S190"")+IMPORTRANGE(""https://docs.google.com/spreadsheets/d/1YTZo6WM2dQ6Ix6FSdnL"&amp;"5P7uVnVKu40sxZu975tgG10E/edit?usp=sharing"",""นครปฐม!S190"")+IMPORTRANGE(""https://docs.google.com/spreadsheets/d/1OYoGg4WDg5RIzwGeB10padOxJF9E_Vljuvvct_M7RDo/edit?usp=sharing"",""ปทุมธานี!S190"")+IMPORTRANGE(""https://docs.google.com/spreadsheets/d/1GbCI"&amp;"E4D4wk9FUozzqk7SxfDMxDVBwVmI5zcaVUSzKAc/edit?usp=sharing"",""ประจวบคีรีขันธ์!S190"")+IMPORTRANGE(""https://docs.google.com/spreadsheets/d/1vVf6wykvW_lAyu7Yo9L4hUTqHqIeP_qcVuxCtosJEbg/edit?usp=sharing"",""ปราจีนบุรี!S190"")+IMPORTRANGE(""https://docs.googl"&amp;"e.com/spreadsheets/d/1BIDqLLg5jk3v59G8NlR8rk5xfQDKne0sAvZHSj7TI6I/edit?usp=sharing"",""พระนครศรีอยุธยา!S190"")+IMPORTRANGE(""https://docs.google.com/spreadsheets/d/1YXvxf8Yu6_rV4hTBrwMqAcAnv6DfhUxh5emyM3CJp_w/edit?usp=sharing"",""เพชรบุรี!S190"")+IMPORTRA"&amp;"NGE(""https://docs.google.com/spreadsheets/d/19KBlQQs7uwvsao6t2n-KvW3Ax8J8uRRfZPq1zPbXgKc/edit?usp=sharing"",""ระยอง!S190"")+IMPORTRANGE(""https://docs.google.com/spreadsheets/d/1jQ6P4QcrGM89YfqcC_PxOHGCMq5ezhucwJd8ci-NHng/edit?usp=sharing"",""ราชบุรี!S19"&amp;"0"")+IMPORTRANGE(""https://docs.google.com/spreadsheets/d/1lufeA2cfFqM-elVq2hznhDzC6Pr7wkJ9ZG_sYNGCMCU/edit?usp=sharing"",""ลพบุรี!S190"")+IMPORTRANGE(""https://docs.google.com/spreadsheets/d/10oOiF7loTyfsTkbd4MpaIm0HQ9SwB7IYHdIUvt-U1Uc/edit?usp=sharing"""&amp;",""สระแก้ว!S190"")+IMPORTRANGE(""https://docs.google.com/spreadsheets/d/1xmPlrr1QbdSIKvl1dWUl9K4PjAfSL9oeMr_37QVzcxc/edit?usp=sharing"",""สระบุรี!S190"")+IMPORTRANGE(""https://docs.google.com/spreadsheets/d/1j51vR6CYVGhABJpv6tkstgok82RLpXieLzW1yOY5rHw/edi"&amp;"t?usp=sharing"",""สิงห์บุรี!S190"")+IMPORTRANGE(""https://docs.google.com/spreadsheets/d/1H1EalTWKUSzO4Z1-1CwzoDUaVffgrThEBe2sl74kKG0/edit?usp=sharing"",""สุพรรณบุรี!S190"")+IMPORTRANGE(""https://docs.google.com/spreadsheets/d/1BmIruG_sIrJLYao_Pdr7zVArWsf"&amp;"oBt2692TMi6x_854/edit?usp=sharing"",""อ่างทอง!S190"")"),0)</f>
        <v>0</v>
      </c>
      <c r="T190" s="136">
        <f t="shared" ca="1" si="161"/>
        <v>0</v>
      </c>
      <c r="U190" s="136">
        <f t="shared" ca="1" si="162"/>
        <v>0</v>
      </c>
    </row>
    <row r="191" spans="1:21" ht="18.75" x14ac:dyDescent="0.25">
      <c r="A191" s="211"/>
      <c r="B191" s="70"/>
      <c r="C191" s="70"/>
      <c r="D191" s="70"/>
      <c r="E191" s="78" t="s">
        <v>37</v>
      </c>
      <c r="F191" s="70"/>
      <c r="G191" s="72"/>
      <c r="H191" s="220" t="s">
        <v>14</v>
      </c>
      <c r="I191" s="221"/>
      <c r="J191" s="221"/>
      <c r="K191" s="222"/>
      <c r="L191" s="91">
        <f ca="1">IFERROR(__xludf.DUMMYFUNCTION("IMPORTRANGE(""https://docs.google.com/spreadsheets/d/13wPX838HrBrQMCywv1BsuMkt4PEKTChp52zj44s2izQ/edit?usp=sharing"",""กาญจนบุรี!L191"")+IMPORTRANGE(""https://docs.google.com/spreadsheets/d/1ddFKvqj1W1NEiWytbGlB1zMx_ykJDVtmfEQ-6-lIUBA/edit?usp=sharing"","&amp;"""จันทบุรี!L191"")+IMPORTRANGE(""https://docs.google.com/spreadsheets/d/1T1PQvRODqOBZk8BRht_U031fIS1beLA0Ub2CEytj2q0/edit?usp=sharing"",""ฉะเชิงเทรา!L191"")+IMPORTRANGE(""https://docs.google.com/spreadsheets/d/11tr1B-Bhyr79v2bkwVh5h_fR-PStkgjlZtkrZpYurG0/"&amp;"edit?usp=sharing"",""ชลบุรี!L191"")+IMPORTRANGE(""https://docs.google.com/spreadsheets/d/1hh-FVnSX0vozXhGluamEcS54Dw9_zqW0N7qJUWgJ0Sw/edit?usp=sharing"",""ชัยนาท!L191"")+IMPORTRANGE(""https://docs.google.com/spreadsheets/d/1jkqa6GXxSacMcY1eN8AHjMNJ_7dDXMJ"&amp;"VRLDlaFSOdPM/edit?usp=sharing"",""ตราด!L191"")+IMPORTRANGE(""https://docs.google.com/spreadsheets/d/18hSgUJ3VwClqi_qtULmmW3cLr0oe3OKaSYoKzdpTsYQ/edit?usp=sharing"",""นครนายก!L191"")+IMPORTRANGE(""https://docs.google.com/spreadsheets/d/1YTZo6WM2dQ6Ix6FSdnL"&amp;"5P7uVnVKu40sxZu975tgG10E/edit?usp=sharing"",""นครปฐม!L191"")+IMPORTRANGE(""https://docs.google.com/spreadsheets/d/1OYoGg4WDg5RIzwGeB10padOxJF9E_Vljuvvct_M7RDo/edit?usp=sharing"",""ปทุมธานี!L191"")+IMPORTRANGE(""https://docs.google.com/spreadsheets/d/1GbCI"&amp;"E4D4wk9FUozzqk7SxfDMxDVBwVmI5zcaVUSzKAc/edit?usp=sharing"",""ประจวบคีรีขันธ์!L191"")+IMPORTRANGE(""https://docs.google.com/spreadsheets/d/1vVf6wykvW_lAyu7Yo9L4hUTqHqIeP_qcVuxCtosJEbg/edit?usp=sharing"",""ปราจีนบุรี!L191"")+IMPORTRANGE(""https://docs.googl"&amp;"e.com/spreadsheets/d/1BIDqLLg5jk3v59G8NlR8rk5xfQDKne0sAvZHSj7TI6I/edit?usp=sharing"",""พระนครศรีอยุธยา!L191"")+IMPORTRANGE(""https://docs.google.com/spreadsheets/d/1YXvxf8Yu6_rV4hTBrwMqAcAnv6DfhUxh5emyM3CJp_w/edit?usp=sharing"",""เพชรบุรี!L191"")+IMPORTRA"&amp;"NGE(""https://docs.google.com/spreadsheets/d/19KBlQQs7uwvsao6t2n-KvW3Ax8J8uRRfZPq1zPbXgKc/edit?usp=sharing"",""ระยอง!L191"")+IMPORTRANGE(""https://docs.google.com/spreadsheets/d/1jQ6P4QcrGM89YfqcC_PxOHGCMq5ezhucwJd8ci-NHng/edit?usp=sharing"",""ราชบุรี!L19"&amp;"1"")+IMPORTRANGE(""https://docs.google.com/spreadsheets/d/1lufeA2cfFqM-elVq2hznhDzC6Pr7wkJ9ZG_sYNGCMCU/edit?usp=sharing"",""ลพบุรี!L191"")+IMPORTRANGE(""https://docs.google.com/spreadsheets/d/10oOiF7loTyfsTkbd4MpaIm0HQ9SwB7IYHdIUvt-U1Uc/edit?usp=sharing"""&amp;",""สระแก้ว!L191"")+IMPORTRANGE(""https://docs.google.com/spreadsheets/d/1xmPlrr1QbdSIKvl1dWUl9K4PjAfSL9oeMr_37QVzcxc/edit?usp=sharing"",""สระบุรี!L191"")+IMPORTRANGE(""https://docs.google.com/spreadsheets/d/1j51vR6CYVGhABJpv6tkstgok82RLpXieLzW1yOY5rHw/edi"&amp;"t?usp=sharing"",""สิงห์บุรี!L191"")+IMPORTRANGE(""https://docs.google.com/spreadsheets/d/1H1EalTWKUSzO4Z1-1CwzoDUaVffgrThEBe2sl74kKG0/edit?usp=sharing"",""สุพรรณบุรี!L191"")+IMPORTRANGE(""https://docs.google.com/spreadsheets/d/1BmIruG_sIrJLYao_Pdr7zVArWsf"&amp;"oBt2692TMi6x_854/edit?usp=sharing"",""อ่างทอง!L191"")"),3396000)</f>
        <v>3396000</v>
      </c>
      <c r="M191" s="91">
        <f ca="1">IFERROR(__xludf.DUMMYFUNCTION("IMPORTRANGE(""https://docs.google.com/spreadsheets/d/13wPX838HrBrQMCywv1BsuMkt4PEKTChp52zj44s2izQ/edit?usp=sharing"",""กาญจนบุรี!M191"")+IMPORTRANGE(""https://docs.google.com/spreadsheets/d/1ddFKvqj1W1NEiWytbGlB1zMx_ykJDVtmfEQ-6-lIUBA/edit?usp=sharing"","&amp;"""จันทบุรี!M191"")+IMPORTRANGE(""https://docs.google.com/spreadsheets/d/1T1PQvRODqOBZk8BRht_U031fIS1beLA0Ub2CEytj2q0/edit?usp=sharing"",""ฉะเชิงเทรา!M191"")+IMPORTRANGE(""https://docs.google.com/spreadsheets/d/11tr1B-Bhyr79v2bkwVh5h_fR-PStkgjlZtkrZpYurG0/"&amp;"edit?usp=sharing"",""ชลบุรี!M191"")+IMPORTRANGE(""https://docs.google.com/spreadsheets/d/1hh-FVnSX0vozXhGluamEcS54Dw9_zqW0N7qJUWgJ0Sw/edit?usp=sharing"",""ชัยนาท!M191"")+IMPORTRANGE(""https://docs.google.com/spreadsheets/d/1jkqa6GXxSacMcY1eN8AHjMNJ_7dDXMJ"&amp;"VRLDlaFSOdPM/edit?usp=sharing"",""ตราด!M191"")+IMPORTRANGE(""https://docs.google.com/spreadsheets/d/18hSgUJ3VwClqi_qtULmmW3cLr0oe3OKaSYoKzdpTsYQ/edit?usp=sharing"",""นครนายก!M191"")+IMPORTRANGE(""https://docs.google.com/spreadsheets/d/1YTZo6WM2dQ6Ix6FSdnL"&amp;"5P7uVnVKu40sxZu975tgG10E/edit?usp=sharing"",""นครปฐม!M191"")+IMPORTRANGE(""https://docs.google.com/spreadsheets/d/1OYoGg4WDg5RIzwGeB10padOxJF9E_Vljuvvct_M7RDo/edit?usp=sharing"",""ปทุมธานี!M191"")+IMPORTRANGE(""https://docs.google.com/spreadsheets/d/1GbCI"&amp;"E4D4wk9FUozzqk7SxfDMxDVBwVmI5zcaVUSzKAc/edit?usp=sharing"",""ประจวบคีรีขันธ์!M191"")+IMPORTRANGE(""https://docs.google.com/spreadsheets/d/1vVf6wykvW_lAyu7Yo9L4hUTqHqIeP_qcVuxCtosJEbg/edit?usp=sharing"",""ปราจีนบุรี!M191"")+IMPORTRANGE(""https://docs.googl"&amp;"e.com/spreadsheets/d/1BIDqLLg5jk3v59G8NlR8rk5xfQDKne0sAvZHSj7TI6I/edit?usp=sharing"",""พระนครศรีอยุธยา!M191"")+IMPORTRANGE(""https://docs.google.com/spreadsheets/d/1YXvxf8Yu6_rV4hTBrwMqAcAnv6DfhUxh5emyM3CJp_w/edit?usp=sharing"",""เพชรบุรี!M191"")+IMPORTRA"&amp;"NGE(""https://docs.google.com/spreadsheets/d/19KBlQQs7uwvsao6t2n-KvW3Ax8J8uRRfZPq1zPbXgKc/edit?usp=sharing"",""ระยอง!M191"")+IMPORTRANGE(""https://docs.google.com/spreadsheets/d/1jQ6P4QcrGM89YfqcC_PxOHGCMq5ezhucwJd8ci-NHng/edit?usp=sharing"",""ราชบุรี!M19"&amp;"1"")+IMPORTRANGE(""https://docs.google.com/spreadsheets/d/1lufeA2cfFqM-elVq2hznhDzC6Pr7wkJ9ZG_sYNGCMCU/edit?usp=sharing"",""ลพบุรี!M191"")+IMPORTRANGE(""https://docs.google.com/spreadsheets/d/10oOiF7loTyfsTkbd4MpaIm0HQ9SwB7IYHdIUvt-U1Uc/edit?usp=sharing"""&amp;",""สระแก้ว!M191"")+IMPORTRANGE(""https://docs.google.com/spreadsheets/d/1xmPlrr1QbdSIKvl1dWUl9K4PjAfSL9oeMr_37QVzcxc/edit?usp=sharing"",""สระบุรี!M191"")+IMPORTRANGE(""https://docs.google.com/spreadsheets/d/1j51vR6CYVGhABJpv6tkstgok82RLpXieLzW1yOY5rHw/edi"&amp;"t?usp=sharing"",""สิงห์บุรี!M191"")+IMPORTRANGE(""https://docs.google.com/spreadsheets/d/1H1EalTWKUSzO4Z1-1CwzoDUaVffgrThEBe2sl74kKG0/edit?usp=sharing"",""สุพรรณบุรี!M191"")+IMPORTRANGE(""https://docs.google.com/spreadsheets/d/1BmIruG_sIrJLYao_Pdr7zVArWsf"&amp;"oBt2692TMi6x_854/edit?usp=sharing"",""อ่างทอง!M191"")"),3289271)</f>
        <v>3289271</v>
      </c>
      <c r="N191" s="91">
        <f ca="1">IFERROR(__xludf.DUMMYFUNCTION("IMPORTRANGE(""https://docs.google.com/spreadsheets/d/13wPX838HrBrQMCywv1BsuMkt4PEKTChp52zj44s2izQ/edit?usp=sharing"",""กาญจนบุรี!N191"")+IMPORTRANGE(""https://docs.google.com/spreadsheets/d/1ddFKvqj1W1NEiWytbGlB1zMx_ykJDVtmfEQ-6-lIUBA/edit?usp=sharing"","&amp;"""จันทบุรี!N191"")+IMPORTRANGE(""https://docs.google.com/spreadsheets/d/1T1PQvRODqOBZk8BRht_U031fIS1beLA0Ub2CEytj2q0/edit?usp=sharing"",""ฉะเชิงเทรา!N191"")+IMPORTRANGE(""https://docs.google.com/spreadsheets/d/11tr1B-Bhyr79v2bkwVh5h_fR-PStkgjlZtkrZpYurG0/"&amp;"edit?usp=sharing"",""ชลบุรี!N191"")+IMPORTRANGE(""https://docs.google.com/spreadsheets/d/1hh-FVnSX0vozXhGluamEcS54Dw9_zqW0N7qJUWgJ0Sw/edit?usp=sharing"",""ชัยนาท!N191"")+IMPORTRANGE(""https://docs.google.com/spreadsheets/d/1jkqa6GXxSacMcY1eN8AHjMNJ_7dDXMJ"&amp;"VRLDlaFSOdPM/edit?usp=sharing"",""ตราด!N191"")+IMPORTRANGE(""https://docs.google.com/spreadsheets/d/18hSgUJ3VwClqi_qtULmmW3cLr0oe3OKaSYoKzdpTsYQ/edit?usp=sharing"",""นครนายก!N191"")+IMPORTRANGE(""https://docs.google.com/spreadsheets/d/1YTZo6WM2dQ6Ix6FSdnL"&amp;"5P7uVnVKu40sxZu975tgG10E/edit?usp=sharing"",""นครปฐม!N191"")+IMPORTRANGE(""https://docs.google.com/spreadsheets/d/1OYoGg4WDg5RIzwGeB10padOxJF9E_Vljuvvct_M7RDo/edit?usp=sharing"",""ปทุมธานี!N191"")+IMPORTRANGE(""https://docs.google.com/spreadsheets/d/1GbCI"&amp;"E4D4wk9FUozzqk7SxfDMxDVBwVmI5zcaVUSzKAc/edit?usp=sharing"",""ประจวบคีรีขันธ์!N191"")+IMPORTRANGE(""https://docs.google.com/spreadsheets/d/1vVf6wykvW_lAyu7Yo9L4hUTqHqIeP_qcVuxCtosJEbg/edit?usp=sharing"",""ปราจีนบุรี!N191"")+IMPORTRANGE(""https://docs.googl"&amp;"e.com/spreadsheets/d/1BIDqLLg5jk3v59G8NlR8rk5xfQDKne0sAvZHSj7TI6I/edit?usp=sharing"",""พระนครศรีอยุธยา!N191"")+IMPORTRANGE(""https://docs.google.com/spreadsheets/d/1YXvxf8Yu6_rV4hTBrwMqAcAnv6DfhUxh5emyM3CJp_w/edit?usp=sharing"",""เพชรบุรี!N191"")+IMPORTRA"&amp;"NGE(""https://docs.google.com/spreadsheets/d/19KBlQQs7uwvsao6t2n-KvW3Ax8J8uRRfZPq1zPbXgKc/edit?usp=sharing"",""ระยอง!N191"")+IMPORTRANGE(""https://docs.google.com/spreadsheets/d/1jQ6P4QcrGM89YfqcC_PxOHGCMq5ezhucwJd8ci-NHng/edit?usp=sharing"",""ราชบุรี!N19"&amp;"1"")+IMPORTRANGE(""https://docs.google.com/spreadsheets/d/1lufeA2cfFqM-elVq2hznhDzC6Pr7wkJ9ZG_sYNGCMCU/edit?usp=sharing"",""ลพบุรี!N191"")+IMPORTRANGE(""https://docs.google.com/spreadsheets/d/10oOiF7loTyfsTkbd4MpaIm0HQ9SwB7IYHdIUvt-U1Uc/edit?usp=sharing"""&amp;",""สระแก้ว!N191"")+IMPORTRANGE(""https://docs.google.com/spreadsheets/d/1xmPlrr1QbdSIKvl1dWUl9K4PjAfSL9oeMr_37QVzcxc/edit?usp=sharing"",""สระบุรี!N191"")+IMPORTRANGE(""https://docs.google.com/spreadsheets/d/1j51vR6CYVGhABJpv6tkstgok82RLpXieLzW1yOY5rHw/edi"&amp;"t?usp=sharing"",""สิงห์บุรี!N191"")+IMPORTRANGE(""https://docs.google.com/spreadsheets/d/1H1EalTWKUSzO4Z1-1CwzoDUaVffgrThEBe2sl74kKG0/edit?usp=sharing"",""สุพรรณบุรี!N191"")+IMPORTRANGE(""https://docs.google.com/spreadsheets/d/1BmIruG_sIrJLYao_Pdr7zVArWsf"&amp;"oBt2692TMi6x_854/edit?usp=sharing"",""อ่างทอง!N191"")"),2281189.95999999)</f>
        <v>2281189.9599999902</v>
      </c>
      <c r="O191" s="91">
        <f t="shared" ca="1" si="158"/>
        <v>67.172849234393112</v>
      </c>
      <c r="P191" s="91">
        <f t="shared" ca="1" si="159"/>
        <v>69.352448004435942</v>
      </c>
      <c r="Q191" s="134">
        <f ca="1">IFERROR(__xludf.DUMMYFUNCTION("IMPORTRANGE(""https://docs.google.com/spreadsheets/d/13wPX838HrBrQMCywv1BsuMkt4PEKTChp52zj44s2izQ/edit?usp=sharing"",""กาญจนบุรี!Q191"")+IMPORTRANGE(""https://docs.google.com/spreadsheets/d/1ddFKvqj1W1NEiWytbGlB1zMx_ykJDVtmfEQ-6-lIUBA/edit?usp=sharing"","&amp;"""จันทบุรี!Q191"")+IMPORTRANGE(""https://docs.google.com/spreadsheets/d/1T1PQvRODqOBZk8BRht_U031fIS1beLA0Ub2CEytj2q0/edit?usp=sharing"",""ฉะเชิงเทรา!Q191"")+IMPORTRANGE(""https://docs.google.com/spreadsheets/d/11tr1B-Bhyr79v2bkwVh5h_fR-PStkgjlZtkrZpYurG0/"&amp;"edit?usp=sharing"",""ชลบุรี!Q191"")+IMPORTRANGE(""https://docs.google.com/spreadsheets/d/1hh-FVnSX0vozXhGluamEcS54Dw9_zqW0N7qJUWgJ0Sw/edit?usp=sharing"",""ชัยนาท!Q191"")+IMPORTRANGE(""https://docs.google.com/spreadsheets/d/1jkqa6GXxSacMcY1eN8AHjMNJ_7dDXMJ"&amp;"VRLDlaFSOdPM/edit?usp=sharing"",""ตราด!Q191"")+IMPORTRANGE(""https://docs.google.com/spreadsheets/d/18hSgUJ3VwClqi_qtULmmW3cLr0oe3OKaSYoKzdpTsYQ/edit?usp=sharing"",""นครนายก!Q191"")+IMPORTRANGE(""https://docs.google.com/spreadsheets/d/1YTZo6WM2dQ6Ix6FSdnL"&amp;"5P7uVnVKu40sxZu975tgG10E/edit?usp=sharing"",""นครปฐม!Q191"")+IMPORTRANGE(""https://docs.google.com/spreadsheets/d/1OYoGg4WDg5RIzwGeB10padOxJF9E_Vljuvvct_M7RDo/edit?usp=sharing"",""ปทุมธานี!Q191"")+IMPORTRANGE(""https://docs.google.com/spreadsheets/d/1GbCI"&amp;"E4D4wk9FUozzqk7SxfDMxDVBwVmI5zcaVUSzKAc/edit?usp=sharing"",""ประจวบคีรีขันธ์!Q191"")+IMPORTRANGE(""https://docs.google.com/spreadsheets/d/1vVf6wykvW_lAyu7Yo9L4hUTqHqIeP_qcVuxCtosJEbg/edit?usp=sharing"",""ปราจีนบุรี!Q191"")+IMPORTRANGE(""https://docs.googl"&amp;"e.com/spreadsheets/d/1BIDqLLg5jk3v59G8NlR8rk5xfQDKne0sAvZHSj7TI6I/edit?usp=sharing"",""พระนครศรีอยุธยา!Q191"")+IMPORTRANGE(""https://docs.google.com/spreadsheets/d/1YXvxf8Yu6_rV4hTBrwMqAcAnv6DfhUxh5emyM3CJp_w/edit?usp=sharing"",""เพชรบุรี!Q191"")+IMPORTRA"&amp;"NGE(""https://docs.google.com/spreadsheets/d/19KBlQQs7uwvsao6t2n-KvW3Ax8J8uRRfZPq1zPbXgKc/edit?usp=sharing"",""ระยอง!Q191"")+IMPORTRANGE(""https://docs.google.com/spreadsheets/d/1jQ6P4QcrGM89YfqcC_PxOHGCMq5ezhucwJd8ci-NHng/edit?usp=sharing"",""ราชบุรี!Q19"&amp;"1"")+IMPORTRANGE(""https://docs.google.com/spreadsheets/d/1lufeA2cfFqM-elVq2hznhDzC6Pr7wkJ9ZG_sYNGCMCU/edit?usp=sharing"",""ลพบุรี!Q191"")+IMPORTRANGE(""https://docs.google.com/spreadsheets/d/10oOiF7loTyfsTkbd4MpaIm0HQ9SwB7IYHdIUvt-U1Uc/edit?usp=sharing"""&amp;",""สระแก้ว!Q191"")+IMPORTRANGE(""https://docs.google.com/spreadsheets/d/1xmPlrr1QbdSIKvl1dWUl9K4PjAfSL9oeMr_37QVzcxc/edit?usp=sharing"",""สระบุรี!Q191"")+IMPORTRANGE(""https://docs.google.com/spreadsheets/d/1j51vR6CYVGhABJpv6tkstgok82RLpXieLzW1yOY5rHw/edi"&amp;"t?usp=sharing"",""สิงห์บุรี!Q191"")+IMPORTRANGE(""https://docs.google.com/spreadsheets/d/1H1EalTWKUSzO4Z1-1CwzoDUaVffgrThEBe2sl74kKG0/edit?usp=sharing"",""สุพรรณบุรี!Q191"")+IMPORTRANGE(""https://docs.google.com/spreadsheets/d/1BmIruG_sIrJLYao_Pdr7zVArWsf"&amp;"oBt2692TMi6x_854/edit?usp=sharing"",""อ่างทอง!Q191"")"),1356738)</f>
        <v>1356738</v>
      </c>
      <c r="R191" s="135">
        <f ca="1">IFERROR(__xludf.DUMMYFUNCTION("IMPORTRANGE(""https://docs.google.com/spreadsheets/d/13wPX838HrBrQMCywv1BsuMkt4PEKTChp52zj44s2izQ/edit?usp=sharing"",""กาญจนบุรี!R191"")+IMPORTRANGE(""https://docs.google.com/spreadsheets/d/1ddFKvqj1W1NEiWytbGlB1zMx_ykJDVtmfEQ-6-lIUBA/edit?usp=sharing"","&amp;"""จันทบุรี!R191"")+IMPORTRANGE(""https://docs.google.com/spreadsheets/d/1T1PQvRODqOBZk8BRht_U031fIS1beLA0Ub2CEytj2q0/edit?usp=sharing"",""ฉะเชิงเทรา!R191"")+IMPORTRANGE(""https://docs.google.com/spreadsheets/d/11tr1B-Bhyr79v2bkwVh5h_fR-PStkgjlZtkrZpYurG0/"&amp;"edit?usp=sharing"",""ชลบุรี!R191"")+IMPORTRANGE(""https://docs.google.com/spreadsheets/d/1hh-FVnSX0vozXhGluamEcS54Dw9_zqW0N7qJUWgJ0Sw/edit?usp=sharing"",""ชัยนาท!R191"")+IMPORTRANGE(""https://docs.google.com/spreadsheets/d/1jkqa6GXxSacMcY1eN8AHjMNJ_7dDXMJ"&amp;"VRLDlaFSOdPM/edit?usp=sharing"",""ตราด!R191"")+IMPORTRANGE(""https://docs.google.com/spreadsheets/d/18hSgUJ3VwClqi_qtULmmW3cLr0oe3OKaSYoKzdpTsYQ/edit?usp=sharing"",""นครนายก!R191"")+IMPORTRANGE(""https://docs.google.com/spreadsheets/d/1YTZo6WM2dQ6Ix6FSdnL"&amp;"5P7uVnVKu40sxZu975tgG10E/edit?usp=sharing"",""นครปฐม!R191"")+IMPORTRANGE(""https://docs.google.com/spreadsheets/d/1OYoGg4WDg5RIzwGeB10padOxJF9E_Vljuvvct_M7RDo/edit?usp=sharing"",""ปทุมธานี!R191"")+IMPORTRANGE(""https://docs.google.com/spreadsheets/d/1GbCI"&amp;"E4D4wk9FUozzqk7SxfDMxDVBwVmI5zcaVUSzKAc/edit?usp=sharing"",""ประจวบคีรีขันธ์!R191"")+IMPORTRANGE(""https://docs.google.com/spreadsheets/d/1vVf6wykvW_lAyu7Yo9L4hUTqHqIeP_qcVuxCtosJEbg/edit?usp=sharing"",""ปราจีนบุรี!R191"")+IMPORTRANGE(""https://docs.googl"&amp;"e.com/spreadsheets/d/1BIDqLLg5jk3v59G8NlR8rk5xfQDKne0sAvZHSj7TI6I/edit?usp=sharing"",""พระนครศรีอยุธยา!R191"")+IMPORTRANGE(""https://docs.google.com/spreadsheets/d/1YXvxf8Yu6_rV4hTBrwMqAcAnv6DfhUxh5emyM3CJp_w/edit?usp=sharing"",""เพชรบุรี!R191"")+IMPORTRA"&amp;"NGE(""https://docs.google.com/spreadsheets/d/19KBlQQs7uwvsao6t2n-KvW3Ax8J8uRRfZPq1zPbXgKc/edit?usp=sharing"",""ระยอง!R191"")+IMPORTRANGE(""https://docs.google.com/spreadsheets/d/1jQ6P4QcrGM89YfqcC_PxOHGCMq5ezhucwJd8ci-NHng/edit?usp=sharing"",""ราชบุรี!R19"&amp;"1"")+IMPORTRANGE(""https://docs.google.com/spreadsheets/d/1lufeA2cfFqM-elVq2hznhDzC6Pr7wkJ9ZG_sYNGCMCU/edit?usp=sharing"",""ลพบุรี!R191"")+IMPORTRANGE(""https://docs.google.com/spreadsheets/d/10oOiF7loTyfsTkbd4MpaIm0HQ9SwB7IYHdIUvt-U1Uc/edit?usp=sharing"""&amp;",""สระแก้ว!R191"")+IMPORTRANGE(""https://docs.google.com/spreadsheets/d/1xmPlrr1QbdSIKvl1dWUl9K4PjAfSL9oeMr_37QVzcxc/edit?usp=sharing"",""สระบุรี!R191"")+IMPORTRANGE(""https://docs.google.com/spreadsheets/d/1j51vR6CYVGhABJpv6tkstgok82RLpXieLzW1yOY5rHw/edi"&amp;"t?usp=sharing"",""สิงห์บุรี!R191"")+IMPORTRANGE(""https://docs.google.com/spreadsheets/d/1H1EalTWKUSzO4Z1-1CwzoDUaVffgrThEBe2sl74kKG0/edit?usp=sharing"",""สุพรรณบุรี!R191"")+IMPORTRANGE(""https://docs.google.com/spreadsheets/d/1BmIruG_sIrJLYao_Pdr7zVArWsf"&amp;"oBt2692TMi6x_854/edit?usp=sharing"",""อ่างทอง!R191"")"),1430738)</f>
        <v>1430738</v>
      </c>
      <c r="S191" s="135">
        <f ca="1">IFERROR(__xludf.DUMMYFUNCTION("IMPORTRANGE(""https://docs.google.com/spreadsheets/d/13wPX838HrBrQMCywv1BsuMkt4PEKTChp52zj44s2izQ/edit?usp=sharing"",""กาญจนบุรี!S191"")+IMPORTRANGE(""https://docs.google.com/spreadsheets/d/1ddFKvqj1W1NEiWytbGlB1zMx_ykJDVtmfEQ-6-lIUBA/edit?usp=sharing"","&amp;"""จันทบุรี!S191"")+IMPORTRANGE(""https://docs.google.com/spreadsheets/d/1T1PQvRODqOBZk8BRht_U031fIS1beLA0Ub2CEytj2q0/edit?usp=sharing"",""ฉะเชิงเทรา!S191"")+IMPORTRANGE(""https://docs.google.com/spreadsheets/d/11tr1B-Bhyr79v2bkwVh5h_fR-PStkgjlZtkrZpYurG0/"&amp;"edit?usp=sharing"",""ชลบุรี!S191"")+IMPORTRANGE(""https://docs.google.com/spreadsheets/d/1hh-FVnSX0vozXhGluamEcS54Dw9_zqW0N7qJUWgJ0Sw/edit?usp=sharing"",""ชัยนาท!S191"")+IMPORTRANGE(""https://docs.google.com/spreadsheets/d/1jkqa6GXxSacMcY1eN8AHjMNJ_7dDXMJ"&amp;"VRLDlaFSOdPM/edit?usp=sharing"",""ตราด!S191"")+IMPORTRANGE(""https://docs.google.com/spreadsheets/d/18hSgUJ3VwClqi_qtULmmW3cLr0oe3OKaSYoKzdpTsYQ/edit?usp=sharing"",""นครนายก!S191"")+IMPORTRANGE(""https://docs.google.com/spreadsheets/d/1YTZo6WM2dQ6Ix6FSdnL"&amp;"5P7uVnVKu40sxZu975tgG10E/edit?usp=sharing"",""นครปฐม!S191"")+IMPORTRANGE(""https://docs.google.com/spreadsheets/d/1OYoGg4WDg5RIzwGeB10padOxJF9E_Vljuvvct_M7RDo/edit?usp=sharing"",""ปทุมธานี!S191"")+IMPORTRANGE(""https://docs.google.com/spreadsheets/d/1GbCI"&amp;"E4D4wk9FUozzqk7SxfDMxDVBwVmI5zcaVUSzKAc/edit?usp=sharing"",""ประจวบคีรีขันธ์!S191"")+IMPORTRANGE(""https://docs.google.com/spreadsheets/d/1vVf6wykvW_lAyu7Yo9L4hUTqHqIeP_qcVuxCtosJEbg/edit?usp=sharing"",""ปราจีนบุรี!S191"")+IMPORTRANGE(""https://docs.googl"&amp;"e.com/spreadsheets/d/1BIDqLLg5jk3v59G8NlR8rk5xfQDKne0sAvZHSj7TI6I/edit?usp=sharing"",""พระนครศรีอยุธยา!S191"")+IMPORTRANGE(""https://docs.google.com/spreadsheets/d/1YXvxf8Yu6_rV4hTBrwMqAcAnv6DfhUxh5emyM3CJp_w/edit?usp=sharing"",""เพชรบุรี!S191"")+IMPORTRA"&amp;"NGE(""https://docs.google.com/spreadsheets/d/19KBlQQs7uwvsao6t2n-KvW3Ax8J8uRRfZPq1zPbXgKc/edit?usp=sharing"",""ระยอง!S191"")+IMPORTRANGE(""https://docs.google.com/spreadsheets/d/1jQ6P4QcrGM89YfqcC_PxOHGCMq5ezhucwJd8ci-NHng/edit?usp=sharing"",""ราชบุรี!S19"&amp;"1"")+IMPORTRANGE(""https://docs.google.com/spreadsheets/d/1lufeA2cfFqM-elVq2hznhDzC6Pr7wkJ9ZG_sYNGCMCU/edit?usp=sharing"",""ลพบุรี!S191"")+IMPORTRANGE(""https://docs.google.com/spreadsheets/d/10oOiF7loTyfsTkbd4MpaIm0HQ9SwB7IYHdIUvt-U1Uc/edit?usp=sharing"""&amp;",""สระแก้ว!S191"")+IMPORTRANGE(""https://docs.google.com/spreadsheets/d/1xmPlrr1QbdSIKvl1dWUl9K4PjAfSL9oeMr_37QVzcxc/edit?usp=sharing"",""สระบุรี!S191"")+IMPORTRANGE(""https://docs.google.com/spreadsheets/d/1j51vR6CYVGhABJpv6tkstgok82RLpXieLzW1yOY5rHw/edi"&amp;"t?usp=sharing"",""สิงห์บุรี!S191"")+IMPORTRANGE(""https://docs.google.com/spreadsheets/d/1H1EalTWKUSzO4Z1-1CwzoDUaVffgrThEBe2sl74kKG0/edit?usp=sharing"",""สุพรรณบุรี!S191"")+IMPORTRANGE(""https://docs.google.com/spreadsheets/d/1BmIruG_sIrJLYao_Pdr7zVArWsf"&amp;"oBt2692TMi6x_854/edit?usp=sharing"",""อ่างทอง!S191"")"),169200)</f>
        <v>169200</v>
      </c>
      <c r="T191" s="135">
        <f t="shared" ca="1" si="161"/>
        <v>12.471088743736816</v>
      </c>
      <c r="U191" s="135">
        <f t="shared" ca="1" si="162"/>
        <v>11.826064590442135</v>
      </c>
    </row>
    <row r="192" spans="1:21" ht="18.75" x14ac:dyDescent="0.25">
      <c r="A192" s="211"/>
      <c r="B192" s="70"/>
      <c r="C192" s="70"/>
      <c r="D192" s="71" t="s">
        <v>23</v>
      </c>
      <c r="E192" s="70"/>
      <c r="F192" s="70"/>
      <c r="G192" s="72"/>
      <c r="H192" s="223" t="s">
        <v>14</v>
      </c>
      <c r="I192" s="221"/>
      <c r="J192" s="221"/>
      <c r="K192" s="222"/>
      <c r="L192" s="91">
        <f t="shared" ref="L192:N192" ca="1" si="169">L193+L194</f>
        <v>0</v>
      </c>
      <c r="M192" s="91">
        <f t="shared" ca="1" si="169"/>
        <v>0</v>
      </c>
      <c r="N192" s="91">
        <f t="shared" ca="1" si="169"/>
        <v>0</v>
      </c>
      <c r="O192" s="91">
        <f t="shared" ca="1" si="158"/>
        <v>0</v>
      </c>
      <c r="P192" s="91">
        <f t="shared" ca="1" si="159"/>
        <v>0</v>
      </c>
      <c r="Q192" s="134">
        <f t="shared" ref="Q192:S192" ca="1" si="170">Q193+Q194</f>
        <v>0</v>
      </c>
      <c r="R192" s="135">
        <f t="shared" ca="1" si="170"/>
        <v>0</v>
      </c>
      <c r="S192" s="135">
        <f t="shared" ca="1" si="170"/>
        <v>0</v>
      </c>
      <c r="T192" s="135">
        <f t="shared" ca="1" si="161"/>
        <v>0</v>
      </c>
      <c r="U192" s="135">
        <f t="shared" ca="1" si="162"/>
        <v>0</v>
      </c>
    </row>
    <row r="193" spans="1:21" ht="18.75" x14ac:dyDescent="0.25">
      <c r="A193" s="211"/>
      <c r="B193" s="70"/>
      <c r="C193" s="70"/>
      <c r="D193" s="70"/>
      <c r="E193" s="78" t="s">
        <v>20</v>
      </c>
      <c r="F193" s="70"/>
      <c r="G193" s="72"/>
      <c r="H193" s="220" t="s">
        <v>14</v>
      </c>
      <c r="I193" s="221"/>
      <c r="J193" s="221"/>
      <c r="K193" s="222"/>
      <c r="L193" s="91">
        <f ca="1">IFERROR(__xludf.DUMMYFUNCTION("IMPORTRANGE(""https://docs.google.com/spreadsheets/d/13wPX838HrBrQMCywv1BsuMkt4PEKTChp52zj44s2izQ/edit?usp=sharing"",""กาญจนบุรี!L193"")+IMPORTRANGE(""https://docs.google.com/spreadsheets/d/1ddFKvqj1W1NEiWytbGlB1zMx_ykJDVtmfEQ-6-lIUBA/edit?usp=sharing"","&amp;"""จันทบุรี!L193"")+IMPORTRANGE(""https://docs.google.com/spreadsheets/d/1T1PQvRODqOBZk8BRht_U031fIS1beLA0Ub2CEytj2q0/edit?usp=sharing"",""ฉะเชิงเทรา!L193"")+IMPORTRANGE(""https://docs.google.com/spreadsheets/d/11tr1B-Bhyr79v2bkwVh5h_fR-PStkgjlZtkrZpYurG0/"&amp;"edit?usp=sharing"",""ชลบุรี!L193"")+IMPORTRANGE(""https://docs.google.com/spreadsheets/d/1hh-FVnSX0vozXhGluamEcS54Dw9_zqW0N7qJUWgJ0Sw/edit?usp=sharing"",""ชัยนาท!L193"")+IMPORTRANGE(""https://docs.google.com/spreadsheets/d/1jkqa6GXxSacMcY1eN8AHjMNJ_7dDXMJ"&amp;"VRLDlaFSOdPM/edit?usp=sharing"",""ตราด!L193"")+IMPORTRANGE(""https://docs.google.com/spreadsheets/d/18hSgUJ3VwClqi_qtULmmW3cLr0oe3OKaSYoKzdpTsYQ/edit?usp=sharing"",""นครนายก!L193"")+IMPORTRANGE(""https://docs.google.com/spreadsheets/d/1YTZo6WM2dQ6Ix6FSdnL"&amp;"5P7uVnVKu40sxZu975tgG10E/edit?usp=sharing"",""นครปฐม!L193"")+IMPORTRANGE(""https://docs.google.com/spreadsheets/d/1OYoGg4WDg5RIzwGeB10padOxJF9E_Vljuvvct_M7RDo/edit?usp=sharing"",""ปทุมธานี!L193"")+IMPORTRANGE(""https://docs.google.com/spreadsheets/d/1GbCI"&amp;"E4D4wk9FUozzqk7SxfDMxDVBwVmI5zcaVUSzKAc/edit?usp=sharing"",""ประจวบคีรีขันธ์!L193"")+IMPORTRANGE(""https://docs.google.com/spreadsheets/d/1vVf6wykvW_lAyu7Yo9L4hUTqHqIeP_qcVuxCtosJEbg/edit?usp=sharing"",""ปราจีนบุรี!L193"")+IMPORTRANGE(""https://docs.googl"&amp;"e.com/spreadsheets/d/1BIDqLLg5jk3v59G8NlR8rk5xfQDKne0sAvZHSj7TI6I/edit?usp=sharing"",""พระนครศรีอยุธยา!L193"")+IMPORTRANGE(""https://docs.google.com/spreadsheets/d/1YXvxf8Yu6_rV4hTBrwMqAcAnv6DfhUxh5emyM3CJp_w/edit?usp=sharing"",""เพชรบุรี!L193"")+IMPORTRA"&amp;"NGE(""https://docs.google.com/spreadsheets/d/19KBlQQs7uwvsao6t2n-KvW3Ax8J8uRRfZPq1zPbXgKc/edit?usp=sharing"",""ระยอง!L193"")+IMPORTRANGE(""https://docs.google.com/spreadsheets/d/1jQ6P4QcrGM89YfqcC_PxOHGCMq5ezhucwJd8ci-NHng/edit?usp=sharing"",""ราชบุรี!L19"&amp;"3"")+IMPORTRANGE(""https://docs.google.com/spreadsheets/d/1lufeA2cfFqM-elVq2hznhDzC6Pr7wkJ9ZG_sYNGCMCU/edit?usp=sharing"",""ลพบุรี!L193"")+IMPORTRANGE(""https://docs.google.com/spreadsheets/d/10oOiF7loTyfsTkbd4MpaIm0HQ9SwB7IYHdIUvt-U1Uc/edit?usp=sharing"""&amp;",""สระแก้ว!L193"")+IMPORTRANGE(""https://docs.google.com/spreadsheets/d/1xmPlrr1QbdSIKvl1dWUl9K4PjAfSL9oeMr_37QVzcxc/edit?usp=sharing"",""สระบุรี!L193"")+IMPORTRANGE(""https://docs.google.com/spreadsheets/d/1j51vR6CYVGhABJpv6tkstgok82RLpXieLzW1yOY5rHw/edi"&amp;"t?usp=sharing"",""สิงห์บุรี!L193"")+IMPORTRANGE(""https://docs.google.com/spreadsheets/d/1H1EalTWKUSzO4Z1-1CwzoDUaVffgrThEBe2sl74kKG0/edit?usp=sharing"",""สุพรรณบุรี!L193"")+IMPORTRANGE(""https://docs.google.com/spreadsheets/d/1BmIruG_sIrJLYao_Pdr7zVArWsf"&amp;"oBt2692TMi6x_854/edit?usp=sharing"",""อ่างทอง!L193"")"),0)</f>
        <v>0</v>
      </c>
      <c r="M193" s="91">
        <f ca="1">IFERROR(__xludf.DUMMYFUNCTION("IMPORTRANGE(""https://docs.google.com/spreadsheets/d/13wPX838HrBrQMCywv1BsuMkt4PEKTChp52zj44s2izQ/edit?usp=sharing"",""กาญจนบุรี!M193"")+IMPORTRANGE(""https://docs.google.com/spreadsheets/d/1ddFKvqj1W1NEiWytbGlB1zMx_ykJDVtmfEQ-6-lIUBA/edit?usp=sharing"","&amp;"""จันทบุรี!M193"")+IMPORTRANGE(""https://docs.google.com/spreadsheets/d/1T1PQvRODqOBZk8BRht_U031fIS1beLA0Ub2CEytj2q0/edit?usp=sharing"",""ฉะเชิงเทรา!M193"")+IMPORTRANGE(""https://docs.google.com/spreadsheets/d/11tr1B-Bhyr79v2bkwVh5h_fR-PStkgjlZtkrZpYurG0/"&amp;"edit?usp=sharing"",""ชลบุรี!M193"")+IMPORTRANGE(""https://docs.google.com/spreadsheets/d/1hh-FVnSX0vozXhGluamEcS54Dw9_zqW0N7qJUWgJ0Sw/edit?usp=sharing"",""ชัยนาท!M193"")+IMPORTRANGE(""https://docs.google.com/spreadsheets/d/1jkqa6GXxSacMcY1eN8AHjMNJ_7dDXMJ"&amp;"VRLDlaFSOdPM/edit?usp=sharing"",""ตราด!M193"")+IMPORTRANGE(""https://docs.google.com/spreadsheets/d/18hSgUJ3VwClqi_qtULmmW3cLr0oe3OKaSYoKzdpTsYQ/edit?usp=sharing"",""นครนายก!M193"")+IMPORTRANGE(""https://docs.google.com/spreadsheets/d/1YTZo6WM2dQ6Ix6FSdnL"&amp;"5P7uVnVKu40sxZu975tgG10E/edit?usp=sharing"",""นครปฐม!M193"")+IMPORTRANGE(""https://docs.google.com/spreadsheets/d/1OYoGg4WDg5RIzwGeB10padOxJF9E_Vljuvvct_M7RDo/edit?usp=sharing"",""ปทุมธานี!M193"")+IMPORTRANGE(""https://docs.google.com/spreadsheets/d/1GbCI"&amp;"E4D4wk9FUozzqk7SxfDMxDVBwVmI5zcaVUSzKAc/edit?usp=sharing"",""ประจวบคีรีขันธ์!M193"")+IMPORTRANGE(""https://docs.google.com/spreadsheets/d/1vVf6wykvW_lAyu7Yo9L4hUTqHqIeP_qcVuxCtosJEbg/edit?usp=sharing"",""ปราจีนบุรี!M193"")+IMPORTRANGE(""https://docs.googl"&amp;"e.com/spreadsheets/d/1BIDqLLg5jk3v59G8NlR8rk5xfQDKne0sAvZHSj7TI6I/edit?usp=sharing"",""พระนครศรีอยุธยา!M193"")+IMPORTRANGE(""https://docs.google.com/spreadsheets/d/1YXvxf8Yu6_rV4hTBrwMqAcAnv6DfhUxh5emyM3CJp_w/edit?usp=sharing"",""เพชรบุรี!M193"")+IMPORTRA"&amp;"NGE(""https://docs.google.com/spreadsheets/d/19KBlQQs7uwvsao6t2n-KvW3Ax8J8uRRfZPq1zPbXgKc/edit?usp=sharing"",""ระยอง!M193"")+IMPORTRANGE(""https://docs.google.com/spreadsheets/d/1jQ6P4QcrGM89YfqcC_PxOHGCMq5ezhucwJd8ci-NHng/edit?usp=sharing"",""ราชบุรี!M19"&amp;"3"")+IMPORTRANGE(""https://docs.google.com/spreadsheets/d/1lufeA2cfFqM-elVq2hznhDzC6Pr7wkJ9ZG_sYNGCMCU/edit?usp=sharing"",""ลพบุรี!M193"")+IMPORTRANGE(""https://docs.google.com/spreadsheets/d/10oOiF7loTyfsTkbd4MpaIm0HQ9SwB7IYHdIUvt-U1Uc/edit?usp=sharing"""&amp;",""สระแก้ว!M193"")+IMPORTRANGE(""https://docs.google.com/spreadsheets/d/1xmPlrr1QbdSIKvl1dWUl9K4PjAfSL9oeMr_37QVzcxc/edit?usp=sharing"",""สระบุรี!M193"")+IMPORTRANGE(""https://docs.google.com/spreadsheets/d/1j51vR6CYVGhABJpv6tkstgok82RLpXieLzW1yOY5rHw/edi"&amp;"t?usp=sharing"",""สิงห์บุรี!M193"")+IMPORTRANGE(""https://docs.google.com/spreadsheets/d/1H1EalTWKUSzO4Z1-1CwzoDUaVffgrThEBe2sl74kKG0/edit?usp=sharing"",""สุพรรณบุรี!M193"")+IMPORTRANGE(""https://docs.google.com/spreadsheets/d/1BmIruG_sIrJLYao_Pdr7zVArWsf"&amp;"oBt2692TMi6x_854/edit?usp=sharing"",""อ่างทอง!M193"")"),0)</f>
        <v>0</v>
      </c>
      <c r="N193" s="91">
        <f ca="1">IFERROR(__xludf.DUMMYFUNCTION("IMPORTRANGE(""https://docs.google.com/spreadsheets/d/13wPX838HrBrQMCywv1BsuMkt4PEKTChp52zj44s2izQ/edit?usp=sharing"",""กาญจนบุรี!N193"")+IMPORTRANGE(""https://docs.google.com/spreadsheets/d/1ddFKvqj1W1NEiWytbGlB1zMx_ykJDVtmfEQ-6-lIUBA/edit?usp=sharing"","&amp;"""จันทบุรี!N193"")+IMPORTRANGE(""https://docs.google.com/spreadsheets/d/1T1PQvRODqOBZk8BRht_U031fIS1beLA0Ub2CEytj2q0/edit?usp=sharing"",""ฉะเชิงเทรา!N193"")+IMPORTRANGE(""https://docs.google.com/spreadsheets/d/11tr1B-Bhyr79v2bkwVh5h_fR-PStkgjlZtkrZpYurG0/"&amp;"edit?usp=sharing"",""ชลบุรี!N193"")+IMPORTRANGE(""https://docs.google.com/spreadsheets/d/1hh-FVnSX0vozXhGluamEcS54Dw9_zqW0N7qJUWgJ0Sw/edit?usp=sharing"",""ชัยนาท!N193"")+IMPORTRANGE(""https://docs.google.com/spreadsheets/d/1jkqa6GXxSacMcY1eN8AHjMNJ_7dDXMJ"&amp;"VRLDlaFSOdPM/edit?usp=sharing"",""ตราด!N193"")+IMPORTRANGE(""https://docs.google.com/spreadsheets/d/18hSgUJ3VwClqi_qtULmmW3cLr0oe3OKaSYoKzdpTsYQ/edit?usp=sharing"",""นครนายก!N193"")+IMPORTRANGE(""https://docs.google.com/spreadsheets/d/1YTZo6WM2dQ6Ix6FSdnL"&amp;"5P7uVnVKu40sxZu975tgG10E/edit?usp=sharing"",""นครปฐม!N193"")+IMPORTRANGE(""https://docs.google.com/spreadsheets/d/1OYoGg4WDg5RIzwGeB10padOxJF9E_Vljuvvct_M7RDo/edit?usp=sharing"",""ปทุมธานี!N193"")+IMPORTRANGE(""https://docs.google.com/spreadsheets/d/1GbCI"&amp;"E4D4wk9FUozzqk7SxfDMxDVBwVmI5zcaVUSzKAc/edit?usp=sharing"",""ประจวบคีรีขันธ์!N193"")+IMPORTRANGE(""https://docs.google.com/spreadsheets/d/1vVf6wykvW_lAyu7Yo9L4hUTqHqIeP_qcVuxCtosJEbg/edit?usp=sharing"",""ปราจีนบุรี!N193"")+IMPORTRANGE(""https://docs.googl"&amp;"e.com/spreadsheets/d/1BIDqLLg5jk3v59G8NlR8rk5xfQDKne0sAvZHSj7TI6I/edit?usp=sharing"",""พระนครศรีอยุธยา!N193"")+IMPORTRANGE(""https://docs.google.com/spreadsheets/d/1YXvxf8Yu6_rV4hTBrwMqAcAnv6DfhUxh5emyM3CJp_w/edit?usp=sharing"",""เพชรบุรี!N193"")+IMPORTRA"&amp;"NGE(""https://docs.google.com/spreadsheets/d/19KBlQQs7uwvsao6t2n-KvW3Ax8J8uRRfZPq1zPbXgKc/edit?usp=sharing"",""ระยอง!N193"")+IMPORTRANGE(""https://docs.google.com/spreadsheets/d/1jQ6P4QcrGM89YfqcC_PxOHGCMq5ezhucwJd8ci-NHng/edit?usp=sharing"",""ราชบุรี!N19"&amp;"3"")+IMPORTRANGE(""https://docs.google.com/spreadsheets/d/1lufeA2cfFqM-elVq2hznhDzC6Pr7wkJ9ZG_sYNGCMCU/edit?usp=sharing"",""ลพบุรี!N193"")+IMPORTRANGE(""https://docs.google.com/spreadsheets/d/10oOiF7loTyfsTkbd4MpaIm0HQ9SwB7IYHdIUvt-U1Uc/edit?usp=sharing"""&amp;",""สระแก้ว!N193"")+IMPORTRANGE(""https://docs.google.com/spreadsheets/d/1xmPlrr1QbdSIKvl1dWUl9K4PjAfSL9oeMr_37QVzcxc/edit?usp=sharing"",""สระบุรี!N193"")+IMPORTRANGE(""https://docs.google.com/spreadsheets/d/1j51vR6CYVGhABJpv6tkstgok82RLpXieLzW1yOY5rHw/edi"&amp;"t?usp=sharing"",""สิงห์บุรี!N193"")+IMPORTRANGE(""https://docs.google.com/spreadsheets/d/1H1EalTWKUSzO4Z1-1CwzoDUaVffgrThEBe2sl74kKG0/edit?usp=sharing"",""สุพรรณบุรี!N193"")+IMPORTRANGE(""https://docs.google.com/spreadsheets/d/1BmIruG_sIrJLYao_Pdr7zVArWsf"&amp;"oBt2692TMi6x_854/edit?usp=sharing"",""อ่างทอง!N193"")"),0)</f>
        <v>0</v>
      </c>
      <c r="O193" s="91">
        <f t="shared" ca="1" si="158"/>
        <v>0</v>
      </c>
      <c r="P193" s="91">
        <f t="shared" ca="1" si="159"/>
        <v>0</v>
      </c>
      <c r="Q193" s="79">
        <f ca="1">IFERROR(__xludf.DUMMYFUNCTION("IMPORTRANGE(""https://docs.google.com/spreadsheets/d/13wPX838HrBrQMCywv1BsuMkt4PEKTChp52zj44s2izQ/edit?usp=sharing"",""กาญจนบุรี!Q193"")+IMPORTRANGE(""https://docs.google.com/spreadsheets/d/1ddFKvqj1W1NEiWytbGlB1zMx_ykJDVtmfEQ-6-lIUBA/edit?usp=sharing"","&amp;"""จันทบุรี!Q193"")+IMPORTRANGE(""https://docs.google.com/spreadsheets/d/1T1PQvRODqOBZk8BRht_U031fIS1beLA0Ub2CEytj2q0/edit?usp=sharing"",""ฉะเชิงเทรา!Q193"")+IMPORTRANGE(""https://docs.google.com/spreadsheets/d/11tr1B-Bhyr79v2bkwVh5h_fR-PStkgjlZtkrZpYurG0/"&amp;"edit?usp=sharing"",""ชลบุรี!Q193"")+IMPORTRANGE(""https://docs.google.com/spreadsheets/d/1hh-FVnSX0vozXhGluamEcS54Dw9_zqW0N7qJUWgJ0Sw/edit?usp=sharing"",""ชัยนาท!Q193"")+IMPORTRANGE(""https://docs.google.com/spreadsheets/d/1jkqa6GXxSacMcY1eN8AHjMNJ_7dDXMJ"&amp;"VRLDlaFSOdPM/edit?usp=sharing"",""ตราด!Q193"")+IMPORTRANGE(""https://docs.google.com/spreadsheets/d/18hSgUJ3VwClqi_qtULmmW3cLr0oe3OKaSYoKzdpTsYQ/edit?usp=sharing"",""นครนายก!Q193"")+IMPORTRANGE(""https://docs.google.com/spreadsheets/d/1YTZo6WM2dQ6Ix6FSdnL"&amp;"5P7uVnVKu40sxZu975tgG10E/edit?usp=sharing"",""นครปฐม!Q193"")+IMPORTRANGE(""https://docs.google.com/spreadsheets/d/1OYoGg4WDg5RIzwGeB10padOxJF9E_Vljuvvct_M7RDo/edit?usp=sharing"",""ปทุมธานี!Q193"")+IMPORTRANGE(""https://docs.google.com/spreadsheets/d/1GbCI"&amp;"E4D4wk9FUozzqk7SxfDMxDVBwVmI5zcaVUSzKAc/edit?usp=sharing"",""ประจวบคีรีขันธ์!Q193"")+IMPORTRANGE(""https://docs.google.com/spreadsheets/d/1vVf6wykvW_lAyu7Yo9L4hUTqHqIeP_qcVuxCtosJEbg/edit?usp=sharing"",""ปราจีนบุรี!Q193"")+IMPORTRANGE(""https://docs.googl"&amp;"e.com/spreadsheets/d/1BIDqLLg5jk3v59G8NlR8rk5xfQDKne0sAvZHSj7TI6I/edit?usp=sharing"",""พระนครศรีอยุธยา!Q193"")+IMPORTRANGE(""https://docs.google.com/spreadsheets/d/1YXvxf8Yu6_rV4hTBrwMqAcAnv6DfhUxh5emyM3CJp_w/edit?usp=sharing"",""เพชรบุรี!Q193"")+IMPORTRA"&amp;"NGE(""https://docs.google.com/spreadsheets/d/19KBlQQs7uwvsao6t2n-KvW3Ax8J8uRRfZPq1zPbXgKc/edit?usp=sharing"",""ระยอง!Q193"")+IMPORTRANGE(""https://docs.google.com/spreadsheets/d/1jQ6P4QcrGM89YfqcC_PxOHGCMq5ezhucwJd8ci-NHng/edit?usp=sharing"",""ราชบุรี!Q19"&amp;"3"")+IMPORTRANGE(""https://docs.google.com/spreadsheets/d/1lufeA2cfFqM-elVq2hznhDzC6Pr7wkJ9ZG_sYNGCMCU/edit?usp=sharing"",""ลพบุรี!Q193"")+IMPORTRANGE(""https://docs.google.com/spreadsheets/d/10oOiF7loTyfsTkbd4MpaIm0HQ9SwB7IYHdIUvt-U1Uc/edit?usp=sharing"""&amp;",""สระแก้ว!Q193"")+IMPORTRANGE(""https://docs.google.com/spreadsheets/d/1xmPlrr1QbdSIKvl1dWUl9K4PjAfSL9oeMr_37QVzcxc/edit?usp=sharing"",""สระบุรี!Q193"")+IMPORTRANGE(""https://docs.google.com/spreadsheets/d/1j51vR6CYVGhABJpv6tkstgok82RLpXieLzW1yOY5rHw/edi"&amp;"t?usp=sharing"",""สิงห์บุรี!Q193"")+IMPORTRANGE(""https://docs.google.com/spreadsheets/d/1H1EalTWKUSzO4Z1-1CwzoDUaVffgrThEBe2sl74kKG0/edit?usp=sharing"",""สุพรรณบุรี!Q193"")+IMPORTRANGE(""https://docs.google.com/spreadsheets/d/1BmIruG_sIrJLYao_Pdr7zVArWsf"&amp;"oBt2692TMi6x_854/edit?usp=sharing"",""อ่างทอง!Q193"")"),0)</f>
        <v>0</v>
      </c>
      <c r="R193" s="80">
        <f ca="1">IFERROR(__xludf.DUMMYFUNCTION("IMPORTRANGE(""https://docs.google.com/spreadsheets/d/13wPX838HrBrQMCywv1BsuMkt4PEKTChp52zj44s2izQ/edit?usp=sharing"",""กาญจนบุรี!R193"")+IMPORTRANGE(""https://docs.google.com/spreadsheets/d/1ddFKvqj1W1NEiWytbGlB1zMx_ykJDVtmfEQ-6-lIUBA/edit?usp=sharing"","&amp;"""จันทบุรี!R193"")+IMPORTRANGE(""https://docs.google.com/spreadsheets/d/1T1PQvRODqOBZk8BRht_U031fIS1beLA0Ub2CEytj2q0/edit?usp=sharing"",""ฉะเชิงเทรา!R193"")+IMPORTRANGE(""https://docs.google.com/spreadsheets/d/11tr1B-Bhyr79v2bkwVh5h_fR-PStkgjlZtkrZpYurG0/"&amp;"edit?usp=sharing"",""ชลบุรี!R193"")+IMPORTRANGE(""https://docs.google.com/spreadsheets/d/1hh-FVnSX0vozXhGluamEcS54Dw9_zqW0N7qJUWgJ0Sw/edit?usp=sharing"",""ชัยนาท!R193"")+IMPORTRANGE(""https://docs.google.com/spreadsheets/d/1jkqa6GXxSacMcY1eN8AHjMNJ_7dDXMJ"&amp;"VRLDlaFSOdPM/edit?usp=sharing"",""ตราด!R193"")+IMPORTRANGE(""https://docs.google.com/spreadsheets/d/18hSgUJ3VwClqi_qtULmmW3cLr0oe3OKaSYoKzdpTsYQ/edit?usp=sharing"",""นครนายก!R193"")+IMPORTRANGE(""https://docs.google.com/spreadsheets/d/1YTZo6WM2dQ6Ix6FSdnL"&amp;"5P7uVnVKu40sxZu975tgG10E/edit?usp=sharing"",""นครปฐม!R193"")+IMPORTRANGE(""https://docs.google.com/spreadsheets/d/1OYoGg4WDg5RIzwGeB10padOxJF9E_Vljuvvct_M7RDo/edit?usp=sharing"",""ปทุมธานี!R193"")+IMPORTRANGE(""https://docs.google.com/spreadsheets/d/1GbCI"&amp;"E4D4wk9FUozzqk7SxfDMxDVBwVmI5zcaVUSzKAc/edit?usp=sharing"",""ประจวบคีรีขันธ์!R193"")+IMPORTRANGE(""https://docs.google.com/spreadsheets/d/1vVf6wykvW_lAyu7Yo9L4hUTqHqIeP_qcVuxCtosJEbg/edit?usp=sharing"",""ปราจีนบุรี!R193"")+IMPORTRANGE(""https://docs.googl"&amp;"e.com/spreadsheets/d/1BIDqLLg5jk3v59G8NlR8rk5xfQDKne0sAvZHSj7TI6I/edit?usp=sharing"",""พระนครศรีอยุธยา!R193"")+IMPORTRANGE(""https://docs.google.com/spreadsheets/d/1YXvxf8Yu6_rV4hTBrwMqAcAnv6DfhUxh5emyM3CJp_w/edit?usp=sharing"",""เพชรบุรี!R193"")+IMPORTRA"&amp;"NGE(""https://docs.google.com/spreadsheets/d/19KBlQQs7uwvsao6t2n-KvW3Ax8J8uRRfZPq1zPbXgKc/edit?usp=sharing"",""ระยอง!R193"")+IMPORTRANGE(""https://docs.google.com/spreadsheets/d/1jQ6P4QcrGM89YfqcC_PxOHGCMq5ezhucwJd8ci-NHng/edit?usp=sharing"",""ราชบุรี!R19"&amp;"3"")+IMPORTRANGE(""https://docs.google.com/spreadsheets/d/1lufeA2cfFqM-elVq2hznhDzC6Pr7wkJ9ZG_sYNGCMCU/edit?usp=sharing"",""ลพบุรี!R193"")+IMPORTRANGE(""https://docs.google.com/spreadsheets/d/10oOiF7loTyfsTkbd4MpaIm0HQ9SwB7IYHdIUvt-U1Uc/edit?usp=sharing"""&amp;",""สระแก้ว!R193"")+IMPORTRANGE(""https://docs.google.com/spreadsheets/d/1xmPlrr1QbdSIKvl1dWUl9K4PjAfSL9oeMr_37QVzcxc/edit?usp=sharing"",""สระบุรี!R193"")+IMPORTRANGE(""https://docs.google.com/spreadsheets/d/1j51vR6CYVGhABJpv6tkstgok82RLpXieLzW1yOY5rHw/edi"&amp;"t?usp=sharing"",""สิงห์บุรี!R193"")+IMPORTRANGE(""https://docs.google.com/spreadsheets/d/1H1EalTWKUSzO4Z1-1CwzoDUaVffgrThEBe2sl74kKG0/edit?usp=sharing"",""สุพรรณบุรี!R193"")+IMPORTRANGE(""https://docs.google.com/spreadsheets/d/1BmIruG_sIrJLYao_Pdr7zVArWsf"&amp;"oBt2692TMi6x_854/edit?usp=sharing"",""อ่างทอง!R193"")"),0)</f>
        <v>0</v>
      </c>
      <c r="S193" s="80">
        <f ca="1">IFERROR(__xludf.DUMMYFUNCTION("IMPORTRANGE(""https://docs.google.com/spreadsheets/d/13wPX838HrBrQMCywv1BsuMkt4PEKTChp52zj44s2izQ/edit?usp=sharing"",""กาญจนบุรี!S193"")+IMPORTRANGE(""https://docs.google.com/spreadsheets/d/1ddFKvqj1W1NEiWytbGlB1zMx_ykJDVtmfEQ-6-lIUBA/edit?usp=sharing"","&amp;"""จันทบุรี!S193"")+IMPORTRANGE(""https://docs.google.com/spreadsheets/d/1T1PQvRODqOBZk8BRht_U031fIS1beLA0Ub2CEytj2q0/edit?usp=sharing"",""ฉะเชิงเทรา!S193"")+IMPORTRANGE(""https://docs.google.com/spreadsheets/d/11tr1B-Bhyr79v2bkwVh5h_fR-PStkgjlZtkrZpYurG0/"&amp;"edit?usp=sharing"",""ชลบุรี!S193"")+IMPORTRANGE(""https://docs.google.com/spreadsheets/d/1hh-FVnSX0vozXhGluamEcS54Dw9_zqW0N7qJUWgJ0Sw/edit?usp=sharing"",""ชัยนาท!S193"")+IMPORTRANGE(""https://docs.google.com/spreadsheets/d/1jkqa6GXxSacMcY1eN8AHjMNJ_7dDXMJ"&amp;"VRLDlaFSOdPM/edit?usp=sharing"",""ตราด!S193"")+IMPORTRANGE(""https://docs.google.com/spreadsheets/d/18hSgUJ3VwClqi_qtULmmW3cLr0oe3OKaSYoKzdpTsYQ/edit?usp=sharing"",""นครนายก!S193"")+IMPORTRANGE(""https://docs.google.com/spreadsheets/d/1YTZo6WM2dQ6Ix6FSdnL"&amp;"5P7uVnVKu40sxZu975tgG10E/edit?usp=sharing"",""นครปฐม!S193"")+IMPORTRANGE(""https://docs.google.com/spreadsheets/d/1OYoGg4WDg5RIzwGeB10padOxJF9E_Vljuvvct_M7RDo/edit?usp=sharing"",""ปทุมธานี!S193"")+IMPORTRANGE(""https://docs.google.com/spreadsheets/d/1GbCI"&amp;"E4D4wk9FUozzqk7SxfDMxDVBwVmI5zcaVUSzKAc/edit?usp=sharing"",""ประจวบคีรีขันธ์!S193"")+IMPORTRANGE(""https://docs.google.com/spreadsheets/d/1vVf6wykvW_lAyu7Yo9L4hUTqHqIeP_qcVuxCtosJEbg/edit?usp=sharing"",""ปราจีนบุรี!S193"")+IMPORTRANGE(""https://docs.googl"&amp;"e.com/spreadsheets/d/1BIDqLLg5jk3v59G8NlR8rk5xfQDKne0sAvZHSj7TI6I/edit?usp=sharing"",""พระนครศรีอยุธยา!S193"")+IMPORTRANGE(""https://docs.google.com/spreadsheets/d/1YXvxf8Yu6_rV4hTBrwMqAcAnv6DfhUxh5emyM3CJp_w/edit?usp=sharing"",""เพชรบุรี!S193"")+IMPORTRA"&amp;"NGE(""https://docs.google.com/spreadsheets/d/19KBlQQs7uwvsao6t2n-KvW3Ax8J8uRRfZPq1zPbXgKc/edit?usp=sharing"",""ระยอง!S193"")+IMPORTRANGE(""https://docs.google.com/spreadsheets/d/1jQ6P4QcrGM89YfqcC_PxOHGCMq5ezhucwJd8ci-NHng/edit?usp=sharing"",""ราชบุรี!S19"&amp;"3"")+IMPORTRANGE(""https://docs.google.com/spreadsheets/d/1lufeA2cfFqM-elVq2hznhDzC6Pr7wkJ9ZG_sYNGCMCU/edit?usp=sharing"",""ลพบุรี!S193"")+IMPORTRANGE(""https://docs.google.com/spreadsheets/d/10oOiF7loTyfsTkbd4MpaIm0HQ9SwB7IYHdIUvt-U1Uc/edit?usp=sharing"""&amp;",""สระแก้ว!S193"")+IMPORTRANGE(""https://docs.google.com/spreadsheets/d/1xmPlrr1QbdSIKvl1dWUl9K4PjAfSL9oeMr_37QVzcxc/edit?usp=sharing"",""สระบุรี!S193"")+IMPORTRANGE(""https://docs.google.com/spreadsheets/d/1j51vR6CYVGhABJpv6tkstgok82RLpXieLzW1yOY5rHw/edi"&amp;"t?usp=sharing"",""สิงห์บุรี!S193"")+IMPORTRANGE(""https://docs.google.com/spreadsheets/d/1H1EalTWKUSzO4Z1-1CwzoDUaVffgrThEBe2sl74kKG0/edit?usp=sharing"",""สุพรรณบุรี!S193"")+IMPORTRANGE(""https://docs.google.com/spreadsheets/d/1BmIruG_sIrJLYao_Pdr7zVArWsf"&amp;"oBt2692TMi6x_854/edit?usp=sharing"",""อ่างทอง!S193"")"),0)</f>
        <v>0</v>
      </c>
      <c r="T193" s="136">
        <f t="shared" ca="1" si="161"/>
        <v>0</v>
      </c>
      <c r="U193" s="136">
        <f t="shared" ca="1" si="162"/>
        <v>0</v>
      </c>
    </row>
    <row r="194" spans="1:21" ht="18.75" x14ac:dyDescent="0.25">
      <c r="A194" s="211"/>
      <c r="B194" s="70"/>
      <c r="C194" s="70"/>
      <c r="D194" s="70"/>
      <c r="E194" s="78" t="s">
        <v>21</v>
      </c>
      <c r="F194" s="70"/>
      <c r="G194" s="72"/>
      <c r="H194" s="223" t="s">
        <v>14</v>
      </c>
      <c r="I194" s="221"/>
      <c r="J194" s="221"/>
      <c r="K194" s="222"/>
      <c r="L194" s="91">
        <f ca="1">IFERROR(__xludf.DUMMYFUNCTION("IMPORTRANGE(""https://docs.google.com/spreadsheets/d/13wPX838HrBrQMCywv1BsuMkt4PEKTChp52zj44s2izQ/edit?usp=sharing"",""กาญจนบุรี!L194"")+IMPORTRANGE(""https://docs.google.com/spreadsheets/d/1ddFKvqj1W1NEiWytbGlB1zMx_ykJDVtmfEQ-6-lIUBA/edit?usp=sharing"","&amp;"""จันทบุรี!L194"")+IMPORTRANGE(""https://docs.google.com/spreadsheets/d/1T1PQvRODqOBZk8BRht_U031fIS1beLA0Ub2CEytj2q0/edit?usp=sharing"",""ฉะเชิงเทรา!L194"")+IMPORTRANGE(""https://docs.google.com/spreadsheets/d/11tr1B-Bhyr79v2bkwVh5h_fR-PStkgjlZtkrZpYurG0/"&amp;"edit?usp=sharing"",""ชลบุรี!L194"")+IMPORTRANGE(""https://docs.google.com/spreadsheets/d/1hh-FVnSX0vozXhGluamEcS54Dw9_zqW0N7qJUWgJ0Sw/edit?usp=sharing"",""ชัยนาท!L194"")+IMPORTRANGE(""https://docs.google.com/spreadsheets/d/1jkqa6GXxSacMcY1eN8AHjMNJ_7dDXMJ"&amp;"VRLDlaFSOdPM/edit?usp=sharing"",""ตราด!L194"")+IMPORTRANGE(""https://docs.google.com/spreadsheets/d/18hSgUJ3VwClqi_qtULmmW3cLr0oe3OKaSYoKzdpTsYQ/edit?usp=sharing"",""นครนายก!L194"")+IMPORTRANGE(""https://docs.google.com/spreadsheets/d/1YTZo6WM2dQ6Ix6FSdnL"&amp;"5P7uVnVKu40sxZu975tgG10E/edit?usp=sharing"",""นครปฐม!L194"")+IMPORTRANGE(""https://docs.google.com/spreadsheets/d/1OYoGg4WDg5RIzwGeB10padOxJF9E_Vljuvvct_M7RDo/edit?usp=sharing"",""ปทุมธานี!L194"")+IMPORTRANGE(""https://docs.google.com/spreadsheets/d/1GbCI"&amp;"E4D4wk9FUozzqk7SxfDMxDVBwVmI5zcaVUSzKAc/edit?usp=sharing"",""ประจวบคีรีขันธ์!L194"")+IMPORTRANGE(""https://docs.google.com/spreadsheets/d/1vVf6wykvW_lAyu7Yo9L4hUTqHqIeP_qcVuxCtosJEbg/edit?usp=sharing"",""ปราจีนบุรี!L194"")+IMPORTRANGE(""https://docs.googl"&amp;"e.com/spreadsheets/d/1BIDqLLg5jk3v59G8NlR8rk5xfQDKne0sAvZHSj7TI6I/edit?usp=sharing"",""พระนครศรีอยุธยา!L194"")+IMPORTRANGE(""https://docs.google.com/spreadsheets/d/1YXvxf8Yu6_rV4hTBrwMqAcAnv6DfhUxh5emyM3CJp_w/edit?usp=sharing"",""เพชรบุรี!L194"")+IMPORTRA"&amp;"NGE(""https://docs.google.com/spreadsheets/d/19KBlQQs7uwvsao6t2n-KvW3Ax8J8uRRfZPq1zPbXgKc/edit?usp=sharing"",""ระยอง!L194"")+IMPORTRANGE(""https://docs.google.com/spreadsheets/d/1jQ6P4QcrGM89YfqcC_PxOHGCMq5ezhucwJd8ci-NHng/edit?usp=sharing"",""ราชบุรี!L19"&amp;"4"")+IMPORTRANGE(""https://docs.google.com/spreadsheets/d/1lufeA2cfFqM-elVq2hznhDzC6Pr7wkJ9ZG_sYNGCMCU/edit?usp=sharing"",""ลพบุรี!L194"")+IMPORTRANGE(""https://docs.google.com/spreadsheets/d/10oOiF7loTyfsTkbd4MpaIm0HQ9SwB7IYHdIUvt-U1Uc/edit?usp=sharing"""&amp;",""สระแก้ว!L194"")+IMPORTRANGE(""https://docs.google.com/spreadsheets/d/1xmPlrr1QbdSIKvl1dWUl9K4PjAfSL9oeMr_37QVzcxc/edit?usp=sharing"",""สระบุรี!L194"")+IMPORTRANGE(""https://docs.google.com/spreadsheets/d/1j51vR6CYVGhABJpv6tkstgok82RLpXieLzW1yOY5rHw/edi"&amp;"t?usp=sharing"",""สิงห์บุรี!L194"")+IMPORTRANGE(""https://docs.google.com/spreadsheets/d/1H1EalTWKUSzO4Z1-1CwzoDUaVffgrThEBe2sl74kKG0/edit?usp=sharing"",""สุพรรณบุรี!L194"")+IMPORTRANGE(""https://docs.google.com/spreadsheets/d/1BmIruG_sIrJLYao_Pdr7zVArWsf"&amp;"oBt2692TMi6x_854/edit?usp=sharing"",""อ่างทอง!L194"")"),0)</f>
        <v>0</v>
      </c>
      <c r="M194" s="91">
        <f ca="1">IFERROR(__xludf.DUMMYFUNCTION("IMPORTRANGE(""https://docs.google.com/spreadsheets/d/13wPX838HrBrQMCywv1BsuMkt4PEKTChp52zj44s2izQ/edit?usp=sharing"",""กาญจนบุรี!M194"")+IMPORTRANGE(""https://docs.google.com/spreadsheets/d/1ddFKvqj1W1NEiWytbGlB1zMx_ykJDVtmfEQ-6-lIUBA/edit?usp=sharing"","&amp;"""จันทบุรี!M194"")+IMPORTRANGE(""https://docs.google.com/spreadsheets/d/1T1PQvRODqOBZk8BRht_U031fIS1beLA0Ub2CEytj2q0/edit?usp=sharing"",""ฉะเชิงเทรา!M194"")+IMPORTRANGE(""https://docs.google.com/spreadsheets/d/11tr1B-Bhyr79v2bkwVh5h_fR-PStkgjlZtkrZpYurG0/"&amp;"edit?usp=sharing"",""ชลบุรี!M194"")+IMPORTRANGE(""https://docs.google.com/spreadsheets/d/1hh-FVnSX0vozXhGluamEcS54Dw9_zqW0N7qJUWgJ0Sw/edit?usp=sharing"",""ชัยนาท!M194"")+IMPORTRANGE(""https://docs.google.com/spreadsheets/d/1jkqa6GXxSacMcY1eN8AHjMNJ_7dDXMJ"&amp;"VRLDlaFSOdPM/edit?usp=sharing"",""ตราด!M194"")+IMPORTRANGE(""https://docs.google.com/spreadsheets/d/18hSgUJ3VwClqi_qtULmmW3cLr0oe3OKaSYoKzdpTsYQ/edit?usp=sharing"",""นครนายก!M194"")+IMPORTRANGE(""https://docs.google.com/spreadsheets/d/1YTZo6WM2dQ6Ix6FSdnL"&amp;"5P7uVnVKu40sxZu975tgG10E/edit?usp=sharing"",""นครปฐม!M194"")+IMPORTRANGE(""https://docs.google.com/spreadsheets/d/1OYoGg4WDg5RIzwGeB10padOxJF9E_Vljuvvct_M7RDo/edit?usp=sharing"",""ปทุมธานี!M194"")+IMPORTRANGE(""https://docs.google.com/spreadsheets/d/1GbCI"&amp;"E4D4wk9FUozzqk7SxfDMxDVBwVmI5zcaVUSzKAc/edit?usp=sharing"",""ประจวบคีรีขันธ์!M194"")+IMPORTRANGE(""https://docs.google.com/spreadsheets/d/1vVf6wykvW_lAyu7Yo9L4hUTqHqIeP_qcVuxCtosJEbg/edit?usp=sharing"",""ปราจีนบุรี!M194"")+IMPORTRANGE(""https://docs.googl"&amp;"e.com/spreadsheets/d/1BIDqLLg5jk3v59G8NlR8rk5xfQDKne0sAvZHSj7TI6I/edit?usp=sharing"",""พระนครศรีอยุธยา!M194"")+IMPORTRANGE(""https://docs.google.com/spreadsheets/d/1YXvxf8Yu6_rV4hTBrwMqAcAnv6DfhUxh5emyM3CJp_w/edit?usp=sharing"",""เพชรบุรี!M194"")+IMPORTRA"&amp;"NGE(""https://docs.google.com/spreadsheets/d/19KBlQQs7uwvsao6t2n-KvW3Ax8J8uRRfZPq1zPbXgKc/edit?usp=sharing"",""ระยอง!M194"")+IMPORTRANGE(""https://docs.google.com/spreadsheets/d/1jQ6P4QcrGM89YfqcC_PxOHGCMq5ezhucwJd8ci-NHng/edit?usp=sharing"",""ราชบุรี!M19"&amp;"4"")+IMPORTRANGE(""https://docs.google.com/spreadsheets/d/1lufeA2cfFqM-elVq2hznhDzC6Pr7wkJ9ZG_sYNGCMCU/edit?usp=sharing"",""ลพบุรี!M194"")+IMPORTRANGE(""https://docs.google.com/spreadsheets/d/10oOiF7loTyfsTkbd4MpaIm0HQ9SwB7IYHdIUvt-U1Uc/edit?usp=sharing"""&amp;",""สระแก้ว!M194"")+IMPORTRANGE(""https://docs.google.com/spreadsheets/d/1xmPlrr1QbdSIKvl1dWUl9K4PjAfSL9oeMr_37QVzcxc/edit?usp=sharing"",""สระบุรี!M194"")+IMPORTRANGE(""https://docs.google.com/spreadsheets/d/1j51vR6CYVGhABJpv6tkstgok82RLpXieLzW1yOY5rHw/edi"&amp;"t?usp=sharing"",""สิงห์บุรี!M194"")+IMPORTRANGE(""https://docs.google.com/spreadsheets/d/1H1EalTWKUSzO4Z1-1CwzoDUaVffgrThEBe2sl74kKG0/edit?usp=sharing"",""สุพรรณบุรี!M194"")+IMPORTRANGE(""https://docs.google.com/spreadsheets/d/1BmIruG_sIrJLYao_Pdr7zVArWsf"&amp;"oBt2692TMi6x_854/edit?usp=sharing"",""อ่างทอง!M194"")"),0)</f>
        <v>0</v>
      </c>
      <c r="N194" s="91">
        <f ca="1">IFERROR(__xludf.DUMMYFUNCTION("IMPORTRANGE(""https://docs.google.com/spreadsheets/d/13wPX838HrBrQMCywv1BsuMkt4PEKTChp52zj44s2izQ/edit?usp=sharing"",""กาญจนบุรี!N194"")+IMPORTRANGE(""https://docs.google.com/spreadsheets/d/1ddFKvqj1W1NEiWytbGlB1zMx_ykJDVtmfEQ-6-lIUBA/edit?usp=sharing"","&amp;"""จันทบุรี!N194"")+IMPORTRANGE(""https://docs.google.com/spreadsheets/d/1T1PQvRODqOBZk8BRht_U031fIS1beLA0Ub2CEytj2q0/edit?usp=sharing"",""ฉะเชิงเทรา!N194"")+IMPORTRANGE(""https://docs.google.com/spreadsheets/d/11tr1B-Bhyr79v2bkwVh5h_fR-PStkgjlZtkrZpYurG0/"&amp;"edit?usp=sharing"",""ชลบุรี!N194"")+IMPORTRANGE(""https://docs.google.com/spreadsheets/d/1hh-FVnSX0vozXhGluamEcS54Dw9_zqW0N7qJUWgJ0Sw/edit?usp=sharing"",""ชัยนาท!N194"")+IMPORTRANGE(""https://docs.google.com/spreadsheets/d/1jkqa6GXxSacMcY1eN8AHjMNJ_7dDXMJ"&amp;"VRLDlaFSOdPM/edit?usp=sharing"",""ตราด!N194"")+IMPORTRANGE(""https://docs.google.com/spreadsheets/d/18hSgUJ3VwClqi_qtULmmW3cLr0oe3OKaSYoKzdpTsYQ/edit?usp=sharing"",""นครนายก!N194"")+IMPORTRANGE(""https://docs.google.com/spreadsheets/d/1YTZo6WM2dQ6Ix6FSdnL"&amp;"5P7uVnVKu40sxZu975tgG10E/edit?usp=sharing"",""นครปฐม!N194"")+IMPORTRANGE(""https://docs.google.com/spreadsheets/d/1OYoGg4WDg5RIzwGeB10padOxJF9E_Vljuvvct_M7RDo/edit?usp=sharing"",""ปทุมธานี!N194"")+IMPORTRANGE(""https://docs.google.com/spreadsheets/d/1GbCI"&amp;"E4D4wk9FUozzqk7SxfDMxDVBwVmI5zcaVUSzKAc/edit?usp=sharing"",""ประจวบคีรีขันธ์!N194"")+IMPORTRANGE(""https://docs.google.com/spreadsheets/d/1vVf6wykvW_lAyu7Yo9L4hUTqHqIeP_qcVuxCtosJEbg/edit?usp=sharing"",""ปราจีนบุรี!N194"")+IMPORTRANGE(""https://docs.googl"&amp;"e.com/spreadsheets/d/1BIDqLLg5jk3v59G8NlR8rk5xfQDKne0sAvZHSj7TI6I/edit?usp=sharing"",""พระนครศรีอยุธยา!N194"")+IMPORTRANGE(""https://docs.google.com/spreadsheets/d/1YXvxf8Yu6_rV4hTBrwMqAcAnv6DfhUxh5emyM3CJp_w/edit?usp=sharing"",""เพชรบุรี!N194"")+IMPORTRA"&amp;"NGE(""https://docs.google.com/spreadsheets/d/19KBlQQs7uwvsao6t2n-KvW3Ax8J8uRRfZPq1zPbXgKc/edit?usp=sharing"",""ระยอง!N194"")+IMPORTRANGE(""https://docs.google.com/spreadsheets/d/1jQ6P4QcrGM89YfqcC_PxOHGCMq5ezhucwJd8ci-NHng/edit?usp=sharing"",""ราชบุรี!N19"&amp;"4"")+IMPORTRANGE(""https://docs.google.com/spreadsheets/d/1lufeA2cfFqM-elVq2hznhDzC6Pr7wkJ9ZG_sYNGCMCU/edit?usp=sharing"",""ลพบุรี!N194"")+IMPORTRANGE(""https://docs.google.com/spreadsheets/d/10oOiF7loTyfsTkbd4MpaIm0HQ9SwB7IYHdIUvt-U1Uc/edit?usp=sharing"""&amp;",""สระแก้ว!N194"")+IMPORTRANGE(""https://docs.google.com/spreadsheets/d/1xmPlrr1QbdSIKvl1dWUl9K4PjAfSL9oeMr_37QVzcxc/edit?usp=sharing"",""สระบุรี!N194"")+IMPORTRANGE(""https://docs.google.com/spreadsheets/d/1j51vR6CYVGhABJpv6tkstgok82RLpXieLzW1yOY5rHw/edi"&amp;"t?usp=sharing"",""สิงห์บุรี!N194"")+IMPORTRANGE(""https://docs.google.com/spreadsheets/d/1H1EalTWKUSzO4Z1-1CwzoDUaVffgrThEBe2sl74kKG0/edit?usp=sharing"",""สุพรรณบุรี!N194"")+IMPORTRANGE(""https://docs.google.com/spreadsheets/d/1BmIruG_sIrJLYao_Pdr7zVArWsf"&amp;"oBt2692TMi6x_854/edit?usp=sharing"",""อ่างทอง!N194"")"),0)</f>
        <v>0</v>
      </c>
      <c r="O194" s="91">
        <f t="shared" ca="1" si="158"/>
        <v>0</v>
      </c>
      <c r="P194" s="91">
        <f t="shared" ca="1" si="159"/>
        <v>0</v>
      </c>
      <c r="Q194" s="76">
        <f ca="1">IFERROR(__xludf.DUMMYFUNCTION("IMPORTRANGE(""https://docs.google.com/spreadsheets/d/13wPX838HrBrQMCywv1BsuMkt4PEKTChp52zj44s2izQ/edit?usp=sharing"",""กาญจนบุรี!Q194"")+IMPORTRANGE(""https://docs.google.com/spreadsheets/d/1ddFKvqj1W1NEiWytbGlB1zMx_ykJDVtmfEQ-6-lIUBA/edit?usp=sharing"","&amp;"""จันทบุรี!Q194"")+IMPORTRANGE(""https://docs.google.com/spreadsheets/d/1T1PQvRODqOBZk8BRht_U031fIS1beLA0Ub2CEytj2q0/edit?usp=sharing"",""ฉะเชิงเทรา!Q194"")+IMPORTRANGE(""https://docs.google.com/spreadsheets/d/11tr1B-Bhyr79v2bkwVh5h_fR-PStkgjlZtkrZpYurG0/"&amp;"edit?usp=sharing"",""ชลบุรี!Q194"")+IMPORTRANGE(""https://docs.google.com/spreadsheets/d/1hh-FVnSX0vozXhGluamEcS54Dw9_zqW0N7qJUWgJ0Sw/edit?usp=sharing"",""ชัยนาท!Q194"")+IMPORTRANGE(""https://docs.google.com/spreadsheets/d/1jkqa6GXxSacMcY1eN8AHjMNJ_7dDXMJ"&amp;"VRLDlaFSOdPM/edit?usp=sharing"",""ตราด!Q194"")+IMPORTRANGE(""https://docs.google.com/spreadsheets/d/18hSgUJ3VwClqi_qtULmmW3cLr0oe3OKaSYoKzdpTsYQ/edit?usp=sharing"",""นครนายก!Q194"")+IMPORTRANGE(""https://docs.google.com/spreadsheets/d/1YTZo6WM2dQ6Ix6FSdnL"&amp;"5P7uVnVKu40sxZu975tgG10E/edit?usp=sharing"",""นครปฐม!Q194"")+IMPORTRANGE(""https://docs.google.com/spreadsheets/d/1OYoGg4WDg5RIzwGeB10padOxJF9E_Vljuvvct_M7RDo/edit?usp=sharing"",""ปทุมธานี!Q194"")+IMPORTRANGE(""https://docs.google.com/spreadsheets/d/1GbCI"&amp;"E4D4wk9FUozzqk7SxfDMxDVBwVmI5zcaVUSzKAc/edit?usp=sharing"",""ประจวบคีรีขันธ์!Q194"")+IMPORTRANGE(""https://docs.google.com/spreadsheets/d/1vVf6wykvW_lAyu7Yo9L4hUTqHqIeP_qcVuxCtosJEbg/edit?usp=sharing"",""ปราจีนบุรี!Q194"")+IMPORTRANGE(""https://docs.googl"&amp;"e.com/spreadsheets/d/1BIDqLLg5jk3v59G8NlR8rk5xfQDKne0sAvZHSj7TI6I/edit?usp=sharing"",""พระนครศรีอยุธยา!Q194"")+IMPORTRANGE(""https://docs.google.com/spreadsheets/d/1YXvxf8Yu6_rV4hTBrwMqAcAnv6DfhUxh5emyM3CJp_w/edit?usp=sharing"",""เพชรบุรี!Q194"")+IMPORTRA"&amp;"NGE(""https://docs.google.com/spreadsheets/d/19KBlQQs7uwvsao6t2n-KvW3Ax8J8uRRfZPq1zPbXgKc/edit?usp=sharing"",""ระยอง!Q194"")+IMPORTRANGE(""https://docs.google.com/spreadsheets/d/1jQ6P4QcrGM89YfqcC_PxOHGCMq5ezhucwJd8ci-NHng/edit?usp=sharing"",""ราชบุรี!Q19"&amp;"4"")+IMPORTRANGE(""https://docs.google.com/spreadsheets/d/1lufeA2cfFqM-elVq2hznhDzC6Pr7wkJ9ZG_sYNGCMCU/edit?usp=sharing"",""ลพบุรี!Q194"")+IMPORTRANGE(""https://docs.google.com/spreadsheets/d/10oOiF7loTyfsTkbd4MpaIm0HQ9SwB7IYHdIUvt-U1Uc/edit?usp=sharing"""&amp;",""สระแก้ว!Q194"")+IMPORTRANGE(""https://docs.google.com/spreadsheets/d/1xmPlrr1QbdSIKvl1dWUl9K4PjAfSL9oeMr_37QVzcxc/edit?usp=sharing"",""สระบุรี!Q194"")+IMPORTRANGE(""https://docs.google.com/spreadsheets/d/1j51vR6CYVGhABJpv6tkstgok82RLpXieLzW1yOY5rHw/edi"&amp;"t?usp=sharing"",""สิงห์บุรี!Q194"")+IMPORTRANGE(""https://docs.google.com/spreadsheets/d/1H1EalTWKUSzO4Z1-1CwzoDUaVffgrThEBe2sl74kKG0/edit?usp=sharing"",""สุพรรณบุรี!Q194"")+IMPORTRANGE(""https://docs.google.com/spreadsheets/d/1BmIruG_sIrJLYao_Pdr7zVArWsf"&amp;"oBt2692TMi6x_854/edit?usp=sharing"",""อ่างทอง!Q194"")"),0)</f>
        <v>0</v>
      </c>
      <c r="R194" s="77">
        <f ca="1">IFERROR(__xludf.DUMMYFUNCTION("IMPORTRANGE(""https://docs.google.com/spreadsheets/d/13wPX838HrBrQMCywv1BsuMkt4PEKTChp52zj44s2izQ/edit?usp=sharing"",""กาญจนบุรี!R194"")+IMPORTRANGE(""https://docs.google.com/spreadsheets/d/1ddFKvqj1W1NEiWytbGlB1zMx_ykJDVtmfEQ-6-lIUBA/edit?usp=sharing"","&amp;"""จันทบุรี!R194"")+IMPORTRANGE(""https://docs.google.com/spreadsheets/d/1T1PQvRODqOBZk8BRht_U031fIS1beLA0Ub2CEytj2q0/edit?usp=sharing"",""ฉะเชิงเทรา!R194"")+IMPORTRANGE(""https://docs.google.com/spreadsheets/d/11tr1B-Bhyr79v2bkwVh5h_fR-PStkgjlZtkrZpYurG0/"&amp;"edit?usp=sharing"",""ชลบุรี!R194"")+IMPORTRANGE(""https://docs.google.com/spreadsheets/d/1hh-FVnSX0vozXhGluamEcS54Dw9_zqW0N7qJUWgJ0Sw/edit?usp=sharing"",""ชัยนาท!R194"")+IMPORTRANGE(""https://docs.google.com/spreadsheets/d/1jkqa6GXxSacMcY1eN8AHjMNJ_7dDXMJ"&amp;"VRLDlaFSOdPM/edit?usp=sharing"",""ตราด!R194"")+IMPORTRANGE(""https://docs.google.com/spreadsheets/d/18hSgUJ3VwClqi_qtULmmW3cLr0oe3OKaSYoKzdpTsYQ/edit?usp=sharing"",""นครนายก!R194"")+IMPORTRANGE(""https://docs.google.com/spreadsheets/d/1YTZo6WM2dQ6Ix6FSdnL"&amp;"5P7uVnVKu40sxZu975tgG10E/edit?usp=sharing"",""นครปฐม!R194"")+IMPORTRANGE(""https://docs.google.com/spreadsheets/d/1OYoGg4WDg5RIzwGeB10padOxJF9E_Vljuvvct_M7RDo/edit?usp=sharing"",""ปทุมธานี!R194"")+IMPORTRANGE(""https://docs.google.com/spreadsheets/d/1GbCI"&amp;"E4D4wk9FUozzqk7SxfDMxDVBwVmI5zcaVUSzKAc/edit?usp=sharing"",""ประจวบคีรีขันธ์!R194"")+IMPORTRANGE(""https://docs.google.com/spreadsheets/d/1vVf6wykvW_lAyu7Yo9L4hUTqHqIeP_qcVuxCtosJEbg/edit?usp=sharing"",""ปราจีนบุรี!R194"")+IMPORTRANGE(""https://docs.googl"&amp;"e.com/spreadsheets/d/1BIDqLLg5jk3v59G8NlR8rk5xfQDKne0sAvZHSj7TI6I/edit?usp=sharing"",""พระนครศรีอยุธยา!R194"")+IMPORTRANGE(""https://docs.google.com/spreadsheets/d/1YXvxf8Yu6_rV4hTBrwMqAcAnv6DfhUxh5emyM3CJp_w/edit?usp=sharing"",""เพชรบุรี!R194"")+IMPORTRA"&amp;"NGE(""https://docs.google.com/spreadsheets/d/19KBlQQs7uwvsao6t2n-KvW3Ax8J8uRRfZPq1zPbXgKc/edit?usp=sharing"",""ระยอง!R194"")+IMPORTRANGE(""https://docs.google.com/spreadsheets/d/1jQ6P4QcrGM89YfqcC_PxOHGCMq5ezhucwJd8ci-NHng/edit?usp=sharing"",""ราชบุรี!R19"&amp;"4"")+IMPORTRANGE(""https://docs.google.com/spreadsheets/d/1lufeA2cfFqM-elVq2hznhDzC6Pr7wkJ9ZG_sYNGCMCU/edit?usp=sharing"",""ลพบุรี!R194"")+IMPORTRANGE(""https://docs.google.com/spreadsheets/d/10oOiF7loTyfsTkbd4MpaIm0HQ9SwB7IYHdIUvt-U1Uc/edit?usp=sharing"""&amp;",""สระแก้ว!R194"")+IMPORTRANGE(""https://docs.google.com/spreadsheets/d/1xmPlrr1QbdSIKvl1dWUl9K4PjAfSL9oeMr_37QVzcxc/edit?usp=sharing"",""สระบุรี!R194"")+IMPORTRANGE(""https://docs.google.com/spreadsheets/d/1j51vR6CYVGhABJpv6tkstgok82RLpXieLzW1yOY5rHw/edi"&amp;"t?usp=sharing"",""สิงห์บุรี!R194"")+IMPORTRANGE(""https://docs.google.com/spreadsheets/d/1H1EalTWKUSzO4Z1-1CwzoDUaVffgrThEBe2sl74kKG0/edit?usp=sharing"",""สุพรรณบุรี!R194"")+IMPORTRANGE(""https://docs.google.com/spreadsheets/d/1BmIruG_sIrJLYao_Pdr7zVArWsf"&amp;"oBt2692TMi6x_854/edit?usp=sharing"",""อ่างทอง!R194"")"),0)</f>
        <v>0</v>
      </c>
      <c r="S194" s="77">
        <f ca="1">IFERROR(__xludf.DUMMYFUNCTION("IMPORTRANGE(""https://docs.google.com/spreadsheets/d/13wPX838HrBrQMCywv1BsuMkt4PEKTChp52zj44s2izQ/edit?usp=sharing"",""กาญจนบุรี!S194"")+IMPORTRANGE(""https://docs.google.com/spreadsheets/d/1ddFKvqj1W1NEiWytbGlB1zMx_ykJDVtmfEQ-6-lIUBA/edit?usp=sharing"","&amp;"""จันทบุรี!S194"")+IMPORTRANGE(""https://docs.google.com/spreadsheets/d/1T1PQvRODqOBZk8BRht_U031fIS1beLA0Ub2CEytj2q0/edit?usp=sharing"",""ฉะเชิงเทรา!S194"")+IMPORTRANGE(""https://docs.google.com/spreadsheets/d/11tr1B-Bhyr79v2bkwVh5h_fR-PStkgjlZtkrZpYurG0/"&amp;"edit?usp=sharing"",""ชลบุรี!S194"")+IMPORTRANGE(""https://docs.google.com/spreadsheets/d/1hh-FVnSX0vozXhGluamEcS54Dw9_zqW0N7qJUWgJ0Sw/edit?usp=sharing"",""ชัยนาท!S194"")+IMPORTRANGE(""https://docs.google.com/spreadsheets/d/1jkqa6GXxSacMcY1eN8AHjMNJ_7dDXMJ"&amp;"VRLDlaFSOdPM/edit?usp=sharing"",""ตราด!S194"")+IMPORTRANGE(""https://docs.google.com/spreadsheets/d/18hSgUJ3VwClqi_qtULmmW3cLr0oe3OKaSYoKzdpTsYQ/edit?usp=sharing"",""นครนายก!S194"")+IMPORTRANGE(""https://docs.google.com/spreadsheets/d/1YTZo6WM2dQ6Ix6FSdnL"&amp;"5P7uVnVKu40sxZu975tgG10E/edit?usp=sharing"",""นครปฐม!S194"")+IMPORTRANGE(""https://docs.google.com/spreadsheets/d/1OYoGg4WDg5RIzwGeB10padOxJF9E_Vljuvvct_M7RDo/edit?usp=sharing"",""ปทุมธานี!S194"")+IMPORTRANGE(""https://docs.google.com/spreadsheets/d/1GbCI"&amp;"E4D4wk9FUozzqk7SxfDMxDVBwVmI5zcaVUSzKAc/edit?usp=sharing"",""ประจวบคีรีขันธ์!S194"")+IMPORTRANGE(""https://docs.google.com/spreadsheets/d/1vVf6wykvW_lAyu7Yo9L4hUTqHqIeP_qcVuxCtosJEbg/edit?usp=sharing"",""ปราจีนบุรี!S194"")+IMPORTRANGE(""https://docs.googl"&amp;"e.com/spreadsheets/d/1BIDqLLg5jk3v59G8NlR8rk5xfQDKne0sAvZHSj7TI6I/edit?usp=sharing"",""พระนครศรีอยุธยา!S194"")+IMPORTRANGE(""https://docs.google.com/spreadsheets/d/1YXvxf8Yu6_rV4hTBrwMqAcAnv6DfhUxh5emyM3CJp_w/edit?usp=sharing"",""เพชรบุรี!S194"")+IMPORTRA"&amp;"NGE(""https://docs.google.com/spreadsheets/d/19KBlQQs7uwvsao6t2n-KvW3Ax8J8uRRfZPq1zPbXgKc/edit?usp=sharing"",""ระยอง!S194"")+IMPORTRANGE(""https://docs.google.com/spreadsheets/d/1jQ6P4QcrGM89YfqcC_PxOHGCMq5ezhucwJd8ci-NHng/edit?usp=sharing"",""ราชบุรี!S19"&amp;"4"")+IMPORTRANGE(""https://docs.google.com/spreadsheets/d/1lufeA2cfFqM-elVq2hznhDzC6Pr7wkJ9ZG_sYNGCMCU/edit?usp=sharing"",""ลพบุรี!S194"")+IMPORTRANGE(""https://docs.google.com/spreadsheets/d/10oOiF7loTyfsTkbd4MpaIm0HQ9SwB7IYHdIUvt-U1Uc/edit?usp=sharing"""&amp;",""สระแก้ว!S194"")+IMPORTRANGE(""https://docs.google.com/spreadsheets/d/1xmPlrr1QbdSIKvl1dWUl9K4PjAfSL9oeMr_37QVzcxc/edit?usp=sharing"",""สระบุรี!S194"")+IMPORTRANGE(""https://docs.google.com/spreadsheets/d/1j51vR6CYVGhABJpv6tkstgok82RLpXieLzW1yOY5rHw/edi"&amp;"t?usp=sharing"",""สิงห์บุรี!S194"")+IMPORTRANGE(""https://docs.google.com/spreadsheets/d/1H1EalTWKUSzO4Z1-1CwzoDUaVffgrThEBe2sl74kKG0/edit?usp=sharing"",""สุพรรณบุรี!S194"")+IMPORTRANGE(""https://docs.google.com/spreadsheets/d/1BmIruG_sIrJLYao_Pdr7zVArWsf"&amp;"oBt2692TMi6x_854/edit?usp=sharing"",""อ่างทอง!S194"")"),0)</f>
        <v>0</v>
      </c>
      <c r="T194" s="135">
        <f t="shared" ca="1" si="161"/>
        <v>0</v>
      </c>
      <c r="U194" s="135">
        <f t="shared" ca="1" si="162"/>
        <v>0</v>
      </c>
    </row>
    <row r="195" spans="1:21" ht="19.5" x14ac:dyDescent="0.3">
      <c r="A195" s="372"/>
      <c r="B195" s="373"/>
      <c r="C195" s="374" t="s">
        <v>78</v>
      </c>
      <c r="D195" s="375"/>
      <c r="E195" s="375"/>
      <c r="F195" s="375"/>
      <c r="G195" s="376"/>
      <c r="H195" s="377" t="s">
        <v>79</v>
      </c>
      <c r="I195" s="378">
        <f t="shared" ref="I195:J195" ca="1" si="171">I198</f>
        <v>84</v>
      </c>
      <c r="J195" s="378">
        <f t="shared" ca="1" si="171"/>
        <v>41</v>
      </c>
      <c r="K195" s="379">
        <f ca="1">IF(I195&gt;0,J195*100/I195,0)</f>
        <v>48.80952380952381</v>
      </c>
      <c r="L195" s="380"/>
      <c r="M195" s="380"/>
      <c r="N195" s="380"/>
      <c r="O195" s="380"/>
      <c r="P195" s="380"/>
      <c r="Q195" s="381"/>
      <c r="R195" s="382"/>
      <c r="S195" s="382"/>
      <c r="T195" s="382"/>
      <c r="U195" s="382"/>
    </row>
    <row r="196" spans="1:21" ht="19.5" x14ac:dyDescent="0.3">
      <c r="A196" s="211"/>
      <c r="B196" s="70"/>
      <c r="C196" s="212" t="s">
        <v>18</v>
      </c>
      <c r="D196" s="383" t="s">
        <v>19</v>
      </c>
      <c r="E196" s="70"/>
      <c r="F196" s="70"/>
      <c r="G196" s="72"/>
      <c r="H196" s="384" t="s">
        <v>14</v>
      </c>
      <c r="I196" s="74"/>
      <c r="J196" s="74"/>
      <c r="K196" s="75"/>
      <c r="L196" s="215">
        <f ca="1">IFERROR(__xludf.DUMMYFUNCTION("IMPORTRANGE(""https://docs.google.com/spreadsheets/d/13wPX838HrBrQMCywv1BsuMkt4PEKTChp52zj44s2izQ/edit?usp=sharing"",""กาญจนบุรี!L196"")+IMPORTRANGE(""https://docs.google.com/spreadsheets/d/1ddFKvqj1W1NEiWytbGlB1zMx_ykJDVtmfEQ-6-lIUBA/edit?usp=sharing"","&amp;"""จันทบุรี!L196"")+IMPORTRANGE(""https://docs.google.com/spreadsheets/d/1T1PQvRODqOBZk8BRht_U031fIS1beLA0Ub2CEytj2q0/edit?usp=sharing"",""ฉะเชิงเทรา!L196"")+IMPORTRANGE(""https://docs.google.com/spreadsheets/d/11tr1B-Bhyr79v2bkwVh5h_fR-PStkgjlZtkrZpYurG0/"&amp;"edit?usp=sharing"",""ชลบุรี!L196"")+IMPORTRANGE(""https://docs.google.com/spreadsheets/d/1hh-FVnSX0vozXhGluamEcS54Dw9_zqW0N7qJUWgJ0Sw/edit?usp=sharing"",""ชัยนาท!L196"")+IMPORTRANGE(""https://docs.google.com/spreadsheets/d/1jkqa6GXxSacMcY1eN8AHjMNJ_7dDXMJ"&amp;"VRLDlaFSOdPM/edit?usp=sharing"",""ตราด!L196"")+IMPORTRANGE(""https://docs.google.com/spreadsheets/d/18hSgUJ3VwClqi_qtULmmW3cLr0oe3OKaSYoKzdpTsYQ/edit?usp=sharing"",""นครนายก!L196"")+IMPORTRANGE(""https://docs.google.com/spreadsheets/d/1YTZo6WM2dQ6Ix6FSdnL"&amp;"5P7uVnVKu40sxZu975tgG10E/edit?usp=sharing"",""นครปฐม!L196"")+IMPORTRANGE(""https://docs.google.com/spreadsheets/d/1OYoGg4WDg5RIzwGeB10padOxJF9E_Vljuvvct_M7RDo/edit?usp=sharing"",""ปทุมธานี!L196"")+IMPORTRANGE(""https://docs.google.com/spreadsheets/d/1GbCI"&amp;"E4D4wk9FUozzqk7SxfDMxDVBwVmI5zcaVUSzKAc/edit?usp=sharing"",""ประจวบคีรีขันธ์!L196"")+IMPORTRANGE(""https://docs.google.com/spreadsheets/d/1vVf6wykvW_lAyu7Yo9L4hUTqHqIeP_qcVuxCtosJEbg/edit?usp=sharing"",""ปราจีนบุรี!L196"")+IMPORTRANGE(""https://docs.googl"&amp;"e.com/spreadsheets/d/1BIDqLLg5jk3v59G8NlR8rk5xfQDKne0sAvZHSj7TI6I/edit?usp=sharing"",""พระนครศรีอยุธยา!L196"")+IMPORTRANGE(""https://docs.google.com/spreadsheets/d/1YXvxf8Yu6_rV4hTBrwMqAcAnv6DfhUxh5emyM3CJp_w/edit?usp=sharing"",""เพชรบุรี!L196"")+IMPORTRA"&amp;"NGE(""https://docs.google.com/spreadsheets/d/19KBlQQs7uwvsao6t2n-KvW3Ax8J8uRRfZPq1zPbXgKc/edit?usp=sharing"",""ระยอง!L196"")+IMPORTRANGE(""https://docs.google.com/spreadsheets/d/1jQ6P4QcrGM89YfqcC_PxOHGCMq5ezhucwJd8ci-NHng/edit?usp=sharing"",""ราชบุรี!L19"&amp;"6"")+IMPORTRANGE(""https://docs.google.com/spreadsheets/d/1lufeA2cfFqM-elVq2hznhDzC6Pr7wkJ9ZG_sYNGCMCU/edit?usp=sharing"",""ลพบุรี!L196"")+IMPORTRANGE(""https://docs.google.com/spreadsheets/d/10oOiF7loTyfsTkbd4MpaIm0HQ9SwB7IYHdIUvt-U1Uc/edit?usp=sharing"""&amp;",""สระแก้ว!L196"")+IMPORTRANGE(""https://docs.google.com/spreadsheets/d/1xmPlrr1QbdSIKvl1dWUl9K4PjAfSL9oeMr_37QVzcxc/edit?usp=sharing"",""สระบุรี!L196"")+IMPORTRANGE(""https://docs.google.com/spreadsheets/d/1j51vR6CYVGhABJpv6tkstgok82RLpXieLzW1yOY5rHw/edi"&amp;"t?usp=sharing"",""สิงห์บุรี!L196"")+IMPORTRANGE(""https://docs.google.com/spreadsheets/d/1H1EalTWKUSzO4Z1-1CwzoDUaVffgrThEBe2sl74kKG0/edit?usp=sharing"",""สุพรรณบุรี!L196"")+IMPORTRANGE(""https://docs.google.com/spreadsheets/d/1BmIruG_sIrJLYao_Pdr7zVArWsf"&amp;"oBt2692TMi6x_854/edit?usp=sharing"",""อ่างทอง!L196"")"),126000)</f>
        <v>126000</v>
      </c>
      <c r="M196" s="75"/>
      <c r="N196" s="215">
        <f ca="1">IFERROR(__xludf.DUMMYFUNCTION("IMPORTRANGE(""https://docs.google.com/spreadsheets/d/13wPX838HrBrQMCywv1BsuMkt4PEKTChp52zj44s2izQ/edit?usp=sharing"",""กาญจนบุรี!N196"")+IMPORTRANGE(""https://docs.google.com/spreadsheets/d/1ddFKvqj1W1NEiWytbGlB1zMx_ykJDVtmfEQ-6-lIUBA/edit?usp=sharing"","&amp;"""จันทบุรี!N196"")+IMPORTRANGE(""https://docs.google.com/spreadsheets/d/1T1PQvRODqOBZk8BRht_U031fIS1beLA0Ub2CEytj2q0/edit?usp=sharing"",""ฉะเชิงเทรา!N196"")+IMPORTRANGE(""https://docs.google.com/spreadsheets/d/11tr1B-Bhyr79v2bkwVh5h_fR-PStkgjlZtkrZpYurG0/"&amp;"edit?usp=sharing"",""ชลบุรี!N196"")+IMPORTRANGE(""https://docs.google.com/spreadsheets/d/1hh-FVnSX0vozXhGluamEcS54Dw9_zqW0N7qJUWgJ0Sw/edit?usp=sharing"",""ชัยนาท!N196"")+IMPORTRANGE(""https://docs.google.com/spreadsheets/d/1jkqa6GXxSacMcY1eN8AHjMNJ_7dDXMJ"&amp;"VRLDlaFSOdPM/edit?usp=sharing"",""ตราด!N196"")+IMPORTRANGE(""https://docs.google.com/spreadsheets/d/18hSgUJ3VwClqi_qtULmmW3cLr0oe3OKaSYoKzdpTsYQ/edit?usp=sharing"",""นครนายก!N196"")+IMPORTRANGE(""https://docs.google.com/spreadsheets/d/1YTZo6WM2dQ6Ix6FSdnL"&amp;"5P7uVnVKu40sxZu975tgG10E/edit?usp=sharing"",""นครปฐม!N196"")+IMPORTRANGE(""https://docs.google.com/spreadsheets/d/1OYoGg4WDg5RIzwGeB10padOxJF9E_Vljuvvct_M7RDo/edit?usp=sharing"",""ปทุมธานี!N196"")+IMPORTRANGE(""https://docs.google.com/spreadsheets/d/1GbCI"&amp;"E4D4wk9FUozzqk7SxfDMxDVBwVmI5zcaVUSzKAc/edit?usp=sharing"",""ประจวบคีรีขันธ์!N196"")+IMPORTRANGE(""https://docs.google.com/spreadsheets/d/1vVf6wykvW_lAyu7Yo9L4hUTqHqIeP_qcVuxCtosJEbg/edit?usp=sharing"",""ปราจีนบุรี!N196"")+IMPORTRANGE(""https://docs.googl"&amp;"e.com/spreadsheets/d/1BIDqLLg5jk3v59G8NlR8rk5xfQDKne0sAvZHSj7TI6I/edit?usp=sharing"",""พระนครศรีอยุธยา!N196"")+IMPORTRANGE(""https://docs.google.com/spreadsheets/d/1YXvxf8Yu6_rV4hTBrwMqAcAnv6DfhUxh5emyM3CJp_w/edit?usp=sharing"",""เพชรบุรี!N196"")+IMPORTRA"&amp;"NGE(""https://docs.google.com/spreadsheets/d/19KBlQQs7uwvsao6t2n-KvW3Ax8J8uRRfZPq1zPbXgKc/edit?usp=sharing"",""ระยอง!N196"")+IMPORTRANGE(""https://docs.google.com/spreadsheets/d/1jQ6P4QcrGM89YfqcC_PxOHGCMq5ezhucwJd8ci-NHng/edit?usp=sharing"",""ราชบุรี!N19"&amp;"6"")+IMPORTRANGE(""https://docs.google.com/spreadsheets/d/1lufeA2cfFqM-elVq2hznhDzC6Pr7wkJ9ZG_sYNGCMCU/edit?usp=sharing"",""ลพบุรี!N196"")+IMPORTRANGE(""https://docs.google.com/spreadsheets/d/10oOiF7loTyfsTkbd4MpaIm0HQ9SwB7IYHdIUvt-U1Uc/edit?usp=sharing"""&amp;",""สระแก้ว!N196"")+IMPORTRANGE(""https://docs.google.com/spreadsheets/d/1xmPlrr1QbdSIKvl1dWUl9K4PjAfSL9oeMr_37QVzcxc/edit?usp=sharing"",""สระบุรี!N196"")+IMPORTRANGE(""https://docs.google.com/spreadsheets/d/1j51vR6CYVGhABJpv6tkstgok82RLpXieLzW1yOY5rHw/edi"&amp;"t?usp=sharing"",""สิงห์บุรี!N196"")+IMPORTRANGE(""https://docs.google.com/spreadsheets/d/1H1EalTWKUSzO4Z1-1CwzoDUaVffgrThEBe2sl74kKG0/edit?usp=sharing"",""สุพรรณบุรี!N196"")+IMPORTRANGE(""https://docs.google.com/spreadsheets/d/1BmIruG_sIrJLYao_Pdr7zVArWsf"&amp;"oBt2692TMi6x_854/edit?usp=sharing"",""อ่างทอง!N196"")"),53590)</f>
        <v>53590</v>
      </c>
      <c r="O196" s="215">
        <f ca="1">IF(L196&gt;0,N196*100/L196,0)</f>
        <v>42.531746031746032</v>
      </c>
      <c r="P196" s="215"/>
      <c r="Q196" s="89"/>
      <c r="R196" s="90"/>
      <c r="S196" s="90"/>
      <c r="T196" s="90"/>
      <c r="U196" s="90"/>
    </row>
    <row r="197" spans="1:21" ht="19.5" x14ac:dyDescent="0.3">
      <c r="A197" s="224"/>
      <c r="B197" s="225"/>
      <c r="C197" s="212" t="s">
        <v>18</v>
      </c>
      <c r="D197" s="226" t="s">
        <v>38</v>
      </c>
      <c r="E197" s="227"/>
      <c r="F197" s="227"/>
      <c r="G197" s="228"/>
      <c r="H197" s="229"/>
      <c r="I197" s="74"/>
      <c r="J197" s="74"/>
      <c r="K197" s="75"/>
      <c r="L197" s="75"/>
      <c r="M197" s="75"/>
      <c r="N197" s="75"/>
      <c r="O197" s="75"/>
      <c r="P197" s="75"/>
      <c r="Q197" s="89"/>
      <c r="R197" s="90"/>
      <c r="S197" s="90"/>
      <c r="T197" s="90"/>
      <c r="U197" s="90"/>
    </row>
    <row r="198" spans="1:21" ht="18.75" x14ac:dyDescent="0.25">
      <c r="A198" s="224"/>
      <c r="B198" s="225"/>
      <c r="C198" s="225"/>
      <c r="D198" s="238" t="s">
        <v>80</v>
      </c>
      <c r="E198" s="233"/>
      <c r="F198" s="233"/>
      <c r="G198" s="229"/>
      <c r="H198" s="239" t="s">
        <v>79</v>
      </c>
      <c r="I198" s="241">
        <f ca="1">IFERROR(__xludf.DUMMYFUNCTION("IMPORTRANGE(""https://docs.google.com/spreadsheets/d/13wPX838HrBrQMCywv1BsuMkt4PEKTChp52zj44s2izQ/edit?usp=sharing"",""กาญจนบุรี!I198"")+IMPORTRANGE(""https://docs.google.com/spreadsheets/d/1ddFKvqj1W1NEiWytbGlB1zMx_ykJDVtmfEQ-6-lIUBA/edit?usp=sharing"","&amp;"""จันทบุรี!I198"")+IMPORTRANGE(""https://docs.google.com/spreadsheets/d/1T1PQvRODqOBZk8BRht_U031fIS1beLA0Ub2CEytj2q0/edit?usp=sharing"",""ฉะเชิงเทรา!I198"")+IMPORTRANGE(""https://docs.google.com/spreadsheets/d/11tr1B-Bhyr79v2bkwVh5h_fR-PStkgjlZtkrZpYurG0/"&amp;"edit?usp=sharing"",""ชลบุรี!I198"")+IMPORTRANGE(""https://docs.google.com/spreadsheets/d/1hh-FVnSX0vozXhGluamEcS54Dw9_zqW0N7qJUWgJ0Sw/edit?usp=sharing"",""ชัยนาท!I198"")+IMPORTRANGE(""https://docs.google.com/spreadsheets/d/1jkqa6GXxSacMcY1eN8AHjMNJ_7dDXMJ"&amp;"VRLDlaFSOdPM/edit?usp=sharing"",""ตราด!I198"")+IMPORTRANGE(""https://docs.google.com/spreadsheets/d/18hSgUJ3VwClqi_qtULmmW3cLr0oe3OKaSYoKzdpTsYQ/edit?usp=sharing"",""นครนายก!I198"")+IMPORTRANGE(""https://docs.google.com/spreadsheets/d/1YTZo6WM2dQ6Ix6FSdnL"&amp;"5P7uVnVKu40sxZu975tgG10E/edit?usp=sharing"",""นครปฐม!I198"")+IMPORTRANGE(""https://docs.google.com/spreadsheets/d/1OYoGg4WDg5RIzwGeB10padOxJF9E_Vljuvvct_M7RDo/edit?usp=sharing"",""ปทุมธานี!I198"")+IMPORTRANGE(""https://docs.google.com/spreadsheets/d/1GbCI"&amp;"E4D4wk9FUozzqk7SxfDMxDVBwVmI5zcaVUSzKAc/edit?usp=sharing"",""ประจวบคีรีขันธ์!I198"")+IMPORTRANGE(""https://docs.google.com/spreadsheets/d/1vVf6wykvW_lAyu7Yo9L4hUTqHqIeP_qcVuxCtosJEbg/edit?usp=sharing"",""ปราจีนบุรี!I198"")+IMPORTRANGE(""https://docs.googl"&amp;"e.com/spreadsheets/d/1BIDqLLg5jk3v59G8NlR8rk5xfQDKne0sAvZHSj7TI6I/edit?usp=sharing"",""พระนครศรีอยุธยา!I198"")+IMPORTRANGE(""https://docs.google.com/spreadsheets/d/1YXvxf8Yu6_rV4hTBrwMqAcAnv6DfhUxh5emyM3CJp_w/edit?usp=sharing"",""เพชรบุรี!I198"")+IMPORTRA"&amp;"NGE(""https://docs.google.com/spreadsheets/d/19KBlQQs7uwvsao6t2n-KvW3Ax8J8uRRfZPq1zPbXgKc/edit?usp=sharing"",""ระยอง!I198"")+IMPORTRANGE(""https://docs.google.com/spreadsheets/d/1jQ6P4QcrGM89YfqcC_PxOHGCMq5ezhucwJd8ci-NHng/edit?usp=sharing"",""ราชบุรี!I19"&amp;"8"")+IMPORTRANGE(""https://docs.google.com/spreadsheets/d/1lufeA2cfFqM-elVq2hznhDzC6Pr7wkJ9ZG_sYNGCMCU/edit?usp=sharing"",""ลพบุรี!I198"")+IMPORTRANGE(""https://docs.google.com/spreadsheets/d/10oOiF7loTyfsTkbd4MpaIm0HQ9SwB7IYHdIUvt-U1Uc/edit?usp=sharing"""&amp;",""สระแก้ว!I198"")+IMPORTRANGE(""https://docs.google.com/spreadsheets/d/1xmPlrr1QbdSIKvl1dWUl9K4PjAfSL9oeMr_37QVzcxc/edit?usp=sharing"",""สระบุรี!I198"")+IMPORTRANGE(""https://docs.google.com/spreadsheets/d/1j51vR6CYVGhABJpv6tkstgok82RLpXieLzW1yOY5rHw/edi"&amp;"t?usp=sharing"",""สิงห์บุรี!I198"")+IMPORTRANGE(""https://docs.google.com/spreadsheets/d/1H1EalTWKUSzO4Z1-1CwzoDUaVffgrThEBe2sl74kKG0/edit?usp=sharing"",""สุพรรณบุรี!I198"")+IMPORTRANGE(""https://docs.google.com/spreadsheets/d/1BmIruG_sIrJLYao_Pdr7zVArWsf"&amp;"oBt2692TMi6x_854/edit?usp=sharing"",""อ่างทอง!I198"")"),84)</f>
        <v>84</v>
      </c>
      <c r="J198" s="241">
        <f ca="1">IFERROR(__xludf.DUMMYFUNCTION("IMPORTRANGE(""https://docs.google.com/spreadsheets/d/13wPX838HrBrQMCywv1BsuMkt4PEKTChp52zj44s2izQ/edit?usp=sharing"",""กาญจนบุรี!J198"")+IMPORTRANGE(""https://docs.google.com/spreadsheets/d/1ddFKvqj1W1NEiWytbGlB1zMx_ykJDVtmfEQ-6-lIUBA/edit?usp=sharing"","&amp;"""จันทบุรี!J198"")+IMPORTRANGE(""https://docs.google.com/spreadsheets/d/1T1PQvRODqOBZk8BRht_U031fIS1beLA0Ub2CEytj2q0/edit?usp=sharing"",""ฉะเชิงเทรา!J198"")+IMPORTRANGE(""https://docs.google.com/spreadsheets/d/11tr1B-Bhyr79v2bkwVh5h_fR-PStkgjlZtkrZpYurG0/"&amp;"edit?usp=sharing"",""ชลบุรี!J198"")+IMPORTRANGE(""https://docs.google.com/spreadsheets/d/1hh-FVnSX0vozXhGluamEcS54Dw9_zqW0N7qJUWgJ0Sw/edit?usp=sharing"",""ชัยนาท!J198"")+IMPORTRANGE(""https://docs.google.com/spreadsheets/d/1jkqa6GXxSacMcY1eN8AHjMNJ_7dDXMJ"&amp;"VRLDlaFSOdPM/edit?usp=sharing"",""ตราด!J198"")+IMPORTRANGE(""https://docs.google.com/spreadsheets/d/18hSgUJ3VwClqi_qtULmmW3cLr0oe3OKaSYoKzdpTsYQ/edit?usp=sharing"",""นครนายก!J198"")+IMPORTRANGE(""https://docs.google.com/spreadsheets/d/1YTZo6WM2dQ6Ix6FSdnL"&amp;"5P7uVnVKu40sxZu975tgG10E/edit?usp=sharing"",""นครปฐม!J198"")+IMPORTRANGE(""https://docs.google.com/spreadsheets/d/1OYoGg4WDg5RIzwGeB10padOxJF9E_Vljuvvct_M7RDo/edit?usp=sharing"",""ปทุมธานี!J198"")+IMPORTRANGE(""https://docs.google.com/spreadsheets/d/1GbCI"&amp;"E4D4wk9FUozzqk7SxfDMxDVBwVmI5zcaVUSzKAc/edit?usp=sharing"",""ประจวบคีรีขันธ์!J198"")+IMPORTRANGE(""https://docs.google.com/spreadsheets/d/1vVf6wykvW_lAyu7Yo9L4hUTqHqIeP_qcVuxCtosJEbg/edit?usp=sharing"",""ปราจีนบุรี!J198"")+IMPORTRANGE(""https://docs.googl"&amp;"e.com/spreadsheets/d/1BIDqLLg5jk3v59G8NlR8rk5xfQDKne0sAvZHSj7TI6I/edit?usp=sharing"",""พระนครศรีอยุธยา!J198"")+IMPORTRANGE(""https://docs.google.com/spreadsheets/d/1YXvxf8Yu6_rV4hTBrwMqAcAnv6DfhUxh5emyM3CJp_w/edit?usp=sharing"",""เพชรบุรี!J198"")+IMPORTRA"&amp;"NGE(""https://docs.google.com/spreadsheets/d/19KBlQQs7uwvsao6t2n-KvW3Ax8J8uRRfZPq1zPbXgKc/edit?usp=sharing"",""ระยอง!J198"")+IMPORTRANGE(""https://docs.google.com/spreadsheets/d/1jQ6P4QcrGM89YfqcC_PxOHGCMq5ezhucwJd8ci-NHng/edit?usp=sharing"",""ราชบุรี!J19"&amp;"8"")+IMPORTRANGE(""https://docs.google.com/spreadsheets/d/1lufeA2cfFqM-elVq2hznhDzC6Pr7wkJ9ZG_sYNGCMCU/edit?usp=sharing"",""ลพบุรี!J198"")+IMPORTRANGE(""https://docs.google.com/spreadsheets/d/10oOiF7loTyfsTkbd4MpaIm0HQ9SwB7IYHdIUvt-U1Uc/edit?usp=sharing"""&amp;",""สระแก้ว!J198"")+IMPORTRANGE(""https://docs.google.com/spreadsheets/d/1xmPlrr1QbdSIKvl1dWUl9K4PjAfSL9oeMr_37QVzcxc/edit?usp=sharing"",""สระบุรี!J198"")+IMPORTRANGE(""https://docs.google.com/spreadsheets/d/1j51vR6CYVGhABJpv6tkstgok82RLpXieLzW1yOY5rHw/edi"&amp;"t?usp=sharing"",""สิงห์บุรี!J198"")+IMPORTRANGE(""https://docs.google.com/spreadsheets/d/1H1EalTWKUSzO4Z1-1CwzoDUaVffgrThEBe2sl74kKG0/edit?usp=sharing"",""สุพรรณบุรี!J198"")+IMPORTRANGE(""https://docs.google.com/spreadsheets/d/1BmIruG_sIrJLYao_Pdr7zVArWsf"&amp;"oBt2692TMi6x_854/edit?usp=sharing"",""อ่างทอง!J198"")"),41)</f>
        <v>41</v>
      </c>
      <c r="K198" s="91">
        <f ca="1">IF(I198&gt;0,J198*100/I198,0)</f>
        <v>48.80952380952381</v>
      </c>
      <c r="L198" s="75"/>
      <c r="M198" s="75"/>
      <c r="N198" s="75"/>
      <c r="O198" s="75"/>
      <c r="P198" s="75"/>
      <c r="Q198" s="89"/>
      <c r="R198" s="90"/>
      <c r="S198" s="90"/>
      <c r="T198" s="90"/>
      <c r="U198" s="90"/>
    </row>
    <row r="199" spans="1:21" ht="19.5" x14ac:dyDescent="0.3">
      <c r="A199" s="224"/>
      <c r="B199" s="225"/>
      <c r="C199" s="225"/>
      <c r="D199" s="238" t="s">
        <v>81</v>
      </c>
      <c r="E199" s="233"/>
      <c r="F199" s="233"/>
      <c r="G199" s="229"/>
      <c r="H199" s="385" t="s">
        <v>35</v>
      </c>
      <c r="I199" s="74"/>
      <c r="J199" s="235">
        <f ca="1">J200+J201</f>
        <v>1544</v>
      </c>
      <c r="K199" s="75"/>
      <c r="L199" s="75"/>
      <c r="M199" s="75"/>
      <c r="N199" s="75"/>
      <c r="O199" s="75"/>
      <c r="P199" s="75"/>
      <c r="Q199" s="89"/>
      <c r="R199" s="90"/>
      <c r="S199" s="90"/>
      <c r="T199" s="90"/>
      <c r="U199" s="90"/>
    </row>
    <row r="200" spans="1:21" ht="18.75" x14ac:dyDescent="0.25">
      <c r="A200" s="224"/>
      <c r="B200" s="225"/>
      <c r="C200" s="225"/>
      <c r="D200" s="225"/>
      <c r="E200" s="238" t="s">
        <v>82</v>
      </c>
      <c r="F200" s="233"/>
      <c r="G200" s="229"/>
      <c r="H200" s="370" t="s">
        <v>35</v>
      </c>
      <c r="I200" s="74"/>
      <c r="J200" s="241">
        <f ca="1">IFERROR(__xludf.DUMMYFUNCTION("IMPORTRANGE(""https://docs.google.com/spreadsheets/d/13wPX838HrBrQMCywv1BsuMkt4PEKTChp52zj44s2izQ/edit?usp=sharing"",""กาญจนบุรี!J200"")+IMPORTRANGE(""https://docs.google.com/spreadsheets/d/1ddFKvqj1W1NEiWytbGlB1zMx_ykJDVtmfEQ-6-lIUBA/edit?usp=sharing"","&amp;"""จันทบุรี!J200"")+IMPORTRANGE(""https://docs.google.com/spreadsheets/d/1T1PQvRODqOBZk8BRht_U031fIS1beLA0Ub2CEytj2q0/edit?usp=sharing"",""ฉะเชิงเทรา!J200"")+IMPORTRANGE(""https://docs.google.com/spreadsheets/d/11tr1B-Bhyr79v2bkwVh5h_fR-PStkgjlZtkrZpYurG0/"&amp;"edit?usp=sharing"",""ชลบุรี!J200"")+IMPORTRANGE(""https://docs.google.com/spreadsheets/d/1hh-FVnSX0vozXhGluamEcS54Dw9_zqW0N7qJUWgJ0Sw/edit?usp=sharing"",""ชัยนาท!J200"")+IMPORTRANGE(""https://docs.google.com/spreadsheets/d/1jkqa6GXxSacMcY1eN8AHjMNJ_7dDXMJ"&amp;"VRLDlaFSOdPM/edit?usp=sharing"",""ตราด!J200"")+IMPORTRANGE(""https://docs.google.com/spreadsheets/d/18hSgUJ3VwClqi_qtULmmW3cLr0oe3OKaSYoKzdpTsYQ/edit?usp=sharing"",""นครนายก!J200"")+IMPORTRANGE(""https://docs.google.com/spreadsheets/d/1YTZo6WM2dQ6Ix6FSdnL"&amp;"5P7uVnVKu40sxZu975tgG10E/edit?usp=sharing"",""นครปฐม!J200"")+IMPORTRANGE(""https://docs.google.com/spreadsheets/d/1OYoGg4WDg5RIzwGeB10padOxJF9E_Vljuvvct_M7RDo/edit?usp=sharing"",""ปทุมธานี!J200"")+IMPORTRANGE(""https://docs.google.com/spreadsheets/d/1GbCI"&amp;"E4D4wk9FUozzqk7SxfDMxDVBwVmI5zcaVUSzKAc/edit?usp=sharing"",""ประจวบคีรีขันธ์!J200"")+IMPORTRANGE(""https://docs.google.com/spreadsheets/d/1vVf6wykvW_lAyu7Yo9L4hUTqHqIeP_qcVuxCtosJEbg/edit?usp=sharing"",""ปราจีนบุรี!J200"")+IMPORTRANGE(""https://docs.googl"&amp;"e.com/spreadsheets/d/1BIDqLLg5jk3v59G8NlR8rk5xfQDKne0sAvZHSj7TI6I/edit?usp=sharing"",""พระนครศรีอยุธยา!J200"")+IMPORTRANGE(""https://docs.google.com/spreadsheets/d/1YXvxf8Yu6_rV4hTBrwMqAcAnv6DfhUxh5emyM3CJp_w/edit?usp=sharing"",""เพชรบุรี!J200"")+IMPORTRA"&amp;"NGE(""https://docs.google.com/spreadsheets/d/19KBlQQs7uwvsao6t2n-KvW3Ax8J8uRRfZPq1zPbXgKc/edit?usp=sharing"",""ระยอง!J200"")+IMPORTRANGE(""https://docs.google.com/spreadsheets/d/1jQ6P4QcrGM89YfqcC_PxOHGCMq5ezhucwJd8ci-NHng/edit?usp=sharing"",""ราชบุรี!J20"&amp;"0"")+IMPORTRANGE(""https://docs.google.com/spreadsheets/d/1lufeA2cfFqM-elVq2hznhDzC6Pr7wkJ9ZG_sYNGCMCU/edit?usp=sharing"",""ลพบุรี!J200"")+IMPORTRANGE(""https://docs.google.com/spreadsheets/d/10oOiF7loTyfsTkbd4MpaIm0HQ9SwB7IYHdIUvt-U1Uc/edit?usp=sharing"""&amp;",""สระแก้ว!J200"")+IMPORTRANGE(""https://docs.google.com/spreadsheets/d/1xmPlrr1QbdSIKvl1dWUl9K4PjAfSL9oeMr_37QVzcxc/edit?usp=sharing"",""สระบุรี!J200"")+IMPORTRANGE(""https://docs.google.com/spreadsheets/d/1j51vR6CYVGhABJpv6tkstgok82RLpXieLzW1yOY5rHw/edi"&amp;"t?usp=sharing"",""สิงห์บุรี!J200"")+IMPORTRANGE(""https://docs.google.com/spreadsheets/d/1H1EalTWKUSzO4Z1-1CwzoDUaVffgrThEBe2sl74kKG0/edit?usp=sharing"",""สุพรรณบุรี!J200"")+IMPORTRANGE(""https://docs.google.com/spreadsheets/d/1BmIruG_sIrJLYao_Pdr7zVArWsf"&amp;"oBt2692TMi6x_854/edit?usp=sharing"",""อ่างทอง!J200"")"),1544)</f>
        <v>1544</v>
      </c>
      <c r="K200" s="75"/>
      <c r="L200" s="75"/>
      <c r="M200" s="75"/>
      <c r="N200" s="75"/>
      <c r="O200" s="75"/>
      <c r="P200" s="75"/>
      <c r="Q200" s="89"/>
      <c r="R200" s="90"/>
      <c r="S200" s="90"/>
      <c r="T200" s="90"/>
      <c r="U200" s="90"/>
    </row>
    <row r="201" spans="1:21" ht="18.75" x14ac:dyDescent="0.25">
      <c r="A201" s="224"/>
      <c r="B201" s="225"/>
      <c r="C201" s="225"/>
      <c r="D201" s="225"/>
      <c r="E201" s="238" t="s">
        <v>83</v>
      </c>
      <c r="F201" s="233"/>
      <c r="G201" s="229"/>
      <c r="H201" s="370" t="s">
        <v>35</v>
      </c>
      <c r="I201" s="74"/>
      <c r="J201" s="241">
        <f ca="1">IFERROR(__xludf.DUMMYFUNCTION("IMPORTRANGE(""https://docs.google.com/spreadsheets/d/13wPX838HrBrQMCywv1BsuMkt4PEKTChp52zj44s2izQ/edit?usp=sharing"",""กาญจนบุรี!J201"")+IMPORTRANGE(""https://docs.google.com/spreadsheets/d/1ddFKvqj1W1NEiWytbGlB1zMx_ykJDVtmfEQ-6-lIUBA/edit?usp=sharing"","&amp;"""จันทบุรี!J201"")+IMPORTRANGE(""https://docs.google.com/spreadsheets/d/1T1PQvRODqOBZk8BRht_U031fIS1beLA0Ub2CEytj2q0/edit?usp=sharing"",""ฉะเชิงเทรา!J201"")+IMPORTRANGE(""https://docs.google.com/spreadsheets/d/11tr1B-Bhyr79v2bkwVh5h_fR-PStkgjlZtkrZpYurG0/"&amp;"edit?usp=sharing"",""ชลบุรี!J201"")+IMPORTRANGE(""https://docs.google.com/spreadsheets/d/1hh-FVnSX0vozXhGluamEcS54Dw9_zqW0N7qJUWgJ0Sw/edit?usp=sharing"",""ชัยนาท!J201"")+IMPORTRANGE(""https://docs.google.com/spreadsheets/d/1jkqa6GXxSacMcY1eN8AHjMNJ_7dDXMJ"&amp;"VRLDlaFSOdPM/edit?usp=sharing"",""ตราด!J201"")+IMPORTRANGE(""https://docs.google.com/spreadsheets/d/18hSgUJ3VwClqi_qtULmmW3cLr0oe3OKaSYoKzdpTsYQ/edit?usp=sharing"",""นครนายก!J201"")+IMPORTRANGE(""https://docs.google.com/spreadsheets/d/1YTZo6WM2dQ6Ix6FSdnL"&amp;"5P7uVnVKu40sxZu975tgG10E/edit?usp=sharing"",""นครปฐม!J201"")+IMPORTRANGE(""https://docs.google.com/spreadsheets/d/1OYoGg4WDg5RIzwGeB10padOxJF9E_Vljuvvct_M7RDo/edit?usp=sharing"",""ปทุมธานี!J201"")+IMPORTRANGE(""https://docs.google.com/spreadsheets/d/1GbCI"&amp;"E4D4wk9FUozzqk7SxfDMxDVBwVmI5zcaVUSzKAc/edit?usp=sharing"",""ประจวบคีรีขันธ์!J201"")+IMPORTRANGE(""https://docs.google.com/spreadsheets/d/1vVf6wykvW_lAyu7Yo9L4hUTqHqIeP_qcVuxCtosJEbg/edit?usp=sharing"",""ปราจีนบุรี!J201"")+IMPORTRANGE(""https://docs.googl"&amp;"e.com/spreadsheets/d/1BIDqLLg5jk3v59G8NlR8rk5xfQDKne0sAvZHSj7TI6I/edit?usp=sharing"",""พระนครศรีอยุธยา!J201"")+IMPORTRANGE(""https://docs.google.com/spreadsheets/d/1YXvxf8Yu6_rV4hTBrwMqAcAnv6DfhUxh5emyM3CJp_w/edit?usp=sharing"",""เพชรบุรี!J201"")+IMPORTRA"&amp;"NGE(""https://docs.google.com/spreadsheets/d/19KBlQQs7uwvsao6t2n-KvW3Ax8J8uRRfZPq1zPbXgKc/edit?usp=sharing"",""ระยอง!J201"")+IMPORTRANGE(""https://docs.google.com/spreadsheets/d/1jQ6P4QcrGM89YfqcC_PxOHGCMq5ezhucwJd8ci-NHng/edit?usp=sharing"",""ราชบุรี!J20"&amp;"1"")+IMPORTRANGE(""https://docs.google.com/spreadsheets/d/1lufeA2cfFqM-elVq2hznhDzC6Pr7wkJ9ZG_sYNGCMCU/edit?usp=sharing"",""ลพบุรี!J201"")+IMPORTRANGE(""https://docs.google.com/spreadsheets/d/10oOiF7loTyfsTkbd4MpaIm0HQ9SwB7IYHdIUvt-U1Uc/edit?usp=sharing"""&amp;",""สระแก้ว!J201"")+IMPORTRANGE(""https://docs.google.com/spreadsheets/d/1xmPlrr1QbdSIKvl1dWUl9K4PjAfSL9oeMr_37QVzcxc/edit?usp=sharing"",""สระบุรี!J201"")+IMPORTRANGE(""https://docs.google.com/spreadsheets/d/1j51vR6CYVGhABJpv6tkstgok82RLpXieLzW1yOY5rHw/edi"&amp;"t?usp=sharing"",""สิงห์บุรี!J201"")+IMPORTRANGE(""https://docs.google.com/spreadsheets/d/1H1EalTWKUSzO4Z1-1CwzoDUaVffgrThEBe2sl74kKG0/edit?usp=sharing"",""สุพรรณบุรี!J201"")+IMPORTRANGE(""https://docs.google.com/spreadsheets/d/1BmIruG_sIrJLYao_Pdr7zVArWsf"&amp;"oBt2692TMi6x_854/edit?usp=sharing"",""อ่างทอง!J201"")"),0)</f>
        <v>0</v>
      </c>
      <c r="K201" s="75"/>
      <c r="L201" s="75"/>
      <c r="M201" s="75"/>
      <c r="N201" s="75"/>
      <c r="O201" s="75"/>
      <c r="P201" s="75"/>
      <c r="Q201" s="89"/>
      <c r="R201" s="90"/>
      <c r="S201" s="90"/>
      <c r="T201" s="90"/>
      <c r="U201" s="90"/>
    </row>
    <row r="202" spans="1:21" ht="19.5" x14ac:dyDescent="0.3">
      <c r="A202" s="372"/>
      <c r="B202" s="373"/>
      <c r="C202" s="374" t="s">
        <v>84</v>
      </c>
      <c r="D202" s="375"/>
      <c r="E202" s="375"/>
      <c r="F202" s="375"/>
      <c r="G202" s="376"/>
      <c r="H202" s="386" t="s">
        <v>85</v>
      </c>
      <c r="I202" s="378">
        <f t="shared" ref="I202:J202" ca="1" si="172">I209</f>
        <v>35</v>
      </c>
      <c r="J202" s="378">
        <f t="shared" ca="1" si="172"/>
        <v>7</v>
      </c>
      <c r="K202" s="379">
        <f ca="1">IF(I202&gt;0,J202*100/I202,0)</f>
        <v>20</v>
      </c>
      <c r="L202" s="380"/>
      <c r="M202" s="380"/>
      <c r="N202" s="380"/>
      <c r="O202" s="380"/>
      <c r="P202" s="380"/>
      <c r="Q202" s="381"/>
      <c r="R202" s="382"/>
      <c r="S202" s="382"/>
      <c r="T202" s="382"/>
      <c r="U202" s="382"/>
    </row>
    <row r="203" spans="1:21" ht="19.5" x14ac:dyDescent="0.3">
      <c r="A203" s="211"/>
      <c r="B203" s="70"/>
      <c r="C203" s="212" t="s">
        <v>18</v>
      </c>
      <c r="D203" s="383" t="s">
        <v>19</v>
      </c>
      <c r="E203" s="70"/>
      <c r="F203" s="70"/>
      <c r="G203" s="72"/>
      <c r="H203" s="384" t="s">
        <v>14</v>
      </c>
      <c r="I203" s="221"/>
      <c r="J203" s="221"/>
      <c r="K203" s="222"/>
      <c r="L203" s="215">
        <f ca="1">L204+L205+L206+L207</f>
        <v>199162</v>
      </c>
      <c r="M203" s="75"/>
      <c r="N203" s="215">
        <f ca="1">N204+N205+N206+N207</f>
        <v>63707</v>
      </c>
      <c r="O203" s="215">
        <f ca="1">IF(L203&gt;0,N203*100/L203,0)</f>
        <v>31.987527741235777</v>
      </c>
      <c r="P203" s="215"/>
      <c r="Q203" s="387">
        <f ca="1">Q204+Q205+Q206+Q207</f>
        <v>435838</v>
      </c>
      <c r="R203" s="388"/>
      <c r="S203" s="389">
        <f ca="1">S204+S205+S206+S207</f>
        <v>14000</v>
      </c>
      <c r="T203" s="389">
        <f ca="1">IF(Q203&gt;0,S203*100/Q203,0)</f>
        <v>3.2122026991680395</v>
      </c>
      <c r="U203" s="389">
        <f>IF(R203&gt;0,S203*100/R203,0)</f>
        <v>0</v>
      </c>
    </row>
    <row r="204" spans="1:21" ht="18.75" x14ac:dyDescent="0.25">
      <c r="A204" s="211"/>
      <c r="B204" s="371"/>
      <c r="C204" s="70"/>
      <c r="D204" s="390" t="s">
        <v>86</v>
      </c>
      <c r="E204" s="70"/>
      <c r="F204" s="70"/>
      <c r="G204" s="72"/>
      <c r="H204" s="220" t="s">
        <v>14</v>
      </c>
      <c r="I204" s="221"/>
      <c r="J204" s="221"/>
      <c r="K204" s="222"/>
      <c r="L204" s="91">
        <f ca="1">IFERROR(__xludf.DUMMYFUNCTION("IMPORTRANGE(""https://docs.google.com/spreadsheets/d/13wPX838HrBrQMCywv1BsuMkt4PEKTChp52zj44s2izQ/edit?usp=sharing"",""กาญจนบุรี!L204"")+IMPORTRANGE(""https://docs.google.com/spreadsheets/d/1ddFKvqj1W1NEiWytbGlB1zMx_ykJDVtmfEQ-6-lIUBA/edit?usp=sharing"","&amp;"""จันทบุรี!L204"")+IMPORTRANGE(""https://docs.google.com/spreadsheets/d/1T1PQvRODqOBZk8BRht_U031fIS1beLA0Ub2CEytj2q0/edit?usp=sharing"",""ฉะเชิงเทรา!L204"")+IMPORTRANGE(""https://docs.google.com/spreadsheets/d/11tr1B-Bhyr79v2bkwVh5h_fR-PStkgjlZtkrZpYurG0/"&amp;"edit?usp=sharing"",""ชลบุรี!L204"")+IMPORTRANGE(""https://docs.google.com/spreadsheets/d/1hh-FVnSX0vozXhGluamEcS54Dw9_zqW0N7qJUWgJ0Sw/edit?usp=sharing"",""ชัยนาท!L204"")+IMPORTRANGE(""https://docs.google.com/spreadsheets/d/1jkqa6GXxSacMcY1eN8AHjMNJ_7dDXMJ"&amp;"VRLDlaFSOdPM/edit?usp=sharing"",""ตราด!L204"")+IMPORTRANGE(""https://docs.google.com/spreadsheets/d/18hSgUJ3VwClqi_qtULmmW3cLr0oe3OKaSYoKzdpTsYQ/edit?usp=sharing"",""นครนายก!L204"")+IMPORTRANGE(""https://docs.google.com/spreadsheets/d/1YTZo6WM2dQ6Ix6FSdnL"&amp;"5P7uVnVKu40sxZu975tgG10E/edit?usp=sharing"",""นครปฐม!L204"")+IMPORTRANGE(""https://docs.google.com/spreadsheets/d/1OYoGg4WDg5RIzwGeB10padOxJF9E_Vljuvvct_M7RDo/edit?usp=sharing"",""ปทุมธานี!L204"")+IMPORTRANGE(""https://docs.google.com/spreadsheets/d/1GbCI"&amp;"E4D4wk9FUozzqk7SxfDMxDVBwVmI5zcaVUSzKAc/edit?usp=sharing"",""ประจวบคีรีขันธ์!L204"")+IMPORTRANGE(""https://docs.google.com/spreadsheets/d/1vVf6wykvW_lAyu7Yo9L4hUTqHqIeP_qcVuxCtosJEbg/edit?usp=sharing"",""ปราจีนบุรี!L204"")+IMPORTRANGE(""https://docs.googl"&amp;"e.com/spreadsheets/d/1BIDqLLg5jk3v59G8NlR8rk5xfQDKne0sAvZHSj7TI6I/edit?usp=sharing"",""พระนครศรีอยุธยา!L204"")+IMPORTRANGE(""https://docs.google.com/spreadsheets/d/1YXvxf8Yu6_rV4hTBrwMqAcAnv6DfhUxh5emyM3CJp_w/edit?usp=sharing"",""เพชรบุรี!L204"")+IMPORTRA"&amp;"NGE(""https://docs.google.com/spreadsheets/d/19KBlQQs7uwvsao6t2n-KvW3Ax8J8uRRfZPq1zPbXgKc/edit?usp=sharing"",""ระยอง!L204"")+IMPORTRANGE(""https://docs.google.com/spreadsheets/d/1jQ6P4QcrGM89YfqcC_PxOHGCMq5ezhucwJd8ci-NHng/edit?usp=sharing"",""ราชบุรี!L20"&amp;"4"")+IMPORTRANGE(""https://docs.google.com/spreadsheets/d/1lufeA2cfFqM-elVq2hznhDzC6Pr7wkJ9ZG_sYNGCMCU/edit?usp=sharing"",""ลพบุรี!L204"")+IMPORTRANGE(""https://docs.google.com/spreadsheets/d/10oOiF7loTyfsTkbd4MpaIm0HQ9SwB7IYHdIUvt-U1Uc/edit?usp=sharing"""&amp;",""สระแก้ว!L204"")+IMPORTRANGE(""https://docs.google.com/spreadsheets/d/1xmPlrr1QbdSIKvl1dWUl9K4PjAfSL9oeMr_37QVzcxc/edit?usp=sharing"",""สระบุรี!L204"")+IMPORTRANGE(""https://docs.google.com/spreadsheets/d/1j51vR6CYVGhABJpv6tkstgok82RLpXieLzW1yOY5rHw/edi"&amp;"t?usp=sharing"",""สิงห์บุรี!L204"")+IMPORTRANGE(""https://docs.google.com/spreadsheets/d/1H1EalTWKUSzO4Z1-1CwzoDUaVffgrThEBe2sl74kKG0/edit?usp=sharing"",""สุพรรณบุรี!L204"")+IMPORTRANGE(""https://docs.google.com/spreadsheets/d/1BmIruG_sIrJLYao_Pdr7zVArWsf"&amp;"oBt2692TMi6x_854/edit?usp=sharing"",""อ่างทอง!L204"")"),30000)</f>
        <v>30000</v>
      </c>
      <c r="M204" s="75"/>
      <c r="N204" s="91">
        <f ca="1">IFERROR(__xludf.DUMMYFUNCTION("IMPORTRANGE(""https://docs.google.com/spreadsheets/d/13wPX838HrBrQMCywv1BsuMkt4PEKTChp52zj44s2izQ/edit?usp=sharing"",""กาญจนบุรี!N204"")+IMPORTRANGE(""https://docs.google.com/spreadsheets/d/1ddFKvqj1W1NEiWytbGlB1zMx_ykJDVtmfEQ-6-lIUBA/edit?usp=sharing"","&amp;"""จันทบุรี!N204"")+IMPORTRANGE(""https://docs.google.com/spreadsheets/d/1T1PQvRODqOBZk8BRht_U031fIS1beLA0Ub2CEytj2q0/edit?usp=sharing"",""ฉะเชิงเทรา!N204"")+IMPORTRANGE(""https://docs.google.com/spreadsheets/d/11tr1B-Bhyr79v2bkwVh5h_fR-PStkgjlZtkrZpYurG0/"&amp;"edit?usp=sharing"",""ชลบุรี!N204"")+IMPORTRANGE(""https://docs.google.com/spreadsheets/d/1hh-FVnSX0vozXhGluamEcS54Dw9_zqW0N7qJUWgJ0Sw/edit?usp=sharing"",""ชัยนาท!N204"")+IMPORTRANGE(""https://docs.google.com/spreadsheets/d/1jkqa6GXxSacMcY1eN8AHjMNJ_7dDXMJ"&amp;"VRLDlaFSOdPM/edit?usp=sharing"",""ตราด!N204"")+IMPORTRANGE(""https://docs.google.com/spreadsheets/d/18hSgUJ3VwClqi_qtULmmW3cLr0oe3OKaSYoKzdpTsYQ/edit?usp=sharing"",""นครนายก!N204"")+IMPORTRANGE(""https://docs.google.com/spreadsheets/d/1YTZo6WM2dQ6Ix6FSdnL"&amp;"5P7uVnVKu40sxZu975tgG10E/edit?usp=sharing"",""นครปฐม!N204"")+IMPORTRANGE(""https://docs.google.com/spreadsheets/d/1OYoGg4WDg5RIzwGeB10padOxJF9E_Vljuvvct_M7RDo/edit?usp=sharing"",""ปทุมธานี!N204"")+IMPORTRANGE(""https://docs.google.com/spreadsheets/d/1GbCI"&amp;"E4D4wk9FUozzqk7SxfDMxDVBwVmI5zcaVUSzKAc/edit?usp=sharing"",""ประจวบคีรีขันธ์!N204"")+IMPORTRANGE(""https://docs.google.com/spreadsheets/d/1vVf6wykvW_lAyu7Yo9L4hUTqHqIeP_qcVuxCtosJEbg/edit?usp=sharing"",""ปราจีนบุรี!N204"")+IMPORTRANGE(""https://docs.googl"&amp;"e.com/spreadsheets/d/1BIDqLLg5jk3v59G8NlR8rk5xfQDKne0sAvZHSj7TI6I/edit?usp=sharing"",""พระนครศรีอยุธยา!N204"")+IMPORTRANGE(""https://docs.google.com/spreadsheets/d/1YXvxf8Yu6_rV4hTBrwMqAcAnv6DfhUxh5emyM3CJp_w/edit?usp=sharing"",""เพชรบุรี!N204"")+IMPORTRA"&amp;"NGE(""https://docs.google.com/spreadsheets/d/19KBlQQs7uwvsao6t2n-KvW3Ax8J8uRRfZPq1zPbXgKc/edit?usp=sharing"",""ระยอง!N204"")+IMPORTRANGE(""https://docs.google.com/spreadsheets/d/1jQ6P4QcrGM89YfqcC_PxOHGCMq5ezhucwJd8ci-NHng/edit?usp=sharing"",""ราชบุรี!N20"&amp;"4"")+IMPORTRANGE(""https://docs.google.com/spreadsheets/d/1lufeA2cfFqM-elVq2hznhDzC6Pr7wkJ9ZG_sYNGCMCU/edit?usp=sharing"",""ลพบุรี!N204"")+IMPORTRANGE(""https://docs.google.com/spreadsheets/d/10oOiF7loTyfsTkbd4MpaIm0HQ9SwB7IYHdIUvt-U1Uc/edit?usp=sharing"""&amp;",""สระแก้ว!N204"")+IMPORTRANGE(""https://docs.google.com/spreadsheets/d/1xmPlrr1QbdSIKvl1dWUl9K4PjAfSL9oeMr_37QVzcxc/edit?usp=sharing"",""สระบุรี!N204"")+IMPORTRANGE(""https://docs.google.com/spreadsheets/d/1j51vR6CYVGhABJpv6tkstgok82RLpXieLzW1yOY5rHw/edi"&amp;"t?usp=sharing"",""สิงห์บุรี!N204"")+IMPORTRANGE(""https://docs.google.com/spreadsheets/d/1H1EalTWKUSzO4Z1-1CwzoDUaVffgrThEBe2sl74kKG0/edit?usp=sharing"",""สุพรรณบุรี!N204"")+IMPORTRANGE(""https://docs.google.com/spreadsheets/d/1BmIruG_sIrJLYao_Pdr7zVArWsf"&amp;"oBt2692TMi6x_854/edit?usp=sharing"",""อ่างทอง!N204"")"),3960)</f>
        <v>3960</v>
      </c>
      <c r="O204" s="242"/>
      <c r="P204" s="75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368"/>
      <c r="B205" s="371"/>
      <c r="C205" s="70"/>
      <c r="D205" s="269" t="s">
        <v>87</v>
      </c>
      <c r="E205" s="70"/>
      <c r="F205" s="70"/>
      <c r="G205" s="72"/>
      <c r="H205" s="73" t="s">
        <v>14</v>
      </c>
      <c r="I205" s="74"/>
      <c r="J205" s="74"/>
      <c r="K205" s="75"/>
      <c r="L205" s="91">
        <v>0</v>
      </c>
      <c r="M205" s="75"/>
      <c r="N205" s="91">
        <v>0</v>
      </c>
      <c r="O205" s="242"/>
      <c r="P205" s="75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368"/>
      <c r="B206" s="371"/>
      <c r="C206" s="70"/>
      <c r="D206" s="269" t="s">
        <v>88</v>
      </c>
      <c r="E206" s="70"/>
      <c r="F206" s="70"/>
      <c r="G206" s="72"/>
      <c r="H206" s="73" t="s">
        <v>14</v>
      </c>
      <c r="I206" s="74"/>
      <c r="J206" s="74"/>
      <c r="K206" s="75"/>
      <c r="L206" s="91">
        <f ca="1">IFERROR(__xludf.DUMMYFUNCTION("IMPORTRANGE(""https://docs.google.com/spreadsheets/d/13wPX838HrBrQMCywv1BsuMkt4PEKTChp52zj44s2izQ/edit?usp=sharing"",""กาญจนบุรี!L206"")+IMPORTRANGE(""https://docs.google.com/spreadsheets/d/1ddFKvqj1W1NEiWytbGlB1zMx_ykJDVtmfEQ-6-lIUBA/edit?usp=sharing"","&amp;"""จันทบุรี!L206"")+IMPORTRANGE(""https://docs.google.com/spreadsheets/d/1T1PQvRODqOBZk8BRht_U031fIS1beLA0Ub2CEytj2q0/edit?usp=sharing"",""ฉะเชิงเทรา!L206"")+IMPORTRANGE(""https://docs.google.com/spreadsheets/d/11tr1B-Bhyr79v2bkwVh5h_fR-PStkgjlZtkrZpYurG0/"&amp;"edit?usp=sharing"",""ชลบุรี!L206"")+IMPORTRANGE(""https://docs.google.com/spreadsheets/d/1hh-FVnSX0vozXhGluamEcS54Dw9_zqW0N7qJUWgJ0Sw/edit?usp=sharing"",""ชัยนาท!L206"")+IMPORTRANGE(""https://docs.google.com/spreadsheets/d/1jkqa6GXxSacMcY1eN8AHjMNJ_7dDXMJ"&amp;"VRLDlaFSOdPM/edit?usp=sharing"",""ตราด!L206"")+IMPORTRANGE(""https://docs.google.com/spreadsheets/d/18hSgUJ3VwClqi_qtULmmW3cLr0oe3OKaSYoKzdpTsYQ/edit?usp=sharing"",""นครนายก!L206"")+IMPORTRANGE(""https://docs.google.com/spreadsheets/d/1YTZo6WM2dQ6Ix6FSdnL"&amp;"5P7uVnVKu40sxZu975tgG10E/edit?usp=sharing"",""นครปฐม!L206"")+IMPORTRANGE(""https://docs.google.com/spreadsheets/d/1OYoGg4WDg5RIzwGeB10padOxJF9E_Vljuvvct_M7RDo/edit?usp=sharing"",""ปทุมธานี!L206"")+IMPORTRANGE(""https://docs.google.com/spreadsheets/d/1GbCI"&amp;"E4D4wk9FUozzqk7SxfDMxDVBwVmI5zcaVUSzKAc/edit?usp=sharing"",""ประจวบคีรีขันธ์!L206"")+IMPORTRANGE(""https://docs.google.com/spreadsheets/d/1vVf6wykvW_lAyu7Yo9L4hUTqHqIeP_qcVuxCtosJEbg/edit?usp=sharing"",""ปราจีนบุรี!L206"")+IMPORTRANGE(""https://docs.googl"&amp;"e.com/spreadsheets/d/1BIDqLLg5jk3v59G8NlR8rk5xfQDKne0sAvZHSj7TI6I/edit?usp=sharing"",""พระนครศรีอยุธยา!L206"")+IMPORTRANGE(""https://docs.google.com/spreadsheets/d/1YXvxf8Yu6_rV4hTBrwMqAcAnv6DfhUxh5emyM3CJp_w/edit?usp=sharing"",""เพชรบุรี!L206"")+IMPORTRA"&amp;"NGE(""https://docs.google.com/spreadsheets/d/19KBlQQs7uwvsao6t2n-KvW3Ax8J8uRRfZPq1zPbXgKc/edit?usp=sharing"",""ระยอง!L206"")+IMPORTRANGE(""https://docs.google.com/spreadsheets/d/1jQ6P4QcrGM89YfqcC_PxOHGCMq5ezhucwJd8ci-NHng/edit?usp=sharing"",""ราชบุรี!L20"&amp;"6"")+IMPORTRANGE(""https://docs.google.com/spreadsheets/d/1lufeA2cfFqM-elVq2hznhDzC6Pr7wkJ9ZG_sYNGCMCU/edit?usp=sharing"",""ลพบุรี!L206"")+IMPORTRANGE(""https://docs.google.com/spreadsheets/d/10oOiF7loTyfsTkbd4MpaIm0HQ9SwB7IYHdIUvt-U1Uc/edit?usp=sharing"""&amp;",""สระแก้ว!L206"")+IMPORTRANGE(""https://docs.google.com/spreadsheets/d/1xmPlrr1QbdSIKvl1dWUl9K4PjAfSL9oeMr_37QVzcxc/edit?usp=sharing"",""สระบุรี!L206"")+IMPORTRANGE(""https://docs.google.com/spreadsheets/d/1j51vR6CYVGhABJpv6tkstgok82RLpXieLzW1yOY5rHw/edi"&amp;"t?usp=sharing"",""สิงห์บุรี!L206"")+IMPORTRANGE(""https://docs.google.com/spreadsheets/d/1H1EalTWKUSzO4Z1-1CwzoDUaVffgrThEBe2sl74kKG0/edit?usp=sharing"",""สุพรรณบุรี!L206"")+IMPORTRANGE(""https://docs.google.com/spreadsheets/d/1BmIruG_sIrJLYao_Pdr7zVArWsf"&amp;"oBt2692TMi6x_854/edit?usp=sharing"",""อ่างทอง!L206"")"),36162)</f>
        <v>36162</v>
      </c>
      <c r="M206" s="75"/>
      <c r="N206" s="91">
        <f ca="1">IFERROR(__xludf.DUMMYFUNCTION("IMPORTRANGE(""https://docs.google.com/spreadsheets/d/13wPX838HrBrQMCywv1BsuMkt4PEKTChp52zj44s2izQ/edit?usp=sharing"",""กาญจนบุรี!N206"")+IMPORTRANGE(""https://docs.google.com/spreadsheets/d/1ddFKvqj1W1NEiWytbGlB1zMx_ykJDVtmfEQ-6-lIUBA/edit?usp=sharing"","&amp;"""จันทบุรี!N206"")+IMPORTRANGE(""https://docs.google.com/spreadsheets/d/1T1PQvRODqOBZk8BRht_U031fIS1beLA0Ub2CEytj2q0/edit?usp=sharing"",""ฉะเชิงเทรา!N206"")+IMPORTRANGE(""https://docs.google.com/spreadsheets/d/11tr1B-Bhyr79v2bkwVh5h_fR-PStkgjlZtkrZpYurG0/"&amp;"edit?usp=sharing"",""ชลบุรี!N206"")+IMPORTRANGE(""https://docs.google.com/spreadsheets/d/1hh-FVnSX0vozXhGluamEcS54Dw9_zqW0N7qJUWgJ0Sw/edit?usp=sharing"",""ชัยนาท!N206"")+IMPORTRANGE(""https://docs.google.com/spreadsheets/d/1jkqa6GXxSacMcY1eN8AHjMNJ_7dDXMJ"&amp;"VRLDlaFSOdPM/edit?usp=sharing"",""ตราด!N206"")+IMPORTRANGE(""https://docs.google.com/spreadsheets/d/18hSgUJ3VwClqi_qtULmmW3cLr0oe3OKaSYoKzdpTsYQ/edit?usp=sharing"",""นครนายก!N206"")+IMPORTRANGE(""https://docs.google.com/spreadsheets/d/1YTZo6WM2dQ6Ix6FSdnL"&amp;"5P7uVnVKu40sxZu975tgG10E/edit?usp=sharing"",""นครปฐม!N206"")+IMPORTRANGE(""https://docs.google.com/spreadsheets/d/1OYoGg4WDg5RIzwGeB10padOxJF9E_Vljuvvct_M7RDo/edit?usp=sharing"",""ปทุมธานี!N206"")+IMPORTRANGE(""https://docs.google.com/spreadsheets/d/1GbCI"&amp;"E4D4wk9FUozzqk7SxfDMxDVBwVmI5zcaVUSzKAc/edit?usp=sharing"",""ประจวบคีรีขันธ์!N206"")+IMPORTRANGE(""https://docs.google.com/spreadsheets/d/1vVf6wykvW_lAyu7Yo9L4hUTqHqIeP_qcVuxCtosJEbg/edit?usp=sharing"",""ปราจีนบุรี!N206"")+IMPORTRANGE(""https://docs.googl"&amp;"e.com/spreadsheets/d/1BIDqLLg5jk3v59G8NlR8rk5xfQDKne0sAvZHSj7TI6I/edit?usp=sharing"",""พระนครศรีอยุธยา!N206"")+IMPORTRANGE(""https://docs.google.com/spreadsheets/d/1YXvxf8Yu6_rV4hTBrwMqAcAnv6DfhUxh5emyM3CJp_w/edit?usp=sharing"",""เพชรบุรี!N206"")+IMPORTRA"&amp;"NGE(""https://docs.google.com/spreadsheets/d/19KBlQQs7uwvsao6t2n-KvW3Ax8J8uRRfZPq1zPbXgKc/edit?usp=sharing"",""ระยอง!N206"")+IMPORTRANGE(""https://docs.google.com/spreadsheets/d/1jQ6P4QcrGM89YfqcC_PxOHGCMq5ezhucwJd8ci-NHng/edit?usp=sharing"",""ราชบุรี!N20"&amp;"6"")+IMPORTRANGE(""https://docs.google.com/spreadsheets/d/1lufeA2cfFqM-elVq2hznhDzC6Pr7wkJ9ZG_sYNGCMCU/edit?usp=sharing"",""ลพบุรี!N206"")+IMPORTRANGE(""https://docs.google.com/spreadsheets/d/10oOiF7loTyfsTkbd4MpaIm0HQ9SwB7IYHdIUvt-U1Uc/edit?usp=sharing"""&amp;",""สระแก้ว!N206"")+IMPORTRANGE(""https://docs.google.com/spreadsheets/d/1xmPlrr1QbdSIKvl1dWUl9K4PjAfSL9oeMr_37QVzcxc/edit?usp=sharing"",""สระบุรี!N206"")+IMPORTRANGE(""https://docs.google.com/spreadsheets/d/1j51vR6CYVGhABJpv6tkstgok82RLpXieLzW1yOY5rHw/edi"&amp;"t?usp=sharing"",""สิงห์บุรี!N206"")+IMPORTRANGE(""https://docs.google.com/spreadsheets/d/1H1EalTWKUSzO4Z1-1CwzoDUaVffgrThEBe2sl74kKG0/edit?usp=sharing"",""สุพรรณบุรี!N206"")+IMPORTRANGE(""https://docs.google.com/spreadsheets/d/1BmIruG_sIrJLYao_Pdr7zVArWsf"&amp;"oBt2692TMi6x_854/edit?usp=sharing"",""อ่างทอง!N206"")"),36747)</f>
        <v>36747</v>
      </c>
      <c r="O206" s="242"/>
      <c r="P206" s="75"/>
      <c r="Q206" s="76">
        <f ca="1">IFERROR(__xludf.DUMMYFUNCTION("IMPORTRANGE(""https://docs.google.com/spreadsheets/d/13wPX838HrBrQMCywv1BsuMkt4PEKTChp52zj44s2izQ/edit?usp=sharing"",""กาญจนบุรี!Q206"")+IMPORTRANGE(""https://docs.google.com/spreadsheets/d/1ddFKvqj1W1NEiWytbGlB1zMx_ykJDVtmfEQ-6-lIUBA/edit?usp=sharing"","&amp;"""จันทบุรี!Q206"")+IMPORTRANGE(""https://docs.google.com/spreadsheets/d/1T1PQvRODqOBZk8BRht_U031fIS1beLA0Ub2CEytj2q0/edit?usp=sharing"",""ฉะเชิงเทรา!Q206"")+IMPORTRANGE(""https://docs.google.com/spreadsheets/d/11tr1B-Bhyr79v2bkwVh5h_fR-PStkgjlZtkrZpYurG0/"&amp;"edit?usp=sharing"",""ชลบุรี!Q206"")+IMPORTRANGE(""https://docs.google.com/spreadsheets/d/1hh-FVnSX0vozXhGluamEcS54Dw9_zqW0N7qJUWgJ0Sw/edit?usp=sharing"",""ชัยนาท!Q206"")+IMPORTRANGE(""https://docs.google.com/spreadsheets/d/1jkqa6GXxSacMcY1eN8AHjMNJ_7dDXMJ"&amp;"VRLDlaFSOdPM/edit?usp=sharing"",""ตราด!Q206"")+IMPORTRANGE(""https://docs.google.com/spreadsheets/d/18hSgUJ3VwClqi_qtULmmW3cLr0oe3OKaSYoKzdpTsYQ/edit?usp=sharing"",""นครนายก!Q206"")+IMPORTRANGE(""https://docs.google.com/spreadsheets/d/1YTZo6WM2dQ6Ix6FSdnL"&amp;"5P7uVnVKu40sxZu975tgG10E/edit?usp=sharing"",""นครปฐม!Q206"")+IMPORTRANGE(""https://docs.google.com/spreadsheets/d/1OYoGg4WDg5RIzwGeB10padOxJF9E_Vljuvvct_M7RDo/edit?usp=sharing"",""ปทุมธานี!Q206"")+IMPORTRANGE(""https://docs.google.com/spreadsheets/d/1GbCI"&amp;"E4D4wk9FUozzqk7SxfDMxDVBwVmI5zcaVUSzKAc/edit?usp=sharing"",""ประจวบคีรีขันธ์!Q206"")+IMPORTRANGE(""https://docs.google.com/spreadsheets/d/1vVf6wykvW_lAyu7Yo9L4hUTqHqIeP_qcVuxCtosJEbg/edit?usp=sharing"",""ปราจีนบุรี!Q206"")+IMPORTRANGE(""https://docs.googl"&amp;"e.com/spreadsheets/d/1BIDqLLg5jk3v59G8NlR8rk5xfQDKne0sAvZHSj7TI6I/edit?usp=sharing"",""พระนครศรีอยุธยา!Q206"")+IMPORTRANGE(""https://docs.google.com/spreadsheets/d/1YXvxf8Yu6_rV4hTBrwMqAcAnv6DfhUxh5emyM3CJp_w/edit?usp=sharing"",""เพชรบุรี!Q206"")+IMPORTRA"&amp;"NGE(""https://docs.google.com/spreadsheets/d/19KBlQQs7uwvsao6t2n-KvW3Ax8J8uRRfZPq1zPbXgKc/edit?usp=sharing"",""ระยอง!Q206"")+IMPORTRANGE(""https://docs.google.com/spreadsheets/d/1jQ6P4QcrGM89YfqcC_PxOHGCMq5ezhucwJd8ci-NHng/edit?usp=sharing"",""ราชบุรี!Q20"&amp;"6"")+IMPORTRANGE(""https://docs.google.com/spreadsheets/d/1lufeA2cfFqM-elVq2hznhDzC6Pr7wkJ9ZG_sYNGCMCU/edit?usp=sharing"",""ลพบุรี!Q206"")+IMPORTRANGE(""https://docs.google.com/spreadsheets/d/10oOiF7loTyfsTkbd4MpaIm0HQ9SwB7IYHdIUvt-U1Uc/edit?usp=sharing"""&amp;",""สระแก้ว!Q206"")+IMPORTRANGE(""https://docs.google.com/spreadsheets/d/1xmPlrr1QbdSIKvl1dWUl9K4PjAfSL9oeMr_37QVzcxc/edit?usp=sharing"",""สระบุรี!Q206"")+IMPORTRANGE(""https://docs.google.com/spreadsheets/d/1j51vR6CYVGhABJpv6tkstgok82RLpXieLzW1yOY5rHw/edi"&amp;"t?usp=sharing"",""สิงห์บุรี!Q206"")+IMPORTRANGE(""https://docs.google.com/spreadsheets/d/1H1EalTWKUSzO4Z1-1CwzoDUaVffgrThEBe2sl74kKG0/edit?usp=sharing"",""สุพรรณบุรี!Q206"")+IMPORTRANGE(""https://docs.google.com/spreadsheets/d/1BmIruG_sIrJLYao_Pdr7zVArWsf"&amp;"oBt2692TMi6x_854/edit?usp=sharing"",""อ่างทอง!Q206"")"),435838)</f>
        <v>435838</v>
      </c>
      <c r="R206" s="90"/>
      <c r="S206" s="391">
        <f ca="1">IFERROR(__xludf.DUMMYFUNCTION("IMPORTRANGE(""https://docs.google.com/spreadsheets/d/13wPX838HrBrQMCywv1BsuMkt4PEKTChp52zj44s2izQ/edit?usp=sharing"",""กาญจนบุรี!S206"")+IMPORTRANGE(""https://docs.google.com/spreadsheets/d/1ddFKvqj1W1NEiWytbGlB1zMx_ykJDVtmfEQ-6-lIUBA/edit?usp=sharing"","&amp;"""จันทบุรี!S206"")+IMPORTRANGE(""https://docs.google.com/spreadsheets/d/1T1PQvRODqOBZk8BRht_U031fIS1beLA0Ub2CEytj2q0/edit?usp=sharing"",""ฉะเชิงเทรา!S206"")+IMPORTRANGE(""https://docs.google.com/spreadsheets/d/11tr1B-Bhyr79v2bkwVh5h_fR-PStkgjlZtkrZpYurG0/"&amp;"edit?usp=sharing"",""ชลบุรี!S206"")+IMPORTRANGE(""https://docs.google.com/spreadsheets/d/1hh-FVnSX0vozXhGluamEcS54Dw9_zqW0N7qJUWgJ0Sw/edit?usp=sharing"",""ชัยนาท!S206"")+IMPORTRANGE(""https://docs.google.com/spreadsheets/d/1jkqa6GXxSacMcY1eN8AHjMNJ_7dDXMJ"&amp;"VRLDlaFSOdPM/edit?usp=sharing"",""ตราด!S206"")+IMPORTRANGE(""https://docs.google.com/spreadsheets/d/18hSgUJ3VwClqi_qtULmmW3cLr0oe3OKaSYoKzdpTsYQ/edit?usp=sharing"",""นครนายก!S206"")+IMPORTRANGE(""https://docs.google.com/spreadsheets/d/1YTZo6WM2dQ6Ix6FSdnL"&amp;"5P7uVnVKu40sxZu975tgG10E/edit?usp=sharing"",""นครปฐม!S206"")+IMPORTRANGE(""https://docs.google.com/spreadsheets/d/1OYoGg4WDg5RIzwGeB10padOxJF9E_Vljuvvct_M7RDo/edit?usp=sharing"",""ปทุมธานี!S206"")+IMPORTRANGE(""https://docs.google.com/spreadsheets/d/1GbCI"&amp;"E4D4wk9FUozzqk7SxfDMxDVBwVmI5zcaVUSzKAc/edit?usp=sharing"",""ประจวบคีรีขันธ์!S206"")+IMPORTRANGE(""https://docs.google.com/spreadsheets/d/1vVf6wykvW_lAyu7Yo9L4hUTqHqIeP_qcVuxCtosJEbg/edit?usp=sharing"",""ปราจีนบุรี!S206"")+IMPORTRANGE(""https://docs.googl"&amp;"e.com/spreadsheets/d/1BIDqLLg5jk3v59G8NlR8rk5xfQDKne0sAvZHSj7TI6I/edit?usp=sharing"",""พระนครศรีอยุธยา!S206"")+IMPORTRANGE(""https://docs.google.com/spreadsheets/d/1YXvxf8Yu6_rV4hTBrwMqAcAnv6DfhUxh5emyM3CJp_w/edit?usp=sharing"",""เพชรบุรี!S206"")+IMPORTRA"&amp;"NGE(""https://docs.google.com/spreadsheets/d/19KBlQQs7uwvsao6t2n-KvW3Ax8J8uRRfZPq1zPbXgKc/edit?usp=sharing"",""ระยอง!S206"")+IMPORTRANGE(""https://docs.google.com/spreadsheets/d/1jQ6P4QcrGM89YfqcC_PxOHGCMq5ezhucwJd8ci-NHng/edit?usp=sharing"",""ราชบุรี!S20"&amp;"6"")+IMPORTRANGE(""https://docs.google.com/spreadsheets/d/1lufeA2cfFqM-elVq2hznhDzC6Pr7wkJ9ZG_sYNGCMCU/edit?usp=sharing"",""ลพบุรี!S206"")+IMPORTRANGE(""https://docs.google.com/spreadsheets/d/10oOiF7loTyfsTkbd4MpaIm0HQ9SwB7IYHdIUvt-U1Uc/edit?usp=sharing"""&amp;",""สระแก้ว!S206"")+IMPORTRANGE(""https://docs.google.com/spreadsheets/d/1xmPlrr1QbdSIKvl1dWUl9K4PjAfSL9oeMr_37QVzcxc/edit?usp=sharing"",""สระบุรี!S206"")+IMPORTRANGE(""https://docs.google.com/spreadsheets/d/1j51vR6CYVGhABJpv6tkstgok82RLpXieLzW1yOY5rHw/edi"&amp;"t?usp=sharing"",""สิงห์บุรี!S206"")+IMPORTRANGE(""https://docs.google.com/spreadsheets/d/1H1EalTWKUSzO4Z1-1CwzoDUaVffgrThEBe2sl74kKG0/edit?usp=sharing"",""สุพรรณบุรี!S206"")+IMPORTRANGE(""https://docs.google.com/spreadsheets/d/1BmIruG_sIrJLYao_Pdr7zVArWsf"&amp;"oBt2692TMi6x_854/edit?usp=sharing"",""อ่างทอง!S206"")"),14000)</f>
        <v>14000</v>
      </c>
      <c r="T206" s="231"/>
      <c r="U206" s="90"/>
    </row>
    <row r="207" spans="1:21" ht="18.75" x14ac:dyDescent="0.25">
      <c r="A207" s="368"/>
      <c r="B207" s="371"/>
      <c r="C207" s="70"/>
      <c r="D207" s="269" t="s">
        <v>89</v>
      </c>
      <c r="E207" s="70"/>
      <c r="F207" s="70"/>
      <c r="G207" s="72"/>
      <c r="H207" s="73" t="s">
        <v>14</v>
      </c>
      <c r="I207" s="74"/>
      <c r="J207" s="74"/>
      <c r="K207" s="75"/>
      <c r="L207" s="91">
        <f ca="1">IFERROR(__xludf.DUMMYFUNCTION("IMPORTRANGE(""https://docs.google.com/spreadsheets/d/13wPX838HrBrQMCywv1BsuMkt4PEKTChp52zj44s2izQ/edit?usp=sharing"",""กาญจนบุรี!L207"")+IMPORTRANGE(""https://docs.google.com/spreadsheets/d/1ddFKvqj1W1NEiWytbGlB1zMx_ykJDVtmfEQ-6-lIUBA/edit?usp=sharing"","&amp;"""จันทบุรี!L207"")+IMPORTRANGE(""https://docs.google.com/spreadsheets/d/1T1PQvRODqOBZk8BRht_U031fIS1beLA0Ub2CEytj2q0/edit?usp=sharing"",""ฉะเชิงเทรา!L207"")+IMPORTRANGE(""https://docs.google.com/spreadsheets/d/11tr1B-Bhyr79v2bkwVh5h_fR-PStkgjlZtkrZpYurG0/"&amp;"edit?usp=sharing"",""ชลบุรี!L207"")+IMPORTRANGE(""https://docs.google.com/spreadsheets/d/1hh-FVnSX0vozXhGluamEcS54Dw9_zqW0N7qJUWgJ0Sw/edit?usp=sharing"",""ชัยนาท!L207"")+IMPORTRANGE(""https://docs.google.com/spreadsheets/d/1jkqa6GXxSacMcY1eN8AHjMNJ_7dDXMJ"&amp;"VRLDlaFSOdPM/edit?usp=sharing"",""ตราด!L207"")+IMPORTRANGE(""https://docs.google.com/spreadsheets/d/18hSgUJ3VwClqi_qtULmmW3cLr0oe3OKaSYoKzdpTsYQ/edit?usp=sharing"",""นครนายก!L207"")+IMPORTRANGE(""https://docs.google.com/spreadsheets/d/1YTZo6WM2dQ6Ix6FSdnL"&amp;"5P7uVnVKu40sxZu975tgG10E/edit?usp=sharing"",""นครปฐม!L207"")+IMPORTRANGE(""https://docs.google.com/spreadsheets/d/1OYoGg4WDg5RIzwGeB10padOxJF9E_Vljuvvct_M7RDo/edit?usp=sharing"",""ปทุมธานี!L207"")+IMPORTRANGE(""https://docs.google.com/spreadsheets/d/1GbCI"&amp;"E4D4wk9FUozzqk7SxfDMxDVBwVmI5zcaVUSzKAc/edit?usp=sharing"",""ประจวบคีรีขันธ์!L207"")+IMPORTRANGE(""https://docs.google.com/spreadsheets/d/1vVf6wykvW_lAyu7Yo9L4hUTqHqIeP_qcVuxCtosJEbg/edit?usp=sharing"",""ปราจีนบุรี!L207"")+IMPORTRANGE(""https://docs.googl"&amp;"e.com/spreadsheets/d/1BIDqLLg5jk3v59G8NlR8rk5xfQDKne0sAvZHSj7TI6I/edit?usp=sharing"",""พระนครศรีอยุธยา!L207"")+IMPORTRANGE(""https://docs.google.com/spreadsheets/d/1YXvxf8Yu6_rV4hTBrwMqAcAnv6DfhUxh5emyM3CJp_w/edit?usp=sharing"",""เพชรบุรี!L207"")+IMPORTRA"&amp;"NGE(""https://docs.google.com/spreadsheets/d/19KBlQQs7uwvsao6t2n-KvW3Ax8J8uRRfZPq1zPbXgKc/edit?usp=sharing"",""ระยอง!L207"")+IMPORTRANGE(""https://docs.google.com/spreadsheets/d/1jQ6P4QcrGM89YfqcC_PxOHGCMq5ezhucwJd8ci-NHng/edit?usp=sharing"",""ราชบุรี!L20"&amp;"7"")+IMPORTRANGE(""https://docs.google.com/spreadsheets/d/1lufeA2cfFqM-elVq2hznhDzC6Pr7wkJ9ZG_sYNGCMCU/edit?usp=sharing"",""ลพบุรี!L207"")+IMPORTRANGE(""https://docs.google.com/spreadsheets/d/10oOiF7loTyfsTkbd4MpaIm0HQ9SwB7IYHdIUvt-U1Uc/edit?usp=sharing"""&amp;",""สระแก้ว!L207"")+IMPORTRANGE(""https://docs.google.com/spreadsheets/d/1xmPlrr1QbdSIKvl1dWUl9K4PjAfSL9oeMr_37QVzcxc/edit?usp=sharing"",""สระบุรี!L207"")+IMPORTRANGE(""https://docs.google.com/spreadsheets/d/1j51vR6CYVGhABJpv6tkstgok82RLpXieLzW1yOY5rHw/edi"&amp;"t?usp=sharing"",""สิงห์บุรี!L207"")+IMPORTRANGE(""https://docs.google.com/spreadsheets/d/1H1EalTWKUSzO4Z1-1CwzoDUaVffgrThEBe2sl74kKG0/edit?usp=sharing"",""สุพรรณบุรี!L207"")+IMPORTRANGE(""https://docs.google.com/spreadsheets/d/1BmIruG_sIrJLYao_Pdr7zVArWsf"&amp;"oBt2692TMi6x_854/edit?usp=sharing"",""อ่างทอง!L207"")"),133000)</f>
        <v>133000</v>
      </c>
      <c r="M207" s="75"/>
      <c r="N207" s="91">
        <f ca="1">IFERROR(__xludf.DUMMYFUNCTION("IMPORTRANGE(""https://docs.google.com/spreadsheets/d/13wPX838HrBrQMCywv1BsuMkt4PEKTChp52zj44s2izQ/edit?usp=sharing"",""กาญจนบุรี!N207"")+IMPORTRANGE(""https://docs.google.com/spreadsheets/d/1ddFKvqj1W1NEiWytbGlB1zMx_ykJDVtmfEQ-6-lIUBA/edit?usp=sharing"","&amp;"""จันทบุรี!N207"")+IMPORTRANGE(""https://docs.google.com/spreadsheets/d/1T1PQvRODqOBZk8BRht_U031fIS1beLA0Ub2CEytj2q0/edit?usp=sharing"",""ฉะเชิงเทรา!N207"")+IMPORTRANGE(""https://docs.google.com/spreadsheets/d/11tr1B-Bhyr79v2bkwVh5h_fR-PStkgjlZtkrZpYurG0/"&amp;"edit?usp=sharing"",""ชลบุรี!N207"")+IMPORTRANGE(""https://docs.google.com/spreadsheets/d/1hh-FVnSX0vozXhGluamEcS54Dw9_zqW0N7qJUWgJ0Sw/edit?usp=sharing"",""ชัยนาท!N207"")+IMPORTRANGE(""https://docs.google.com/spreadsheets/d/1jkqa6GXxSacMcY1eN8AHjMNJ_7dDXMJ"&amp;"VRLDlaFSOdPM/edit?usp=sharing"",""ตราด!N207"")+IMPORTRANGE(""https://docs.google.com/spreadsheets/d/18hSgUJ3VwClqi_qtULmmW3cLr0oe3OKaSYoKzdpTsYQ/edit?usp=sharing"",""นครนายก!N207"")+IMPORTRANGE(""https://docs.google.com/spreadsheets/d/1YTZo6WM2dQ6Ix6FSdnL"&amp;"5P7uVnVKu40sxZu975tgG10E/edit?usp=sharing"",""นครปฐม!N207"")+IMPORTRANGE(""https://docs.google.com/spreadsheets/d/1OYoGg4WDg5RIzwGeB10padOxJF9E_Vljuvvct_M7RDo/edit?usp=sharing"",""ปทุมธานี!N207"")+IMPORTRANGE(""https://docs.google.com/spreadsheets/d/1GbCI"&amp;"E4D4wk9FUozzqk7SxfDMxDVBwVmI5zcaVUSzKAc/edit?usp=sharing"",""ประจวบคีรีขันธ์!N207"")+IMPORTRANGE(""https://docs.google.com/spreadsheets/d/1vVf6wykvW_lAyu7Yo9L4hUTqHqIeP_qcVuxCtosJEbg/edit?usp=sharing"",""ปราจีนบุรี!N207"")+IMPORTRANGE(""https://docs.googl"&amp;"e.com/spreadsheets/d/1BIDqLLg5jk3v59G8NlR8rk5xfQDKne0sAvZHSj7TI6I/edit?usp=sharing"",""พระนครศรีอยุธยา!N207"")+IMPORTRANGE(""https://docs.google.com/spreadsheets/d/1YXvxf8Yu6_rV4hTBrwMqAcAnv6DfhUxh5emyM3CJp_w/edit?usp=sharing"",""เพชรบุรี!N207"")+IMPORTRA"&amp;"NGE(""https://docs.google.com/spreadsheets/d/19KBlQQs7uwvsao6t2n-KvW3Ax8J8uRRfZPq1zPbXgKc/edit?usp=sharing"",""ระยอง!N207"")+IMPORTRANGE(""https://docs.google.com/spreadsheets/d/1jQ6P4QcrGM89YfqcC_PxOHGCMq5ezhucwJd8ci-NHng/edit?usp=sharing"",""ราชบุรี!N20"&amp;"7"")+IMPORTRANGE(""https://docs.google.com/spreadsheets/d/1lufeA2cfFqM-elVq2hznhDzC6Pr7wkJ9ZG_sYNGCMCU/edit?usp=sharing"",""ลพบุรี!N207"")+IMPORTRANGE(""https://docs.google.com/spreadsheets/d/10oOiF7loTyfsTkbd4MpaIm0HQ9SwB7IYHdIUvt-U1Uc/edit?usp=sharing"""&amp;",""สระแก้ว!N207"")+IMPORTRANGE(""https://docs.google.com/spreadsheets/d/1xmPlrr1QbdSIKvl1dWUl9K4PjAfSL9oeMr_37QVzcxc/edit?usp=sharing"",""สระบุรี!N207"")+IMPORTRANGE(""https://docs.google.com/spreadsheets/d/1j51vR6CYVGhABJpv6tkstgok82RLpXieLzW1yOY5rHw/edi"&amp;"t?usp=sharing"",""สิงห์บุรี!N207"")+IMPORTRANGE(""https://docs.google.com/spreadsheets/d/1H1EalTWKUSzO4Z1-1CwzoDUaVffgrThEBe2sl74kKG0/edit?usp=sharing"",""สุพรรณบุรี!N207"")+IMPORTRANGE(""https://docs.google.com/spreadsheets/d/1BmIruG_sIrJLYao_Pdr7zVArWsf"&amp;"oBt2692TMi6x_854/edit?usp=sharing"",""อ่างทอง!N207"")"),23000)</f>
        <v>23000</v>
      </c>
      <c r="O207" s="242"/>
      <c r="P207" s="75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24"/>
      <c r="B208" s="225"/>
      <c r="C208" s="212" t="s">
        <v>18</v>
      </c>
      <c r="D208" s="226" t="s">
        <v>38</v>
      </c>
      <c r="E208" s="227"/>
      <c r="F208" s="227"/>
      <c r="G208" s="228"/>
      <c r="H208" s="229"/>
      <c r="I208" s="221"/>
      <c r="J208" s="221"/>
      <c r="K208" s="222"/>
      <c r="L208" s="222"/>
      <c r="M208" s="222"/>
      <c r="N208" s="222"/>
      <c r="O208" s="222"/>
      <c r="P208" s="222"/>
      <c r="Q208" s="230"/>
      <c r="R208" s="231"/>
      <c r="S208" s="231"/>
      <c r="T208" s="231"/>
      <c r="U208" s="231"/>
    </row>
    <row r="209" spans="1:21" ht="18.75" x14ac:dyDescent="0.25">
      <c r="A209" s="224"/>
      <c r="B209" s="225"/>
      <c r="C209" s="225"/>
      <c r="D209" s="232" t="s">
        <v>90</v>
      </c>
      <c r="E209" s="233"/>
      <c r="F209" s="233"/>
      <c r="G209" s="229"/>
      <c r="H209" s="392" t="s">
        <v>85</v>
      </c>
      <c r="I209" s="241">
        <f ca="1">IFERROR(__xludf.DUMMYFUNCTION("IMPORTRANGE(""https://docs.google.com/spreadsheets/d/13wPX838HrBrQMCywv1BsuMkt4PEKTChp52zj44s2izQ/edit?usp=sharing"",""กาญจนบุรี!I209"")+IMPORTRANGE(""https://docs.google.com/spreadsheets/d/1ddFKvqj1W1NEiWytbGlB1zMx_ykJDVtmfEQ-6-lIUBA/edit?usp=sharing"","&amp;"""จันทบุรี!I209"")+IMPORTRANGE(""https://docs.google.com/spreadsheets/d/1T1PQvRODqOBZk8BRht_U031fIS1beLA0Ub2CEytj2q0/edit?usp=sharing"",""ฉะเชิงเทรา!I209"")+IMPORTRANGE(""https://docs.google.com/spreadsheets/d/11tr1B-Bhyr79v2bkwVh5h_fR-PStkgjlZtkrZpYurG0/"&amp;"edit?usp=sharing"",""ชลบุรี!I209"")+IMPORTRANGE(""https://docs.google.com/spreadsheets/d/1hh-FVnSX0vozXhGluamEcS54Dw9_zqW0N7qJUWgJ0Sw/edit?usp=sharing"",""ชัยนาท!I209"")+IMPORTRANGE(""https://docs.google.com/spreadsheets/d/1jkqa6GXxSacMcY1eN8AHjMNJ_7dDXMJ"&amp;"VRLDlaFSOdPM/edit?usp=sharing"",""ตราด!I209"")+IMPORTRANGE(""https://docs.google.com/spreadsheets/d/18hSgUJ3VwClqi_qtULmmW3cLr0oe3OKaSYoKzdpTsYQ/edit?usp=sharing"",""นครนายก!I209"")+IMPORTRANGE(""https://docs.google.com/spreadsheets/d/1YTZo6WM2dQ6Ix6FSdnL"&amp;"5P7uVnVKu40sxZu975tgG10E/edit?usp=sharing"",""นครปฐม!I209"")+IMPORTRANGE(""https://docs.google.com/spreadsheets/d/1OYoGg4WDg5RIzwGeB10padOxJF9E_Vljuvvct_M7RDo/edit?usp=sharing"",""ปทุมธานี!I209"")+IMPORTRANGE(""https://docs.google.com/spreadsheets/d/1GbCI"&amp;"E4D4wk9FUozzqk7SxfDMxDVBwVmI5zcaVUSzKAc/edit?usp=sharing"",""ประจวบคีรีขันธ์!I209"")+IMPORTRANGE(""https://docs.google.com/spreadsheets/d/1vVf6wykvW_lAyu7Yo9L4hUTqHqIeP_qcVuxCtosJEbg/edit?usp=sharing"",""ปราจีนบุรี!I209"")+IMPORTRANGE(""https://docs.googl"&amp;"e.com/spreadsheets/d/1BIDqLLg5jk3v59G8NlR8rk5xfQDKne0sAvZHSj7TI6I/edit?usp=sharing"",""พระนครศรีอยุธยา!I209"")+IMPORTRANGE(""https://docs.google.com/spreadsheets/d/1YXvxf8Yu6_rV4hTBrwMqAcAnv6DfhUxh5emyM3CJp_w/edit?usp=sharing"",""เพชรบุรี!I209"")+IMPORTRA"&amp;"NGE(""https://docs.google.com/spreadsheets/d/19KBlQQs7uwvsao6t2n-KvW3Ax8J8uRRfZPq1zPbXgKc/edit?usp=sharing"",""ระยอง!I209"")+IMPORTRANGE(""https://docs.google.com/spreadsheets/d/1jQ6P4QcrGM89YfqcC_PxOHGCMq5ezhucwJd8ci-NHng/edit?usp=sharing"",""ราชบุรี!I20"&amp;"9"")+IMPORTRANGE(""https://docs.google.com/spreadsheets/d/1lufeA2cfFqM-elVq2hznhDzC6Pr7wkJ9ZG_sYNGCMCU/edit?usp=sharing"",""ลพบุรี!I209"")+IMPORTRANGE(""https://docs.google.com/spreadsheets/d/10oOiF7loTyfsTkbd4MpaIm0HQ9SwB7IYHdIUvt-U1Uc/edit?usp=sharing"""&amp;",""สระแก้ว!I209"")+IMPORTRANGE(""https://docs.google.com/spreadsheets/d/1xmPlrr1QbdSIKvl1dWUl9K4PjAfSL9oeMr_37QVzcxc/edit?usp=sharing"",""สระบุรี!I209"")+IMPORTRANGE(""https://docs.google.com/spreadsheets/d/1j51vR6CYVGhABJpv6tkstgok82RLpXieLzW1yOY5rHw/edi"&amp;"t?usp=sharing"",""สิงห์บุรี!I209"")+IMPORTRANGE(""https://docs.google.com/spreadsheets/d/1H1EalTWKUSzO4Z1-1CwzoDUaVffgrThEBe2sl74kKG0/edit?usp=sharing"",""สุพรรณบุรี!I209"")+IMPORTRANGE(""https://docs.google.com/spreadsheets/d/1BmIruG_sIrJLYao_Pdr7zVArWsf"&amp;"oBt2692TMi6x_854/edit?usp=sharing"",""อ่างทอง!I209"")"),35)</f>
        <v>35</v>
      </c>
      <c r="J209" s="241">
        <f ca="1">IFERROR(__xludf.DUMMYFUNCTION("IMPORTRANGE(""https://docs.google.com/spreadsheets/d/13wPX838HrBrQMCywv1BsuMkt4PEKTChp52zj44s2izQ/edit?usp=sharing"",""กาญจนบุรี!J209"")+IMPORTRANGE(""https://docs.google.com/spreadsheets/d/1ddFKvqj1W1NEiWytbGlB1zMx_ykJDVtmfEQ-6-lIUBA/edit?usp=sharing"","&amp;"""จันทบุรี!J209"")+IMPORTRANGE(""https://docs.google.com/spreadsheets/d/1T1PQvRODqOBZk8BRht_U031fIS1beLA0Ub2CEytj2q0/edit?usp=sharing"",""ฉะเชิงเทรา!J209"")+IMPORTRANGE(""https://docs.google.com/spreadsheets/d/11tr1B-Bhyr79v2bkwVh5h_fR-PStkgjlZtkrZpYurG0/"&amp;"edit?usp=sharing"",""ชลบุรี!J209"")+IMPORTRANGE(""https://docs.google.com/spreadsheets/d/1hh-FVnSX0vozXhGluamEcS54Dw9_zqW0N7qJUWgJ0Sw/edit?usp=sharing"",""ชัยนาท!J209"")+IMPORTRANGE(""https://docs.google.com/spreadsheets/d/1jkqa6GXxSacMcY1eN8AHjMNJ_7dDXMJ"&amp;"VRLDlaFSOdPM/edit?usp=sharing"",""ตราด!J209"")+IMPORTRANGE(""https://docs.google.com/spreadsheets/d/18hSgUJ3VwClqi_qtULmmW3cLr0oe3OKaSYoKzdpTsYQ/edit?usp=sharing"",""นครนายก!J209"")+IMPORTRANGE(""https://docs.google.com/spreadsheets/d/1YTZo6WM2dQ6Ix6FSdnL"&amp;"5P7uVnVKu40sxZu975tgG10E/edit?usp=sharing"",""นครปฐม!J209"")+IMPORTRANGE(""https://docs.google.com/spreadsheets/d/1OYoGg4WDg5RIzwGeB10padOxJF9E_Vljuvvct_M7RDo/edit?usp=sharing"",""ปทุมธานี!J209"")+IMPORTRANGE(""https://docs.google.com/spreadsheets/d/1GbCI"&amp;"E4D4wk9FUozzqk7SxfDMxDVBwVmI5zcaVUSzKAc/edit?usp=sharing"",""ประจวบคีรีขันธ์!J209"")+IMPORTRANGE(""https://docs.google.com/spreadsheets/d/1vVf6wykvW_lAyu7Yo9L4hUTqHqIeP_qcVuxCtosJEbg/edit?usp=sharing"",""ปราจีนบุรี!J209"")+IMPORTRANGE(""https://docs.googl"&amp;"e.com/spreadsheets/d/1BIDqLLg5jk3v59G8NlR8rk5xfQDKne0sAvZHSj7TI6I/edit?usp=sharing"",""พระนครศรีอยุธยา!J209"")+IMPORTRANGE(""https://docs.google.com/spreadsheets/d/1YXvxf8Yu6_rV4hTBrwMqAcAnv6DfhUxh5emyM3CJp_w/edit?usp=sharing"",""เพชรบุรี!J209"")+IMPORTRA"&amp;"NGE(""https://docs.google.com/spreadsheets/d/19KBlQQs7uwvsao6t2n-KvW3Ax8J8uRRfZPq1zPbXgKc/edit?usp=sharing"",""ระยอง!J209"")+IMPORTRANGE(""https://docs.google.com/spreadsheets/d/1jQ6P4QcrGM89YfqcC_PxOHGCMq5ezhucwJd8ci-NHng/edit?usp=sharing"",""ราชบุรี!J20"&amp;"9"")+IMPORTRANGE(""https://docs.google.com/spreadsheets/d/1lufeA2cfFqM-elVq2hznhDzC6Pr7wkJ9ZG_sYNGCMCU/edit?usp=sharing"",""ลพบุรี!J209"")+IMPORTRANGE(""https://docs.google.com/spreadsheets/d/10oOiF7loTyfsTkbd4MpaIm0HQ9SwB7IYHdIUvt-U1Uc/edit?usp=sharing"""&amp;",""สระแก้ว!J209"")+IMPORTRANGE(""https://docs.google.com/spreadsheets/d/1xmPlrr1QbdSIKvl1dWUl9K4PjAfSL9oeMr_37QVzcxc/edit?usp=sharing"",""สระบุรี!J209"")+IMPORTRANGE(""https://docs.google.com/spreadsheets/d/1j51vR6CYVGhABJpv6tkstgok82RLpXieLzW1yOY5rHw/edi"&amp;"t?usp=sharing"",""สิงห์บุรี!J209"")+IMPORTRANGE(""https://docs.google.com/spreadsheets/d/1H1EalTWKUSzO4Z1-1CwzoDUaVffgrThEBe2sl74kKG0/edit?usp=sharing"",""สุพรรณบุรี!J209"")+IMPORTRANGE(""https://docs.google.com/spreadsheets/d/1BmIruG_sIrJLYao_Pdr7zVArWsf"&amp;"oBt2692TMi6x_854/edit?usp=sharing"",""อ่างทอง!J209"")"),7)</f>
        <v>7</v>
      </c>
      <c r="K209" s="242">
        <f ca="1">IF(I209&gt;0,J209*100/I209,0)</f>
        <v>20</v>
      </c>
      <c r="L209" s="75"/>
      <c r="M209" s="75"/>
      <c r="N209" s="75"/>
      <c r="O209" s="75"/>
      <c r="P209" s="75"/>
      <c r="Q209" s="89"/>
      <c r="R209" s="90"/>
      <c r="S209" s="90"/>
      <c r="T209" s="90"/>
      <c r="U209" s="90"/>
    </row>
    <row r="210" spans="1:21" ht="18.75" x14ac:dyDescent="0.25">
      <c r="A210" s="224"/>
      <c r="B210" s="225"/>
      <c r="C210" s="225"/>
      <c r="D210" s="238" t="s">
        <v>50</v>
      </c>
      <c r="E210" s="233"/>
      <c r="F210" s="233"/>
      <c r="G210" s="229"/>
      <c r="H210" s="229"/>
      <c r="I210" s="74"/>
      <c r="J210" s="74"/>
      <c r="K210" s="222"/>
      <c r="L210" s="75"/>
      <c r="M210" s="75"/>
      <c r="N210" s="75"/>
      <c r="O210" s="75"/>
      <c r="P210" s="75"/>
      <c r="Q210" s="89"/>
      <c r="R210" s="90"/>
      <c r="S210" s="90"/>
      <c r="T210" s="90"/>
      <c r="U210" s="90"/>
    </row>
    <row r="211" spans="1:21" ht="18.75" x14ac:dyDescent="0.25">
      <c r="A211" s="224"/>
      <c r="B211" s="225"/>
      <c r="C211" s="225"/>
      <c r="D211" s="233"/>
      <c r="E211" s="238" t="s">
        <v>91</v>
      </c>
      <c r="F211" s="233"/>
      <c r="G211" s="229"/>
      <c r="H211" s="392" t="s">
        <v>85</v>
      </c>
      <c r="I211" s="241">
        <v>0</v>
      </c>
      <c r="J211" s="241">
        <f ca="1">IFERROR(__xludf.DUMMYFUNCTION("IMPORTRANGE(""https://docs.google.com/spreadsheets/d/13wPX838HrBrQMCywv1BsuMkt4PEKTChp52zj44s2izQ/edit?usp=sharing"",""กาญจนบุรี!J211"")+IMPORTRANGE(""https://docs.google.com/spreadsheets/d/1ddFKvqj1W1NEiWytbGlB1zMx_ykJDVtmfEQ-6-lIUBA/edit?usp=sharing"","&amp;"""จันทบุรี!J211"")+IMPORTRANGE(""https://docs.google.com/spreadsheets/d/1T1PQvRODqOBZk8BRht_U031fIS1beLA0Ub2CEytj2q0/edit?usp=sharing"",""ฉะเชิงเทรา!J211"")+IMPORTRANGE(""https://docs.google.com/spreadsheets/d/11tr1B-Bhyr79v2bkwVh5h_fR-PStkgjlZtkrZpYurG0/"&amp;"edit?usp=sharing"",""ชลบุรี!J211"")+IMPORTRANGE(""https://docs.google.com/spreadsheets/d/1hh-FVnSX0vozXhGluamEcS54Dw9_zqW0N7qJUWgJ0Sw/edit?usp=sharing"",""ชัยนาท!J211"")+IMPORTRANGE(""https://docs.google.com/spreadsheets/d/1jkqa6GXxSacMcY1eN8AHjMNJ_7dDXMJ"&amp;"VRLDlaFSOdPM/edit?usp=sharing"",""ตราด!J211"")+IMPORTRANGE(""https://docs.google.com/spreadsheets/d/18hSgUJ3VwClqi_qtULmmW3cLr0oe3OKaSYoKzdpTsYQ/edit?usp=sharing"",""นครนายก!J211"")+IMPORTRANGE(""https://docs.google.com/spreadsheets/d/1YTZo6WM2dQ6Ix6FSdnL"&amp;"5P7uVnVKu40sxZu975tgG10E/edit?usp=sharing"",""นครปฐม!J211"")+IMPORTRANGE(""https://docs.google.com/spreadsheets/d/1OYoGg4WDg5RIzwGeB10padOxJF9E_Vljuvvct_M7RDo/edit?usp=sharing"",""ปทุมธานี!J211"")+IMPORTRANGE(""https://docs.google.com/spreadsheets/d/1GbCI"&amp;"E4D4wk9FUozzqk7SxfDMxDVBwVmI5zcaVUSzKAc/edit?usp=sharing"",""ประจวบคีรีขันธ์!J211"")+IMPORTRANGE(""https://docs.google.com/spreadsheets/d/1vVf6wykvW_lAyu7Yo9L4hUTqHqIeP_qcVuxCtosJEbg/edit?usp=sharing"",""ปราจีนบุรี!J211"")+IMPORTRANGE(""https://docs.googl"&amp;"e.com/spreadsheets/d/1BIDqLLg5jk3v59G8NlR8rk5xfQDKne0sAvZHSj7TI6I/edit?usp=sharing"",""พระนครศรีอยุธยา!J211"")+IMPORTRANGE(""https://docs.google.com/spreadsheets/d/1YXvxf8Yu6_rV4hTBrwMqAcAnv6DfhUxh5emyM3CJp_w/edit?usp=sharing"",""เพชรบุรี!J211"")+IMPORTRA"&amp;"NGE(""https://docs.google.com/spreadsheets/d/19KBlQQs7uwvsao6t2n-KvW3Ax8J8uRRfZPq1zPbXgKc/edit?usp=sharing"",""ระยอง!J211"")+IMPORTRANGE(""https://docs.google.com/spreadsheets/d/1jQ6P4QcrGM89YfqcC_PxOHGCMq5ezhucwJd8ci-NHng/edit?usp=sharing"",""ราชบุรี!J21"&amp;"1"")+IMPORTRANGE(""https://docs.google.com/spreadsheets/d/1lufeA2cfFqM-elVq2hznhDzC6Pr7wkJ9ZG_sYNGCMCU/edit?usp=sharing"",""ลพบุรี!J211"")+IMPORTRANGE(""https://docs.google.com/spreadsheets/d/10oOiF7loTyfsTkbd4MpaIm0HQ9SwB7IYHdIUvt-U1Uc/edit?usp=sharing"""&amp;",""สระแก้ว!J211"")+IMPORTRANGE(""https://docs.google.com/spreadsheets/d/1xmPlrr1QbdSIKvl1dWUl9K4PjAfSL9oeMr_37QVzcxc/edit?usp=sharing"",""สระบุรี!J211"")+IMPORTRANGE(""https://docs.google.com/spreadsheets/d/1j51vR6CYVGhABJpv6tkstgok82RLpXieLzW1yOY5rHw/edi"&amp;"t?usp=sharing"",""สิงห์บุรี!J211"")+IMPORTRANGE(""https://docs.google.com/spreadsheets/d/1H1EalTWKUSzO4Z1-1CwzoDUaVffgrThEBe2sl74kKG0/edit?usp=sharing"",""สุพรรณบุรี!J211"")+IMPORTRANGE(""https://docs.google.com/spreadsheets/d/1BmIruG_sIrJLYao_Pdr7zVArWsf"&amp;"oBt2692TMi6x_854/edit?usp=sharing"",""อ่างทอง!J211"")"),5)</f>
        <v>5</v>
      </c>
      <c r="K211" s="242">
        <f t="shared" ref="K211:K213" si="173">IF(I211&gt;0,J211*100/I211,0)</f>
        <v>0</v>
      </c>
      <c r="L211" s="75"/>
      <c r="M211" s="75"/>
      <c r="N211" s="75"/>
      <c r="O211" s="75"/>
      <c r="P211" s="75"/>
      <c r="Q211" s="89"/>
      <c r="R211" s="90"/>
      <c r="S211" s="90"/>
      <c r="T211" s="90"/>
      <c r="U211" s="90"/>
    </row>
    <row r="212" spans="1:21" ht="18.75" x14ac:dyDescent="0.25">
      <c r="A212" s="224"/>
      <c r="B212" s="225"/>
      <c r="C212" s="225"/>
      <c r="D212" s="233"/>
      <c r="E212" s="238" t="s">
        <v>92</v>
      </c>
      <c r="F212" s="233"/>
      <c r="G212" s="233"/>
      <c r="H212" s="239" t="s">
        <v>93</v>
      </c>
      <c r="I212" s="241">
        <v>0</v>
      </c>
      <c r="J212" s="241">
        <f ca="1">IFERROR(__xludf.DUMMYFUNCTION("IMPORTRANGE(""https://docs.google.com/spreadsheets/d/13wPX838HrBrQMCywv1BsuMkt4PEKTChp52zj44s2izQ/edit?usp=sharing"",""กาญจนบุรี!J212"")+IMPORTRANGE(""https://docs.google.com/spreadsheets/d/1ddFKvqj1W1NEiWytbGlB1zMx_ykJDVtmfEQ-6-lIUBA/edit?usp=sharing"","&amp;"""จันทบุรี!J212"")+IMPORTRANGE(""https://docs.google.com/spreadsheets/d/1T1PQvRODqOBZk8BRht_U031fIS1beLA0Ub2CEytj2q0/edit?usp=sharing"",""ฉะเชิงเทรา!J212"")+IMPORTRANGE(""https://docs.google.com/spreadsheets/d/11tr1B-Bhyr79v2bkwVh5h_fR-PStkgjlZtkrZpYurG0/"&amp;"edit?usp=sharing"",""ชลบุรี!J212"")+IMPORTRANGE(""https://docs.google.com/spreadsheets/d/1hh-FVnSX0vozXhGluamEcS54Dw9_zqW0N7qJUWgJ0Sw/edit?usp=sharing"",""ชัยนาท!J212"")+IMPORTRANGE(""https://docs.google.com/spreadsheets/d/1jkqa6GXxSacMcY1eN8AHjMNJ_7dDXMJ"&amp;"VRLDlaFSOdPM/edit?usp=sharing"",""ตราด!J212"")+IMPORTRANGE(""https://docs.google.com/spreadsheets/d/18hSgUJ3VwClqi_qtULmmW3cLr0oe3OKaSYoKzdpTsYQ/edit?usp=sharing"",""นครนายก!J212"")+IMPORTRANGE(""https://docs.google.com/spreadsheets/d/1YTZo6WM2dQ6Ix6FSdnL"&amp;"5P7uVnVKu40sxZu975tgG10E/edit?usp=sharing"",""นครปฐม!J212"")+IMPORTRANGE(""https://docs.google.com/spreadsheets/d/1OYoGg4WDg5RIzwGeB10padOxJF9E_Vljuvvct_M7RDo/edit?usp=sharing"",""ปทุมธานี!J212"")+IMPORTRANGE(""https://docs.google.com/spreadsheets/d/1GbCI"&amp;"E4D4wk9FUozzqk7SxfDMxDVBwVmI5zcaVUSzKAc/edit?usp=sharing"",""ประจวบคีรีขันธ์!J212"")+IMPORTRANGE(""https://docs.google.com/spreadsheets/d/1vVf6wykvW_lAyu7Yo9L4hUTqHqIeP_qcVuxCtosJEbg/edit?usp=sharing"",""ปราจีนบุรี!J212"")+IMPORTRANGE(""https://docs.googl"&amp;"e.com/spreadsheets/d/1BIDqLLg5jk3v59G8NlR8rk5xfQDKne0sAvZHSj7TI6I/edit?usp=sharing"",""พระนครศรีอยุธยา!J212"")+IMPORTRANGE(""https://docs.google.com/spreadsheets/d/1YXvxf8Yu6_rV4hTBrwMqAcAnv6DfhUxh5emyM3CJp_w/edit?usp=sharing"",""เพชรบุรี!J212"")+IMPORTRA"&amp;"NGE(""https://docs.google.com/spreadsheets/d/19KBlQQs7uwvsao6t2n-KvW3Ax8J8uRRfZPq1zPbXgKc/edit?usp=sharing"",""ระยอง!J212"")+IMPORTRANGE(""https://docs.google.com/spreadsheets/d/1jQ6P4QcrGM89YfqcC_PxOHGCMq5ezhucwJd8ci-NHng/edit?usp=sharing"",""ราชบุรี!J21"&amp;"2"")+IMPORTRANGE(""https://docs.google.com/spreadsheets/d/1lufeA2cfFqM-elVq2hznhDzC6Pr7wkJ9ZG_sYNGCMCU/edit?usp=sharing"",""ลพบุรี!J212"")+IMPORTRANGE(""https://docs.google.com/spreadsheets/d/10oOiF7loTyfsTkbd4MpaIm0HQ9SwB7IYHdIUvt-U1Uc/edit?usp=sharing"""&amp;",""สระแก้ว!J212"")+IMPORTRANGE(""https://docs.google.com/spreadsheets/d/1xmPlrr1QbdSIKvl1dWUl9K4PjAfSL9oeMr_37QVzcxc/edit?usp=sharing"",""สระบุรี!J212"")+IMPORTRANGE(""https://docs.google.com/spreadsheets/d/1j51vR6CYVGhABJpv6tkstgok82RLpXieLzW1yOY5rHw/edi"&amp;"t?usp=sharing"",""สิงห์บุรี!J212"")+IMPORTRANGE(""https://docs.google.com/spreadsheets/d/1H1EalTWKUSzO4Z1-1CwzoDUaVffgrThEBe2sl74kKG0/edit?usp=sharing"",""สุพรรณบุรี!J212"")+IMPORTRANGE(""https://docs.google.com/spreadsheets/d/1BmIruG_sIrJLYao_Pdr7zVArWsf"&amp;"oBt2692TMi6x_854/edit?usp=sharing"",""อ่างทอง!J212"")"),1)</f>
        <v>1</v>
      </c>
      <c r="K212" s="242">
        <f t="shared" si="173"/>
        <v>0</v>
      </c>
      <c r="L212" s="75"/>
      <c r="M212" s="75"/>
      <c r="N212" s="75"/>
      <c r="O212" s="75"/>
      <c r="P212" s="75"/>
      <c r="Q212" s="89"/>
      <c r="R212" s="90"/>
      <c r="S212" s="90"/>
      <c r="T212" s="90"/>
      <c r="U212" s="90"/>
    </row>
    <row r="213" spans="1:21" ht="19.5" x14ac:dyDescent="0.3">
      <c r="A213" s="372"/>
      <c r="B213" s="373"/>
      <c r="C213" s="374" t="s">
        <v>94</v>
      </c>
      <c r="D213" s="375"/>
      <c r="E213" s="375"/>
      <c r="F213" s="375"/>
      <c r="G213" s="376"/>
      <c r="H213" s="386" t="s">
        <v>85</v>
      </c>
      <c r="I213" s="378">
        <f t="shared" ref="I213:J213" ca="1" si="174">I220</f>
        <v>17</v>
      </c>
      <c r="J213" s="378">
        <f t="shared" ca="1" si="174"/>
        <v>7</v>
      </c>
      <c r="K213" s="379">
        <f t="shared" ca="1" si="173"/>
        <v>41.176470588235297</v>
      </c>
      <c r="L213" s="380"/>
      <c r="M213" s="380"/>
      <c r="N213" s="380"/>
      <c r="O213" s="380"/>
      <c r="P213" s="380"/>
      <c r="Q213" s="381"/>
      <c r="R213" s="382"/>
      <c r="S213" s="382"/>
      <c r="T213" s="382"/>
      <c r="U213" s="382"/>
    </row>
    <row r="214" spans="1:21" ht="19.5" x14ac:dyDescent="0.3">
      <c r="A214" s="211"/>
      <c r="B214" s="70"/>
      <c r="C214" s="212" t="s">
        <v>18</v>
      </c>
      <c r="D214" s="383" t="s">
        <v>19</v>
      </c>
      <c r="E214" s="70"/>
      <c r="F214" s="70"/>
      <c r="G214" s="72"/>
      <c r="H214" s="384" t="s">
        <v>14</v>
      </c>
      <c r="I214" s="221"/>
      <c r="J214" s="221"/>
      <c r="K214" s="222"/>
      <c r="L214" s="215">
        <f ca="1">L215+L216+L217</f>
        <v>92000</v>
      </c>
      <c r="M214" s="75"/>
      <c r="N214" s="215">
        <f ca="1">N215+N216+N217</f>
        <v>8240</v>
      </c>
      <c r="O214" s="215">
        <f ca="1">IF(L214&gt;0,N214*100/L214,0)</f>
        <v>8.9565217391304355</v>
      </c>
      <c r="P214" s="215"/>
      <c r="Q214" s="393">
        <f ca="1">Q215+Q216+Q217</f>
        <v>836900</v>
      </c>
      <c r="R214" s="90"/>
      <c r="S214" s="266">
        <f ca="1">S215+S216+S217</f>
        <v>175580</v>
      </c>
      <c r="T214" s="266">
        <f ca="1">IF(Q214&gt;0,S214*100/Q214,0)</f>
        <v>20.979806428486079</v>
      </c>
      <c r="U214" s="266">
        <f>IF(R214&gt;0,S214*100/R214,0)</f>
        <v>0</v>
      </c>
    </row>
    <row r="215" spans="1:21" ht="18.75" x14ac:dyDescent="0.25">
      <c r="A215" s="211"/>
      <c r="B215" s="371"/>
      <c r="C215" s="70"/>
      <c r="D215" s="78" t="s">
        <v>86</v>
      </c>
      <c r="E215" s="70"/>
      <c r="F215" s="70"/>
      <c r="G215" s="72"/>
      <c r="H215" s="220" t="s">
        <v>14</v>
      </c>
      <c r="I215" s="221"/>
      <c r="J215" s="221"/>
      <c r="K215" s="222"/>
      <c r="L215" s="91">
        <f ca="1">IFERROR(__xludf.DUMMYFUNCTION("IMPORTRANGE(""https://docs.google.com/spreadsheets/d/13wPX838HrBrQMCywv1BsuMkt4PEKTChp52zj44s2izQ/edit?usp=sharing"",""กาญจนบุรี!L215"")+IMPORTRANGE(""https://docs.google.com/spreadsheets/d/1ddFKvqj1W1NEiWytbGlB1zMx_ykJDVtmfEQ-6-lIUBA/edit?usp=sharing"","&amp;"""จันทบุรี!L215"")+IMPORTRANGE(""https://docs.google.com/spreadsheets/d/1T1PQvRODqOBZk8BRht_U031fIS1beLA0Ub2CEytj2q0/edit?usp=sharing"",""ฉะเชิงเทรา!L215"")+IMPORTRANGE(""https://docs.google.com/spreadsheets/d/11tr1B-Bhyr79v2bkwVh5h_fR-PStkgjlZtkrZpYurG0/"&amp;"edit?usp=sharing"",""ชลบุรี!L215"")+IMPORTRANGE(""https://docs.google.com/spreadsheets/d/1hh-FVnSX0vozXhGluamEcS54Dw9_zqW0N7qJUWgJ0Sw/edit?usp=sharing"",""ชัยนาท!L215"")+IMPORTRANGE(""https://docs.google.com/spreadsheets/d/1jkqa6GXxSacMcY1eN8AHjMNJ_7dDXMJ"&amp;"VRLDlaFSOdPM/edit?usp=sharing"",""ตราด!L215"")+IMPORTRANGE(""https://docs.google.com/spreadsheets/d/18hSgUJ3VwClqi_qtULmmW3cLr0oe3OKaSYoKzdpTsYQ/edit?usp=sharing"",""นครนายก!L215"")+IMPORTRANGE(""https://docs.google.com/spreadsheets/d/1YTZo6WM2dQ6Ix6FSdnL"&amp;"5P7uVnVKu40sxZu975tgG10E/edit?usp=sharing"",""นครปฐม!L215"")+IMPORTRANGE(""https://docs.google.com/spreadsheets/d/1OYoGg4WDg5RIzwGeB10padOxJF9E_Vljuvvct_M7RDo/edit?usp=sharing"",""ปทุมธานี!L215"")+IMPORTRANGE(""https://docs.google.com/spreadsheets/d/1GbCI"&amp;"E4D4wk9FUozzqk7SxfDMxDVBwVmI5zcaVUSzKAc/edit?usp=sharing"",""ประจวบคีรีขันธ์!L215"")+IMPORTRANGE(""https://docs.google.com/spreadsheets/d/1vVf6wykvW_lAyu7Yo9L4hUTqHqIeP_qcVuxCtosJEbg/edit?usp=sharing"",""ปราจีนบุรี!L215"")+IMPORTRANGE(""https://docs.googl"&amp;"e.com/spreadsheets/d/1BIDqLLg5jk3v59G8NlR8rk5xfQDKne0sAvZHSj7TI6I/edit?usp=sharing"",""พระนครศรีอยุธยา!L215"")+IMPORTRANGE(""https://docs.google.com/spreadsheets/d/1YXvxf8Yu6_rV4hTBrwMqAcAnv6DfhUxh5emyM3CJp_w/edit?usp=sharing"",""เพชรบุรี!L215"")+IMPORTRA"&amp;"NGE(""https://docs.google.com/spreadsheets/d/19KBlQQs7uwvsao6t2n-KvW3Ax8J8uRRfZPq1zPbXgKc/edit?usp=sharing"",""ระยอง!L215"")+IMPORTRANGE(""https://docs.google.com/spreadsheets/d/1jQ6P4QcrGM89YfqcC_PxOHGCMq5ezhucwJd8ci-NHng/edit?usp=sharing"",""ราชบุรี!L21"&amp;"5"")+IMPORTRANGE(""https://docs.google.com/spreadsheets/d/1lufeA2cfFqM-elVq2hznhDzC6Pr7wkJ9ZG_sYNGCMCU/edit?usp=sharing"",""ลพบุรี!L215"")+IMPORTRANGE(""https://docs.google.com/spreadsheets/d/10oOiF7loTyfsTkbd4MpaIm0HQ9SwB7IYHdIUvt-U1Uc/edit?usp=sharing"""&amp;",""สระแก้ว!L215"")+IMPORTRANGE(""https://docs.google.com/spreadsheets/d/1xmPlrr1QbdSIKvl1dWUl9K4PjAfSL9oeMr_37QVzcxc/edit?usp=sharing"",""สระบุรี!L215"")+IMPORTRANGE(""https://docs.google.com/spreadsheets/d/1j51vR6CYVGhABJpv6tkstgok82RLpXieLzW1yOY5rHw/edi"&amp;"t?usp=sharing"",""สิงห์บุรี!L215"")+IMPORTRANGE(""https://docs.google.com/spreadsheets/d/1H1EalTWKUSzO4Z1-1CwzoDUaVffgrThEBe2sl74kKG0/edit?usp=sharing"",""สุพรรณบุรี!L215"")+IMPORTRANGE(""https://docs.google.com/spreadsheets/d/1BmIruG_sIrJLYao_Pdr7zVArWsf"&amp;"oBt2692TMi6x_854/edit?usp=sharing"",""อ่างทอง!L215"")"),14000)</f>
        <v>14000</v>
      </c>
      <c r="M215" s="75"/>
      <c r="N215" s="91">
        <f ca="1">IFERROR(__xludf.DUMMYFUNCTION("IMPORTRANGE(""https://docs.google.com/spreadsheets/d/13wPX838HrBrQMCywv1BsuMkt4PEKTChp52zj44s2izQ/edit?usp=sharing"",""กาญจนบุรี!N215"")+IMPORTRANGE(""https://docs.google.com/spreadsheets/d/1ddFKvqj1W1NEiWytbGlB1zMx_ykJDVtmfEQ-6-lIUBA/edit?usp=sharing"","&amp;"""จันทบุรี!N215"")+IMPORTRANGE(""https://docs.google.com/spreadsheets/d/1T1PQvRODqOBZk8BRht_U031fIS1beLA0Ub2CEytj2q0/edit?usp=sharing"",""ฉะเชิงเทรา!N215"")+IMPORTRANGE(""https://docs.google.com/spreadsheets/d/11tr1B-Bhyr79v2bkwVh5h_fR-PStkgjlZtkrZpYurG0/"&amp;"edit?usp=sharing"",""ชลบุรี!N215"")+IMPORTRANGE(""https://docs.google.com/spreadsheets/d/1hh-FVnSX0vozXhGluamEcS54Dw9_zqW0N7qJUWgJ0Sw/edit?usp=sharing"",""ชัยนาท!N215"")+IMPORTRANGE(""https://docs.google.com/spreadsheets/d/1jkqa6GXxSacMcY1eN8AHjMNJ_7dDXMJ"&amp;"VRLDlaFSOdPM/edit?usp=sharing"",""ตราด!N215"")+IMPORTRANGE(""https://docs.google.com/spreadsheets/d/18hSgUJ3VwClqi_qtULmmW3cLr0oe3OKaSYoKzdpTsYQ/edit?usp=sharing"",""นครนายก!N215"")+IMPORTRANGE(""https://docs.google.com/spreadsheets/d/1YTZo6WM2dQ6Ix6FSdnL"&amp;"5P7uVnVKu40sxZu975tgG10E/edit?usp=sharing"",""นครปฐม!N215"")+IMPORTRANGE(""https://docs.google.com/spreadsheets/d/1OYoGg4WDg5RIzwGeB10padOxJF9E_Vljuvvct_M7RDo/edit?usp=sharing"",""ปทุมธานี!N215"")+IMPORTRANGE(""https://docs.google.com/spreadsheets/d/1GbCI"&amp;"E4D4wk9FUozzqk7SxfDMxDVBwVmI5zcaVUSzKAc/edit?usp=sharing"",""ประจวบคีรีขันธ์!N215"")+IMPORTRANGE(""https://docs.google.com/spreadsheets/d/1vVf6wykvW_lAyu7Yo9L4hUTqHqIeP_qcVuxCtosJEbg/edit?usp=sharing"",""ปราจีนบุรี!N215"")+IMPORTRANGE(""https://docs.googl"&amp;"e.com/spreadsheets/d/1BIDqLLg5jk3v59G8NlR8rk5xfQDKne0sAvZHSj7TI6I/edit?usp=sharing"",""พระนครศรีอยุธยา!N215"")+IMPORTRANGE(""https://docs.google.com/spreadsheets/d/1YXvxf8Yu6_rV4hTBrwMqAcAnv6DfhUxh5emyM3CJp_w/edit?usp=sharing"",""เพชรบุรี!N215"")+IMPORTRA"&amp;"NGE(""https://docs.google.com/spreadsheets/d/19KBlQQs7uwvsao6t2n-KvW3Ax8J8uRRfZPq1zPbXgKc/edit?usp=sharing"",""ระยอง!N215"")+IMPORTRANGE(""https://docs.google.com/spreadsheets/d/1jQ6P4QcrGM89YfqcC_PxOHGCMq5ezhucwJd8ci-NHng/edit?usp=sharing"",""ราชบุรี!N21"&amp;"5"")+IMPORTRANGE(""https://docs.google.com/spreadsheets/d/1lufeA2cfFqM-elVq2hznhDzC6Pr7wkJ9ZG_sYNGCMCU/edit?usp=sharing"",""ลพบุรี!N215"")+IMPORTRANGE(""https://docs.google.com/spreadsheets/d/10oOiF7loTyfsTkbd4MpaIm0HQ9SwB7IYHdIUvt-U1Uc/edit?usp=sharing"""&amp;",""สระแก้ว!N215"")+IMPORTRANGE(""https://docs.google.com/spreadsheets/d/1xmPlrr1QbdSIKvl1dWUl9K4PjAfSL9oeMr_37QVzcxc/edit?usp=sharing"",""สระบุรี!N215"")+IMPORTRANGE(""https://docs.google.com/spreadsheets/d/1j51vR6CYVGhABJpv6tkstgok82RLpXieLzW1yOY5rHw/edi"&amp;"t?usp=sharing"",""สิงห์บุรี!N215"")+IMPORTRANGE(""https://docs.google.com/spreadsheets/d/1H1EalTWKUSzO4Z1-1CwzoDUaVffgrThEBe2sl74kKG0/edit?usp=sharing"",""สุพรรณบุรี!N215"")+IMPORTRANGE(""https://docs.google.com/spreadsheets/d/1BmIruG_sIrJLYao_Pdr7zVArWsf"&amp;"oBt2692TMi6x_854/edit?usp=sharing"",""อ่างทอง!N215"")"),240)</f>
        <v>240</v>
      </c>
      <c r="O215" s="242"/>
      <c r="P215" s="75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368"/>
      <c r="B216" s="371"/>
      <c r="C216" s="371"/>
      <c r="D216" s="78" t="s">
        <v>95</v>
      </c>
      <c r="E216" s="70"/>
      <c r="F216" s="70"/>
      <c r="G216" s="72"/>
      <c r="H216" s="220" t="s">
        <v>14</v>
      </c>
      <c r="I216" s="74"/>
      <c r="J216" s="74"/>
      <c r="K216" s="75"/>
      <c r="L216" s="91">
        <f ca="1">IFERROR(__xludf.DUMMYFUNCTION("IMPORTRANGE(""https://docs.google.com/spreadsheets/d/13wPX838HrBrQMCywv1BsuMkt4PEKTChp52zj44s2izQ/edit?usp=sharing"",""กาญจนบุรี!L216"")+IMPORTRANGE(""https://docs.google.com/spreadsheets/d/1ddFKvqj1W1NEiWytbGlB1zMx_ykJDVtmfEQ-6-lIUBA/edit?usp=sharing"","&amp;"""จันทบุรี!L216"")+IMPORTRANGE(""https://docs.google.com/spreadsheets/d/1T1PQvRODqOBZk8BRht_U031fIS1beLA0Ub2CEytj2q0/edit?usp=sharing"",""ฉะเชิงเทรา!L216"")+IMPORTRANGE(""https://docs.google.com/spreadsheets/d/11tr1B-Bhyr79v2bkwVh5h_fR-PStkgjlZtkrZpYurG0/"&amp;"edit?usp=sharing"",""ชลบุรี!L216"")+IMPORTRANGE(""https://docs.google.com/spreadsheets/d/1hh-FVnSX0vozXhGluamEcS54Dw9_zqW0N7qJUWgJ0Sw/edit?usp=sharing"",""ชัยนาท!L216"")+IMPORTRANGE(""https://docs.google.com/spreadsheets/d/1jkqa6GXxSacMcY1eN8AHjMNJ_7dDXMJ"&amp;"VRLDlaFSOdPM/edit?usp=sharing"",""ตราด!L216"")+IMPORTRANGE(""https://docs.google.com/spreadsheets/d/18hSgUJ3VwClqi_qtULmmW3cLr0oe3OKaSYoKzdpTsYQ/edit?usp=sharing"",""นครนายก!L216"")+IMPORTRANGE(""https://docs.google.com/spreadsheets/d/1YTZo6WM2dQ6Ix6FSdnL"&amp;"5P7uVnVKu40sxZu975tgG10E/edit?usp=sharing"",""นครปฐม!L216"")+IMPORTRANGE(""https://docs.google.com/spreadsheets/d/1OYoGg4WDg5RIzwGeB10padOxJF9E_Vljuvvct_M7RDo/edit?usp=sharing"",""ปทุมธานี!L216"")+IMPORTRANGE(""https://docs.google.com/spreadsheets/d/1GbCI"&amp;"E4D4wk9FUozzqk7SxfDMxDVBwVmI5zcaVUSzKAc/edit?usp=sharing"",""ประจวบคีรีขันธ์!L216"")+IMPORTRANGE(""https://docs.google.com/spreadsheets/d/1vVf6wykvW_lAyu7Yo9L4hUTqHqIeP_qcVuxCtosJEbg/edit?usp=sharing"",""ปราจีนบุรี!L216"")+IMPORTRANGE(""https://docs.googl"&amp;"e.com/spreadsheets/d/1BIDqLLg5jk3v59G8NlR8rk5xfQDKne0sAvZHSj7TI6I/edit?usp=sharing"",""พระนครศรีอยุธยา!L216"")+IMPORTRANGE(""https://docs.google.com/spreadsheets/d/1YXvxf8Yu6_rV4hTBrwMqAcAnv6DfhUxh5emyM3CJp_w/edit?usp=sharing"",""เพชรบุรี!L216"")+IMPORTRA"&amp;"NGE(""https://docs.google.com/spreadsheets/d/19KBlQQs7uwvsao6t2n-KvW3Ax8J8uRRfZPq1zPbXgKc/edit?usp=sharing"",""ระยอง!L216"")+IMPORTRANGE(""https://docs.google.com/spreadsheets/d/1jQ6P4QcrGM89YfqcC_PxOHGCMq5ezhucwJd8ci-NHng/edit?usp=sharing"",""ราชบุรี!L21"&amp;"6"")+IMPORTRANGE(""https://docs.google.com/spreadsheets/d/1lufeA2cfFqM-elVq2hznhDzC6Pr7wkJ9ZG_sYNGCMCU/edit?usp=sharing"",""ลพบุรี!L216"")+IMPORTRANGE(""https://docs.google.com/spreadsheets/d/10oOiF7loTyfsTkbd4MpaIm0HQ9SwB7IYHdIUvt-U1Uc/edit?usp=sharing"""&amp;",""สระแก้ว!L216"")+IMPORTRANGE(""https://docs.google.com/spreadsheets/d/1xmPlrr1QbdSIKvl1dWUl9K4PjAfSL9oeMr_37QVzcxc/edit?usp=sharing"",""สระบุรี!L216"")+IMPORTRANGE(""https://docs.google.com/spreadsheets/d/1j51vR6CYVGhABJpv6tkstgok82RLpXieLzW1yOY5rHw/edi"&amp;"t?usp=sharing"",""สิงห์บุรี!L216"")+IMPORTRANGE(""https://docs.google.com/spreadsheets/d/1H1EalTWKUSzO4Z1-1CwzoDUaVffgrThEBe2sl74kKG0/edit?usp=sharing"",""สุพรรณบุรี!L216"")+IMPORTRANGE(""https://docs.google.com/spreadsheets/d/1BmIruG_sIrJLYao_Pdr7zVArWsf"&amp;"oBt2692TMi6x_854/edit?usp=sharing"",""อ่างทอง!L216"")"),70000)</f>
        <v>70000</v>
      </c>
      <c r="M216" s="75"/>
      <c r="N216" s="91">
        <f ca="1">IFERROR(__xludf.DUMMYFUNCTION("IMPORTRANGE(""https://docs.google.com/spreadsheets/d/13wPX838HrBrQMCywv1BsuMkt4PEKTChp52zj44s2izQ/edit?usp=sharing"",""กาญจนบุรี!N216"")+IMPORTRANGE(""https://docs.google.com/spreadsheets/d/1ddFKvqj1W1NEiWytbGlB1zMx_ykJDVtmfEQ-6-lIUBA/edit?usp=sharing"","&amp;"""จันทบุรี!N216"")+IMPORTRANGE(""https://docs.google.com/spreadsheets/d/1T1PQvRODqOBZk8BRht_U031fIS1beLA0Ub2CEytj2q0/edit?usp=sharing"",""ฉะเชิงเทรา!N216"")+IMPORTRANGE(""https://docs.google.com/spreadsheets/d/11tr1B-Bhyr79v2bkwVh5h_fR-PStkgjlZtkrZpYurG0/"&amp;"edit?usp=sharing"",""ชลบุรี!N216"")+IMPORTRANGE(""https://docs.google.com/spreadsheets/d/1hh-FVnSX0vozXhGluamEcS54Dw9_zqW0N7qJUWgJ0Sw/edit?usp=sharing"",""ชัยนาท!N216"")+IMPORTRANGE(""https://docs.google.com/spreadsheets/d/1jkqa6GXxSacMcY1eN8AHjMNJ_7dDXMJ"&amp;"VRLDlaFSOdPM/edit?usp=sharing"",""ตราด!N216"")+IMPORTRANGE(""https://docs.google.com/spreadsheets/d/18hSgUJ3VwClqi_qtULmmW3cLr0oe3OKaSYoKzdpTsYQ/edit?usp=sharing"",""นครนายก!N216"")+IMPORTRANGE(""https://docs.google.com/spreadsheets/d/1YTZo6WM2dQ6Ix6FSdnL"&amp;"5P7uVnVKu40sxZu975tgG10E/edit?usp=sharing"",""นครปฐม!N216"")+IMPORTRANGE(""https://docs.google.com/spreadsheets/d/1OYoGg4WDg5RIzwGeB10padOxJF9E_Vljuvvct_M7RDo/edit?usp=sharing"",""ปทุมธานี!N216"")+IMPORTRANGE(""https://docs.google.com/spreadsheets/d/1GbCI"&amp;"E4D4wk9FUozzqk7SxfDMxDVBwVmI5zcaVUSzKAc/edit?usp=sharing"",""ประจวบคีรีขันธ์!N216"")+IMPORTRANGE(""https://docs.google.com/spreadsheets/d/1vVf6wykvW_lAyu7Yo9L4hUTqHqIeP_qcVuxCtosJEbg/edit?usp=sharing"",""ปราจีนบุรี!N216"")+IMPORTRANGE(""https://docs.googl"&amp;"e.com/spreadsheets/d/1BIDqLLg5jk3v59G8NlR8rk5xfQDKne0sAvZHSj7TI6I/edit?usp=sharing"",""พระนครศรีอยุธยา!N216"")+IMPORTRANGE(""https://docs.google.com/spreadsheets/d/1YXvxf8Yu6_rV4hTBrwMqAcAnv6DfhUxh5emyM3CJp_w/edit?usp=sharing"",""เพชรบุรี!N216"")+IMPORTRA"&amp;"NGE(""https://docs.google.com/spreadsheets/d/19KBlQQs7uwvsao6t2n-KvW3Ax8J8uRRfZPq1zPbXgKc/edit?usp=sharing"",""ระยอง!N216"")+IMPORTRANGE(""https://docs.google.com/spreadsheets/d/1jQ6P4QcrGM89YfqcC_PxOHGCMq5ezhucwJd8ci-NHng/edit?usp=sharing"",""ราชบุรี!N21"&amp;"6"")+IMPORTRANGE(""https://docs.google.com/spreadsheets/d/1lufeA2cfFqM-elVq2hznhDzC6Pr7wkJ9ZG_sYNGCMCU/edit?usp=sharing"",""ลพบุรี!N216"")+IMPORTRANGE(""https://docs.google.com/spreadsheets/d/10oOiF7loTyfsTkbd4MpaIm0HQ9SwB7IYHdIUvt-U1Uc/edit?usp=sharing"""&amp;",""สระแก้ว!N216"")+IMPORTRANGE(""https://docs.google.com/spreadsheets/d/1xmPlrr1QbdSIKvl1dWUl9K4PjAfSL9oeMr_37QVzcxc/edit?usp=sharing"",""สระบุรี!N216"")+IMPORTRANGE(""https://docs.google.com/spreadsheets/d/1j51vR6CYVGhABJpv6tkstgok82RLpXieLzW1yOY5rHw/edi"&amp;"t?usp=sharing"",""สิงห์บุรี!N216"")+IMPORTRANGE(""https://docs.google.com/spreadsheets/d/1H1EalTWKUSzO4Z1-1CwzoDUaVffgrThEBe2sl74kKG0/edit?usp=sharing"",""สุพรรณบุรี!N216"")+IMPORTRANGE(""https://docs.google.com/spreadsheets/d/1BmIruG_sIrJLYao_Pdr7zVArWsf"&amp;"oBt2692TMi6x_854/edit?usp=sharing"",""อ่างทอง!N216"")"),0)</f>
        <v>0</v>
      </c>
      <c r="O216" s="242"/>
      <c r="P216" s="75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368"/>
      <c r="B217" s="371"/>
      <c r="C217" s="371"/>
      <c r="D217" s="78" t="s">
        <v>88</v>
      </c>
      <c r="E217" s="70"/>
      <c r="F217" s="70"/>
      <c r="G217" s="72"/>
      <c r="H217" s="220" t="s">
        <v>14</v>
      </c>
      <c r="I217" s="74"/>
      <c r="J217" s="74"/>
      <c r="K217" s="75"/>
      <c r="L217" s="91">
        <f ca="1">IFERROR(__xludf.DUMMYFUNCTION("IMPORTRANGE(""https://docs.google.com/spreadsheets/d/13wPX838HrBrQMCywv1BsuMkt4PEKTChp52zj44s2izQ/edit?usp=sharing"",""กาญจนบุรี!L217"")+IMPORTRANGE(""https://docs.google.com/spreadsheets/d/1ddFKvqj1W1NEiWytbGlB1zMx_ykJDVtmfEQ-6-lIUBA/edit?usp=sharing"","&amp;"""จันทบุรี!L217"")+IMPORTRANGE(""https://docs.google.com/spreadsheets/d/1T1PQvRODqOBZk8BRht_U031fIS1beLA0Ub2CEytj2q0/edit?usp=sharing"",""ฉะเชิงเทรา!L217"")+IMPORTRANGE(""https://docs.google.com/spreadsheets/d/11tr1B-Bhyr79v2bkwVh5h_fR-PStkgjlZtkrZpYurG0/"&amp;"edit?usp=sharing"",""ชลบุรี!L217"")+IMPORTRANGE(""https://docs.google.com/spreadsheets/d/1hh-FVnSX0vozXhGluamEcS54Dw9_zqW0N7qJUWgJ0Sw/edit?usp=sharing"",""ชัยนาท!L217"")+IMPORTRANGE(""https://docs.google.com/spreadsheets/d/1jkqa6GXxSacMcY1eN8AHjMNJ_7dDXMJ"&amp;"VRLDlaFSOdPM/edit?usp=sharing"",""ตราด!L217"")+IMPORTRANGE(""https://docs.google.com/spreadsheets/d/18hSgUJ3VwClqi_qtULmmW3cLr0oe3OKaSYoKzdpTsYQ/edit?usp=sharing"",""นครนายก!L217"")+IMPORTRANGE(""https://docs.google.com/spreadsheets/d/1YTZo6WM2dQ6Ix6FSdnL"&amp;"5P7uVnVKu40sxZu975tgG10E/edit?usp=sharing"",""นครปฐม!L217"")+IMPORTRANGE(""https://docs.google.com/spreadsheets/d/1OYoGg4WDg5RIzwGeB10padOxJF9E_Vljuvvct_M7RDo/edit?usp=sharing"",""ปทุมธานี!L217"")+IMPORTRANGE(""https://docs.google.com/spreadsheets/d/1GbCI"&amp;"E4D4wk9FUozzqk7SxfDMxDVBwVmI5zcaVUSzKAc/edit?usp=sharing"",""ประจวบคีรีขันธ์!L217"")+IMPORTRANGE(""https://docs.google.com/spreadsheets/d/1vVf6wykvW_lAyu7Yo9L4hUTqHqIeP_qcVuxCtosJEbg/edit?usp=sharing"",""ปราจีนบุรี!L217"")+IMPORTRANGE(""https://docs.googl"&amp;"e.com/spreadsheets/d/1BIDqLLg5jk3v59G8NlR8rk5xfQDKne0sAvZHSj7TI6I/edit?usp=sharing"",""พระนครศรีอยุธยา!L217"")+IMPORTRANGE(""https://docs.google.com/spreadsheets/d/1YXvxf8Yu6_rV4hTBrwMqAcAnv6DfhUxh5emyM3CJp_w/edit?usp=sharing"",""เพชรบุรี!L217"")+IMPORTRA"&amp;"NGE(""https://docs.google.com/spreadsheets/d/19KBlQQs7uwvsao6t2n-KvW3Ax8J8uRRfZPq1zPbXgKc/edit?usp=sharing"",""ระยอง!L217"")+IMPORTRANGE(""https://docs.google.com/spreadsheets/d/1jQ6P4QcrGM89YfqcC_PxOHGCMq5ezhucwJd8ci-NHng/edit?usp=sharing"",""ราชบุรี!L21"&amp;"7"")+IMPORTRANGE(""https://docs.google.com/spreadsheets/d/1lufeA2cfFqM-elVq2hznhDzC6Pr7wkJ9ZG_sYNGCMCU/edit?usp=sharing"",""ลพบุรี!L217"")+IMPORTRANGE(""https://docs.google.com/spreadsheets/d/10oOiF7loTyfsTkbd4MpaIm0HQ9SwB7IYHdIUvt-U1Uc/edit?usp=sharing"""&amp;",""สระแก้ว!L217"")+IMPORTRANGE(""https://docs.google.com/spreadsheets/d/1xmPlrr1QbdSIKvl1dWUl9K4PjAfSL9oeMr_37QVzcxc/edit?usp=sharing"",""สระบุรี!L217"")+IMPORTRANGE(""https://docs.google.com/spreadsheets/d/1j51vR6CYVGhABJpv6tkstgok82RLpXieLzW1yOY5rHw/edi"&amp;"t?usp=sharing"",""สิงห์บุรี!L217"")+IMPORTRANGE(""https://docs.google.com/spreadsheets/d/1H1EalTWKUSzO4Z1-1CwzoDUaVffgrThEBe2sl74kKG0/edit?usp=sharing"",""สุพรรณบุรี!L217"")+IMPORTRANGE(""https://docs.google.com/spreadsheets/d/1BmIruG_sIrJLYao_Pdr7zVArWsf"&amp;"oBt2692TMi6x_854/edit?usp=sharing"",""อ่างทอง!L217"")"),8000)</f>
        <v>8000</v>
      </c>
      <c r="M217" s="75"/>
      <c r="N217" s="91">
        <f ca="1">IFERROR(__xludf.DUMMYFUNCTION("IMPORTRANGE(""https://docs.google.com/spreadsheets/d/13wPX838HrBrQMCywv1BsuMkt4PEKTChp52zj44s2izQ/edit?usp=sharing"",""กาญจนบุรี!N217"")+IMPORTRANGE(""https://docs.google.com/spreadsheets/d/1ddFKvqj1W1NEiWytbGlB1zMx_ykJDVtmfEQ-6-lIUBA/edit?usp=sharing"","&amp;"""จันทบุรี!N217"")+IMPORTRANGE(""https://docs.google.com/spreadsheets/d/1T1PQvRODqOBZk8BRht_U031fIS1beLA0Ub2CEytj2q0/edit?usp=sharing"",""ฉะเชิงเทรา!N217"")+IMPORTRANGE(""https://docs.google.com/spreadsheets/d/11tr1B-Bhyr79v2bkwVh5h_fR-PStkgjlZtkrZpYurG0/"&amp;"edit?usp=sharing"",""ชลบุรี!N217"")+IMPORTRANGE(""https://docs.google.com/spreadsheets/d/1hh-FVnSX0vozXhGluamEcS54Dw9_zqW0N7qJUWgJ0Sw/edit?usp=sharing"",""ชัยนาท!N217"")+IMPORTRANGE(""https://docs.google.com/spreadsheets/d/1jkqa6GXxSacMcY1eN8AHjMNJ_7dDXMJ"&amp;"VRLDlaFSOdPM/edit?usp=sharing"",""ตราด!N217"")+IMPORTRANGE(""https://docs.google.com/spreadsheets/d/18hSgUJ3VwClqi_qtULmmW3cLr0oe3OKaSYoKzdpTsYQ/edit?usp=sharing"",""นครนายก!N217"")+IMPORTRANGE(""https://docs.google.com/spreadsheets/d/1YTZo6WM2dQ6Ix6FSdnL"&amp;"5P7uVnVKu40sxZu975tgG10E/edit?usp=sharing"",""นครปฐม!N217"")+IMPORTRANGE(""https://docs.google.com/spreadsheets/d/1OYoGg4WDg5RIzwGeB10padOxJF9E_Vljuvvct_M7RDo/edit?usp=sharing"",""ปทุมธานี!N217"")+IMPORTRANGE(""https://docs.google.com/spreadsheets/d/1GbCI"&amp;"E4D4wk9FUozzqk7SxfDMxDVBwVmI5zcaVUSzKAc/edit?usp=sharing"",""ประจวบคีรีขันธ์!N217"")+IMPORTRANGE(""https://docs.google.com/spreadsheets/d/1vVf6wykvW_lAyu7Yo9L4hUTqHqIeP_qcVuxCtosJEbg/edit?usp=sharing"",""ปราจีนบุรี!N217"")+IMPORTRANGE(""https://docs.googl"&amp;"e.com/spreadsheets/d/1BIDqLLg5jk3v59G8NlR8rk5xfQDKne0sAvZHSj7TI6I/edit?usp=sharing"",""พระนครศรีอยุธยา!N217"")+IMPORTRANGE(""https://docs.google.com/spreadsheets/d/1YXvxf8Yu6_rV4hTBrwMqAcAnv6DfhUxh5emyM3CJp_w/edit?usp=sharing"",""เพชรบุรี!N217"")+IMPORTRA"&amp;"NGE(""https://docs.google.com/spreadsheets/d/19KBlQQs7uwvsao6t2n-KvW3Ax8J8uRRfZPq1zPbXgKc/edit?usp=sharing"",""ระยอง!N217"")+IMPORTRANGE(""https://docs.google.com/spreadsheets/d/1jQ6P4QcrGM89YfqcC_PxOHGCMq5ezhucwJd8ci-NHng/edit?usp=sharing"",""ราชบุรี!N21"&amp;"7"")+IMPORTRANGE(""https://docs.google.com/spreadsheets/d/1lufeA2cfFqM-elVq2hznhDzC6Pr7wkJ9ZG_sYNGCMCU/edit?usp=sharing"",""ลพบุรี!N217"")+IMPORTRANGE(""https://docs.google.com/spreadsheets/d/10oOiF7loTyfsTkbd4MpaIm0HQ9SwB7IYHdIUvt-U1Uc/edit?usp=sharing"""&amp;",""สระแก้ว!N217"")+IMPORTRANGE(""https://docs.google.com/spreadsheets/d/1xmPlrr1QbdSIKvl1dWUl9K4PjAfSL9oeMr_37QVzcxc/edit?usp=sharing"",""สระบุรี!N217"")+IMPORTRANGE(""https://docs.google.com/spreadsheets/d/1j51vR6CYVGhABJpv6tkstgok82RLpXieLzW1yOY5rHw/edi"&amp;"t?usp=sharing"",""สิงห์บุรี!N217"")+IMPORTRANGE(""https://docs.google.com/spreadsheets/d/1H1EalTWKUSzO4Z1-1CwzoDUaVffgrThEBe2sl74kKG0/edit?usp=sharing"",""สุพรรณบุรี!N217"")+IMPORTRANGE(""https://docs.google.com/spreadsheets/d/1BmIruG_sIrJLYao_Pdr7zVArWsf"&amp;"oBt2692TMi6x_854/edit?usp=sharing"",""อ่างทอง!N217"")"),8000)</f>
        <v>8000</v>
      </c>
      <c r="O217" s="242"/>
      <c r="P217" s="75"/>
      <c r="Q217" s="76">
        <f ca="1">IFERROR(__xludf.DUMMYFUNCTION("IMPORTRANGE(""https://docs.google.com/spreadsheets/d/13wPX838HrBrQMCywv1BsuMkt4PEKTChp52zj44s2izQ/edit?usp=sharing"",""กาญจนบุรี!Q217"")+IMPORTRANGE(""https://docs.google.com/spreadsheets/d/1ddFKvqj1W1NEiWytbGlB1zMx_ykJDVtmfEQ-6-lIUBA/edit?usp=sharing"","&amp;"""จันทบุรี!Q217"")+IMPORTRANGE(""https://docs.google.com/spreadsheets/d/1T1PQvRODqOBZk8BRht_U031fIS1beLA0Ub2CEytj2q0/edit?usp=sharing"",""ฉะเชิงเทรา!Q217"")+IMPORTRANGE(""https://docs.google.com/spreadsheets/d/11tr1B-Bhyr79v2bkwVh5h_fR-PStkgjlZtkrZpYurG0/"&amp;"edit?usp=sharing"",""ชลบุรี!Q217"")+IMPORTRANGE(""https://docs.google.com/spreadsheets/d/1hh-FVnSX0vozXhGluamEcS54Dw9_zqW0N7qJUWgJ0Sw/edit?usp=sharing"",""ชัยนาท!Q217"")+IMPORTRANGE(""https://docs.google.com/spreadsheets/d/1jkqa6GXxSacMcY1eN8AHjMNJ_7dDXMJ"&amp;"VRLDlaFSOdPM/edit?usp=sharing"",""ตราด!Q217"")+IMPORTRANGE(""https://docs.google.com/spreadsheets/d/18hSgUJ3VwClqi_qtULmmW3cLr0oe3OKaSYoKzdpTsYQ/edit?usp=sharing"",""นครนายก!Q217"")+IMPORTRANGE(""https://docs.google.com/spreadsheets/d/1YTZo6WM2dQ6Ix6FSdnL"&amp;"5P7uVnVKu40sxZu975tgG10E/edit?usp=sharing"",""นครปฐม!Q217"")+IMPORTRANGE(""https://docs.google.com/spreadsheets/d/1OYoGg4WDg5RIzwGeB10padOxJF9E_Vljuvvct_M7RDo/edit?usp=sharing"",""ปทุมธานี!Q217"")+IMPORTRANGE(""https://docs.google.com/spreadsheets/d/1GbCI"&amp;"E4D4wk9FUozzqk7SxfDMxDVBwVmI5zcaVUSzKAc/edit?usp=sharing"",""ประจวบคีรีขันธ์!Q217"")+IMPORTRANGE(""https://docs.google.com/spreadsheets/d/1vVf6wykvW_lAyu7Yo9L4hUTqHqIeP_qcVuxCtosJEbg/edit?usp=sharing"",""ปราจีนบุรี!Q217"")+IMPORTRANGE(""https://docs.googl"&amp;"e.com/spreadsheets/d/1BIDqLLg5jk3v59G8NlR8rk5xfQDKne0sAvZHSj7TI6I/edit?usp=sharing"",""พระนครศรีอยุธยา!Q217"")+IMPORTRANGE(""https://docs.google.com/spreadsheets/d/1YXvxf8Yu6_rV4hTBrwMqAcAnv6DfhUxh5emyM3CJp_w/edit?usp=sharing"",""เพชรบุรี!Q217"")+IMPORTRA"&amp;"NGE(""https://docs.google.com/spreadsheets/d/19KBlQQs7uwvsao6t2n-KvW3Ax8J8uRRfZPq1zPbXgKc/edit?usp=sharing"",""ระยอง!Q217"")+IMPORTRANGE(""https://docs.google.com/spreadsheets/d/1jQ6P4QcrGM89YfqcC_PxOHGCMq5ezhucwJd8ci-NHng/edit?usp=sharing"",""ราชบุรี!Q21"&amp;"7"")+IMPORTRANGE(""https://docs.google.com/spreadsheets/d/1lufeA2cfFqM-elVq2hznhDzC6Pr7wkJ9ZG_sYNGCMCU/edit?usp=sharing"",""ลพบุรี!Q217"")+IMPORTRANGE(""https://docs.google.com/spreadsheets/d/10oOiF7loTyfsTkbd4MpaIm0HQ9SwB7IYHdIUvt-U1Uc/edit?usp=sharing"""&amp;",""สระแก้ว!Q217"")+IMPORTRANGE(""https://docs.google.com/spreadsheets/d/1xmPlrr1QbdSIKvl1dWUl9K4PjAfSL9oeMr_37QVzcxc/edit?usp=sharing"",""สระบุรี!Q217"")+IMPORTRANGE(""https://docs.google.com/spreadsheets/d/1j51vR6CYVGhABJpv6tkstgok82RLpXieLzW1yOY5rHw/edi"&amp;"t?usp=sharing"",""สิงห์บุรี!Q217"")+IMPORTRANGE(""https://docs.google.com/spreadsheets/d/1H1EalTWKUSzO4Z1-1CwzoDUaVffgrThEBe2sl74kKG0/edit?usp=sharing"",""สุพรรณบุรี!Q217"")+IMPORTRANGE(""https://docs.google.com/spreadsheets/d/1BmIruG_sIrJLYao_Pdr7zVArWsf"&amp;"oBt2692TMi6x_854/edit?usp=sharing"",""อ่างทอง!Q217"")"),836900)</f>
        <v>836900</v>
      </c>
      <c r="R217" s="90"/>
      <c r="S217" s="391">
        <f ca="1">IFERROR(__xludf.DUMMYFUNCTION("IMPORTRANGE(""https://docs.google.com/spreadsheets/d/13wPX838HrBrQMCywv1BsuMkt4PEKTChp52zj44s2izQ/edit?usp=sharing"",""กาญจนบุรี!S217"")+IMPORTRANGE(""https://docs.google.com/spreadsheets/d/1ddFKvqj1W1NEiWytbGlB1zMx_ykJDVtmfEQ-6-lIUBA/edit?usp=sharing"","&amp;"""จันทบุรี!S217"")+IMPORTRANGE(""https://docs.google.com/spreadsheets/d/1T1PQvRODqOBZk8BRht_U031fIS1beLA0Ub2CEytj2q0/edit?usp=sharing"",""ฉะเชิงเทรา!S217"")+IMPORTRANGE(""https://docs.google.com/spreadsheets/d/11tr1B-Bhyr79v2bkwVh5h_fR-PStkgjlZtkrZpYurG0/"&amp;"edit?usp=sharing"",""ชลบุรี!S217"")+IMPORTRANGE(""https://docs.google.com/spreadsheets/d/1hh-FVnSX0vozXhGluamEcS54Dw9_zqW0N7qJUWgJ0Sw/edit?usp=sharing"",""ชัยนาท!S217"")+IMPORTRANGE(""https://docs.google.com/spreadsheets/d/1jkqa6GXxSacMcY1eN8AHjMNJ_7dDXMJ"&amp;"VRLDlaFSOdPM/edit?usp=sharing"",""ตราด!S217"")+IMPORTRANGE(""https://docs.google.com/spreadsheets/d/18hSgUJ3VwClqi_qtULmmW3cLr0oe3OKaSYoKzdpTsYQ/edit?usp=sharing"",""นครนายก!S217"")+IMPORTRANGE(""https://docs.google.com/spreadsheets/d/1YTZo6WM2dQ6Ix6FSdnL"&amp;"5P7uVnVKu40sxZu975tgG10E/edit?usp=sharing"",""นครปฐม!S217"")+IMPORTRANGE(""https://docs.google.com/spreadsheets/d/1OYoGg4WDg5RIzwGeB10padOxJF9E_Vljuvvct_M7RDo/edit?usp=sharing"",""ปทุมธานี!S217"")+IMPORTRANGE(""https://docs.google.com/spreadsheets/d/1GbCI"&amp;"E4D4wk9FUozzqk7SxfDMxDVBwVmI5zcaVUSzKAc/edit?usp=sharing"",""ประจวบคีรีขันธ์!S217"")+IMPORTRANGE(""https://docs.google.com/spreadsheets/d/1vVf6wykvW_lAyu7Yo9L4hUTqHqIeP_qcVuxCtosJEbg/edit?usp=sharing"",""ปราจีนบุรี!S217"")+IMPORTRANGE(""https://docs.googl"&amp;"e.com/spreadsheets/d/1BIDqLLg5jk3v59G8NlR8rk5xfQDKne0sAvZHSj7TI6I/edit?usp=sharing"",""พระนครศรีอยุธยา!S217"")+IMPORTRANGE(""https://docs.google.com/spreadsheets/d/1YXvxf8Yu6_rV4hTBrwMqAcAnv6DfhUxh5emyM3CJp_w/edit?usp=sharing"",""เพชรบุรี!S217"")+IMPORTRA"&amp;"NGE(""https://docs.google.com/spreadsheets/d/19KBlQQs7uwvsao6t2n-KvW3Ax8J8uRRfZPq1zPbXgKc/edit?usp=sharing"",""ระยอง!S217"")+IMPORTRANGE(""https://docs.google.com/spreadsheets/d/1jQ6P4QcrGM89YfqcC_PxOHGCMq5ezhucwJd8ci-NHng/edit?usp=sharing"",""ราชบุรี!S21"&amp;"7"")+IMPORTRANGE(""https://docs.google.com/spreadsheets/d/1lufeA2cfFqM-elVq2hznhDzC6Pr7wkJ9ZG_sYNGCMCU/edit?usp=sharing"",""ลพบุรี!S217"")+IMPORTRANGE(""https://docs.google.com/spreadsheets/d/10oOiF7loTyfsTkbd4MpaIm0HQ9SwB7IYHdIUvt-U1Uc/edit?usp=sharing"""&amp;",""สระแก้ว!S217"")+IMPORTRANGE(""https://docs.google.com/spreadsheets/d/1xmPlrr1QbdSIKvl1dWUl9K4PjAfSL9oeMr_37QVzcxc/edit?usp=sharing"",""สระบุรี!S217"")+IMPORTRANGE(""https://docs.google.com/spreadsheets/d/1j51vR6CYVGhABJpv6tkstgok82RLpXieLzW1yOY5rHw/edi"&amp;"t?usp=sharing"",""สิงห์บุรี!S217"")+IMPORTRANGE(""https://docs.google.com/spreadsheets/d/1H1EalTWKUSzO4Z1-1CwzoDUaVffgrThEBe2sl74kKG0/edit?usp=sharing"",""สุพรรณบุรี!S217"")+IMPORTRANGE(""https://docs.google.com/spreadsheets/d/1BmIruG_sIrJLYao_Pdr7zVArWsf"&amp;"oBt2692TMi6x_854/edit?usp=sharing"",""อ่างทอง!S217"")"),175580)</f>
        <v>175580</v>
      </c>
      <c r="T217" s="231"/>
      <c r="U217" s="90"/>
    </row>
    <row r="218" spans="1:21" ht="19.5" x14ac:dyDescent="0.3">
      <c r="A218" s="224"/>
      <c r="B218" s="225"/>
      <c r="C218" s="394" t="s">
        <v>18</v>
      </c>
      <c r="D218" s="226" t="s">
        <v>38</v>
      </c>
      <c r="E218" s="227"/>
      <c r="F218" s="227"/>
      <c r="G218" s="228"/>
      <c r="H218" s="229"/>
      <c r="I218" s="221"/>
      <c r="J218" s="74"/>
      <c r="K218" s="75"/>
      <c r="L218" s="75"/>
      <c r="M218" s="75"/>
      <c r="N218" s="75"/>
      <c r="O218" s="222"/>
      <c r="P218" s="222"/>
      <c r="Q218" s="89"/>
      <c r="R218" s="90"/>
      <c r="S218" s="90"/>
      <c r="T218" s="231"/>
      <c r="U218" s="231"/>
    </row>
    <row r="219" spans="1:21" ht="18.75" x14ac:dyDescent="0.25">
      <c r="A219" s="224"/>
      <c r="B219" s="225"/>
      <c r="C219" s="225"/>
      <c r="D219" s="232" t="s">
        <v>96</v>
      </c>
      <c r="E219" s="233"/>
      <c r="F219" s="233"/>
      <c r="G219" s="229"/>
      <c r="H219" s="392" t="s">
        <v>85</v>
      </c>
      <c r="I219" s="241">
        <f ca="1">IFERROR(__xludf.DUMMYFUNCTION("IMPORTRANGE(""https://docs.google.com/spreadsheets/d/13wPX838HrBrQMCywv1BsuMkt4PEKTChp52zj44s2izQ/edit?usp=sharing"",""กาญจนบุรี!I219"")+IMPORTRANGE(""https://docs.google.com/spreadsheets/d/1ddFKvqj1W1NEiWytbGlB1zMx_ykJDVtmfEQ-6-lIUBA/edit?usp=sharing"","&amp;"""จันทบุรี!I219"")+IMPORTRANGE(""https://docs.google.com/spreadsheets/d/1T1PQvRODqOBZk8BRht_U031fIS1beLA0Ub2CEytj2q0/edit?usp=sharing"",""ฉะเชิงเทรา!I219"")+IMPORTRANGE(""https://docs.google.com/spreadsheets/d/11tr1B-Bhyr79v2bkwVh5h_fR-PStkgjlZtkrZpYurG0/"&amp;"edit?usp=sharing"",""ชลบุรี!I219"")+IMPORTRANGE(""https://docs.google.com/spreadsheets/d/1hh-FVnSX0vozXhGluamEcS54Dw9_zqW0N7qJUWgJ0Sw/edit?usp=sharing"",""ชัยนาท!I219"")+IMPORTRANGE(""https://docs.google.com/spreadsheets/d/1jkqa6GXxSacMcY1eN8AHjMNJ_7dDXMJ"&amp;"VRLDlaFSOdPM/edit?usp=sharing"",""ตราด!I219"")+IMPORTRANGE(""https://docs.google.com/spreadsheets/d/18hSgUJ3VwClqi_qtULmmW3cLr0oe3OKaSYoKzdpTsYQ/edit?usp=sharing"",""นครนายก!I219"")+IMPORTRANGE(""https://docs.google.com/spreadsheets/d/1YTZo6WM2dQ6Ix6FSdnL"&amp;"5P7uVnVKu40sxZu975tgG10E/edit?usp=sharing"",""นครปฐม!I219"")+IMPORTRANGE(""https://docs.google.com/spreadsheets/d/1OYoGg4WDg5RIzwGeB10padOxJF9E_Vljuvvct_M7RDo/edit?usp=sharing"",""ปทุมธานี!I219"")+IMPORTRANGE(""https://docs.google.com/spreadsheets/d/1GbCI"&amp;"E4D4wk9FUozzqk7SxfDMxDVBwVmI5zcaVUSzKAc/edit?usp=sharing"",""ประจวบคีรีขันธ์!I219"")+IMPORTRANGE(""https://docs.google.com/spreadsheets/d/1vVf6wykvW_lAyu7Yo9L4hUTqHqIeP_qcVuxCtosJEbg/edit?usp=sharing"",""ปราจีนบุรี!I219"")+IMPORTRANGE(""https://docs.googl"&amp;"e.com/spreadsheets/d/1BIDqLLg5jk3v59G8NlR8rk5xfQDKne0sAvZHSj7TI6I/edit?usp=sharing"",""พระนครศรีอยุธยา!I219"")+IMPORTRANGE(""https://docs.google.com/spreadsheets/d/1YXvxf8Yu6_rV4hTBrwMqAcAnv6DfhUxh5emyM3CJp_w/edit?usp=sharing"",""เพชรบุรี!I219"")+IMPORTRA"&amp;"NGE(""https://docs.google.com/spreadsheets/d/19KBlQQs7uwvsao6t2n-KvW3Ax8J8uRRfZPq1zPbXgKc/edit?usp=sharing"",""ระยอง!I219"")+IMPORTRANGE(""https://docs.google.com/spreadsheets/d/1jQ6P4QcrGM89YfqcC_PxOHGCMq5ezhucwJd8ci-NHng/edit?usp=sharing"",""ราชบุรี!I21"&amp;"9"")+IMPORTRANGE(""https://docs.google.com/spreadsheets/d/1lufeA2cfFqM-elVq2hznhDzC6Pr7wkJ9ZG_sYNGCMCU/edit?usp=sharing"",""ลพบุรี!I219"")+IMPORTRANGE(""https://docs.google.com/spreadsheets/d/10oOiF7loTyfsTkbd4MpaIm0HQ9SwB7IYHdIUvt-U1Uc/edit?usp=sharing"""&amp;",""สระแก้ว!I219"")+IMPORTRANGE(""https://docs.google.com/spreadsheets/d/1xmPlrr1QbdSIKvl1dWUl9K4PjAfSL9oeMr_37QVzcxc/edit?usp=sharing"",""สระบุรี!I219"")+IMPORTRANGE(""https://docs.google.com/spreadsheets/d/1j51vR6CYVGhABJpv6tkstgok82RLpXieLzW1yOY5rHw/edi"&amp;"t?usp=sharing"",""สิงห์บุรี!I219"")+IMPORTRANGE(""https://docs.google.com/spreadsheets/d/1H1EalTWKUSzO4Z1-1CwzoDUaVffgrThEBe2sl74kKG0/edit?usp=sharing"",""สุพรรณบุรี!I219"")+IMPORTRANGE(""https://docs.google.com/spreadsheets/d/1BmIruG_sIrJLYao_Pdr7zVArWsf"&amp;"oBt2692TMi6x_854/edit?usp=sharing"",""อ่างทอง!I219"")"),17)</f>
        <v>17</v>
      </c>
      <c r="J219" s="241">
        <f ca="1">IFERROR(__xludf.DUMMYFUNCTION("IMPORTRANGE(""https://docs.google.com/spreadsheets/d/13wPX838HrBrQMCywv1BsuMkt4PEKTChp52zj44s2izQ/edit?usp=sharing"",""กาญจนบุรี!J219"")+IMPORTRANGE(""https://docs.google.com/spreadsheets/d/1ddFKvqj1W1NEiWytbGlB1zMx_ykJDVtmfEQ-6-lIUBA/edit?usp=sharing"","&amp;"""จันทบุรี!J219"")+IMPORTRANGE(""https://docs.google.com/spreadsheets/d/1T1PQvRODqOBZk8BRht_U031fIS1beLA0Ub2CEytj2q0/edit?usp=sharing"",""ฉะเชิงเทรา!J219"")+IMPORTRANGE(""https://docs.google.com/spreadsheets/d/11tr1B-Bhyr79v2bkwVh5h_fR-PStkgjlZtkrZpYurG0/"&amp;"edit?usp=sharing"",""ชลบุรี!J219"")+IMPORTRANGE(""https://docs.google.com/spreadsheets/d/1hh-FVnSX0vozXhGluamEcS54Dw9_zqW0N7qJUWgJ0Sw/edit?usp=sharing"",""ชัยนาท!J219"")+IMPORTRANGE(""https://docs.google.com/spreadsheets/d/1jkqa6GXxSacMcY1eN8AHjMNJ_7dDXMJ"&amp;"VRLDlaFSOdPM/edit?usp=sharing"",""ตราด!J219"")+IMPORTRANGE(""https://docs.google.com/spreadsheets/d/18hSgUJ3VwClqi_qtULmmW3cLr0oe3OKaSYoKzdpTsYQ/edit?usp=sharing"",""นครนายก!J219"")+IMPORTRANGE(""https://docs.google.com/spreadsheets/d/1YTZo6WM2dQ6Ix6FSdnL"&amp;"5P7uVnVKu40sxZu975tgG10E/edit?usp=sharing"",""นครปฐม!J219"")+IMPORTRANGE(""https://docs.google.com/spreadsheets/d/1OYoGg4WDg5RIzwGeB10padOxJF9E_Vljuvvct_M7RDo/edit?usp=sharing"",""ปทุมธานี!J219"")+IMPORTRANGE(""https://docs.google.com/spreadsheets/d/1GbCI"&amp;"E4D4wk9FUozzqk7SxfDMxDVBwVmI5zcaVUSzKAc/edit?usp=sharing"",""ประจวบคีรีขันธ์!J219"")+IMPORTRANGE(""https://docs.google.com/spreadsheets/d/1vVf6wykvW_lAyu7Yo9L4hUTqHqIeP_qcVuxCtosJEbg/edit?usp=sharing"",""ปราจีนบุรี!J219"")+IMPORTRANGE(""https://docs.googl"&amp;"e.com/spreadsheets/d/1BIDqLLg5jk3v59G8NlR8rk5xfQDKne0sAvZHSj7TI6I/edit?usp=sharing"",""พระนครศรีอยุธยา!J219"")+IMPORTRANGE(""https://docs.google.com/spreadsheets/d/1YXvxf8Yu6_rV4hTBrwMqAcAnv6DfhUxh5emyM3CJp_w/edit?usp=sharing"",""เพชรบุรี!J219"")+IMPORTRA"&amp;"NGE(""https://docs.google.com/spreadsheets/d/19KBlQQs7uwvsao6t2n-KvW3Ax8J8uRRfZPq1zPbXgKc/edit?usp=sharing"",""ระยอง!J219"")+IMPORTRANGE(""https://docs.google.com/spreadsheets/d/1jQ6P4QcrGM89YfqcC_PxOHGCMq5ezhucwJd8ci-NHng/edit?usp=sharing"",""ราชบุรี!J21"&amp;"9"")+IMPORTRANGE(""https://docs.google.com/spreadsheets/d/1lufeA2cfFqM-elVq2hznhDzC6Pr7wkJ9ZG_sYNGCMCU/edit?usp=sharing"",""ลพบุรี!J219"")+IMPORTRANGE(""https://docs.google.com/spreadsheets/d/10oOiF7loTyfsTkbd4MpaIm0HQ9SwB7IYHdIUvt-U1Uc/edit?usp=sharing"""&amp;",""สระแก้ว!J219"")+IMPORTRANGE(""https://docs.google.com/spreadsheets/d/1xmPlrr1QbdSIKvl1dWUl9K4PjAfSL9oeMr_37QVzcxc/edit?usp=sharing"",""สระบุรี!J219"")+IMPORTRANGE(""https://docs.google.com/spreadsheets/d/1j51vR6CYVGhABJpv6tkstgok82RLpXieLzW1yOY5rHw/edi"&amp;"t?usp=sharing"",""สิงห์บุรี!J219"")+IMPORTRANGE(""https://docs.google.com/spreadsheets/d/1H1EalTWKUSzO4Z1-1CwzoDUaVffgrThEBe2sl74kKG0/edit?usp=sharing"",""สุพรรณบุรี!J219"")+IMPORTRANGE(""https://docs.google.com/spreadsheets/d/1BmIruG_sIrJLYao_Pdr7zVArWsf"&amp;"oBt2692TMi6x_854/edit?usp=sharing"",""อ่างทอง!J219"")"),0)</f>
        <v>0</v>
      </c>
      <c r="K219" s="91">
        <f t="shared" ref="K219:K221" ca="1" si="175">IF(I219&gt;0,J219*100/I219,0)</f>
        <v>0</v>
      </c>
      <c r="L219" s="75"/>
      <c r="M219" s="75"/>
      <c r="N219" s="75"/>
      <c r="O219" s="75"/>
      <c r="P219" s="75"/>
      <c r="Q219" s="89"/>
      <c r="R219" s="90"/>
      <c r="S219" s="90"/>
      <c r="T219" s="90"/>
      <c r="U219" s="90"/>
    </row>
    <row r="220" spans="1:21" ht="18.75" x14ac:dyDescent="0.25">
      <c r="A220" s="224"/>
      <c r="B220" s="225"/>
      <c r="C220" s="225"/>
      <c r="D220" s="232" t="s">
        <v>97</v>
      </c>
      <c r="E220" s="233"/>
      <c r="F220" s="233"/>
      <c r="G220" s="229"/>
      <c r="H220" s="392" t="s">
        <v>85</v>
      </c>
      <c r="I220" s="241">
        <f ca="1">IFERROR(__xludf.DUMMYFUNCTION("IMPORTRANGE(""https://docs.google.com/spreadsheets/d/13wPX838HrBrQMCywv1BsuMkt4PEKTChp52zj44s2izQ/edit?usp=sharing"",""กาญจนบุรี!I220"")+IMPORTRANGE(""https://docs.google.com/spreadsheets/d/1ddFKvqj1W1NEiWytbGlB1zMx_ykJDVtmfEQ-6-lIUBA/edit?usp=sharing"","&amp;"""จันทบุรี!I220"")+IMPORTRANGE(""https://docs.google.com/spreadsheets/d/1T1PQvRODqOBZk8BRht_U031fIS1beLA0Ub2CEytj2q0/edit?usp=sharing"",""ฉะเชิงเทรา!I220"")+IMPORTRANGE(""https://docs.google.com/spreadsheets/d/11tr1B-Bhyr79v2bkwVh5h_fR-PStkgjlZtkrZpYurG0/"&amp;"edit?usp=sharing"",""ชลบุรี!I220"")+IMPORTRANGE(""https://docs.google.com/spreadsheets/d/1hh-FVnSX0vozXhGluamEcS54Dw9_zqW0N7qJUWgJ0Sw/edit?usp=sharing"",""ชัยนาท!I220"")+IMPORTRANGE(""https://docs.google.com/spreadsheets/d/1jkqa6GXxSacMcY1eN8AHjMNJ_7dDXMJ"&amp;"VRLDlaFSOdPM/edit?usp=sharing"",""ตราด!I220"")+IMPORTRANGE(""https://docs.google.com/spreadsheets/d/18hSgUJ3VwClqi_qtULmmW3cLr0oe3OKaSYoKzdpTsYQ/edit?usp=sharing"",""นครนายก!I220"")+IMPORTRANGE(""https://docs.google.com/spreadsheets/d/1YTZo6WM2dQ6Ix6FSdnL"&amp;"5P7uVnVKu40sxZu975tgG10E/edit?usp=sharing"",""นครปฐม!I220"")+IMPORTRANGE(""https://docs.google.com/spreadsheets/d/1OYoGg4WDg5RIzwGeB10padOxJF9E_Vljuvvct_M7RDo/edit?usp=sharing"",""ปทุมธานี!I220"")+IMPORTRANGE(""https://docs.google.com/spreadsheets/d/1GbCI"&amp;"E4D4wk9FUozzqk7SxfDMxDVBwVmI5zcaVUSzKAc/edit?usp=sharing"",""ประจวบคีรีขันธ์!I220"")+IMPORTRANGE(""https://docs.google.com/spreadsheets/d/1vVf6wykvW_lAyu7Yo9L4hUTqHqIeP_qcVuxCtosJEbg/edit?usp=sharing"",""ปราจีนบุรี!I220"")+IMPORTRANGE(""https://docs.googl"&amp;"e.com/spreadsheets/d/1BIDqLLg5jk3v59G8NlR8rk5xfQDKne0sAvZHSj7TI6I/edit?usp=sharing"",""พระนครศรีอยุธยา!I220"")+IMPORTRANGE(""https://docs.google.com/spreadsheets/d/1YXvxf8Yu6_rV4hTBrwMqAcAnv6DfhUxh5emyM3CJp_w/edit?usp=sharing"",""เพชรบุรี!I220"")+IMPORTRA"&amp;"NGE(""https://docs.google.com/spreadsheets/d/19KBlQQs7uwvsao6t2n-KvW3Ax8J8uRRfZPq1zPbXgKc/edit?usp=sharing"",""ระยอง!I220"")+IMPORTRANGE(""https://docs.google.com/spreadsheets/d/1jQ6P4QcrGM89YfqcC_PxOHGCMq5ezhucwJd8ci-NHng/edit?usp=sharing"",""ราชบุรี!I22"&amp;"0"")+IMPORTRANGE(""https://docs.google.com/spreadsheets/d/1lufeA2cfFqM-elVq2hznhDzC6Pr7wkJ9ZG_sYNGCMCU/edit?usp=sharing"",""ลพบุรี!I220"")+IMPORTRANGE(""https://docs.google.com/spreadsheets/d/10oOiF7loTyfsTkbd4MpaIm0HQ9SwB7IYHdIUvt-U1Uc/edit?usp=sharing"""&amp;",""สระแก้ว!I220"")+IMPORTRANGE(""https://docs.google.com/spreadsheets/d/1xmPlrr1QbdSIKvl1dWUl9K4PjAfSL9oeMr_37QVzcxc/edit?usp=sharing"",""สระบุรี!I220"")+IMPORTRANGE(""https://docs.google.com/spreadsheets/d/1j51vR6CYVGhABJpv6tkstgok82RLpXieLzW1yOY5rHw/edi"&amp;"t?usp=sharing"",""สิงห์บุรี!I220"")+IMPORTRANGE(""https://docs.google.com/spreadsheets/d/1H1EalTWKUSzO4Z1-1CwzoDUaVffgrThEBe2sl74kKG0/edit?usp=sharing"",""สุพรรณบุรี!I220"")+IMPORTRANGE(""https://docs.google.com/spreadsheets/d/1BmIruG_sIrJLYao_Pdr7zVArWsf"&amp;"oBt2692TMi6x_854/edit?usp=sharing"",""อ่างทอง!I220"")"),17)</f>
        <v>17</v>
      </c>
      <c r="J220" s="241">
        <f ca="1">IFERROR(__xludf.DUMMYFUNCTION("IMPORTRANGE(""https://docs.google.com/spreadsheets/d/13wPX838HrBrQMCywv1BsuMkt4PEKTChp52zj44s2izQ/edit?usp=sharing"",""กาญจนบุรี!J220"")+IMPORTRANGE(""https://docs.google.com/spreadsheets/d/1ddFKvqj1W1NEiWytbGlB1zMx_ykJDVtmfEQ-6-lIUBA/edit?usp=sharing"","&amp;"""จันทบุรี!J220"")+IMPORTRANGE(""https://docs.google.com/spreadsheets/d/1T1PQvRODqOBZk8BRht_U031fIS1beLA0Ub2CEytj2q0/edit?usp=sharing"",""ฉะเชิงเทรา!J220"")+IMPORTRANGE(""https://docs.google.com/spreadsheets/d/11tr1B-Bhyr79v2bkwVh5h_fR-PStkgjlZtkrZpYurG0/"&amp;"edit?usp=sharing"",""ชลบุรี!J220"")+IMPORTRANGE(""https://docs.google.com/spreadsheets/d/1hh-FVnSX0vozXhGluamEcS54Dw9_zqW0N7qJUWgJ0Sw/edit?usp=sharing"",""ชัยนาท!J220"")+IMPORTRANGE(""https://docs.google.com/spreadsheets/d/1jkqa6GXxSacMcY1eN8AHjMNJ_7dDXMJ"&amp;"VRLDlaFSOdPM/edit?usp=sharing"",""ตราด!J220"")+IMPORTRANGE(""https://docs.google.com/spreadsheets/d/18hSgUJ3VwClqi_qtULmmW3cLr0oe3OKaSYoKzdpTsYQ/edit?usp=sharing"",""นครนายก!J220"")+IMPORTRANGE(""https://docs.google.com/spreadsheets/d/1YTZo6WM2dQ6Ix6FSdnL"&amp;"5P7uVnVKu40sxZu975tgG10E/edit?usp=sharing"",""นครปฐม!J220"")+IMPORTRANGE(""https://docs.google.com/spreadsheets/d/1OYoGg4WDg5RIzwGeB10padOxJF9E_Vljuvvct_M7RDo/edit?usp=sharing"",""ปทุมธานี!J220"")+IMPORTRANGE(""https://docs.google.com/spreadsheets/d/1GbCI"&amp;"E4D4wk9FUozzqk7SxfDMxDVBwVmI5zcaVUSzKAc/edit?usp=sharing"",""ประจวบคีรีขันธ์!J220"")+IMPORTRANGE(""https://docs.google.com/spreadsheets/d/1vVf6wykvW_lAyu7Yo9L4hUTqHqIeP_qcVuxCtosJEbg/edit?usp=sharing"",""ปราจีนบุรี!J220"")+IMPORTRANGE(""https://docs.googl"&amp;"e.com/spreadsheets/d/1BIDqLLg5jk3v59G8NlR8rk5xfQDKne0sAvZHSj7TI6I/edit?usp=sharing"",""พระนครศรีอยุธยา!J220"")+IMPORTRANGE(""https://docs.google.com/spreadsheets/d/1YXvxf8Yu6_rV4hTBrwMqAcAnv6DfhUxh5emyM3CJp_w/edit?usp=sharing"",""เพชรบุรี!J220"")+IMPORTRA"&amp;"NGE(""https://docs.google.com/spreadsheets/d/19KBlQQs7uwvsao6t2n-KvW3Ax8J8uRRfZPq1zPbXgKc/edit?usp=sharing"",""ระยอง!J220"")+IMPORTRANGE(""https://docs.google.com/spreadsheets/d/1jQ6P4QcrGM89YfqcC_PxOHGCMq5ezhucwJd8ci-NHng/edit?usp=sharing"",""ราชบุรี!J22"&amp;"0"")+IMPORTRANGE(""https://docs.google.com/spreadsheets/d/1lufeA2cfFqM-elVq2hznhDzC6Pr7wkJ9ZG_sYNGCMCU/edit?usp=sharing"",""ลพบุรี!J220"")+IMPORTRANGE(""https://docs.google.com/spreadsheets/d/10oOiF7loTyfsTkbd4MpaIm0HQ9SwB7IYHdIUvt-U1Uc/edit?usp=sharing"""&amp;",""สระแก้ว!J220"")+IMPORTRANGE(""https://docs.google.com/spreadsheets/d/1xmPlrr1QbdSIKvl1dWUl9K4PjAfSL9oeMr_37QVzcxc/edit?usp=sharing"",""สระบุรี!J220"")+IMPORTRANGE(""https://docs.google.com/spreadsheets/d/1j51vR6CYVGhABJpv6tkstgok82RLpXieLzW1yOY5rHw/edi"&amp;"t?usp=sharing"",""สิงห์บุรี!J220"")+IMPORTRANGE(""https://docs.google.com/spreadsheets/d/1H1EalTWKUSzO4Z1-1CwzoDUaVffgrThEBe2sl74kKG0/edit?usp=sharing"",""สุพรรณบุรี!J220"")+IMPORTRANGE(""https://docs.google.com/spreadsheets/d/1BmIruG_sIrJLYao_Pdr7zVArWsf"&amp;"oBt2692TMi6x_854/edit?usp=sharing"",""อ่างทอง!J220"")"),7)</f>
        <v>7</v>
      </c>
      <c r="K220" s="91">
        <f t="shared" ca="1" si="175"/>
        <v>41.176470588235297</v>
      </c>
      <c r="L220" s="75"/>
      <c r="M220" s="75"/>
      <c r="N220" s="75"/>
      <c r="O220" s="75"/>
      <c r="P220" s="75"/>
      <c r="Q220" s="89"/>
      <c r="R220" s="90"/>
      <c r="S220" s="90"/>
      <c r="T220" s="90"/>
      <c r="U220" s="90"/>
    </row>
    <row r="221" spans="1:21" ht="19.5" x14ac:dyDescent="0.3">
      <c r="A221" s="372"/>
      <c r="B221" s="373"/>
      <c r="C221" s="374" t="s">
        <v>98</v>
      </c>
      <c r="D221" s="375"/>
      <c r="E221" s="375"/>
      <c r="F221" s="375"/>
      <c r="G221" s="376"/>
      <c r="H221" s="377" t="s">
        <v>99</v>
      </c>
      <c r="I221" s="378">
        <f t="shared" ref="I221:J221" ca="1" si="176">I229</f>
        <v>482200</v>
      </c>
      <c r="J221" s="378">
        <f t="shared" ca="1" si="176"/>
        <v>0</v>
      </c>
      <c r="K221" s="379">
        <f t="shared" ca="1" si="175"/>
        <v>0</v>
      </c>
      <c r="L221" s="380"/>
      <c r="M221" s="380"/>
      <c r="N221" s="380"/>
      <c r="O221" s="380"/>
      <c r="P221" s="380"/>
      <c r="Q221" s="381"/>
      <c r="R221" s="382"/>
      <c r="S221" s="382"/>
      <c r="T221" s="382"/>
      <c r="U221" s="382"/>
    </row>
    <row r="222" spans="1:21" ht="19.5" x14ac:dyDescent="0.3">
      <c r="A222" s="211"/>
      <c r="B222" s="70"/>
      <c r="C222" s="212" t="s">
        <v>18</v>
      </c>
      <c r="D222" s="383" t="s">
        <v>19</v>
      </c>
      <c r="E222" s="70"/>
      <c r="F222" s="70"/>
      <c r="G222" s="72"/>
      <c r="H222" s="384" t="s">
        <v>14</v>
      </c>
      <c r="I222" s="221"/>
      <c r="J222" s="221"/>
      <c r="K222" s="222"/>
      <c r="L222" s="215">
        <f ca="1">L223+L224+L225</f>
        <v>112500</v>
      </c>
      <c r="M222" s="75"/>
      <c r="N222" s="215">
        <f ca="1">N223+N224+N225</f>
        <v>2300</v>
      </c>
      <c r="O222" s="215">
        <f ca="1">IF(L222&gt;0,N222*100/L222,0)</f>
        <v>2.0444444444444443</v>
      </c>
      <c r="P222" s="215"/>
      <c r="Q222" s="89"/>
      <c r="R222" s="90"/>
      <c r="S222" s="90"/>
      <c r="T222" s="90"/>
      <c r="U222" s="90"/>
    </row>
    <row r="223" spans="1:21" ht="18.75" x14ac:dyDescent="0.25">
      <c r="A223" s="211"/>
      <c r="B223" s="371"/>
      <c r="C223" s="70"/>
      <c r="D223" s="78" t="s">
        <v>86</v>
      </c>
      <c r="E223" s="70"/>
      <c r="F223" s="70"/>
      <c r="G223" s="72"/>
      <c r="H223" s="220" t="s">
        <v>14</v>
      </c>
      <c r="I223" s="221"/>
      <c r="J223" s="221"/>
      <c r="K223" s="222"/>
      <c r="L223" s="91">
        <f ca="1">IFERROR(__xludf.DUMMYFUNCTION("IMPORTRANGE(""https://docs.google.com/spreadsheets/d/13wPX838HrBrQMCywv1BsuMkt4PEKTChp52zj44s2izQ/edit?usp=sharing"",""กาญจนบุรี!L223"")+IMPORTRANGE(""https://docs.google.com/spreadsheets/d/1ddFKvqj1W1NEiWytbGlB1zMx_ykJDVtmfEQ-6-lIUBA/edit?usp=sharing"","&amp;"""จันทบุรี!L223"")+IMPORTRANGE(""https://docs.google.com/spreadsheets/d/1T1PQvRODqOBZk8BRht_U031fIS1beLA0Ub2CEytj2q0/edit?usp=sharing"",""ฉะเชิงเทรา!L223"")+IMPORTRANGE(""https://docs.google.com/spreadsheets/d/11tr1B-Bhyr79v2bkwVh5h_fR-PStkgjlZtkrZpYurG0/"&amp;"edit?usp=sharing"",""ชลบุรี!L223"")+IMPORTRANGE(""https://docs.google.com/spreadsheets/d/1hh-FVnSX0vozXhGluamEcS54Dw9_zqW0N7qJUWgJ0Sw/edit?usp=sharing"",""ชัยนาท!L223"")+IMPORTRANGE(""https://docs.google.com/spreadsheets/d/1jkqa6GXxSacMcY1eN8AHjMNJ_7dDXMJ"&amp;"VRLDlaFSOdPM/edit?usp=sharing"",""ตราด!L223"")+IMPORTRANGE(""https://docs.google.com/spreadsheets/d/18hSgUJ3VwClqi_qtULmmW3cLr0oe3OKaSYoKzdpTsYQ/edit?usp=sharing"",""นครนายก!L223"")+IMPORTRANGE(""https://docs.google.com/spreadsheets/d/1YTZo6WM2dQ6Ix6FSdnL"&amp;"5P7uVnVKu40sxZu975tgG10E/edit?usp=sharing"",""นครปฐม!L223"")+IMPORTRANGE(""https://docs.google.com/spreadsheets/d/1OYoGg4WDg5RIzwGeB10padOxJF9E_Vljuvvct_M7RDo/edit?usp=sharing"",""ปทุมธานี!L223"")+IMPORTRANGE(""https://docs.google.com/spreadsheets/d/1GbCI"&amp;"E4D4wk9FUozzqk7SxfDMxDVBwVmI5zcaVUSzKAc/edit?usp=sharing"",""ประจวบคีรีขันธ์!L223"")+IMPORTRANGE(""https://docs.google.com/spreadsheets/d/1vVf6wykvW_lAyu7Yo9L4hUTqHqIeP_qcVuxCtosJEbg/edit?usp=sharing"",""ปราจีนบุรี!L223"")+IMPORTRANGE(""https://docs.googl"&amp;"e.com/spreadsheets/d/1BIDqLLg5jk3v59G8NlR8rk5xfQDKne0sAvZHSj7TI6I/edit?usp=sharing"",""พระนครศรีอยุธยา!L223"")+IMPORTRANGE(""https://docs.google.com/spreadsheets/d/1YXvxf8Yu6_rV4hTBrwMqAcAnv6DfhUxh5emyM3CJp_w/edit?usp=sharing"",""เพชรบุรี!L223"")+IMPORTRA"&amp;"NGE(""https://docs.google.com/spreadsheets/d/19KBlQQs7uwvsao6t2n-KvW3Ax8J8uRRfZPq1zPbXgKc/edit?usp=sharing"",""ระยอง!L223"")+IMPORTRANGE(""https://docs.google.com/spreadsheets/d/1jQ6P4QcrGM89YfqcC_PxOHGCMq5ezhucwJd8ci-NHng/edit?usp=sharing"",""ราชบุรี!L22"&amp;"3"")+IMPORTRANGE(""https://docs.google.com/spreadsheets/d/1lufeA2cfFqM-elVq2hznhDzC6Pr7wkJ9ZG_sYNGCMCU/edit?usp=sharing"",""ลพบุรี!L223"")+IMPORTRANGE(""https://docs.google.com/spreadsheets/d/10oOiF7loTyfsTkbd4MpaIm0HQ9SwB7IYHdIUvt-U1Uc/edit?usp=sharing"""&amp;",""สระแก้ว!L223"")+IMPORTRANGE(""https://docs.google.com/spreadsheets/d/1xmPlrr1QbdSIKvl1dWUl9K4PjAfSL9oeMr_37QVzcxc/edit?usp=sharing"",""สระบุรี!L223"")+IMPORTRANGE(""https://docs.google.com/spreadsheets/d/1j51vR6CYVGhABJpv6tkstgok82RLpXieLzW1yOY5rHw/edi"&amp;"t?usp=sharing"",""สิงห์บุรี!L223"")+IMPORTRANGE(""https://docs.google.com/spreadsheets/d/1H1EalTWKUSzO4Z1-1CwzoDUaVffgrThEBe2sl74kKG0/edit?usp=sharing"",""สุพรรณบุรี!L223"")+IMPORTRANGE(""https://docs.google.com/spreadsheets/d/1BmIruG_sIrJLYao_Pdr7zVArWsf"&amp;"oBt2692TMi6x_854/edit?usp=sharing"",""อ่างทอง!L223"")"),52500)</f>
        <v>52500</v>
      </c>
      <c r="M223" s="75"/>
      <c r="N223" s="91">
        <f ca="1">IFERROR(__xludf.DUMMYFUNCTION("IMPORTRANGE(""https://docs.google.com/spreadsheets/d/13wPX838HrBrQMCywv1BsuMkt4PEKTChp52zj44s2izQ/edit?usp=sharing"",""กาญจนบุรี!N223"")+IMPORTRANGE(""https://docs.google.com/spreadsheets/d/1ddFKvqj1W1NEiWytbGlB1zMx_ykJDVtmfEQ-6-lIUBA/edit?usp=sharing"","&amp;"""จันทบุรี!N223"")+IMPORTRANGE(""https://docs.google.com/spreadsheets/d/1T1PQvRODqOBZk8BRht_U031fIS1beLA0Ub2CEytj2q0/edit?usp=sharing"",""ฉะเชิงเทรา!N223"")+IMPORTRANGE(""https://docs.google.com/spreadsheets/d/11tr1B-Bhyr79v2bkwVh5h_fR-PStkgjlZtkrZpYurG0/"&amp;"edit?usp=sharing"",""ชลบุรี!N223"")+IMPORTRANGE(""https://docs.google.com/spreadsheets/d/1hh-FVnSX0vozXhGluamEcS54Dw9_zqW0N7qJUWgJ0Sw/edit?usp=sharing"",""ชัยนาท!N223"")+IMPORTRANGE(""https://docs.google.com/spreadsheets/d/1jkqa6GXxSacMcY1eN8AHjMNJ_7dDXMJ"&amp;"VRLDlaFSOdPM/edit?usp=sharing"",""ตราด!N223"")+IMPORTRANGE(""https://docs.google.com/spreadsheets/d/18hSgUJ3VwClqi_qtULmmW3cLr0oe3OKaSYoKzdpTsYQ/edit?usp=sharing"",""นครนายก!N223"")+IMPORTRANGE(""https://docs.google.com/spreadsheets/d/1YTZo6WM2dQ6Ix6FSdnL"&amp;"5P7uVnVKu40sxZu975tgG10E/edit?usp=sharing"",""นครปฐม!N223"")+IMPORTRANGE(""https://docs.google.com/spreadsheets/d/1OYoGg4WDg5RIzwGeB10padOxJF9E_Vljuvvct_M7RDo/edit?usp=sharing"",""ปทุมธานี!N223"")+IMPORTRANGE(""https://docs.google.com/spreadsheets/d/1GbCI"&amp;"E4D4wk9FUozzqk7SxfDMxDVBwVmI5zcaVUSzKAc/edit?usp=sharing"",""ประจวบคีรีขันธ์!N223"")+IMPORTRANGE(""https://docs.google.com/spreadsheets/d/1vVf6wykvW_lAyu7Yo9L4hUTqHqIeP_qcVuxCtosJEbg/edit?usp=sharing"",""ปราจีนบุรี!N223"")+IMPORTRANGE(""https://docs.googl"&amp;"e.com/spreadsheets/d/1BIDqLLg5jk3v59G8NlR8rk5xfQDKne0sAvZHSj7TI6I/edit?usp=sharing"",""พระนครศรีอยุธยา!N223"")+IMPORTRANGE(""https://docs.google.com/spreadsheets/d/1YXvxf8Yu6_rV4hTBrwMqAcAnv6DfhUxh5emyM3CJp_w/edit?usp=sharing"",""เพชรบุรี!N223"")+IMPORTRA"&amp;"NGE(""https://docs.google.com/spreadsheets/d/19KBlQQs7uwvsao6t2n-KvW3Ax8J8uRRfZPq1zPbXgKc/edit?usp=sharing"",""ระยอง!N223"")+IMPORTRANGE(""https://docs.google.com/spreadsheets/d/1jQ6P4QcrGM89YfqcC_PxOHGCMq5ezhucwJd8ci-NHng/edit?usp=sharing"",""ราชบุรี!N22"&amp;"3"")+IMPORTRANGE(""https://docs.google.com/spreadsheets/d/1lufeA2cfFqM-elVq2hznhDzC6Pr7wkJ9ZG_sYNGCMCU/edit?usp=sharing"",""ลพบุรี!N223"")+IMPORTRANGE(""https://docs.google.com/spreadsheets/d/10oOiF7loTyfsTkbd4MpaIm0HQ9SwB7IYHdIUvt-U1Uc/edit?usp=sharing"""&amp;",""สระแก้ว!N223"")+IMPORTRANGE(""https://docs.google.com/spreadsheets/d/1xmPlrr1QbdSIKvl1dWUl9K4PjAfSL9oeMr_37QVzcxc/edit?usp=sharing"",""สระบุรี!N223"")+IMPORTRANGE(""https://docs.google.com/spreadsheets/d/1j51vR6CYVGhABJpv6tkstgok82RLpXieLzW1yOY5rHw/edi"&amp;"t?usp=sharing"",""สิงห์บุรี!N223"")+IMPORTRANGE(""https://docs.google.com/spreadsheets/d/1H1EalTWKUSzO4Z1-1CwzoDUaVffgrThEBe2sl74kKG0/edit?usp=sharing"",""สุพรรณบุรี!N223"")+IMPORTRANGE(""https://docs.google.com/spreadsheets/d/1BmIruG_sIrJLYao_Pdr7zVArWsf"&amp;"oBt2692TMi6x_854/edit?usp=sharing"",""อ่างทอง!N223"")"),1500)</f>
        <v>1500</v>
      </c>
      <c r="O223" s="242"/>
      <c r="P223" s="75"/>
      <c r="Q223" s="89"/>
      <c r="R223" s="90"/>
      <c r="S223" s="90"/>
      <c r="T223" s="231"/>
      <c r="U223" s="90"/>
    </row>
    <row r="224" spans="1:21" ht="18.75" x14ac:dyDescent="0.25">
      <c r="A224" s="368"/>
      <c r="B224" s="371"/>
      <c r="C224" s="371"/>
      <c r="D224" s="78" t="s">
        <v>100</v>
      </c>
      <c r="E224" s="70"/>
      <c r="F224" s="70"/>
      <c r="G224" s="72"/>
      <c r="H224" s="220" t="s">
        <v>14</v>
      </c>
      <c r="I224" s="74"/>
      <c r="J224" s="74"/>
      <c r="K224" s="75"/>
      <c r="L224" s="91">
        <f ca="1">IFERROR(__xludf.DUMMYFUNCTION("IMPORTRANGE(""https://docs.google.com/spreadsheets/d/13wPX838HrBrQMCywv1BsuMkt4PEKTChp52zj44s2izQ/edit?usp=sharing"",""กาญจนบุรี!L224"")+IMPORTRANGE(""https://docs.google.com/spreadsheets/d/1ddFKvqj1W1NEiWytbGlB1zMx_ykJDVtmfEQ-6-lIUBA/edit?usp=sharing"","&amp;"""จันทบุรี!L224"")+IMPORTRANGE(""https://docs.google.com/spreadsheets/d/1T1PQvRODqOBZk8BRht_U031fIS1beLA0Ub2CEytj2q0/edit?usp=sharing"",""ฉะเชิงเทรา!L224"")+IMPORTRANGE(""https://docs.google.com/spreadsheets/d/11tr1B-Bhyr79v2bkwVh5h_fR-PStkgjlZtkrZpYurG0/"&amp;"edit?usp=sharing"",""ชลบุรี!L224"")+IMPORTRANGE(""https://docs.google.com/spreadsheets/d/1hh-FVnSX0vozXhGluamEcS54Dw9_zqW0N7qJUWgJ0Sw/edit?usp=sharing"",""ชัยนาท!L224"")+IMPORTRANGE(""https://docs.google.com/spreadsheets/d/1jkqa6GXxSacMcY1eN8AHjMNJ_7dDXMJ"&amp;"VRLDlaFSOdPM/edit?usp=sharing"",""ตราด!L224"")+IMPORTRANGE(""https://docs.google.com/spreadsheets/d/18hSgUJ3VwClqi_qtULmmW3cLr0oe3OKaSYoKzdpTsYQ/edit?usp=sharing"",""นครนายก!L224"")+IMPORTRANGE(""https://docs.google.com/spreadsheets/d/1YTZo6WM2dQ6Ix6FSdnL"&amp;"5P7uVnVKu40sxZu975tgG10E/edit?usp=sharing"",""นครปฐม!L224"")+IMPORTRANGE(""https://docs.google.com/spreadsheets/d/1OYoGg4WDg5RIzwGeB10padOxJF9E_Vljuvvct_M7RDo/edit?usp=sharing"",""ปทุมธานี!L224"")+IMPORTRANGE(""https://docs.google.com/spreadsheets/d/1GbCI"&amp;"E4D4wk9FUozzqk7SxfDMxDVBwVmI5zcaVUSzKAc/edit?usp=sharing"",""ประจวบคีรีขันธ์!L224"")+IMPORTRANGE(""https://docs.google.com/spreadsheets/d/1vVf6wykvW_lAyu7Yo9L4hUTqHqIeP_qcVuxCtosJEbg/edit?usp=sharing"",""ปราจีนบุรี!L224"")+IMPORTRANGE(""https://docs.googl"&amp;"e.com/spreadsheets/d/1BIDqLLg5jk3v59G8NlR8rk5xfQDKne0sAvZHSj7TI6I/edit?usp=sharing"",""พระนครศรีอยุธยา!L224"")+IMPORTRANGE(""https://docs.google.com/spreadsheets/d/1YXvxf8Yu6_rV4hTBrwMqAcAnv6DfhUxh5emyM3CJp_w/edit?usp=sharing"",""เพชรบุรี!L224"")+IMPORTRA"&amp;"NGE(""https://docs.google.com/spreadsheets/d/19KBlQQs7uwvsao6t2n-KvW3Ax8J8uRRfZPq1zPbXgKc/edit?usp=sharing"",""ระยอง!L224"")+IMPORTRANGE(""https://docs.google.com/spreadsheets/d/1jQ6P4QcrGM89YfqcC_PxOHGCMq5ezhucwJd8ci-NHng/edit?usp=sharing"",""ราชบุรี!L22"&amp;"4"")+IMPORTRANGE(""https://docs.google.com/spreadsheets/d/1lufeA2cfFqM-elVq2hznhDzC6Pr7wkJ9ZG_sYNGCMCU/edit?usp=sharing"",""ลพบุรี!L224"")+IMPORTRANGE(""https://docs.google.com/spreadsheets/d/10oOiF7loTyfsTkbd4MpaIm0HQ9SwB7IYHdIUvt-U1Uc/edit?usp=sharing"""&amp;",""สระแก้ว!L224"")+IMPORTRANGE(""https://docs.google.com/spreadsheets/d/1xmPlrr1QbdSIKvl1dWUl9K4PjAfSL9oeMr_37QVzcxc/edit?usp=sharing"",""สระบุรี!L224"")+IMPORTRANGE(""https://docs.google.com/spreadsheets/d/1j51vR6CYVGhABJpv6tkstgok82RLpXieLzW1yOY5rHw/edi"&amp;"t?usp=sharing"",""สิงห์บุรี!L224"")+IMPORTRANGE(""https://docs.google.com/spreadsheets/d/1H1EalTWKUSzO4Z1-1CwzoDUaVffgrThEBe2sl74kKG0/edit?usp=sharing"",""สุพรรณบุรี!L224"")+IMPORTRANGE(""https://docs.google.com/spreadsheets/d/1BmIruG_sIrJLYao_Pdr7zVArWsf"&amp;"oBt2692TMi6x_854/edit?usp=sharing"",""อ่างทอง!L224"")"),60000)</f>
        <v>60000</v>
      </c>
      <c r="M224" s="75"/>
      <c r="N224" s="91">
        <f ca="1">IFERROR(__xludf.DUMMYFUNCTION("IMPORTRANGE(""https://docs.google.com/spreadsheets/d/13wPX838HrBrQMCywv1BsuMkt4PEKTChp52zj44s2izQ/edit?usp=sharing"",""กาญจนบุรี!N224"")+IMPORTRANGE(""https://docs.google.com/spreadsheets/d/1ddFKvqj1W1NEiWytbGlB1zMx_ykJDVtmfEQ-6-lIUBA/edit?usp=sharing"","&amp;"""จันทบุรี!N224"")+IMPORTRANGE(""https://docs.google.com/spreadsheets/d/1T1PQvRODqOBZk8BRht_U031fIS1beLA0Ub2CEytj2q0/edit?usp=sharing"",""ฉะเชิงเทรา!N224"")+IMPORTRANGE(""https://docs.google.com/spreadsheets/d/11tr1B-Bhyr79v2bkwVh5h_fR-PStkgjlZtkrZpYurG0/"&amp;"edit?usp=sharing"",""ชลบุรี!N224"")+IMPORTRANGE(""https://docs.google.com/spreadsheets/d/1hh-FVnSX0vozXhGluamEcS54Dw9_zqW0N7qJUWgJ0Sw/edit?usp=sharing"",""ชัยนาท!N224"")+IMPORTRANGE(""https://docs.google.com/spreadsheets/d/1jkqa6GXxSacMcY1eN8AHjMNJ_7dDXMJ"&amp;"VRLDlaFSOdPM/edit?usp=sharing"",""ตราด!N224"")+IMPORTRANGE(""https://docs.google.com/spreadsheets/d/18hSgUJ3VwClqi_qtULmmW3cLr0oe3OKaSYoKzdpTsYQ/edit?usp=sharing"",""นครนายก!N224"")+IMPORTRANGE(""https://docs.google.com/spreadsheets/d/1YTZo6WM2dQ6Ix6FSdnL"&amp;"5P7uVnVKu40sxZu975tgG10E/edit?usp=sharing"",""นครปฐม!N224"")+IMPORTRANGE(""https://docs.google.com/spreadsheets/d/1OYoGg4WDg5RIzwGeB10padOxJF9E_Vljuvvct_M7RDo/edit?usp=sharing"",""ปทุมธานี!N224"")+IMPORTRANGE(""https://docs.google.com/spreadsheets/d/1GbCI"&amp;"E4D4wk9FUozzqk7SxfDMxDVBwVmI5zcaVUSzKAc/edit?usp=sharing"",""ประจวบคีรีขันธ์!N224"")+IMPORTRANGE(""https://docs.google.com/spreadsheets/d/1vVf6wykvW_lAyu7Yo9L4hUTqHqIeP_qcVuxCtosJEbg/edit?usp=sharing"",""ปราจีนบุรี!N224"")+IMPORTRANGE(""https://docs.googl"&amp;"e.com/spreadsheets/d/1BIDqLLg5jk3v59G8NlR8rk5xfQDKne0sAvZHSj7TI6I/edit?usp=sharing"",""พระนครศรีอยุธยา!N224"")+IMPORTRANGE(""https://docs.google.com/spreadsheets/d/1YXvxf8Yu6_rV4hTBrwMqAcAnv6DfhUxh5emyM3CJp_w/edit?usp=sharing"",""เพชรบุรี!N224"")+IMPORTRA"&amp;"NGE(""https://docs.google.com/spreadsheets/d/19KBlQQs7uwvsao6t2n-KvW3Ax8J8uRRfZPq1zPbXgKc/edit?usp=sharing"",""ระยอง!N224"")+IMPORTRANGE(""https://docs.google.com/spreadsheets/d/1jQ6P4QcrGM89YfqcC_PxOHGCMq5ezhucwJd8ci-NHng/edit?usp=sharing"",""ราชบุรี!N22"&amp;"4"")+IMPORTRANGE(""https://docs.google.com/spreadsheets/d/1lufeA2cfFqM-elVq2hznhDzC6Pr7wkJ9ZG_sYNGCMCU/edit?usp=sharing"",""ลพบุรี!N224"")+IMPORTRANGE(""https://docs.google.com/spreadsheets/d/10oOiF7loTyfsTkbd4MpaIm0HQ9SwB7IYHdIUvt-U1Uc/edit?usp=sharing"""&amp;",""สระแก้ว!N224"")+IMPORTRANGE(""https://docs.google.com/spreadsheets/d/1xmPlrr1QbdSIKvl1dWUl9K4PjAfSL9oeMr_37QVzcxc/edit?usp=sharing"",""สระบุรี!N224"")+IMPORTRANGE(""https://docs.google.com/spreadsheets/d/1j51vR6CYVGhABJpv6tkstgok82RLpXieLzW1yOY5rHw/edi"&amp;"t?usp=sharing"",""สิงห์บุรี!N224"")+IMPORTRANGE(""https://docs.google.com/spreadsheets/d/1H1EalTWKUSzO4Z1-1CwzoDUaVffgrThEBe2sl74kKG0/edit?usp=sharing"",""สุพรรณบุรี!N224"")+IMPORTRANGE(""https://docs.google.com/spreadsheets/d/1BmIruG_sIrJLYao_Pdr7zVArWsf"&amp;"oBt2692TMi6x_854/edit?usp=sharing"",""อ่างทอง!N224"")"),800)</f>
        <v>800</v>
      </c>
      <c r="O224" s="242"/>
      <c r="P224" s="75"/>
      <c r="Q224" s="89"/>
      <c r="R224" s="90"/>
      <c r="S224" s="90"/>
      <c r="T224" s="231"/>
      <c r="U224" s="90"/>
    </row>
    <row r="225" spans="1:21" ht="18.75" x14ac:dyDescent="0.25">
      <c r="A225" s="395"/>
      <c r="B225" s="396"/>
      <c r="C225" s="396"/>
      <c r="D225" s="397"/>
      <c r="E225" s="398"/>
      <c r="F225" s="398"/>
      <c r="G225" s="399"/>
      <c r="H225" s="400"/>
      <c r="I225" s="401"/>
      <c r="J225" s="401"/>
      <c r="K225" s="402"/>
      <c r="L225" s="403"/>
      <c r="M225" s="402"/>
      <c r="N225" s="403"/>
      <c r="O225" s="403"/>
      <c r="P225" s="402"/>
      <c r="Q225" s="89"/>
      <c r="R225" s="90"/>
      <c r="S225" s="90"/>
      <c r="T225" s="231"/>
      <c r="U225" s="90"/>
    </row>
    <row r="226" spans="1:21" ht="19.5" x14ac:dyDescent="0.3">
      <c r="A226" s="224"/>
      <c r="B226" s="225"/>
      <c r="C226" s="394" t="s">
        <v>18</v>
      </c>
      <c r="D226" s="226" t="s">
        <v>38</v>
      </c>
      <c r="E226" s="227"/>
      <c r="F226" s="227"/>
      <c r="G226" s="228"/>
      <c r="H226" s="229"/>
      <c r="I226" s="221"/>
      <c r="J226" s="221"/>
      <c r="K226" s="222"/>
      <c r="L226" s="222"/>
      <c r="M226" s="222"/>
      <c r="N226" s="222"/>
      <c r="O226" s="222"/>
      <c r="P226" s="222"/>
      <c r="Q226" s="230"/>
      <c r="R226" s="231"/>
      <c r="S226" s="231"/>
      <c r="T226" s="231"/>
      <c r="U226" s="231"/>
    </row>
    <row r="227" spans="1:21" ht="18.75" x14ac:dyDescent="0.25">
      <c r="A227" s="224"/>
      <c r="B227" s="225"/>
      <c r="C227" s="225"/>
      <c r="D227" s="78" t="s">
        <v>101</v>
      </c>
      <c r="E227" s="233"/>
      <c r="F227" s="233"/>
      <c r="G227" s="229"/>
      <c r="H227" s="229"/>
      <c r="I227" s="74"/>
      <c r="J227" s="74"/>
      <c r="K227" s="222"/>
      <c r="L227" s="222"/>
      <c r="M227" s="222"/>
      <c r="N227" s="222"/>
      <c r="O227" s="222"/>
      <c r="P227" s="222"/>
      <c r="Q227" s="230"/>
      <c r="R227" s="231"/>
      <c r="S227" s="231"/>
      <c r="T227" s="231"/>
      <c r="U227" s="231"/>
    </row>
    <row r="228" spans="1:21" ht="18.75" x14ac:dyDescent="0.25">
      <c r="A228" s="224"/>
      <c r="B228" s="225"/>
      <c r="C228" s="225"/>
      <c r="D228" s="225"/>
      <c r="E228" s="232" t="s">
        <v>102</v>
      </c>
      <c r="F228" s="233"/>
      <c r="G228" s="229"/>
      <c r="H228" s="239" t="s">
        <v>99</v>
      </c>
      <c r="I228" s="241">
        <f ca="1">IFERROR(__xludf.DUMMYFUNCTION("IMPORTRANGE(""https://docs.google.com/spreadsheets/d/13wPX838HrBrQMCywv1BsuMkt4PEKTChp52zj44s2izQ/edit?usp=sharing"",""กาญจนบุรี!I228"")+IMPORTRANGE(""https://docs.google.com/spreadsheets/d/1ddFKvqj1W1NEiWytbGlB1zMx_ykJDVtmfEQ-6-lIUBA/edit?usp=sharing"","&amp;"""จันทบุรี!I228"")+IMPORTRANGE(""https://docs.google.com/spreadsheets/d/1T1PQvRODqOBZk8BRht_U031fIS1beLA0Ub2CEytj2q0/edit?usp=sharing"",""ฉะเชิงเทรา!I228"")+IMPORTRANGE(""https://docs.google.com/spreadsheets/d/11tr1B-Bhyr79v2bkwVh5h_fR-PStkgjlZtkrZpYurG0/"&amp;"edit?usp=sharing"",""ชลบุรี!I228"")+IMPORTRANGE(""https://docs.google.com/spreadsheets/d/1hh-FVnSX0vozXhGluamEcS54Dw9_zqW0N7qJUWgJ0Sw/edit?usp=sharing"",""ชัยนาท!I228"")+IMPORTRANGE(""https://docs.google.com/spreadsheets/d/1jkqa6GXxSacMcY1eN8AHjMNJ_7dDXMJ"&amp;"VRLDlaFSOdPM/edit?usp=sharing"",""ตราด!I228"")+IMPORTRANGE(""https://docs.google.com/spreadsheets/d/18hSgUJ3VwClqi_qtULmmW3cLr0oe3OKaSYoKzdpTsYQ/edit?usp=sharing"",""นครนายก!I228"")+IMPORTRANGE(""https://docs.google.com/spreadsheets/d/1YTZo6WM2dQ6Ix6FSdnL"&amp;"5P7uVnVKu40sxZu975tgG10E/edit?usp=sharing"",""นครปฐม!I228"")+IMPORTRANGE(""https://docs.google.com/spreadsheets/d/1OYoGg4WDg5RIzwGeB10padOxJF9E_Vljuvvct_M7RDo/edit?usp=sharing"",""ปทุมธานี!I228"")+IMPORTRANGE(""https://docs.google.com/spreadsheets/d/1GbCI"&amp;"E4D4wk9FUozzqk7SxfDMxDVBwVmI5zcaVUSzKAc/edit?usp=sharing"",""ประจวบคีรีขันธ์!I228"")+IMPORTRANGE(""https://docs.google.com/spreadsheets/d/1vVf6wykvW_lAyu7Yo9L4hUTqHqIeP_qcVuxCtosJEbg/edit?usp=sharing"",""ปราจีนบุรี!I228"")+IMPORTRANGE(""https://docs.googl"&amp;"e.com/spreadsheets/d/1BIDqLLg5jk3v59G8NlR8rk5xfQDKne0sAvZHSj7TI6I/edit?usp=sharing"",""พระนครศรีอยุธยา!I228"")+IMPORTRANGE(""https://docs.google.com/spreadsheets/d/1YXvxf8Yu6_rV4hTBrwMqAcAnv6DfhUxh5emyM3CJp_w/edit?usp=sharing"",""เพชรบุรี!I228"")+IMPORTRA"&amp;"NGE(""https://docs.google.com/spreadsheets/d/19KBlQQs7uwvsao6t2n-KvW3Ax8J8uRRfZPq1zPbXgKc/edit?usp=sharing"",""ระยอง!I228"")+IMPORTRANGE(""https://docs.google.com/spreadsheets/d/1jQ6P4QcrGM89YfqcC_PxOHGCMq5ezhucwJd8ci-NHng/edit?usp=sharing"",""ราชบุรี!I22"&amp;"8"")+IMPORTRANGE(""https://docs.google.com/spreadsheets/d/1lufeA2cfFqM-elVq2hznhDzC6Pr7wkJ9ZG_sYNGCMCU/edit?usp=sharing"",""ลพบุรี!I228"")+IMPORTRANGE(""https://docs.google.com/spreadsheets/d/10oOiF7loTyfsTkbd4MpaIm0HQ9SwB7IYHdIUvt-U1Uc/edit?usp=sharing"""&amp;",""สระแก้ว!I228"")+IMPORTRANGE(""https://docs.google.com/spreadsheets/d/1xmPlrr1QbdSIKvl1dWUl9K4PjAfSL9oeMr_37QVzcxc/edit?usp=sharing"",""สระบุรี!I228"")+IMPORTRANGE(""https://docs.google.com/spreadsheets/d/1j51vR6CYVGhABJpv6tkstgok82RLpXieLzW1yOY5rHw/edi"&amp;"t?usp=sharing"",""สิงห์บุรี!I228"")+IMPORTRANGE(""https://docs.google.com/spreadsheets/d/1H1EalTWKUSzO4Z1-1CwzoDUaVffgrThEBe2sl74kKG0/edit?usp=sharing"",""สุพรรณบุรี!I228"")+IMPORTRANGE(""https://docs.google.com/spreadsheets/d/1BmIruG_sIrJLYao_Pdr7zVArWsf"&amp;"oBt2692TMi6x_854/edit?usp=sharing"",""อ่างทอง!I228"")"),482200)</f>
        <v>482200</v>
      </c>
      <c r="J228" s="241">
        <f ca="1">IFERROR(__xludf.DUMMYFUNCTION("IMPORTRANGE(""https://docs.google.com/spreadsheets/d/13wPX838HrBrQMCywv1BsuMkt4PEKTChp52zj44s2izQ/edit?usp=sharing"",""กาญจนบุรี!J228"")+IMPORTRANGE(""https://docs.google.com/spreadsheets/d/1ddFKvqj1W1NEiWytbGlB1zMx_ykJDVtmfEQ-6-lIUBA/edit?usp=sharing"","&amp;"""จันทบุรี!J228"")+IMPORTRANGE(""https://docs.google.com/spreadsheets/d/1T1PQvRODqOBZk8BRht_U031fIS1beLA0Ub2CEytj2q0/edit?usp=sharing"",""ฉะเชิงเทรา!J228"")+IMPORTRANGE(""https://docs.google.com/spreadsheets/d/11tr1B-Bhyr79v2bkwVh5h_fR-PStkgjlZtkrZpYurG0/"&amp;"edit?usp=sharing"",""ชลบุรี!J228"")+IMPORTRANGE(""https://docs.google.com/spreadsheets/d/1hh-FVnSX0vozXhGluamEcS54Dw9_zqW0N7qJUWgJ0Sw/edit?usp=sharing"",""ชัยนาท!J228"")+IMPORTRANGE(""https://docs.google.com/spreadsheets/d/1jkqa6GXxSacMcY1eN8AHjMNJ_7dDXMJ"&amp;"VRLDlaFSOdPM/edit?usp=sharing"",""ตราด!J228"")+IMPORTRANGE(""https://docs.google.com/spreadsheets/d/18hSgUJ3VwClqi_qtULmmW3cLr0oe3OKaSYoKzdpTsYQ/edit?usp=sharing"",""นครนายก!J228"")+IMPORTRANGE(""https://docs.google.com/spreadsheets/d/1YTZo6WM2dQ6Ix6FSdnL"&amp;"5P7uVnVKu40sxZu975tgG10E/edit?usp=sharing"",""นครปฐม!J228"")+IMPORTRANGE(""https://docs.google.com/spreadsheets/d/1OYoGg4WDg5RIzwGeB10padOxJF9E_Vljuvvct_M7RDo/edit?usp=sharing"",""ปทุมธานี!J228"")+IMPORTRANGE(""https://docs.google.com/spreadsheets/d/1GbCI"&amp;"E4D4wk9FUozzqk7SxfDMxDVBwVmI5zcaVUSzKAc/edit?usp=sharing"",""ประจวบคีรีขันธ์!J228"")+IMPORTRANGE(""https://docs.google.com/spreadsheets/d/1vVf6wykvW_lAyu7Yo9L4hUTqHqIeP_qcVuxCtosJEbg/edit?usp=sharing"",""ปราจีนบุรี!J228"")+IMPORTRANGE(""https://docs.googl"&amp;"e.com/spreadsheets/d/1BIDqLLg5jk3v59G8NlR8rk5xfQDKne0sAvZHSj7TI6I/edit?usp=sharing"",""พระนครศรีอยุธยา!J228"")+IMPORTRANGE(""https://docs.google.com/spreadsheets/d/1YXvxf8Yu6_rV4hTBrwMqAcAnv6DfhUxh5emyM3CJp_w/edit?usp=sharing"",""เพชรบุรี!J228"")+IMPORTRA"&amp;"NGE(""https://docs.google.com/spreadsheets/d/19KBlQQs7uwvsao6t2n-KvW3Ax8J8uRRfZPq1zPbXgKc/edit?usp=sharing"",""ระยอง!J228"")+IMPORTRANGE(""https://docs.google.com/spreadsheets/d/1jQ6P4QcrGM89YfqcC_PxOHGCMq5ezhucwJd8ci-NHng/edit?usp=sharing"",""ราชบุรี!J22"&amp;"8"")+IMPORTRANGE(""https://docs.google.com/spreadsheets/d/1lufeA2cfFqM-elVq2hznhDzC6Pr7wkJ9ZG_sYNGCMCU/edit?usp=sharing"",""ลพบุรี!J228"")+IMPORTRANGE(""https://docs.google.com/spreadsheets/d/10oOiF7loTyfsTkbd4MpaIm0HQ9SwB7IYHdIUvt-U1Uc/edit?usp=sharing"""&amp;",""สระแก้ว!J228"")+IMPORTRANGE(""https://docs.google.com/spreadsheets/d/1xmPlrr1QbdSIKvl1dWUl9K4PjAfSL9oeMr_37QVzcxc/edit?usp=sharing"",""สระบุรี!J228"")+IMPORTRANGE(""https://docs.google.com/spreadsheets/d/1j51vR6CYVGhABJpv6tkstgok82RLpXieLzW1yOY5rHw/edi"&amp;"t?usp=sharing"",""สิงห์บุรี!J228"")+IMPORTRANGE(""https://docs.google.com/spreadsheets/d/1H1EalTWKUSzO4Z1-1CwzoDUaVffgrThEBe2sl74kKG0/edit?usp=sharing"",""สุพรรณบุรี!J228"")+IMPORTRANGE(""https://docs.google.com/spreadsheets/d/1BmIruG_sIrJLYao_Pdr7zVArWsf"&amp;"oBt2692TMi6x_854/edit?usp=sharing"",""อ่างทอง!J228"")"),297800)</f>
        <v>297800</v>
      </c>
      <c r="K228" s="242">
        <f t="shared" ref="K228:K231" ca="1" si="177">IF(I228&gt;0,J228*100/I228,0)</f>
        <v>61.758606387391126</v>
      </c>
      <c r="L228" s="222"/>
      <c r="M228" s="222"/>
      <c r="N228" s="222"/>
      <c r="O228" s="222"/>
      <c r="P228" s="222"/>
      <c r="Q228" s="230"/>
      <c r="R228" s="231"/>
      <c r="S228" s="231"/>
      <c r="T228" s="231"/>
      <c r="U228" s="231"/>
    </row>
    <row r="229" spans="1:21" ht="18.75" x14ac:dyDescent="0.25">
      <c r="A229" s="224"/>
      <c r="B229" s="225"/>
      <c r="C229" s="225"/>
      <c r="D229" s="225"/>
      <c r="E229" s="232" t="s">
        <v>103</v>
      </c>
      <c r="F229" s="233"/>
      <c r="G229" s="229"/>
      <c r="H229" s="239" t="s">
        <v>99</v>
      </c>
      <c r="I229" s="241">
        <f ca="1">IFERROR(__xludf.DUMMYFUNCTION("IMPORTRANGE(""https://docs.google.com/spreadsheets/d/13wPX838HrBrQMCywv1BsuMkt4PEKTChp52zj44s2izQ/edit?usp=sharing"",""กาญจนบุรี!I229"")+IMPORTRANGE(""https://docs.google.com/spreadsheets/d/1ddFKvqj1W1NEiWytbGlB1zMx_ykJDVtmfEQ-6-lIUBA/edit?usp=sharing"","&amp;"""จันทบุรี!I229"")+IMPORTRANGE(""https://docs.google.com/spreadsheets/d/1T1PQvRODqOBZk8BRht_U031fIS1beLA0Ub2CEytj2q0/edit?usp=sharing"",""ฉะเชิงเทรา!I229"")+IMPORTRANGE(""https://docs.google.com/spreadsheets/d/11tr1B-Bhyr79v2bkwVh5h_fR-PStkgjlZtkrZpYurG0/"&amp;"edit?usp=sharing"",""ชลบุรี!I229"")+IMPORTRANGE(""https://docs.google.com/spreadsheets/d/1hh-FVnSX0vozXhGluamEcS54Dw9_zqW0N7qJUWgJ0Sw/edit?usp=sharing"",""ชัยนาท!I229"")+IMPORTRANGE(""https://docs.google.com/spreadsheets/d/1jkqa6GXxSacMcY1eN8AHjMNJ_7dDXMJ"&amp;"VRLDlaFSOdPM/edit?usp=sharing"",""ตราด!I229"")+IMPORTRANGE(""https://docs.google.com/spreadsheets/d/18hSgUJ3VwClqi_qtULmmW3cLr0oe3OKaSYoKzdpTsYQ/edit?usp=sharing"",""นครนายก!I229"")+IMPORTRANGE(""https://docs.google.com/spreadsheets/d/1YTZo6WM2dQ6Ix6FSdnL"&amp;"5P7uVnVKu40sxZu975tgG10E/edit?usp=sharing"",""นครปฐม!I229"")+IMPORTRANGE(""https://docs.google.com/spreadsheets/d/1OYoGg4WDg5RIzwGeB10padOxJF9E_Vljuvvct_M7RDo/edit?usp=sharing"",""ปทุมธานี!I229"")+IMPORTRANGE(""https://docs.google.com/spreadsheets/d/1GbCI"&amp;"E4D4wk9FUozzqk7SxfDMxDVBwVmI5zcaVUSzKAc/edit?usp=sharing"",""ประจวบคีรีขันธ์!I229"")+IMPORTRANGE(""https://docs.google.com/spreadsheets/d/1vVf6wykvW_lAyu7Yo9L4hUTqHqIeP_qcVuxCtosJEbg/edit?usp=sharing"",""ปราจีนบุรี!I229"")+IMPORTRANGE(""https://docs.googl"&amp;"e.com/spreadsheets/d/1BIDqLLg5jk3v59G8NlR8rk5xfQDKne0sAvZHSj7TI6I/edit?usp=sharing"",""พระนครศรีอยุธยา!I229"")+IMPORTRANGE(""https://docs.google.com/spreadsheets/d/1YXvxf8Yu6_rV4hTBrwMqAcAnv6DfhUxh5emyM3CJp_w/edit?usp=sharing"",""เพชรบุรี!I229"")+IMPORTRA"&amp;"NGE(""https://docs.google.com/spreadsheets/d/19KBlQQs7uwvsao6t2n-KvW3Ax8J8uRRfZPq1zPbXgKc/edit?usp=sharing"",""ระยอง!I229"")+IMPORTRANGE(""https://docs.google.com/spreadsheets/d/1jQ6P4QcrGM89YfqcC_PxOHGCMq5ezhucwJd8ci-NHng/edit?usp=sharing"",""ราชบุรี!I22"&amp;"9"")+IMPORTRANGE(""https://docs.google.com/spreadsheets/d/1lufeA2cfFqM-elVq2hznhDzC6Pr7wkJ9ZG_sYNGCMCU/edit?usp=sharing"",""ลพบุรี!I229"")+IMPORTRANGE(""https://docs.google.com/spreadsheets/d/10oOiF7loTyfsTkbd4MpaIm0HQ9SwB7IYHdIUvt-U1Uc/edit?usp=sharing"""&amp;",""สระแก้ว!I229"")+IMPORTRANGE(""https://docs.google.com/spreadsheets/d/1xmPlrr1QbdSIKvl1dWUl9K4PjAfSL9oeMr_37QVzcxc/edit?usp=sharing"",""สระบุรี!I229"")+IMPORTRANGE(""https://docs.google.com/spreadsheets/d/1j51vR6CYVGhABJpv6tkstgok82RLpXieLzW1yOY5rHw/edi"&amp;"t?usp=sharing"",""สิงห์บุรี!I229"")+IMPORTRANGE(""https://docs.google.com/spreadsheets/d/1H1EalTWKUSzO4Z1-1CwzoDUaVffgrThEBe2sl74kKG0/edit?usp=sharing"",""สุพรรณบุรี!I229"")+IMPORTRANGE(""https://docs.google.com/spreadsheets/d/1BmIruG_sIrJLYao_Pdr7zVArWsf"&amp;"oBt2692TMi6x_854/edit?usp=sharing"",""อ่างทอง!I229"")"),482200)</f>
        <v>482200</v>
      </c>
      <c r="J229" s="241">
        <f ca="1">IFERROR(__xludf.DUMMYFUNCTION("IMPORTRANGE(""https://docs.google.com/spreadsheets/d/13wPX838HrBrQMCywv1BsuMkt4PEKTChp52zj44s2izQ/edit?usp=sharing"",""กาญจนบุรี!J229"")+IMPORTRANGE(""https://docs.google.com/spreadsheets/d/1ddFKvqj1W1NEiWytbGlB1zMx_ykJDVtmfEQ-6-lIUBA/edit?usp=sharing"","&amp;"""จันทบุรี!J229"")+IMPORTRANGE(""https://docs.google.com/spreadsheets/d/1T1PQvRODqOBZk8BRht_U031fIS1beLA0Ub2CEytj2q0/edit?usp=sharing"",""ฉะเชิงเทรา!J229"")+IMPORTRANGE(""https://docs.google.com/spreadsheets/d/11tr1B-Bhyr79v2bkwVh5h_fR-PStkgjlZtkrZpYurG0/"&amp;"edit?usp=sharing"",""ชลบุรี!J229"")+IMPORTRANGE(""https://docs.google.com/spreadsheets/d/1hh-FVnSX0vozXhGluamEcS54Dw9_zqW0N7qJUWgJ0Sw/edit?usp=sharing"",""ชัยนาท!J229"")+IMPORTRANGE(""https://docs.google.com/spreadsheets/d/1jkqa6GXxSacMcY1eN8AHjMNJ_7dDXMJ"&amp;"VRLDlaFSOdPM/edit?usp=sharing"",""ตราด!J229"")+IMPORTRANGE(""https://docs.google.com/spreadsheets/d/18hSgUJ3VwClqi_qtULmmW3cLr0oe3OKaSYoKzdpTsYQ/edit?usp=sharing"",""นครนายก!J229"")+IMPORTRANGE(""https://docs.google.com/spreadsheets/d/1YTZo6WM2dQ6Ix6FSdnL"&amp;"5P7uVnVKu40sxZu975tgG10E/edit?usp=sharing"",""นครปฐม!J229"")+IMPORTRANGE(""https://docs.google.com/spreadsheets/d/1OYoGg4WDg5RIzwGeB10padOxJF9E_Vljuvvct_M7RDo/edit?usp=sharing"",""ปทุมธานี!J229"")+IMPORTRANGE(""https://docs.google.com/spreadsheets/d/1GbCI"&amp;"E4D4wk9FUozzqk7SxfDMxDVBwVmI5zcaVUSzKAc/edit?usp=sharing"",""ประจวบคีรีขันธ์!J229"")+IMPORTRANGE(""https://docs.google.com/spreadsheets/d/1vVf6wykvW_lAyu7Yo9L4hUTqHqIeP_qcVuxCtosJEbg/edit?usp=sharing"",""ปราจีนบุรี!J229"")+IMPORTRANGE(""https://docs.googl"&amp;"e.com/spreadsheets/d/1BIDqLLg5jk3v59G8NlR8rk5xfQDKne0sAvZHSj7TI6I/edit?usp=sharing"",""พระนครศรีอยุธยา!J229"")+IMPORTRANGE(""https://docs.google.com/spreadsheets/d/1YXvxf8Yu6_rV4hTBrwMqAcAnv6DfhUxh5emyM3CJp_w/edit?usp=sharing"",""เพชรบุรี!J229"")+IMPORTRA"&amp;"NGE(""https://docs.google.com/spreadsheets/d/19KBlQQs7uwvsao6t2n-KvW3Ax8J8uRRfZPq1zPbXgKc/edit?usp=sharing"",""ระยอง!J229"")+IMPORTRANGE(""https://docs.google.com/spreadsheets/d/1jQ6P4QcrGM89YfqcC_PxOHGCMq5ezhucwJd8ci-NHng/edit?usp=sharing"",""ราชบุรี!J22"&amp;"9"")+IMPORTRANGE(""https://docs.google.com/spreadsheets/d/1lufeA2cfFqM-elVq2hznhDzC6Pr7wkJ9ZG_sYNGCMCU/edit?usp=sharing"",""ลพบุรี!J229"")+IMPORTRANGE(""https://docs.google.com/spreadsheets/d/10oOiF7loTyfsTkbd4MpaIm0HQ9SwB7IYHdIUvt-U1Uc/edit?usp=sharing"""&amp;",""สระแก้ว!J229"")+IMPORTRANGE(""https://docs.google.com/spreadsheets/d/1xmPlrr1QbdSIKvl1dWUl9K4PjAfSL9oeMr_37QVzcxc/edit?usp=sharing"",""สระบุรี!J229"")+IMPORTRANGE(""https://docs.google.com/spreadsheets/d/1j51vR6CYVGhABJpv6tkstgok82RLpXieLzW1yOY5rHw/edi"&amp;"t?usp=sharing"",""สิงห์บุรี!J229"")+IMPORTRANGE(""https://docs.google.com/spreadsheets/d/1H1EalTWKUSzO4Z1-1CwzoDUaVffgrThEBe2sl74kKG0/edit?usp=sharing"",""สุพรรณบุรี!J229"")+IMPORTRANGE(""https://docs.google.com/spreadsheets/d/1BmIruG_sIrJLYao_Pdr7zVArWsf"&amp;"oBt2692TMi6x_854/edit?usp=sharing"",""อ่างทอง!J229"")"),0)</f>
        <v>0</v>
      </c>
      <c r="K229" s="242">
        <f t="shared" ca="1" si="177"/>
        <v>0</v>
      </c>
      <c r="L229" s="75"/>
      <c r="M229" s="75"/>
      <c r="N229" s="75"/>
      <c r="O229" s="75"/>
      <c r="P229" s="75"/>
      <c r="Q229" s="89"/>
      <c r="R229" s="90"/>
      <c r="S229" s="90"/>
      <c r="T229" s="90"/>
      <c r="U229" s="90"/>
    </row>
    <row r="230" spans="1:21" ht="18.75" x14ac:dyDescent="0.25">
      <c r="A230" s="224"/>
      <c r="B230" s="225"/>
      <c r="C230" s="225"/>
      <c r="D230" s="78" t="s">
        <v>104</v>
      </c>
      <c r="E230" s="233"/>
      <c r="F230" s="233"/>
      <c r="G230" s="229"/>
      <c r="H230" s="239" t="s">
        <v>35</v>
      </c>
      <c r="I230" s="241">
        <f ca="1">IFERROR(__xludf.DUMMYFUNCTION("IMPORTRANGE(""https://docs.google.com/spreadsheets/d/13wPX838HrBrQMCywv1BsuMkt4PEKTChp52zj44s2izQ/edit?usp=sharing"",""กาญจนบุรี!I230"")+IMPORTRANGE(""https://docs.google.com/spreadsheets/d/1ddFKvqj1W1NEiWytbGlB1zMx_ykJDVtmfEQ-6-lIUBA/edit?usp=sharing"","&amp;"""จันทบุรี!I230"")+IMPORTRANGE(""https://docs.google.com/spreadsheets/d/1T1PQvRODqOBZk8BRht_U031fIS1beLA0Ub2CEytj2q0/edit?usp=sharing"",""ฉะเชิงเทรา!I230"")+IMPORTRANGE(""https://docs.google.com/spreadsheets/d/11tr1B-Bhyr79v2bkwVh5h_fR-PStkgjlZtkrZpYurG0/"&amp;"edit?usp=sharing"",""ชลบุรี!I230"")+IMPORTRANGE(""https://docs.google.com/spreadsheets/d/1hh-FVnSX0vozXhGluamEcS54Dw9_zqW0N7qJUWgJ0Sw/edit?usp=sharing"",""ชัยนาท!I230"")+IMPORTRANGE(""https://docs.google.com/spreadsheets/d/1jkqa6GXxSacMcY1eN8AHjMNJ_7dDXMJ"&amp;"VRLDlaFSOdPM/edit?usp=sharing"",""ตราด!I230"")+IMPORTRANGE(""https://docs.google.com/spreadsheets/d/18hSgUJ3VwClqi_qtULmmW3cLr0oe3OKaSYoKzdpTsYQ/edit?usp=sharing"",""นครนายก!I230"")+IMPORTRANGE(""https://docs.google.com/spreadsheets/d/1YTZo6WM2dQ6Ix6FSdnL"&amp;"5P7uVnVKu40sxZu975tgG10E/edit?usp=sharing"",""นครปฐม!I230"")+IMPORTRANGE(""https://docs.google.com/spreadsheets/d/1OYoGg4WDg5RIzwGeB10padOxJF9E_Vljuvvct_M7RDo/edit?usp=sharing"",""ปทุมธานี!I230"")+IMPORTRANGE(""https://docs.google.com/spreadsheets/d/1GbCI"&amp;"E4D4wk9FUozzqk7SxfDMxDVBwVmI5zcaVUSzKAc/edit?usp=sharing"",""ประจวบคีรีขันธ์!I230"")+IMPORTRANGE(""https://docs.google.com/spreadsheets/d/1vVf6wykvW_lAyu7Yo9L4hUTqHqIeP_qcVuxCtosJEbg/edit?usp=sharing"",""ปราจีนบุรี!I230"")+IMPORTRANGE(""https://docs.googl"&amp;"e.com/spreadsheets/d/1BIDqLLg5jk3v59G8NlR8rk5xfQDKne0sAvZHSj7TI6I/edit?usp=sharing"",""พระนครศรีอยุธยา!I230"")+IMPORTRANGE(""https://docs.google.com/spreadsheets/d/1YXvxf8Yu6_rV4hTBrwMqAcAnv6DfhUxh5emyM3CJp_w/edit?usp=sharing"",""เพชรบุรี!I230"")+IMPORTRA"&amp;"NGE(""https://docs.google.com/spreadsheets/d/19KBlQQs7uwvsao6t2n-KvW3Ax8J8uRRfZPq1zPbXgKc/edit?usp=sharing"",""ระยอง!I230"")+IMPORTRANGE(""https://docs.google.com/spreadsheets/d/1jQ6P4QcrGM89YfqcC_PxOHGCMq5ezhucwJd8ci-NHng/edit?usp=sharing"",""ราชบุรี!I23"&amp;"0"")+IMPORTRANGE(""https://docs.google.com/spreadsheets/d/1lufeA2cfFqM-elVq2hznhDzC6Pr7wkJ9ZG_sYNGCMCU/edit?usp=sharing"",""ลพบุรี!I230"")+IMPORTRANGE(""https://docs.google.com/spreadsheets/d/10oOiF7loTyfsTkbd4MpaIm0HQ9SwB7IYHdIUvt-U1Uc/edit?usp=sharing"""&amp;",""สระแก้ว!I230"")+IMPORTRANGE(""https://docs.google.com/spreadsheets/d/1xmPlrr1QbdSIKvl1dWUl9K4PjAfSL9oeMr_37QVzcxc/edit?usp=sharing"",""สระบุรี!I230"")+IMPORTRANGE(""https://docs.google.com/spreadsheets/d/1j51vR6CYVGhABJpv6tkstgok82RLpXieLzW1yOY5rHw/edi"&amp;"t?usp=sharing"",""สิงห์บุรี!I230"")+IMPORTRANGE(""https://docs.google.com/spreadsheets/d/1H1EalTWKUSzO4Z1-1CwzoDUaVffgrThEBe2sl74kKG0/edit?usp=sharing"",""สุพรรณบุรี!I230"")+IMPORTRANGE(""https://docs.google.com/spreadsheets/d/1BmIruG_sIrJLYao_Pdr7zVArWsf"&amp;"oBt2692TMi6x_854/edit?usp=sharing"",""อ่างทอง!I230"")"),0)</f>
        <v>0</v>
      </c>
      <c r="J230" s="241">
        <f ca="1">IFERROR(__xludf.DUMMYFUNCTION("IMPORTRANGE(""https://docs.google.com/spreadsheets/d/13wPX838HrBrQMCywv1BsuMkt4PEKTChp52zj44s2izQ/edit?usp=sharing"",""กาญจนบุรี!J230"")+IMPORTRANGE(""https://docs.google.com/spreadsheets/d/1ddFKvqj1W1NEiWytbGlB1zMx_ykJDVtmfEQ-6-lIUBA/edit?usp=sharing"","&amp;"""จันทบุรี!J230"")+IMPORTRANGE(""https://docs.google.com/spreadsheets/d/1T1PQvRODqOBZk8BRht_U031fIS1beLA0Ub2CEytj2q0/edit?usp=sharing"",""ฉะเชิงเทรา!J230"")+IMPORTRANGE(""https://docs.google.com/spreadsheets/d/11tr1B-Bhyr79v2bkwVh5h_fR-PStkgjlZtkrZpYurG0/"&amp;"edit?usp=sharing"",""ชลบุรี!J230"")+IMPORTRANGE(""https://docs.google.com/spreadsheets/d/1hh-FVnSX0vozXhGluamEcS54Dw9_zqW0N7qJUWgJ0Sw/edit?usp=sharing"",""ชัยนาท!J230"")+IMPORTRANGE(""https://docs.google.com/spreadsheets/d/1jkqa6GXxSacMcY1eN8AHjMNJ_7dDXMJ"&amp;"VRLDlaFSOdPM/edit?usp=sharing"",""ตราด!J230"")+IMPORTRANGE(""https://docs.google.com/spreadsheets/d/18hSgUJ3VwClqi_qtULmmW3cLr0oe3OKaSYoKzdpTsYQ/edit?usp=sharing"",""นครนายก!J230"")+IMPORTRANGE(""https://docs.google.com/spreadsheets/d/1YTZo6WM2dQ6Ix6FSdnL"&amp;"5P7uVnVKu40sxZu975tgG10E/edit?usp=sharing"",""นครปฐม!J230"")+IMPORTRANGE(""https://docs.google.com/spreadsheets/d/1OYoGg4WDg5RIzwGeB10padOxJF9E_Vljuvvct_M7RDo/edit?usp=sharing"",""ปทุมธานี!J230"")+IMPORTRANGE(""https://docs.google.com/spreadsheets/d/1GbCI"&amp;"E4D4wk9FUozzqk7SxfDMxDVBwVmI5zcaVUSzKAc/edit?usp=sharing"",""ประจวบคีรีขันธ์!J230"")+IMPORTRANGE(""https://docs.google.com/spreadsheets/d/1vVf6wykvW_lAyu7Yo9L4hUTqHqIeP_qcVuxCtosJEbg/edit?usp=sharing"",""ปราจีนบุรี!J230"")+IMPORTRANGE(""https://docs.googl"&amp;"e.com/spreadsheets/d/1BIDqLLg5jk3v59G8NlR8rk5xfQDKne0sAvZHSj7TI6I/edit?usp=sharing"",""พระนครศรีอยุธยา!J230"")+IMPORTRANGE(""https://docs.google.com/spreadsheets/d/1YXvxf8Yu6_rV4hTBrwMqAcAnv6DfhUxh5emyM3CJp_w/edit?usp=sharing"",""เพชรบุรี!J230"")+IMPORTRA"&amp;"NGE(""https://docs.google.com/spreadsheets/d/19KBlQQs7uwvsao6t2n-KvW3Ax8J8uRRfZPq1zPbXgKc/edit?usp=sharing"",""ระยอง!J230"")+IMPORTRANGE(""https://docs.google.com/spreadsheets/d/1jQ6P4QcrGM89YfqcC_PxOHGCMq5ezhucwJd8ci-NHng/edit?usp=sharing"",""ราชบุรี!J23"&amp;"0"")+IMPORTRANGE(""https://docs.google.com/spreadsheets/d/1lufeA2cfFqM-elVq2hznhDzC6Pr7wkJ9ZG_sYNGCMCU/edit?usp=sharing"",""ลพบุรี!J230"")+IMPORTRANGE(""https://docs.google.com/spreadsheets/d/10oOiF7loTyfsTkbd4MpaIm0HQ9SwB7IYHdIUvt-U1Uc/edit?usp=sharing"""&amp;",""สระแก้ว!J230"")+IMPORTRANGE(""https://docs.google.com/spreadsheets/d/1xmPlrr1QbdSIKvl1dWUl9K4PjAfSL9oeMr_37QVzcxc/edit?usp=sharing"",""สระบุรี!J230"")+IMPORTRANGE(""https://docs.google.com/spreadsheets/d/1j51vR6CYVGhABJpv6tkstgok82RLpXieLzW1yOY5rHw/edi"&amp;"t?usp=sharing"",""สิงห์บุรี!J230"")+IMPORTRANGE(""https://docs.google.com/spreadsheets/d/1H1EalTWKUSzO4Z1-1CwzoDUaVffgrThEBe2sl74kKG0/edit?usp=sharing"",""สุพรรณบุรี!J230"")+IMPORTRANGE(""https://docs.google.com/spreadsheets/d/1BmIruG_sIrJLYao_Pdr7zVArWsf"&amp;"oBt2692TMi6x_854/edit?usp=sharing"",""อ่างทอง!J230"")"),0)</f>
        <v>0</v>
      </c>
      <c r="K230" s="242">
        <f t="shared" ca="1" si="177"/>
        <v>0</v>
      </c>
      <c r="L230" s="75"/>
      <c r="M230" s="75"/>
      <c r="N230" s="75"/>
      <c r="O230" s="75"/>
      <c r="P230" s="75"/>
      <c r="Q230" s="89"/>
      <c r="R230" s="90"/>
      <c r="S230" s="90"/>
      <c r="T230" s="90"/>
      <c r="U230" s="90"/>
    </row>
    <row r="231" spans="1:21" ht="19.5" x14ac:dyDescent="0.3">
      <c r="A231" s="372"/>
      <c r="B231" s="373"/>
      <c r="C231" s="374" t="s">
        <v>105</v>
      </c>
      <c r="D231" s="375"/>
      <c r="E231" s="375"/>
      <c r="F231" s="375"/>
      <c r="G231" s="376"/>
      <c r="H231" s="377" t="s">
        <v>35</v>
      </c>
      <c r="I231" s="378">
        <f t="shared" ref="I231:J231" si="178">I242+I253</f>
        <v>0</v>
      </c>
      <c r="J231" s="378">
        <f t="shared" si="178"/>
        <v>0</v>
      </c>
      <c r="K231" s="379">
        <f t="shared" si="177"/>
        <v>0</v>
      </c>
      <c r="L231" s="380"/>
      <c r="M231" s="380"/>
      <c r="N231" s="380"/>
      <c r="O231" s="380"/>
      <c r="P231" s="380"/>
      <c r="Q231" s="381"/>
      <c r="R231" s="382"/>
      <c r="S231" s="382"/>
      <c r="T231" s="382"/>
      <c r="U231" s="382"/>
    </row>
    <row r="232" spans="1:21" ht="19.5" x14ac:dyDescent="0.3">
      <c r="A232" s="211"/>
      <c r="B232" s="70"/>
      <c r="C232" s="212" t="s">
        <v>18</v>
      </c>
      <c r="D232" s="213" t="s">
        <v>19</v>
      </c>
      <c r="E232" s="70"/>
      <c r="F232" s="70"/>
      <c r="G232" s="72"/>
      <c r="H232" s="384" t="s">
        <v>14</v>
      </c>
      <c r="I232" s="221"/>
      <c r="J232" s="221"/>
      <c r="K232" s="222"/>
      <c r="L232" s="215">
        <f ca="1">L233+L234+L235+L236</f>
        <v>983900</v>
      </c>
      <c r="M232" s="75"/>
      <c r="N232" s="215">
        <f ca="1">N233+N234+N235+N236</f>
        <v>623123</v>
      </c>
      <c r="O232" s="215">
        <f ca="1">IF(L232&gt;0,N232*100/L232,0)</f>
        <v>63.331944303282853</v>
      </c>
      <c r="P232" s="75"/>
      <c r="Q232" s="393">
        <f ca="1">Q233+Q234+Q235</f>
        <v>0</v>
      </c>
      <c r="R232" s="90"/>
      <c r="S232" s="266">
        <f ca="1">S233+S234+S235</f>
        <v>0</v>
      </c>
      <c r="T232" s="266">
        <f ca="1">IF(Q232&gt;0,S232*100/Q232,0)</f>
        <v>0</v>
      </c>
      <c r="U232" s="266">
        <f>IF(R232&gt;0,S232*100/R232,0)</f>
        <v>0</v>
      </c>
    </row>
    <row r="233" spans="1:21" ht="18.75" x14ac:dyDescent="0.25">
      <c r="A233" s="211"/>
      <c r="B233" s="371"/>
      <c r="C233" s="70"/>
      <c r="D233" s="78" t="s">
        <v>86</v>
      </c>
      <c r="E233" s="70"/>
      <c r="F233" s="70"/>
      <c r="G233" s="72"/>
      <c r="H233" s="220" t="s">
        <v>14</v>
      </c>
      <c r="I233" s="221"/>
      <c r="J233" s="221"/>
      <c r="K233" s="222"/>
      <c r="L233" s="91">
        <f ca="1">IFERROR(__xludf.DUMMYFUNCTION("IMPORTRANGE(""https://docs.google.com/spreadsheets/d/13wPX838HrBrQMCywv1BsuMkt4PEKTChp52zj44s2izQ/edit?usp=sharing"",""กาญจนบุรี!L233"")+IMPORTRANGE(""https://docs.google.com/spreadsheets/d/1ddFKvqj1W1NEiWytbGlB1zMx_ykJDVtmfEQ-6-lIUBA/edit?usp=sharing"","&amp;"""จันทบุรี!L233"")+IMPORTRANGE(""https://docs.google.com/spreadsheets/d/1T1PQvRODqOBZk8BRht_U031fIS1beLA0Ub2CEytj2q0/edit?usp=sharing"",""ฉะเชิงเทรา!L233"")+IMPORTRANGE(""https://docs.google.com/spreadsheets/d/11tr1B-Bhyr79v2bkwVh5h_fR-PStkgjlZtkrZpYurG0/"&amp;"edit?usp=sharing"",""ชลบุรี!L233"")+IMPORTRANGE(""https://docs.google.com/spreadsheets/d/1hh-FVnSX0vozXhGluamEcS54Dw9_zqW0N7qJUWgJ0Sw/edit?usp=sharing"",""ชัยนาท!L233"")+IMPORTRANGE(""https://docs.google.com/spreadsheets/d/1jkqa6GXxSacMcY1eN8AHjMNJ_7dDXMJ"&amp;"VRLDlaFSOdPM/edit?usp=sharing"",""ตราด!L233"")+IMPORTRANGE(""https://docs.google.com/spreadsheets/d/18hSgUJ3VwClqi_qtULmmW3cLr0oe3OKaSYoKzdpTsYQ/edit?usp=sharing"",""นครนายก!L233"")+IMPORTRANGE(""https://docs.google.com/spreadsheets/d/1YTZo6WM2dQ6Ix6FSdnL"&amp;"5P7uVnVKu40sxZu975tgG10E/edit?usp=sharing"",""นครปฐม!L233"")+IMPORTRANGE(""https://docs.google.com/spreadsheets/d/1OYoGg4WDg5RIzwGeB10padOxJF9E_Vljuvvct_M7RDo/edit?usp=sharing"",""ปทุมธานี!L233"")+IMPORTRANGE(""https://docs.google.com/spreadsheets/d/1GbCI"&amp;"E4D4wk9FUozzqk7SxfDMxDVBwVmI5zcaVUSzKAc/edit?usp=sharing"",""ประจวบคีรีขันธ์!L233"")+IMPORTRANGE(""https://docs.google.com/spreadsheets/d/1vVf6wykvW_lAyu7Yo9L4hUTqHqIeP_qcVuxCtosJEbg/edit?usp=sharing"",""ปราจีนบุรี!L233"")+IMPORTRANGE(""https://docs.googl"&amp;"e.com/spreadsheets/d/1BIDqLLg5jk3v59G8NlR8rk5xfQDKne0sAvZHSj7TI6I/edit?usp=sharing"",""พระนครศรีอยุธยา!L233"")+IMPORTRANGE(""https://docs.google.com/spreadsheets/d/1YXvxf8Yu6_rV4hTBrwMqAcAnv6DfhUxh5emyM3CJp_w/edit?usp=sharing"",""เพชรบุรี!L233"")+IMPORTRA"&amp;"NGE(""https://docs.google.com/spreadsheets/d/19KBlQQs7uwvsao6t2n-KvW3Ax8J8uRRfZPq1zPbXgKc/edit?usp=sharing"",""ระยอง!L233"")+IMPORTRANGE(""https://docs.google.com/spreadsheets/d/1jQ6P4QcrGM89YfqcC_PxOHGCMq5ezhucwJd8ci-NHng/edit?usp=sharing"",""ราชบุรี!L23"&amp;"3"")+IMPORTRANGE(""https://docs.google.com/spreadsheets/d/1lufeA2cfFqM-elVq2hznhDzC6Pr7wkJ9ZG_sYNGCMCU/edit?usp=sharing"",""ลพบุรี!L233"")+IMPORTRANGE(""https://docs.google.com/spreadsheets/d/10oOiF7loTyfsTkbd4MpaIm0HQ9SwB7IYHdIUvt-U1Uc/edit?usp=sharing"""&amp;",""สระแก้ว!L233"")+IMPORTRANGE(""https://docs.google.com/spreadsheets/d/1xmPlrr1QbdSIKvl1dWUl9K4PjAfSL9oeMr_37QVzcxc/edit?usp=sharing"",""สระบุรี!L233"")+IMPORTRANGE(""https://docs.google.com/spreadsheets/d/1j51vR6CYVGhABJpv6tkstgok82RLpXieLzW1yOY5rHw/edi"&amp;"t?usp=sharing"",""สิงห์บุรี!L233"")+IMPORTRANGE(""https://docs.google.com/spreadsheets/d/1H1EalTWKUSzO4Z1-1CwzoDUaVffgrThEBe2sl74kKG0/edit?usp=sharing"",""สุพรรณบุรี!L233"")+IMPORTRANGE(""https://docs.google.com/spreadsheets/d/1BmIruG_sIrJLYao_Pdr7zVArWsf"&amp;"oBt2692TMi6x_854/edit?usp=sharing"",""อ่างทอง!L233"")"),129000)</f>
        <v>129000</v>
      </c>
      <c r="M233" s="75"/>
      <c r="N233" s="91">
        <f ca="1">IFERROR(__xludf.DUMMYFUNCTION("IMPORTRANGE(""https://docs.google.com/spreadsheets/d/13wPX838HrBrQMCywv1BsuMkt4PEKTChp52zj44s2izQ/edit?usp=sharing"",""กาญจนบุรี!N233"")+IMPORTRANGE(""https://docs.google.com/spreadsheets/d/1ddFKvqj1W1NEiWytbGlB1zMx_ykJDVtmfEQ-6-lIUBA/edit?usp=sharing"","&amp;"""จันทบุรี!N233"")+IMPORTRANGE(""https://docs.google.com/spreadsheets/d/1T1PQvRODqOBZk8BRht_U031fIS1beLA0Ub2CEytj2q0/edit?usp=sharing"",""ฉะเชิงเทรา!N233"")+IMPORTRANGE(""https://docs.google.com/spreadsheets/d/11tr1B-Bhyr79v2bkwVh5h_fR-PStkgjlZtkrZpYurG0/"&amp;"edit?usp=sharing"",""ชลบุรี!N233"")+IMPORTRANGE(""https://docs.google.com/spreadsheets/d/1hh-FVnSX0vozXhGluamEcS54Dw9_zqW0N7qJUWgJ0Sw/edit?usp=sharing"",""ชัยนาท!N233"")+IMPORTRANGE(""https://docs.google.com/spreadsheets/d/1jkqa6GXxSacMcY1eN8AHjMNJ_7dDXMJ"&amp;"VRLDlaFSOdPM/edit?usp=sharing"",""ตราด!N233"")+IMPORTRANGE(""https://docs.google.com/spreadsheets/d/18hSgUJ3VwClqi_qtULmmW3cLr0oe3OKaSYoKzdpTsYQ/edit?usp=sharing"",""นครนายก!N233"")+IMPORTRANGE(""https://docs.google.com/spreadsheets/d/1YTZo6WM2dQ6Ix6FSdnL"&amp;"5P7uVnVKu40sxZu975tgG10E/edit?usp=sharing"",""นครปฐม!N233"")+IMPORTRANGE(""https://docs.google.com/spreadsheets/d/1OYoGg4WDg5RIzwGeB10padOxJF9E_Vljuvvct_M7RDo/edit?usp=sharing"",""ปทุมธานี!N233"")+IMPORTRANGE(""https://docs.google.com/spreadsheets/d/1GbCI"&amp;"E4D4wk9FUozzqk7SxfDMxDVBwVmI5zcaVUSzKAc/edit?usp=sharing"",""ประจวบคีรีขันธ์!N233"")+IMPORTRANGE(""https://docs.google.com/spreadsheets/d/1vVf6wykvW_lAyu7Yo9L4hUTqHqIeP_qcVuxCtosJEbg/edit?usp=sharing"",""ปราจีนบุรี!N233"")+IMPORTRANGE(""https://docs.googl"&amp;"e.com/spreadsheets/d/1BIDqLLg5jk3v59G8NlR8rk5xfQDKne0sAvZHSj7TI6I/edit?usp=sharing"",""พระนครศรีอยุธยา!N233"")+IMPORTRANGE(""https://docs.google.com/spreadsheets/d/1YXvxf8Yu6_rV4hTBrwMqAcAnv6DfhUxh5emyM3CJp_w/edit?usp=sharing"",""เพชรบุรี!N233"")+IMPORTRA"&amp;"NGE(""https://docs.google.com/spreadsheets/d/19KBlQQs7uwvsao6t2n-KvW3Ax8J8uRRfZPq1zPbXgKc/edit?usp=sharing"",""ระยอง!N233"")+IMPORTRANGE(""https://docs.google.com/spreadsheets/d/1jQ6P4QcrGM89YfqcC_PxOHGCMq5ezhucwJd8ci-NHng/edit?usp=sharing"",""ราชบุรี!N23"&amp;"3"")+IMPORTRANGE(""https://docs.google.com/spreadsheets/d/1lufeA2cfFqM-elVq2hznhDzC6Pr7wkJ9ZG_sYNGCMCU/edit?usp=sharing"",""ลพบุรี!N233"")+IMPORTRANGE(""https://docs.google.com/spreadsheets/d/10oOiF7loTyfsTkbd4MpaIm0HQ9SwB7IYHdIUvt-U1Uc/edit?usp=sharing"""&amp;",""สระแก้ว!N233"")+IMPORTRANGE(""https://docs.google.com/spreadsheets/d/1xmPlrr1QbdSIKvl1dWUl9K4PjAfSL9oeMr_37QVzcxc/edit?usp=sharing"",""สระบุรี!N233"")+IMPORTRANGE(""https://docs.google.com/spreadsheets/d/1j51vR6CYVGhABJpv6tkstgok82RLpXieLzW1yOY5rHw/edi"&amp;"t?usp=sharing"",""สิงห์บุรี!N233"")+IMPORTRANGE(""https://docs.google.com/spreadsheets/d/1H1EalTWKUSzO4Z1-1CwzoDUaVffgrThEBe2sl74kKG0/edit?usp=sharing"",""สุพรรณบุรี!N233"")+IMPORTRANGE(""https://docs.google.com/spreadsheets/d/1BmIruG_sIrJLYao_Pdr7zVArWsf"&amp;"oBt2692TMi6x_854/edit?usp=sharing"",""อ่างทอง!N233"")"),49188)</f>
        <v>49188</v>
      </c>
      <c r="O233" s="75"/>
      <c r="P233" s="75"/>
      <c r="Q233" s="76">
        <v>0</v>
      </c>
      <c r="R233" s="90"/>
      <c r="S233" s="77">
        <v>0</v>
      </c>
      <c r="T233" s="231"/>
      <c r="U233" s="90"/>
    </row>
    <row r="234" spans="1:21" ht="18.75" x14ac:dyDescent="0.25">
      <c r="A234" s="368"/>
      <c r="B234" s="371"/>
      <c r="C234" s="371"/>
      <c r="D234" s="78" t="s">
        <v>88</v>
      </c>
      <c r="E234" s="70"/>
      <c r="F234" s="70"/>
      <c r="G234" s="72"/>
      <c r="H234" s="220" t="s">
        <v>14</v>
      </c>
      <c r="I234" s="74"/>
      <c r="J234" s="74"/>
      <c r="K234" s="75"/>
      <c r="L234" s="91">
        <f ca="1">IFERROR(__xludf.DUMMYFUNCTION("IMPORTRANGE(""https://docs.google.com/spreadsheets/d/13wPX838HrBrQMCywv1BsuMkt4PEKTChp52zj44s2izQ/edit?usp=sharing"",""กาญจนบุรี!L234"")+IMPORTRANGE(""https://docs.google.com/spreadsheets/d/1ddFKvqj1W1NEiWytbGlB1zMx_ykJDVtmfEQ-6-lIUBA/edit?usp=sharing"","&amp;"""จันทบุรี!L234"")+IMPORTRANGE(""https://docs.google.com/spreadsheets/d/1T1PQvRODqOBZk8BRht_U031fIS1beLA0Ub2CEytj2q0/edit?usp=sharing"",""ฉะเชิงเทรา!L234"")+IMPORTRANGE(""https://docs.google.com/spreadsheets/d/11tr1B-Bhyr79v2bkwVh5h_fR-PStkgjlZtkrZpYurG0/"&amp;"edit?usp=sharing"",""ชลบุรี!L234"")+IMPORTRANGE(""https://docs.google.com/spreadsheets/d/1hh-FVnSX0vozXhGluamEcS54Dw9_zqW0N7qJUWgJ0Sw/edit?usp=sharing"",""ชัยนาท!L234"")+IMPORTRANGE(""https://docs.google.com/spreadsheets/d/1jkqa6GXxSacMcY1eN8AHjMNJ_7dDXMJ"&amp;"VRLDlaFSOdPM/edit?usp=sharing"",""ตราด!L234"")+IMPORTRANGE(""https://docs.google.com/spreadsheets/d/18hSgUJ3VwClqi_qtULmmW3cLr0oe3OKaSYoKzdpTsYQ/edit?usp=sharing"",""นครนายก!L234"")+IMPORTRANGE(""https://docs.google.com/spreadsheets/d/1YTZo6WM2dQ6Ix6FSdnL"&amp;"5P7uVnVKu40sxZu975tgG10E/edit?usp=sharing"",""นครปฐม!L234"")+IMPORTRANGE(""https://docs.google.com/spreadsheets/d/1OYoGg4WDg5RIzwGeB10padOxJF9E_Vljuvvct_M7RDo/edit?usp=sharing"",""ปทุมธานี!L234"")+IMPORTRANGE(""https://docs.google.com/spreadsheets/d/1GbCI"&amp;"E4D4wk9FUozzqk7SxfDMxDVBwVmI5zcaVUSzKAc/edit?usp=sharing"",""ประจวบคีรีขันธ์!L234"")+IMPORTRANGE(""https://docs.google.com/spreadsheets/d/1vVf6wykvW_lAyu7Yo9L4hUTqHqIeP_qcVuxCtosJEbg/edit?usp=sharing"",""ปราจีนบุรี!L234"")+IMPORTRANGE(""https://docs.googl"&amp;"e.com/spreadsheets/d/1BIDqLLg5jk3v59G8NlR8rk5xfQDKne0sAvZHSj7TI6I/edit?usp=sharing"",""พระนครศรีอยุธยา!L234"")+IMPORTRANGE(""https://docs.google.com/spreadsheets/d/1YXvxf8Yu6_rV4hTBrwMqAcAnv6DfhUxh5emyM3CJp_w/edit?usp=sharing"",""เพชรบุรี!L234"")+IMPORTRA"&amp;"NGE(""https://docs.google.com/spreadsheets/d/19KBlQQs7uwvsao6t2n-KvW3Ax8J8uRRfZPq1zPbXgKc/edit?usp=sharing"",""ระยอง!L234"")+IMPORTRANGE(""https://docs.google.com/spreadsheets/d/1jQ6P4QcrGM89YfqcC_PxOHGCMq5ezhucwJd8ci-NHng/edit?usp=sharing"",""ราชบุรี!L23"&amp;"4"")+IMPORTRANGE(""https://docs.google.com/spreadsheets/d/1lufeA2cfFqM-elVq2hznhDzC6Pr7wkJ9ZG_sYNGCMCU/edit?usp=sharing"",""ลพบุรี!L234"")+IMPORTRANGE(""https://docs.google.com/spreadsheets/d/10oOiF7loTyfsTkbd4MpaIm0HQ9SwB7IYHdIUvt-U1Uc/edit?usp=sharing"""&amp;",""สระแก้ว!L234"")+IMPORTRANGE(""https://docs.google.com/spreadsheets/d/1xmPlrr1QbdSIKvl1dWUl9K4PjAfSL9oeMr_37QVzcxc/edit?usp=sharing"",""สระบุรี!L234"")+IMPORTRANGE(""https://docs.google.com/spreadsheets/d/1j51vR6CYVGhABJpv6tkstgok82RLpXieLzW1yOY5rHw/edi"&amp;"t?usp=sharing"",""สิงห์บุรี!L234"")+IMPORTRANGE(""https://docs.google.com/spreadsheets/d/1H1EalTWKUSzO4Z1-1CwzoDUaVffgrThEBe2sl74kKG0/edit?usp=sharing"",""สุพรรณบุรี!L234"")+IMPORTRANGE(""https://docs.google.com/spreadsheets/d/1BmIruG_sIrJLYao_Pdr7zVArWsf"&amp;"oBt2692TMi6x_854/edit?usp=sharing"",""อ่างทอง!L234"")"),91000)</f>
        <v>91000</v>
      </c>
      <c r="M234" s="75"/>
      <c r="N234" s="91">
        <f ca="1">IFERROR(__xludf.DUMMYFUNCTION("IMPORTRANGE(""https://docs.google.com/spreadsheets/d/13wPX838HrBrQMCywv1BsuMkt4PEKTChp52zj44s2izQ/edit?usp=sharing"",""กาญจนบุรี!N234"")+IMPORTRANGE(""https://docs.google.com/spreadsheets/d/1ddFKvqj1W1NEiWytbGlB1zMx_ykJDVtmfEQ-6-lIUBA/edit?usp=sharing"","&amp;"""จันทบุรี!N234"")+IMPORTRANGE(""https://docs.google.com/spreadsheets/d/1T1PQvRODqOBZk8BRht_U031fIS1beLA0Ub2CEytj2q0/edit?usp=sharing"",""ฉะเชิงเทรา!N234"")+IMPORTRANGE(""https://docs.google.com/spreadsheets/d/11tr1B-Bhyr79v2bkwVh5h_fR-PStkgjlZtkrZpYurG0/"&amp;"edit?usp=sharing"",""ชลบุรี!N234"")+IMPORTRANGE(""https://docs.google.com/spreadsheets/d/1hh-FVnSX0vozXhGluamEcS54Dw9_zqW0N7qJUWgJ0Sw/edit?usp=sharing"",""ชัยนาท!N234"")+IMPORTRANGE(""https://docs.google.com/spreadsheets/d/1jkqa6GXxSacMcY1eN8AHjMNJ_7dDXMJ"&amp;"VRLDlaFSOdPM/edit?usp=sharing"",""ตราด!N234"")+IMPORTRANGE(""https://docs.google.com/spreadsheets/d/18hSgUJ3VwClqi_qtULmmW3cLr0oe3OKaSYoKzdpTsYQ/edit?usp=sharing"",""นครนายก!N234"")+IMPORTRANGE(""https://docs.google.com/spreadsheets/d/1YTZo6WM2dQ6Ix6FSdnL"&amp;"5P7uVnVKu40sxZu975tgG10E/edit?usp=sharing"",""นครปฐม!N234"")+IMPORTRANGE(""https://docs.google.com/spreadsheets/d/1OYoGg4WDg5RIzwGeB10padOxJF9E_Vljuvvct_M7RDo/edit?usp=sharing"",""ปทุมธานี!N234"")+IMPORTRANGE(""https://docs.google.com/spreadsheets/d/1GbCI"&amp;"E4D4wk9FUozzqk7SxfDMxDVBwVmI5zcaVUSzKAc/edit?usp=sharing"",""ประจวบคีรีขันธ์!N234"")+IMPORTRANGE(""https://docs.google.com/spreadsheets/d/1vVf6wykvW_lAyu7Yo9L4hUTqHqIeP_qcVuxCtosJEbg/edit?usp=sharing"",""ปราจีนบุรี!N234"")+IMPORTRANGE(""https://docs.googl"&amp;"e.com/spreadsheets/d/1BIDqLLg5jk3v59G8NlR8rk5xfQDKne0sAvZHSj7TI6I/edit?usp=sharing"",""พระนครศรีอยุธยา!N234"")+IMPORTRANGE(""https://docs.google.com/spreadsheets/d/1YXvxf8Yu6_rV4hTBrwMqAcAnv6DfhUxh5emyM3CJp_w/edit?usp=sharing"",""เพชรบุรี!N234"")+IMPORTRA"&amp;"NGE(""https://docs.google.com/spreadsheets/d/19KBlQQs7uwvsao6t2n-KvW3Ax8J8uRRfZPq1zPbXgKc/edit?usp=sharing"",""ระยอง!N234"")+IMPORTRANGE(""https://docs.google.com/spreadsheets/d/1jQ6P4QcrGM89YfqcC_PxOHGCMq5ezhucwJd8ci-NHng/edit?usp=sharing"",""ราชบุรี!N23"&amp;"4"")+IMPORTRANGE(""https://docs.google.com/spreadsheets/d/1lufeA2cfFqM-elVq2hznhDzC6Pr7wkJ9ZG_sYNGCMCU/edit?usp=sharing"",""ลพบุรี!N234"")+IMPORTRANGE(""https://docs.google.com/spreadsheets/d/10oOiF7loTyfsTkbd4MpaIm0HQ9SwB7IYHdIUvt-U1Uc/edit?usp=sharing"""&amp;",""สระแก้ว!N234"")+IMPORTRANGE(""https://docs.google.com/spreadsheets/d/1xmPlrr1QbdSIKvl1dWUl9K4PjAfSL9oeMr_37QVzcxc/edit?usp=sharing"",""สระบุรี!N234"")+IMPORTRANGE(""https://docs.google.com/spreadsheets/d/1j51vR6CYVGhABJpv6tkstgok82RLpXieLzW1yOY5rHw/edi"&amp;"t?usp=sharing"",""สิงห์บุรี!N234"")+IMPORTRANGE(""https://docs.google.com/spreadsheets/d/1H1EalTWKUSzO4Z1-1CwzoDUaVffgrThEBe2sl74kKG0/edit?usp=sharing"",""สุพรรณบุรี!N234"")+IMPORTRANGE(""https://docs.google.com/spreadsheets/d/1BmIruG_sIrJLYao_Pdr7zVArWsf"&amp;"oBt2692TMi6x_854/edit?usp=sharing"",""อ่างทอง!N234"")"),80720)</f>
        <v>80720</v>
      </c>
      <c r="O234" s="75"/>
      <c r="P234" s="75"/>
      <c r="Q234" s="76">
        <v>0</v>
      </c>
      <c r="R234" s="90"/>
      <c r="S234" s="77">
        <v>0</v>
      </c>
      <c r="T234" s="231"/>
      <c r="U234" s="90"/>
    </row>
    <row r="235" spans="1:21" ht="18.75" x14ac:dyDescent="0.25">
      <c r="A235" s="368"/>
      <c r="B235" s="371"/>
      <c r="C235" s="371"/>
      <c r="D235" s="78" t="s">
        <v>106</v>
      </c>
      <c r="E235" s="70"/>
      <c r="F235" s="70"/>
      <c r="G235" s="72"/>
      <c r="H235" s="220" t="s">
        <v>14</v>
      </c>
      <c r="I235" s="74"/>
      <c r="J235" s="74"/>
      <c r="K235" s="75"/>
      <c r="L235" s="91">
        <f ca="1">IFERROR(__xludf.DUMMYFUNCTION("IMPORTRANGE(""https://docs.google.com/spreadsheets/d/13wPX838HrBrQMCywv1BsuMkt4PEKTChp52zj44s2izQ/edit?usp=sharing"",""กาญจนบุรี!L235"")+IMPORTRANGE(""https://docs.google.com/spreadsheets/d/1ddFKvqj1W1NEiWytbGlB1zMx_ykJDVtmfEQ-6-lIUBA/edit?usp=sharing"","&amp;"""จันทบุรี!L235"")+IMPORTRANGE(""https://docs.google.com/spreadsheets/d/1T1PQvRODqOBZk8BRht_U031fIS1beLA0Ub2CEytj2q0/edit?usp=sharing"",""ฉะเชิงเทรา!L235"")+IMPORTRANGE(""https://docs.google.com/spreadsheets/d/11tr1B-Bhyr79v2bkwVh5h_fR-PStkgjlZtkrZpYurG0/"&amp;"edit?usp=sharing"",""ชลบุรี!L235"")+IMPORTRANGE(""https://docs.google.com/spreadsheets/d/1hh-FVnSX0vozXhGluamEcS54Dw9_zqW0N7qJUWgJ0Sw/edit?usp=sharing"",""ชัยนาท!L235"")+IMPORTRANGE(""https://docs.google.com/spreadsheets/d/1jkqa6GXxSacMcY1eN8AHjMNJ_7dDXMJ"&amp;"VRLDlaFSOdPM/edit?usp=sharing"",""ตราด!L235"")+IMPORTRANGE(""https://docs.google.com/spreadsheets/d/18hSgUJ3VwClqi_qtULmmW3cLr0oe3OKaSYoKzdpTsYQ/edit?usp=sharing"",""นครนายก!L235"")+IMPORTRANGE(""https://docs.google.com/spreadsheets/d/1YTZo6WM2dQ6Ix6FSdnL"&amp;"5P7uVnVKu40sxZu975tgG10E/edit?usp=sharing"",""นครปฐม!L235"")+IMPORTRANGE(""https://docs.google.com/spreadsheets/d/1OYoGg4WDg5RIzwGeB10padOxJF9E_Vljuvvct_M7RDo/edit?usp=sharing"",""ปทุมธานี!L235"")+IMPORTRANGE(""https://docs.google.com/spreadsheets/d/1GbCI"&amp;"E4D4wk9FUozzqk7SxfDMxDVBwVmI5zcaVUSzKAc/edit?usp=sharing"",""ประจวบคีรีขันธ์!L235"")+IMPORTRANGE(""https://docs.google.com/spreadsheets/d/1vVf6wykvW_lAyu7Yo9L4hUTqHqIeP_qcVuxCtosJEbg/edit?usp=sharing"",""ปราจีนบุรี!L235"")+IMPORTRANGE(""https://docs.googl"&amp;"e.com/spreadsheets/d/1BIDqLLg5jk3v59G8NlR8rk5xfQDKne0sAvZHSj7TI6I/edit?usp=sharing"",""พระนครศรีอยุธยา!L235"")+IMPORTRANGE(""https://docs.google.com/spreadsheets/d/1YXvxf8Yu6_rV4hTBrwMqAcAnv6DfhUxh5emyM3CJp_w/edit?usp=sharing"",""เพชรบุรี!L235"")+IMPORTRA"&amp;"NGE(""https://docs.google.com/spreadsheets/d/19KBlQQs7uwvsao6t2n-KvW3Ax8J8uRRfZPq1zPbXgKc/edit?usp=sharing"",""ระยอง!L235"")+IMPORTRANGE(""https://docs.google.com/spreadsheets/d/1jQ6P4QcrGM89YfqcC_PxOHGCMq5ezhucwJd8ci-NHng/edit?usp=sharing"",""ราชบุรี!L23"&amp;"5"")+IMPORTRANGE(""https://docs.google.com/spreadsheets/d/1lufeA2cfFqM-elVq2hznhDzC6Pr7wkJ9ZG_sYNGCMCU/edit?usp=sharing"",""ลพบุรี!L235"")+IMPORTRANGE(""https://docs.google.com/spreadsheets/d/10oOiF7loTyfsTkbd4MpaIm0HQ9SwB7IYHdIUvt-U1Uc/edit?usp=sharing"""&amp;",""สระแก้ว!L235"")+IMPORTRANGE(""https://docs.google.com/spreadsheets/d/1xmPlrr1QbdSIKvl1dWUl9K4PjAfSL9oeMr_37QVzcxc/edit?usp=sharing"",""สระบุรี!L235"")+IMPORTRANGE(""https://docs.google.com/spreadsheets/d/1j51vR6CYVGhABJpv6tkstgok82RLpXieLzW1yOY5rHw/edi"&amp;"t?usp=sharing"",""สิงห์บุรี!L235"")+IMPORTRANGE(""https://docs.google.com/spreadsheets/d/1H1EalTWKUSzO4Z1-1CwzoDUaVffgrThEBe2sl74kKG0/edit?usp=sharing"",""สุพรรณบุรี!L235"")+IMPORTRANGE(""https://docs.google.com/spreadsheets/d/1BmIruG_sIrJLYao_Pdr7zVArWsf"&amp;"oBt2692TMi6x_854/edit?usp=sharing"",""อ่างทอง!L235"")"),397900)</f>
        <v>397900</v>
      </c>
      <c r="M235" s="75"/>
      <c r="N235" s="91">
        <f ca="1">IFERROR(__xludf.DUMMYFUNCTION("IMPORTRANGE(""https://docs.google.com/spreadsheets/d/13wPX838HrBrQMCywv1BsuMkt4PEKTChp52zj44s2izQ/edit?usp=sharing"",""กาญจนบุรี!N235"")+IMPORTRANGE(""https://docs.google.com/spreadsheets/d/1ddFKvqj1W1NEiWytbGlB1zMx_ykJDVtmfEQ-6-lIUBA/edit?usp=sharing"","&amp;"""จันทบุรี!N235"")+IMPORTRANGE(""https://docs.google.com/spreadsheets/d/1T1PQvRODqOBZk8BRht_U031fIS1beLA0Ub2CEytj2q0/edit?usp=sharing"",""ฉะเชิงเทรา!N235"")+IMPORTRANGE(""https://docs.google.com/spreadsheets/d/11tr1B-Bhyr79v2bkwVh5h_fR-PStkgjlZtkrZpYurG0/"&amp;"edit?usp=sharing"",""ชลบุรี!N235"")+IMPORTRANGE(""https://docs.google.com/spreadsheets/d/1hh-FVnSX0vozXhGluamEcS54Dw9_zqW0N7qJUWgJ0Sw/edit?usp=sharing"",""ชัยนาท!N235"")+IMPORTRANGE(""https://docs.google.com/spreadsheets/d/1jkqa6GXxSacMcY1eN8AHjMNJ_7dDXMJ"&amp;"VRLDlaFSOdPM/edit?usp=sharing"",""ตราด!N235"")+IMPORTRANGE(""https://docs.google.com/spreadsheets/d/18hSgUJ3VwClqi_qtULmmW3cLr0oe3OKaSYoKzdpTsYQ/edit?usp=sharing"",""นครนายก!N235"")+IMPORTRANGE(""https://docs.google.com/spreadsheets/d/1YTZo6WM2dQ6Ix6FSdnL"&amp;"5P7uVnVKu40sxZu975tgG10E/edit?usp=sharing"",""นครปฐม!N235"")+IMPORTRANGE(""https://docs.google.com/spreadsheets/d/1OYoGg4WDg5RIzwGeB10padOxJF9E_Vljuvvct_M7RDo/edit?usp=sharing"",""ปทุมธานี!N235"")+IMPORTRANGE(""https://docs.google.com/spreadsheets/d/1GbCI"&amp;"E4D4wk9FUozzqk7SxfDMxDVBwVmI5zcaVUSzKAc/edit?usp=sharing"",""ประจวบคีรีขันธ์!N235"")+IMPORTRANGE(""https://docs.google.com/spreadsheets/d/1vVf6wykvW_lAyu7Yo9L4hUTqHqIeP_qcVuxCtosJEbg/edit?usp=sharing"",""ปราจีนบุรี!N235"")+IMPORTRANGE(""https://docs.googl"&amp;"e.com/spreadsheets/d/1BIDqLLg5jk3v59G8NlR8rk5xfQDKne0sAvZHSj7TI6I/edit?usp=sharing"",""พระนครศรีอยุธยา!N235"")+IMPORTRANGE(""https://docs.google.com/spreadsheets/d/1YXvxf8Yu6_rV4hTBrwMqAcAnv6DfhUxh5emyM3CJp_w/edit?usp=sharing"",""เพชรบุรี!N235"")+IMPORTRA"&amp;"NGE(""https://docs.google.com/spreadsheets/d/19KBlQQs7uwvsao6t2n-KvW3Ax8J8uRRfZPq1zPbXgKc/edit?usp=sharing"",""ระยอง!N235"")+IMPORTRANGE(""https://docs.google.com/spreadsheets/d/1jQ6P4QcrGM89YfqcC_PxOHGCMq5ezhucwJd8ci-NHng/edit?usp=sharing"",""ราชบุรี!N23"&amp;"5"")+IMPORTRANGE(""https://docs.google.com/spreadsheets/d/1lufeA2cfFqM-elVq2hznhDzC6Pr7wkJ9ZG_sYNGCMCU/edit?usp=sharing"",""ลพบุรี!N235"")+IMPORTRANGE(""https://docs.google.com/spreadsheets/d/10oOiF7loTyfsTkbd4MpaIm0HQ9SwB7IYHdIUvt-U1Uc/edit?usp=sharing"""&amp;",""สระแก้ว!N235"")+IMPORTRANGE(""https://docs.google.com/spreadsheets/d/1xmPlrr1QbdSIKvl1dWUl9K4PjAfSL9oeMr_37QVzcxc/edit?usp=sharing"",""สระบุรี!N235"")+IMPORTRANGE(""https://docs.google.com/spreadsheets/d/1j51vR6CYVGhABJpv6tkstgok82RLpXieLzW1yOY5rHw/edi"&amp;"t?usp=sharing"",""สิงห์บุรี!N235"")+IMPORTRANGE(""https://docs.google.com/spreadsheets/d/1H1EalTWKUSzO4Z1-1CwzoDUaVffgrThEBe2sl74kKG0/edit?usp=sharing"",""สุพรรณบุรี!N235"")+IMPORTRANGE(""https://docs.google.com/spreadsheets/d/1BmIruG_sIrJLYao_Pdr7zVArWsf"&amp;"oBt2692TMi6x_854/edit?usp=sharing"",""อ่างทอง!N235"")"),361815)</f>
        <v>361815</v>
      </c>
      <c r="O235" s="75"/>
      <c r="P235" s="75"/>
      <c r="Q235" s="76">
        <f ca="1">IFERROR(__xludf.DUMMYFUNCTION("IMPORTRANGE(""https://docs.google.com/spreadsheets/d/13wPX838HrBrQMCywv1BsuMkt4PEKTChp52zj44s2izQ/edit?usp=sharing"",""กาญจนบุรี!Q235"")+IMPORTRANGE(""https://docs.google.com/spreadsheets/d/1ddFKvqj1W1NEiWytbGlB1zMx_ykJDVtmfEQ-6-lIUBA/edit?usp=sharing"","&amp;"""จันทบุรี!Q235"")+IMPORTRANGE(""https://docs.google.com/spreadsheets/d/1T1PQvRODqOBZk8BRht_U031fIS1beLA0Ub2CEytj2q0/edit?usp=sharing"",""ฉะเชิงเทรา!Q235"")+IMPORTRANGE(""https://docs.google.com/spreadsheets/d/11tr1B-Bhyr79v2bkwVh5h_fR-PStkgjlZtkrZpYurG0/"&amp;"edit?usp=sharing"",""ชลบุรี!Q235"")+IMPORTRANGE(""https://docs.google.com/spreadsheets/d/1hh-FVnSX0vozXhGluamEcS54Dw9_zqW0N7qJUWgJ0Sw/edit?usp=sharing"",""ชัยนาท!Q235"")+IMPORTRANGE(""https://docs.google.com/spreadsheets/d/1jkqa6GXxSacMcY1eN8AHjMNJ_7dDXMJ"&amp;"VRLDlaFSOdPM/edit?usp=sharing"",""ตราด!Q235"")+IMPORTRANGE(""https://docs.google.com/spreadsheets/d/18hSgUJ3VwClqi_qtULmmW3cLr0oe3OKaSYoKzdpTsYQ/edit?usp=sharing"",""นครนายก!Q235"")+IMPORTRANGE(""https://docs.google.com/spreadsheets/d/1YTZo6WM2dQ6Ix6FSdnL"&amp;"5P7uVnVKu40sxZu975tgG10E/edit?usp=sharing"",""นครปฐม!Q235"")+IMPORTRANGE(""https://docs.google.com/spreadsheets/d/1OYoGg4WDg5RIzwGeB10padOxJF9E_Vljuvvct_M7RDo/edit?usp=sharing"",""ปทุมธานี!Q235"")+IMPORTRANGE(""https://docs.google.com/spreadsheets/d/1GbCI"&amp;"E4D4wk9FUozzqk7SxfDMxDVBwVmI5zcaVUSzKAc/edit?usp=sharing"",""ประจวบคีรีขันธ์!Q235"")+IMPORTRANGE(""https://docs.google.com/spreadsheets/d/1vVf6wykvW_lAyu7Yo9L4hUTqHqIeP_qcVuxCtosJEbg/edit?usp=sharing"",""ปราจีนบุรี!Q235"")+IMPORTRANGE(""https://docs.googl"&amp;"e.com/spreadsheets/d/1BIDqLLg5jk3v59G8NlR8rk5xfQDKne0sAvZHSj7TI6I/edit?usp=sharing"",""พระนครศรีอยุธยา!Q235"")+IMPORTRANGE(""https://docs.google.com/spreadsheets/d/1YXvxf8Yu6_rV4hTBrwMqAcAnv6DfhUxh5emyM3CJp_w/edit?usp=sharing"",""เพชรบุรี!Q235"")+IMPORTRA"&amp;"NGE(""https://docs.google.com/spreadsheets/d/19KBlQQs7uwvsao6t2n-KvW3Ax8J8uRRfZPq1zPbXgKc/edit?usp=sharing"",""ระยอง!Q235"")+IMPORTRANGE(""https://docs.google.com/spreadsheets/d/1jQ6P4QcrGM89YfqcC_PxOHGCMq5ezhucwJd8ci-NHng/edit?usp=sharing"",""ราชบุรี!Q23"&amp;"5"")+IMPORTRANGE(""https://docs.google.com/spreadsheets/d/1lufeA2cfFqM-elVq2hznhDzC6Pr7wkJ9ZG_sYNGCMCU/edit?usp=sharing"",""ลพบุรี!Q235"")+IMPORTRANGE(""https://docs.google.com/spreadsheets/d/10oOiF7loTyfsTkbd4MpaIm0HQ9SwB7IYHdIUvt-U1Uc/edit?usp=sharing"""&amp;",""สระแก้ว!Q235"")+IMPORTRANGE(""https://docs.google.com/spreadsheets/d/1xmPlrr1QbdSIKvl1dWUl9K4PjAfSL9oeMr_37QVzcxc/edit?usp=sharing"",""สระบุรี!Q235"")+IMPORTRANGE(""https://docs.google.com/spreadsheets/d/1j51vR6CYVGhABJpv6tkstgok82RLpXieLzW1yOY5rHw/edi"&amp;"t?usp=sharing"",""สิงห์บุรี!Q235"")+IMPORTRANGE(""https://docs.google.com/spreadsheets/d/1H1EalTWKUSzO4Z1-1CwzoDUaVffgrThEBe2sl74kKG0/edit?usp=sharing"",""สุพรรณบุรี!Q235"")+IMPORTRANGE(""https://docs.google.com/spreadsheets/d/1BmIruG_sIrJLYao_Pdr7zVArWsf"&amp;"oBt2692TMi6x_854/edit?usp=sharing"",""อ่างทอง!Q235"")"),0)</f>
        <v>0</v>
      </c>
      <c r="R235" s="90"/>
      <c r="S235" s="391">
        <f ca="1">IFERROR(__xludf.DUMMYFUNCTION("IMPORTRANGE(""https://docs.google.com/spreadsheets/d/13wPX838HrBrQMCywv1BsuMkt4PEKTChp52zj44s2izQ/edit?usp=sharing"",""กาญจนบุรี!S235"")+IMPORTRANGE(""https://docs.google.com/spreadsheets/d/1ddFKvqj1W1NEiWytbGlB1zMx_ykJDVtmfEQ-6-lIUBA/edit?usp=sharing"","&amp;"""จันทบุรี!S235"")+IMPORTRANGE(""https://docs.google.com/spreadsheets/d/1T1PQvRODqOBZk8BRht_U031fIS1beLA0Ub2CEytj2q0/edit?usp=sharing"",""ฉะเชิงเทรา!S235"")+IMPORTRANGE(""https://docs.google.com/spreadsheets/d/11tr1B-Bhyr79v2bkwVh5h_fR-PStkgjlZtkrZpYurG0/"&amp;"edit?usp=sharing"",""ชลบุรี!S235"")+IMPORTRANGE(""https://docs.google.com/spreadsheets/d/1hh-FVnSX0vozXhGluamEcS54Dw9_zqW0N7qJUWgJ0Sw/edit?usp=sharing"",""ชัยนาท!S235"")+IMPORTRANGE(""https://docs.google.com/spreadsheets/d/1jkqa6GXxSacMcY1eN8AHjMNJ_7dDXMJ"&amp;"VRLDlaFSOdPM/edit?usp=sharing"",""ตราด!S235"")+IMPORTRANGE(""https://docs.google.com/spreadsheets/d/18hSgUJ3VwClqi_qtULmmW3cLr0oe3OKaSYoKzdpTsYQ/edit?usp=sharing"",""นครนายก!S235"")+IMPORTRANGE(""https://docs.google.com/spreadsheets/d/1YTZo6WM2dQ6Ix6FSdnL"&amp;"5P7uVnVKu40sxZu975tgG10E/edit?usp=sharing"",""นครปฐม!S235"")+IMPORTRANGE(""https://docs.google.com/spreadsheets/d/1OYoGg4WDg5RIzwGeB10padOxJF9E_Vljuvvct_M7RDo/edit?usp=sharing"",""ปทุมธานี!S235"")+IMPORTRANGE(""https://docs.google.com/spreadsheets/d/1GbCI"&amp;"E4D4wk9FUozzqk7SxfDMxDVBwVmI5zcaVUSzKAc/edit?usp=sharing"",""ประจวบคีรีขันธ์!S235"")+IMPORTRANGE(""https://docs.google.com/spreadsheets/d/1vVf6wykvW_lAyu7Yo9L4hUTqHqIeP_qcVuxCtosJEbg/edit?usp=sharing"",""ปราจีนบุรี!S235"")+IMPORTRANGE(""https://docs.googl"&amp;"e.com/spreadsheets/d/1BIDqLLg5jk3v59G8NlR8rk5xfQDKne0sAvZHSj7TI6I/edit?usp=sharing"",""พระนครศรีอยุธยา!S235"")+IMPORTRANGE(""https://docs.google.com/spreadsheets/d/1YXvxf8Yu6_rV4hTBrwMqAcAnv6DfhUxh5emyM3CJp_w/edit?usp=sharing"",""เพชรบุรี!S235"")+IMPORTRA"&amp;"NGE(""https://docs.google.com/spreadsheets/d/19KBlQQs7uwvsao6t2n-KvW3Ax8J8uRRfZPq1zPbXgKc/edit?usp=sharing"",""ระยอง!S235"")+IMPORTRANGE(""https://docs.google.com/spreadsheets/d/1jQ6P4QcrGM89YfqcC_PxOHGCMq5ezhucwJd8ci-NHng/edit?usp=sharing"",""ราชบุรี!S23"&amp;"5"")+IMPORTRANGE(""https://docs.google.com/spreadsheets/d/1lufeA2cfFqM-elVq2hznhDzC6Pr7wkJ9ZG_sYNGCMCU/edit?usp=sharing"",""ลพบุรี!S235"")+IMPORTRANGE(""https://docs.google.com/spreadsheets/d/10oOiF7loTyfsTkbd4MpaIm0HQ9SwB7IYHdIUvt-U1Uc/edit?usp=sharing"""&amp;",""สระแก้ว!S235"")+IMPORTRANGE(""https://docs.google.com/spreadsheets/d/1xmPlrr1QbdSIKvl1dWUl9K4PjAfSL9oeMr_37QVzcxc/edit?usp=sharing"",""สระบุรี!S235"")+IMPORTRANGE(""https://docs.google.com/spreadsheets/d/1j51vR6CYVGhABJpv6tkstgok82RLpXieLzW1yOY5rHw/edi"&amp;"t?usp=sharing"",""สิงห์บุรี!S235"")+IMPORTRANGE(""https://docs.google.com/spreadsheets/d/1H1EalTWKUSzO4Z1-1CwzoDUaVffgrThEBe2sl74kKG0/edit?usp=sharing"",""สุพรรณบุรี!S235"")+IMPORTRANGE(""https://docs.google.com/spreadsheets/d/1BmIruG_sIrJLYao_Pdr7zVArWsf"&amp;"oBt2692TMi6x_854/edit?usp=sharing"",""อ่างทอง!S235"")"),0)</f>
        <v>0</v>
      </c>
      <c r="T235" s="231"/>
      <c r="U235" s="90"/>
    </row>
    <row r="236" spans="1:21" ht="18.75" x14ac:dyDescent="0.25">
      <c r="A236" s="368"/>
      <c r="B236" s="371"/>
      <c r="C236" s="371"/>
      <c r="D236" s="78" t="s">
        <v>107</v>
      </c>
      <c r="E236" s="70"/>
      <c r="F236" s="70"/>
      <c r="G236" s="72"/>
      <c r="H236" s="220" t="s">
        <v>14</v>
      </c>
      <c r="I236" s="74"/>
      <c r="J236" s="74"/>
      <c r="K236" s="75"/>
      <c r="L236" s="91">
        <f ca="1">IFERROR(__xludf.DUMMYFUNCTION("IMPORTRANGE(""https://docs.google.com/spreadsheets/d/13wPX838HrBrQMCywv1BsuMkt4PEKTChp52zj44s2izQ/edit?usp=sharing"",""กาญจนบุรี!L236"")+IMPORTRANGE(""https://docs.google.com/spreadsheets/d/1ddFKvqj1W1NEiWytbGlB1zMx_ykJDVtmfEQ-6-lIUBA/edit?usp=sharing"","&amp;"""จันทบุรี!L236"")+IMPORTRANGE(""https://docs.google.com/spreadsheets/d/1T1PQvRODqOBZk8BRht_U031fIS1beLA0Ub2CEytj2q0/edit?usp=sharing"",""ฉะเชิงเทรา!L236"")+IMPORTRANGE(""https://docs.google.com/spreadsheets/d/11tr1B-Bhyr79v2bkwVh5h_fR-PStkgjlZtkrZpYurG0/"&amp;"edit?usp=sharing"",""ชลบุรี!L236"")+IMPORTRANGE(""https://docs.google.com/spreadsheets/d/1hh-FVnSX0vozXhGluamEcS54Dw9_zqW0N7qJUWgJ0Sw/edit?usp=sharing"",""ชัยนาท!L236"")+IMPORTRANGE(""https://docs.google.com/spreadsheets/d/1jkqa6GXxSacMcY1eN8AHjMNJ_7dDXMJ"&amp;"VRLDlaFSOdPM/edit?usp=sharing"",""ตราด!L236"")+IMPORTRANGE(""https://docs.google.com/spreadsheets/d/18hSgUJ3VwClqi_qtULmmW3cLr0oe3OKaSYoKzdpTsYQ/edit?usp=sharing"",""นครนายก!L236"")+IMPORTRANGE(""https://docs.google.com/spreadsheets/d/1YTZo6WM2dQ6Ix6FSdnL"&amp;"5P7uVnVKu40sxZu975tgG10E/edit?usp=sharing"",""นครปฐม!L236"")+IMPORTRANGE(""https://docs.google.com/spreadsheets/d/1OYoGg4WDg5RIzwGeB10padOxJF9E_Vljuvvct_M7RDo/edit?usp=sharing"",""ปทุมธานี!L236"")+IMPORTRANGE(""https://docs.google.com/spreadsheets/d/1GbCI"&amp;"E4D4wk9FUozzqk7SxfDMxDVBwVmI5zcaVUSzKAc/edit?usp=sharing"",""ประจวบคีรีขันธ์!L236"")+IMPORTRANGE(""https://docs.google.com/spreadsheets/d/1vVf6wykvW_lAyu7Yo9L4hUTqHqIeP_qcVuxCtosJEbg/edit?usp=sharing"",""ปราจีนบุรี!L236"")+IMPORTRANGE(""https://docs.googl"&amp;"e.com/spreadsheets/d/1BIDqLLg5jk3v59G8NlR8rk5xfQDKne0sAvZHSj7TI6I/edit?usp=sharing"",""พระนครศรีอยุธยา!L236"")+IMPORTRANGE(""https://docs.google.com/spreadsheets/d/1YXvxf8Yu6_rV4hTBrwMqAcAnv6DfhUxh5emyM3CJp_w/edit?usp=sharing"",""เพชรบุรี!L236"")+IMPORTRA"&amp;"NGE(""https://docs.google.com/spreadsheets/d/19KBlQQs7uwvsao6t2n-KvW3Ax8J8uRRfZPq1zPbXgKc/edit?usp=sharing"",""ระยอง!L236"")+IMPORTRANGE(""https://docs.google.com/spreadsheets/d/1jQ6P4QcrGM89YfqcC_PxOHGCMq5ezhucwJd8ci-NHng/edit?usp=sharing"",""ราชบุรี!L23"&amp;"6"")+IMPORTRANGE(""https://docs.google.com/spreadsheets/d/1lufeA2cfFqM-elVq2hznhDzC6Pr7wkJ9ZG_sYNGCMCU/edit?usp=sharing"",""ลพบุรี!L236"")+IMPORTRANGE(""https://docs.google.com/spreadsheets/d/10oOiF7loTyfsTkbd4MpaIm0HQ9SwB7IYHdIUvt-U1Uc/edit?usp=sharing"""&amp;",""สระแก้ว!L236"")+IMPORTRANGE(""https://docs.google.com/spreadsheets/d/1xmPlrr1QbdSIKvl1dWUl9K4PjAfSL9oeMr_37QVzcxc/edit?usp=sharing"",""สระบุรี!L236"")+IMPORTRANGE(""https://docs.google.com/spreadsheets/d/1j51vR6CYVGhABJpv6tkstgok82RLpXieLzW1yOY5rHw/edi"&amp;"t?usp=sharing"",""สิงห์บุรี!L236"")+IMPORTRANGE(""https://docs.google.com/spreadsheets/d/1H1EalTWKUSzO4Z1-1CwzoDUaVffgrThEBe2sl74kKG0/edit?usp=sharing"",""สุพรรณบุรี!L236"")+IMPORTRANGE(""https://docs.google.com/spreadsheets/d/1BmIruG_sIrJLYao_Pdr7zVArWsf"&amp;"oBt2692TMi6x_854/edit?usp=sharing"",""อ่างทอง!L236"")"),366000)</f>
        <v>366000</v>
      </c>
      <c r="M236" s="75"/>
      <c r="N236" s="91">
        <f ca="1">IFERROR(__xludf.DUMMYFUNCTION("IMPORTRANGE(""https://docs.google.com/spreadsheets/d/13wPX838HrBrQMCywv1BsuMkt4PEKTChp52zj44s2izQ/edit?usp=sharing"",""กาญจนบุรี!N236"")+IMPORTRANGE(""https://docs.google.com/spreadsheets/d/1ddFKvqj1W1NEiWytbGlB1zMx_ykJDVtmfEQ-6-lIUBA/edit?usp=sharing"","&amp;"""จันทบุรี!N236"")+IMPORTRANGE(""https://docs.google.com/spreadsheets/d/1T1PQvRODqOBZk8BRht_U031fIS1beLA0Ub2CEytj2q0/edit?usp=sharing"",""ฉะเชิงเทรา!N236"")+IMPORTRANGE(""https://docs.google.com/spreadsheets/d/11tr1B-Bhyr79v2bkwVh5h_fR-PStkgjlZtkrZpYurG0/"&amp;"edit?usp=sharing"",""ชลบุรี!N236"")+IMPORTRANGE(""https://docs.google.com/spreadsheets/d/1hh-FVnSX0vozXhGluamEcS54Dw9_zqW0N7qJUWgJ0Sw/edit?usp=sharing"",""ชัยนาท!N236"")+IMPORTRANGE(""https://docs.google.com/spreadsheets/d/1jkqa6GXxSacMcY1eN8AHjMNJ_7dDXMJ"&amp;"VRLDlaFSOdPM/edit?usp=sharing"",""ตราด!N236"")+IMPORTRANGE(""https://docs.google.com/spreadsheets/d/18hSgUJ3VwClqi_qtULmmW3cLr0oe3OKaSYoKzdpTsYQ/edit?usp=sharing"",""นครนายก!N236"")+IMPORTRANGE(""https://docs.google.com/spreadsheets/d/1YTZo6WM2dQ6Ix6FSdnL"&amp;"5P7uVnVKu40sxZu975tgG10E/edit?usp=sharing"",""นครปฐม!N236"")+IMPORTRANGE(""https://docs.google.com/spreadsheets/d/1OYoGg4WDg5RIzwGeB10padOxJF9E_Vljuvvct_M7RDo/edit?usp=sharing"",""ปทุมธานี!N236"")+IMPORTRANGE(""https://docs.google.com/spreadsheets/d/1GbCI"&amp;"E4D4wk9FUozzqk7SxfDMxDVBwVmI5zcaVUSzKAc/edit?usp=sharing"",""ประจวบคีรีขันธ์!N236"")+IMPORTRANGE(""https://docs.google.com/spreadsheets/d/1vVf6wykvW_lAyu7Yo9L4hUTqHqIeP_qcVuxCtosJEbg/edit?usp=sharing"",""ปราจีนบุรี!N236"")+IMPORTRANGE(""https://docs.googl"&amp;"e.com/spreadsheets/d/1BIDqLLg5jk3v59G8NlR8rk5xfQDKne0sAvZHSj7TI6I/edit?usp=sharing"",""พระนครศรีอยุธยา!N236"")+IMPORTRANGE(""https://docs.google.com/spreadsheets/d/1YXvxf8Yu6_rV4hTBrwMqAcAnv6DfhUxh5emyM3CJp_w/edit?usp=sharing"",""เพชรบุรี!N236"")+IMPORTRA"&amp;"NGE(""https://docs.google.com/spreadsheets/d/19KBlQQs7uwvsao6t2n-KvW3Ax8J8uRRfZPq1zPbXgKc/edit?usp=sharing"",""ระยอง!N236"")+IMPORTRANGE(""https://docs.google.com/spreadsheets/d/1jQ6P4QcrGM89YfqcC_PxOHGCMq5ezhucwJd8ci-NHng/edit?usp=sharing"",""ราชบุรี!N23"&amp;"6"")+IMPORTRANGE(""https://docs.google.com/spreadsheets/d/1lufeA2cfFqM-elVq2hznhDzC6Pr7wkJ9ZG_sYNGCMCU/edit?usp=sharing"",""ลพบุรี!N236"")+IMPORTRANGE(""https://docs.google.com/spreadsheets/d/10oOiF7loTyfsTkbd4MpaIm0HQ9SwB7IYHdIUvt-U1Uc/edit?usp=sharing"""&amp;",""สระแก้ว!N236"")+IMPORTRANGE(""https://docs.google.com/spreadsheets/d/1xmPlrr1QbdSIKvl1dWUl9K4PjAfSL9oeMr_37QVzcxc/edit?usp=sharing"",""สระบุรี!N236"")+IMPORTRANGE(""https://docs.google.com/spreadsheets/d/1j51vR6CYVGhABJpv6tkstgok82RLpXieLzW1yOY5rHw/edi"&amp;"t?usp=sharing"",""สิงห์บุรี!N236"")+IMPORTRANGE(""https://docs.google.com/spreadsheets/d/1H1EalTWKUSzO4Z1-1CwzoDUaVffgrThEBe2sl74kKG0/edit?usp=sharing"",""สุพรรณบุรี!N236"")+IMPORTRANGE(""https://docs.google.com/spreadsheets/d/1BmIruG_sIrJLYao_Pdr7zVArWsf"&amp;"oBt2692TMi6x_854/edit?usp=sharing"",""อ่างทอง!N236"")"),131400)</f>
        <v>131400</v>
      </c>
      <c r="O236" s="75"/>
      <c r="P236" s="75"/>
      <c r="Q236" s="89"/>
      <c r="R236" s="90"/>
      <c r="S236" s="90"/>
      <c r="T236" s="90"/>
      <c r="U236" s="90"/>
    </row>
    <row r="237" spans="1:21" ht="19.5" x14ac:dyDescent="0.3">
      <c r="A237" s="224"/>
      <c r="B237" s="225"/>
      <c r="C237" s="394" t="s">
        <v>18</v>
      </c>
      <c r="D237" s="226" t="s">
        <v>38</v>
      </c>
      <c r="E237" s="227"/>
      <c r="F237" s="227"/>
      <c r="G237" s="228"/>
      <c r="H237" s="229"/>
      <c r="I237" s="221"/>
      <c r="J237" s="74"/>
      <c r="K237" s="75"/>
      <c r="L237" s="75"/>
      <c r="M237" s="75"/>
      <c r="N237" s="75"/>
      <c r="O237" s="222"/>
      <c r="P237" s="222"/>
      <c r="Q237" s="89"/>
      <c r="R237" s="90"/>
      <c r="S237" s="90"/>
      <c r="T237" s="231"/>
      <c r="U237" s="231"/>
    </row>
    <row r="238" spans="1:21" ht="18.75" x14ac:dyDescent="0.25">
      <c r="A238" s="224"/>
      <c r="B238" s="225"/>
      <c r="C238" s="225"/>
      <c r="D238" s="238" t="s">
        <v>108</v>
      </c>
      <c r="E238" s="233"/>
      <c r="F238" s="233"/>
      <c r="G238" s="229"/>
      <c r="H238" s="239" t="s">
        <v>35</v>
      </c>
      <c r="I238" s="241">
        <f ca="1">IFERROR(__xludf.DUMMYFUNCTION("IMPORTRANGE(""https://docs.google.com/spreadsheets/d/13wPX838HrBrQMCywv1BsuMkt4PEKTChp52zj44s2izQ/edit?usp=sharing"",""กาญจนบุรี!I238"")+IMPORTRANGE(""https://docs.google.com/spreadsheets/d/1ddFKvqj1W1NEiWytbGlB1zMx_ykJDVtmfEQ-6-lIUBA/edit?usp=sharing"","&amp;"""จันทบุรี!I238"")+IMPORTRANGE(""https://docs.google.com/spreadsheets/d/1T1PQvRODqOBZk8BRht_U031fIS1beLA0Ub2CEytj2q0/edit?usp=sharing"",""ฉะเชิงเทรา!I238"")+IMPORTRANGE(""https://docs.google.com/spreadsheets/d/11tr1B-Bhyr79v2bkwVh5h_fR-PStkgjlZtkrZpYurG0/"&amp;"edit?usp=sharing"",""ชลบุรี!I238"")+IMPORTRANGE(""https://docs.google.com/spreadsheets/d/1hh-FVnSX0vozXhGluamEcS54Dw9_zqW0N7qJUWgJ0Sw/edit?usp=sharing"",""ชัยนาท!I238"")+IMPORTRANGE(""https://docs.google.com/spreadsheets/d/1jkqa6GXxSacMcY1eN8AHjMNJ_7dDXMJ"&amp;"VRLDlaFSOdPM/edit?usp=sharing"",""ตราด!I238"")+IMPORTRANGE(""https://docs.google.com/spreadsheets/d/18hSgUJ3VwClqi_qtULmmW3cLr0oe3OKaSYoKzdpTsYQ/edit?usp=sharing"",""นครนายก!I238"")+IMPORTRANGE(""https://docs.google.com/spreadsheets/d/1YTZo6WM2dQ6Ix6FSdnL"&amp;"5P7uVnVKu40sxZu975tgG10E/edit?usp=sharing"",""นครปฐม!I238"")+IMPORTRANGE(""https://docs.google.com/spreadsheets/d/1OYoGg4WDg5RIzwGeB10padOxJF9E_Vljuvvct_M7RDo/edit?usp=sharing"",""ปทุมธานี!I238"")+IMPORTRANGE(""https://docs.google.com/spreadsheets/d/1GbCI"&amp;"E4D4wk9FUozzqk7SxfDMxDVBwVmI5zcaVUSzKAc/edit?usp=sharing"",""ประจวบคีรีขันธ์!I238"")+IMPORTRANGE(""https://docs.google.com/spreadsheets/d/1vVf6wykvW_lAyu7Yo9L4hUTqHqIeP_qcVuxCtosJEbg/edit?usp=sharing"",""ปราจีนบุรี!I238"")+IMPORTRANGE(""https://docs.googl"&amp;"e.com/spreadsheets/d/1BIDqLLg5jk3v59G8NlR8rk5xfQDKne0sAvZHSj7TI6I/edit?usp=sharing"",""พระนครศรีอยุธยา!I238"")+IMPORTRANGE(""https://docs.google.com/spreadsheets/d/1YXvxf8Yu6_rV4hTBrwMqAcAnv6DfhUxh5emyM3CJp_w/edit?usp=sharing"",""เพชรบุรี!I238"")+IMPORTRA"&amp;"NGE(""https://docs.google.com/spreadsheets/d/19KBlQQs7uwvsao6t2n-KvW3Ax8J8uRRfZPq1zPbXgKc/edit?usp=sharing"",""ระยอง!I238"")+IMPORTRANGE(""https://docs.google.com/spreadsheets/d/1jQ6P4QcrGM89YfqcC_PxOHGCMq5ezhucwJd8ci-NHng/edit?usp=sharing"",""ราชบุรี!I23"&amp;"8"")+IMPORTRANGE(""https://docs.google.com/spreadsheets/d/1lufeA2cfFqM-elVq2hznhDzC6Pr7wkJ9ZG_sYNGCMCU/edit?usp=sharing"",""ลพบุรี!I238"")+IMPORTRANGE(""https://docs.google.com/spreadsheets/d/10oOiF7loTyfsTkbd4MpaIm0HQ9SwB7IYHdIUvt-U1Uc/edit?usp=sharing"""&amp;",""สระแก้ว!I238"")+IMPORTRANGE(""https://docs.google.com/spreadsheets/d/1xmPlrr1QbdSIKvl1dWUl9K4PjAfSL9oeMr_37QVzcxc/edit?usp=sharing"",""สระบุรี!I238"")+IMPORTRANGE(""https://docs.google.com/spreadsheets/d/1j51vR6CYVGhABJpv6tkstgok82RLpXieLzW1yOY5rHw/edi"&amp;"t?usp=sharing"",""สิงห์บุรี!I238"")+IMPORTRANGE(""https://docs.google.com/spreadsheets/d/1H1EalTWKUSzO4Z1-1CwzoDUaVffgrThEBe2sl74kKG0/edit?usp=sharing"",""สุพรรณบุรี!I238"")+IMPORTRANGE(""https://docs.google.com/spreadsheets/d/1BmIruG_sIrJLYao_Pdr7zVArWsf"&amp;"oBt2692TMi6x_854/edit?usp=sharing"",""อ่างทอง!I238"")"),330)</f>
        <v>330</v>
      </c>
      <c r="J238" s="241">
        <f ca="1">IFERROR(__xludf.DUMMYFUNCTION("IMPORTRANGE(""https://docs.google.com/spreadsheets/d/13wPX838HrBrQMCywv1BsuMkt4PEKTChp52zj44s2izQ/edit?usp=sharing"",""กาญจนบุรี!J238"")+IMPORTRANGE(""https://docs.google.com/spreadsheets/d/1ddFKvqj1W1NEiWytbGlB1zMx_ykJDVtmfEQ-6-lIUBA/edit?usp=sharing"","&amp;"""จันทบุรี!J238"")+IMPORTRANGE(""https://docs.google.com/spreadsheets/d/1T1PQvRODqOBZk8BRht_U031fIS1beLA0Ub2CEytj2q0/edit?usp=sharing"",""ฉะเชิงเทรา!J238"")+IMPORTRANGE(""https://docs.google.com/spreadsheets/d/11tr1B-Bhyr79v2bkwVh5h_fR-PStkgjlZtkrZpYurG0/"&amp;"edit?usp=sharing"",""ชลบุรี!J238"")+IMPORTRANGE(""https://docs.google.com/spreadsheets/d/1hh-FVnSX0vozXhGluamEcS54Dw9_zqW0N7qJUWgJ0Sw/edit?usp=sharing"",""ชัยนาท!J238"")+IMPORTRANGE(""https://docs.google.com/spreadsheets/d/1jkqa6GXxSacMcY1eN8AHjMNJ_7dDXMJ"&amp;"VRLDlaFSOdPM/edit?usp=sharing"",""ตราด!J238"")+IMPORTRANGE(""https://docs.google.com/spreadsheets/d/18hSgUJ3VwClqi_qtULmmW3cLr0oe3OKaSYoKzdpTsYQ/edit?usp=sharing"",""นครนายก!J238"")+IMPORTRANGE(""https://docs.google.com/spreadsheets/d/1YTZo6WM2dQ6Ix6FSdnL"&amp;"5P7uVnVKu40sxZu975tgG10E/edit?usp=sharing"",""นครปฐม!J238"")+IMPORTRANGE(""https://docs.google.com/spreadsheets/d/1OYoGg4WDg5RIzwGeB10padOxJF9E_Vljuvvct_M7RDo/edit?usp=sharing"",""ปทุมธานี!J238"")+IMPORTRANGE(""https://docs.google.com/spreadsheets/d/1GbCI"&amp;"E4D4wk9FUozzqk7SxfDMxDVBwVmI5zcaVUSzKAc/edit?usp=sharing"",""ประจวบคีรีขันธ์!J238"")+IMPORTRANGE(""https://docs.google.com/spreadsheets/d/1vVf6wykvW_lAyu7Yo9L4hUTqHqIeP_qcVuxCtosJEbg/edit?usp=sharing"",""ปราจีนบุรี!J238"")+IMPORTRANGE(""https://docs.googl"&amp;"e.com/spreadsheets/d/1BIDqLLg5jk3v59G8NlR8rk5xfQDKne0sAvZHSj7TI6I/edit?usp=sharing"",""พระนครศรีอยุธยา!J238"")+IMPORTRANGE(""https://docs.google.com/spreadsheets/d/1YXvxf8Yu6_rV4hTBrwMqAcAnv6DfhUxh5emyM3CJp_w/edit?usp=sharing"",""เพชรบุรี!J238"")+IMPORTRA"&amp;"NGE(""https://docs.google.com/spreadsheets/d/19KBlQQs7uwvsao6t2n-KvW3Ax8J8uRRfZPq1zPbXgKc/edit?usp=sharing"",""ระยอง!J238"")+IMPORTRANGE(""https://docs.google.com/spreadsheets/d/1jQ6P4QcrGM89YfqcC_PxOHGCMq5ezhucwJd8ci-NHng/edit?usp=sharing"",""ราชบุรี!J23"&amp;"8"")+IMPORTRANGE(""https://docs.google.com/spreadsheets/d/1lufeA2cfFqM-elVq2hznhDzC6Pr7wkJ9ZG_sYNGCMCU/edit?usp=sharing"",""ลพบุรี!J238"")+IMPORTRANGE(""https://docs.google.com/spreadsheets/d/10oOiF7loTyfsTkbd4MpaIm0HQ9SwB7IYHdIUvt-U1Uc/edit?usp=sharing"""&amp;",""สระแก้ว!J238"")+IMPORTRANGE(""https://docs.google.com/spreadsheets/d/1xmPlrr1QbdSIKvl1dWUl9K4PjAfSL9oeMr_37QVzcxc/edit?usp=sharing"",""สระบุรี!J238"")+IMPORTRANGE(""https://docs.google.com/spreadsheets/d/1j51vR6CYVGhABJpv6tkstgok82RLpXieLzW1yOY5rHw/edi"&amp;"t?usp=sharing"",""สิงห์บุรี!J238"")+IMPORTRANGE(""https://docs.google.com/spreadsheets/d/1H1EalTWKUSzO4Z1-1CwzoDUaVffgrThEBe2sl74kKG0/edit?usp=sharing"",""สุพรรณบุรี!J238"")+IMPORTRANGE(""https://docs.google.com/spreadsheets/d/1BmIruG_sIrJLYao_Pdr7zVArWsf"&amp;"oBt2692TMi6x_854/edit?usp=sharing"",""อ่างทอง!J238"")"),310)</f>
        <v>310</v>
      </c>
      <c r="K238" s="91">
        <f ca="1">IF(I238&gt;0,J238*100/I238,0)</f>
        <v>93.939393939393938</v>
      </c>
      <c r="L238" s="75"/>
      <c r="M238" s="75"/>
      <c r="N238" s="75"/>
      <c r="O238" s="75"/>
      <c r="P238" s="75"/>
      <c r="Q238" s="89"/>
      <c r="R238" s="90"/>
      <c r="S238" s="90"/>
      <c r="T238" s="90"/>
      <c r="U238" s="90"/>
    </row>
    <row r="239" spans="1:21" ht="18.75" x14ac:dyDescent="0.25">
      <c r="A239" s="224"/>
      <c r="B239" s="225"/>
      <c r="C239" s="225"/>
      <c r="D239" s="404" t="s">
        <v>43</v>
      </c>
      <c r="E239" s="233"/>
      <c r="F239" s="233"/>
      <c r="G239" s="229"/>
      <c r="H239" s="229"/>
      <c r="I239" s="74"/>
      <c r="J239" s="74"/>
      <c r="K239" s="75"/>
      <c r="L239" s="75"/>
      <c r="M239" s="75"/>
      <c r="N239" s="75"/>
      <c r="O239" s="222"/>
      <c r="P239" s="222"/>
      <c r="Q239" s="89"/>
      <c r="R239" s="90"/>
      <c r="S239" s="90"/>
      <c r="T239" s="231"/>
      <c r="U239" s="231"/>
    </row>
    <row r="240" spans="1:21" ht="18.75" x14ac:dyDescent="0.25">
      <c r="A240" s="224"/>
      <c r="B240" s="225"/>
      <c r="C240" s="225"/>
      <c r="D240" s="225"/>
      <c r="E240" s="232" t="s">
        <v>109</v>
      </c>
      <c r="F240" s="233"/>
      <c r="G240" s="229"/>
      <c r="H240" s="239" t="s">
        <v>35</v>
      </c>
      <c r="I240" s="241">
        <v>0</v>
      </c>
      <c r="J240" s="241">
        <f ca="1">IFERROR(__xludf.DUMMYFUNCTION("IMPORTRANGE(""https://docs.google.com/spreadsheets/d/13wPX838HrBrQMCywv1BsuMkt4PEKTChp52zj44s2izQ/edit?usp=sharing"",""กาญจนบุรี!J240"")+IMPORTRANGE(""https://docs.google.com/spreadsheets/d/1ddFKvqj1W1NEiWytbGlB1zMx_ykJDVtmfEQ-6-lIUBA/edit?usp=sharing"","&amp;"""จันทบุรี!J240"")+IMPORTRANGE(""https://docs.google.com/spreadsheets/d/1T1PQvRODqOBZk8BRht_U031fIS1beLA0Ub2CEytj2q0/edit?usp=sharing"",""ฉะเชิงเทรา!J240"")+IMPORTRANGE(""https://docs.google.com/spreadsheets/d/11tr1B-Bhyr79v2bkwVh5h_fR-PStkgjlZtkrZpYurG0/"&amp;"edit?usp=sharing"",""ชลบุรี!J240"")+IMPORTRANGE(""https://docs.google.com/spreadsheets/d/1hh-FVnSX0vozXhGluamEcS54Dw9_zqW0N7qJUWgJ0Sw/edit?usp=sharing"",""ชัยนาท!J240"")+IMPORTRANGE(""https://docs.google.com/spreadsheets/d/1jkqa6GXxSacMcY1eN8AHjMNJ_7dDXMJ"&amp;"VRLDlaFSOdPM/edit?usp=sharing"",""ตราด!J240"")+IMPORTRANGE(""https://docs.google.com/spreadsheets/d/18hSgUJ3VwClqi_qtULmmW3cLr0oe3OKaSYoKzdpTsYQ/edit?usp=sharing"",""นครนายก!J240"")+IMPORTRANGE(""https://docs.google.com/spreadsheets/d/1YTZo6WM2dQ6Ix6FSdnL"&amp;"5P7uVnVKu40sxZu975tgG10E/edit?usp=sharing"",""นครปฐม!J240"")+IMPORTRANGE(""https://docs.google.com/spreadsheets/d/1OYoGg4WDg5RIzwGeB10padOxJF9E_Vljuvvct_M7RDo/edit?usp=sharing"",""ปทุมธานี!J240"")+IMPORTRANGE(""https://docs.google.com/spreadsheets/d/1GbCI"&amp;"E4D4wk9FUozzqk7SxfDMxDVBwVmI5zcaVUSzKAc/edit?usp=sharing"",""ประจวบคีรีขันธ์!J240"")+IMPORTRANGE(""https://docs.google.com/spreadsheets/d/1vVf6wykvW_lAyu7Yo9L4hUTqHqIeP_qcVuxCtosJEbg/edit?usp=sharing"",""ปราจีนบุรี!J240"")+IMPORTRANGE(""https://docs.googl"&amp;"e.com/spreadsheets/d/1BIDqLLg5jk3v59G8NlR8rk5xfQDKne0sAvZHSj7TI6I/edit?usp=sharing"",""พระนครศรีอยุธยา!J240"")+IMPORTRANGE(""https://docs.google.com/spreadsheets/d/1YXvxf8Yu6_rV4hTBrwMqAcAnv6DfhUxh5emyM3CJp_w/edit?usp=sharing"",""เพชรบุรี!J240"")+IMPORTRA"&amp;"NGE(""https://docs.google.com/spreadsheets/d/19KBlQQs7uwvsao6t2n-KvW3Ax8J8uRRfZPq1zPbXgKc/edit?usp=sharing"",""ระยอง!J240"")+IMPORTRANGE(""https://docs.google.com/spreadsheets/d/1jQ6P4QcrGM89YfqcC_PxOHGCMq5ezhucwJd8ci-NHng/edit?usp=sharing"",""ราชบุรี!J24"&amp;"0"")+IMPORTRANGE(""https://docs.google.com/spreadsheets/d/1lufeA2cfFqM-elVq2hznhDzC6Pr7wkJ9ZG_sYNGCMCU/edit?usp=sharing"",""ลพบุรี!J240"")+IMPORTRANGE(""https://docs.google.com/spreadsheets/d/10oOiF7loTyfsTkbd4MpaIm0HQ9SwB7IYHdIUvt-U1Uc/edit?usp=sharing"""&amp;",""สระแก้ว!J240"")+IMPORTRANGE(""https://docs.google.com/spreadsheets/d/1xmPlrr1QbdSIKvl1dWUl9K4PjAfSL9oeMr_37QVzcxc/edit?usp=sharing"",""สระบุรี!J240"")+IMPORTRANGE(""https://docs.google.com/spreadsheets/d/1j51vR6CYVGhABJpv6tkstgok82RLpXieLzW1yOY5rHw/edi"&amp;"t?usp=sharing"",""สิงห์บุรี!J240"")+IMPORTRANGE(""https://docs.google.com/spreadsheets/d/1H1EalTWKUSzO4Z1-1CwzoDUaVffgrThEBe2sl74kKG0/edit?usp=sharing"",""สุพรรณบุรี!J240"")+IMPORTRANGE(""https://docs.google.com/spreadsheets/d/1BmIruG_sIrJLYao_Pdr7zVArWsf"&amp;"oBt2692TMi6x_854/edit?usp=sharing"",""อ่างทอง!J240"")"),120)</f>
        <v>120</v>
      </c>
      <c r="K240" s="91">
        <f t="shared" ref="K240:K241" si="179">IF(I240&gt;0,J240*100/I240,0)</f>
        <v>0</v>
      </c>
      <c r="L240" s="75"/>
      <c r="M240" s="75"/>
      <c r="N240" s="75"/>
      <c r="O240" s="75"/>
      <c r="P240" s="75"/>
      <c r="Q240" s="89"/>
      <c r="R240" s="90"/>
      <c r="S240" s="90"/>
      <c r="T240" s="90"/>
      <c r="U240" s="90"/>
    </row>
    <row r="241" spans="1:21" ht="18.75" x14ac:dyDescent="0.25">
      <c r="A241" s="224"/>
      <c r="B241" s="225"/>
      <c r="C241" s="225"/>
      <c r="D241" s="225"/>
      <c r="E241" s="232" t="s">
        <v>110</v>
      </c>
      <c r="F241" s="233"/>
      <c r="G241" s="229"/>
      <c r="H241" s="239" t="s">
        <v>61</v>
      </c>
      <c r="I241" s="241">
        <v>0</v>
      </c>
      <c r="J241" s="241">
        <f ca="1">IFERROR(__xludf.DUMMYFUNCTION("IMPORTRANGE(""https://docs.google.com/spreadsheets/d/13wPX838HrBrQMCywv1BsuMkt4PEKTChp52zj44s2izQ/edit?usp=sharing"",""กาญจนบุรี!J241"")+IMPORTRANGE(""https://docs.google.com/spreadsheets/d/1ddFKvqj1W1NEiWytbGlB1zMx_ykJDVtmfEQ-6-lIUBA/edit?usp=sharing"","&amp;"""จันทบุรี!J241"")+IMPORTRANGE(""https://docs.google.com/spreadsheets/d/1T1PQvRODqOBZk8BRht_U031fIS1beLA0Ub2CEytj2q0/edit?usp=sharing"",""ฉะเชิงเทรา!J241"")+IMPORTRANGE(""https://docs.google.com/spreadsheets/d/11tr1B-Bhyr79v2bkwVh5h_fR-PStkgjlZtkrZpYurG0/"&amp;"edit?usp=sharing"",""ชลบุรี!J241"")+IMPORTRANGE(""https://docs.google.com/spreadsheets/d/1hh-FVnSX0vozXhGluamEcS54Dw9_zqW0N7qJUWgJ0Sw/edit?usp=sharing"",""ชัยนาท!J241"")+IMPORTRANGE(""https://docs.google.com/spreadsheets/d/1jkqa6GXxSacMcY1eN8AHjMNJ_7dDXMJ"&amp;"VRLDlaFSOdPM/edit?usp=sharing"",""ตราด!J241"")+IMPORTRANGE(""https://docs.google.com/spreadsheets/d/18hSgUJ3VwClqi_qtULmmW3cLr0oe3OKaSYoKzdpTsYQ/edit?usp=sharing"",""นครนายก!J241"")+IMPORTRANGE(""https://docs.google.com/spreadsheets/d/1YTZo6WM2dQ6Ix6FSdnL"&amp;"5P7uVnVKu40sxZu975tgG10E/edit?usp=sharing"",""นครปฐม!J241"")+IMPORTRANGE(""https://docs.google.com/spreadsheets/d/1OYoGg4WDg5RIzwGeB10padOxJF9E_Vljuvvct_M7RDo/edit?usp=sharing"",""ปทุมธานี!J241"")+IMPORTRANGE(""https://docs.google.com/spreadsheets/d/1GbCI"&amp;"E4D4wk9FUozzqk7SxfDMxDVBwVmI5zcaVUSzKAc/edit?usp=sharing"",""ประจวบคีรีขันธ์!J241"")+IMPORTRANGE(""https://docs.google.com/spreadsheets/d/1vVf6wykvW_lAyu7Yo9L4hUTqHqIeP_qcVuxCtosJEbg/edit?usp=sharing"",""ปราจีนบุรี!J241"")+IMPORTRANGE(""https://docs.googl"&amp;"e.com/spreadsheets/d/1BIDqLLg5jk3v59G8NlR8rk5xfQDKne0sAvZHSj7TI6I/edit?usp=sharing"",""พระนครศรีอยุธยา!J241"")+IMPORTRANGE(""https://docs.google.com/spreadsheets/d/1YXvxf8Yu6_rV4hTBrwMqAcAnv6DfhUxh5emyM3CJp_w/edit?usp=sharing"",""เพชรบุรี!J241"")+IMPORTRA"&amp;"NGE(""https://docs.google.com/spreadsheets/d/19KBlQQs7uwvsao6t2n-KvW3Ax8J8uRRfZPq1zPbXgKc/edit?usp=sharing"",""ระยอง!J241"")+IMPORTRANGE(""https://docs.google.com/spreadsheets/d/1jQ6P4QcrGM89YfqcC_PxOHGCMq5ezhucwJd8ci-NHng/edit?usp=sharing"",""ราชบุรี!J24"&amp;"1"")+IMPORTRANGE(""https://docs.google.com/spreadsheets/d/1lufeA2cfFqM-elVq2hznhDzC6Pr7wkJ9ZG_sYNGCMCU/edit?usp=sharing"",""ลพบุรี!J241"")+IMPORTRANGE(""https://docs.google.com/spreadsheets/d/10oOiF7loTyfsTkbd4MpaIm0HQ9SwB7IYHdIUvt-U1Uc/edit?usp=sharing"""&amp;",""สระแก้ว!J241"")+IMPORTRANGE(""https://docs.google.com/spreadsheets/d/1xmPlrr1QbdSIKvl1dWUl9K4PjAfSL9oeMr_37QVzcxc/edit?usp=sharing"",""สระบุรี!J241"")+IMPORTRANGE(""https://docs.google.com/spreadsheets/d/1j51vR6CYVGhABJpv6tkstgok82RLpXieLzW1yOY5rHw/edi"&amp;"t?usp=sharing"",""สิงห์บุรี!J241"")+IMPORTRANGE(""https://docs.google.com/spreadsheets/d/1H1EalTWKUSzO4Z1-1CwzoDUaVffgrThEBe2sl74kKG0/edit?usp=sharing"",""สุพรรณบุรี!J241"")+IMPORTRANGE(""https://docs.google.com/spreadsheets/d/1BmIruG_sIrJLYao_Pdr7zVArWsf"&amp;"oBt2692TMi6x_854/edit?usp=sharing"",""อ่างทอง!J241"")"),5)</f>
        <v>5</v>
      </c>
      <c r="K241" s="91">
        <f t="shared" si="179"/>
        <v>0</v>
      </c>
      <c r="L241" s="75"/>
      <c r="M241" s="75"/>
      <c r="N241" s="75"/>
      <c r="O241" s="75"/>
      <c r="P241" s="75"/>
      <c r="Q241" s="89"/>
      <c r="R241" s="90"/>
      <c r="S241" s="90"/>
      <c r="T241" s="90"/>
      <c r="U241" s="90"/>
    </row>
    <row r="242" spans="1:21" ht="19.5" x14ac:dyDescent="0.3">
      <c r="A242" s="405"/>
      <c r="B242" s="406"/>
      <c r="C242" s="407" t="s">
        <v>111</v>
      </c>
      <c r="D242" s="408"/>
      <c r="E242" s="408"/>
      <c r="F242" s="408"/>
      <c r="G242" s="409"/>
      <c r="H242" s="410" t="s">
        <v>35</v>
      </c>
      <c r="I242" s="411"/>
      <c r="J242" s="411"/>
      <c r="K242" s="412"/>
      <c r="L242" s="402"/>
      <c r="M242" s="402"/>
      <c r="N242" s="402"/>
      <c r="O242" s="402"/>
      <c r="P242" s="402"/>
      <c r="Q242" s="381"/>
      <c r="R242" s="382"/>
      <c r="S242" s="382"/>
      <c r="T242" s="382"/>
      <c r="U242" s="382"/>
    </row>
    <row r="243" spans="1:21" ht="19.5" x14ac:dyDescent="0.3">
      <c r="A243" s="413"/>
      <c r="B243" s="408"/>
      <c r="C243" s="407" t="s">
        <v>18</v>
      </c>
      <c r="D243" s="414" t="s">
        <v>19</v>
      </c>
      <c r="E243" s="408"/>
      <c r="F243" s="408"/>
      <c r="G243" s="409"/>
      <c r="H243" s="415" t="s">
        <v>14</v>
      </c>
      <c r="I243" s="416"/>
      <c r="J243" s="416"/>
      <c r="K243" s="417"/>
      <c r="L243" s="418"/>
      <c r="M243" s="402"/>
      <c r="N243" s="418"/>
      <c r="O243" s="418"/>
      <c r="P243" s="418"/>
      <c r="Q243" s="89"/>
      <c r="R243" s="90"/>
      <c r="S243" s="90"/>
      <c r="T243" s="90"/>
      <c r="U243" s="90"/>
    </row>
    <row r="244" spans="1:21" ht="18.75" x14ac:dyDescent="0.25">
      <c r="A244" s="413"/>
      <c r="B244" s="406"/>
      <c r="C244" s="408"/>
      <c r="D244" s="419" t="s">
        <v>86</v>
      </c>
      <c r="E244" s="408"/>
      <c r="F244" s="408"/>
      <c r="G244" s="409"/>
      <c r="H244" s="420" t="s">
        <v>14</v>
      </c>
      <c r="I244" s="416"/>
      <c r="J244" s="416"/>
      <c r="K244" s="417"/>
      <c r="L244" s="403"/>
      <c r="M244" s="402"/>
      <c r="N244" s="403"/>
      <c r="O244" s="402"/>
      <c r="P244" s="402"/>
      <c r="Q244" s="89"/>
      <c r="R244" s="90"/>
      <c r="S244" s="90"/>
      <c r="T244" s="90"/>
      <c r="U244" s="90"/>
    </row>
    <row r="245" spans="1:21" ht="18.75" x14ac:dyDescent="0.25">
      <c r="A245" s="405"/>
      <c r="B245" s="406"/>
      <c r="C245" s="406"/>
      <c r="D245" s="419" t="s">
        <v>88</v>
      </c>
      <c r="E245" s="408"/>
      <c r="F245" s="408"/>
      <c r="G245" s="409"/>
      <c r="H245" s="420" t="s">
        <v>14</v>
      </c>
      <c r="I245" s="416"/>
      <c r="J245" s="416"/>
      <c r="K245" s="417"/>
      <c r="L245" s="403"/>
      <c r="M245" s="402"/>
      <c r="N245" s="403"/>
      <c r="O245" s="402"/>
      <c r="P245" s="402"/>
      <c r="Q245" s="89"/>
      <c r="R245" s="90"/>
      <c r="S245" s="90"/>
      <c r="T245" s="90"/>
      <c r="U245" s="90"/>
    </row>
    <row r="246" spans="1:21" ht="18.75" x14ac:dyDescent="0.25">
      <c r="A246" s="405"/>
      <c r="B246" s="406"/>
      <c r="C246" s="406"/>
      <c r="D246" s="419" t="s">
        <v>106</v>
      </c>
      <c r="E246" s="408"/>
      <c r="F246" s="408"/>
      <c r="G246" s="409"/>
      <c r="H246" s="420" t="s">
        <v>14</v>
      </c>
      <c r="I246" s="416"/>
      <c r="J246" s="416"/>
      <c r="K246" s="417"/>
      <c r="L246" s="403"/>
      <c r="M246" s="402"/>
      <c r="N246" s="403"/>
      <c r="O246" s="402"/>
      <c r="P246" s="402"/>
      <c r="Q246" s="89"/>
      <c r="R246" s="90"/>
      <c r="S246" s="90"/>
      <c r="T246" s="90"/>
      <c r="U246" s="90"/>
    </row>
    <row r="247" spans="1:21" ht="18.75" x14ac:dyDescent="0.25">
      <c r="A247" s="405"/>
      <c r="B247" s="406"/>
      <c r="C247" s="406"/>
      <c r="D247" s="419" t="s">
        <v>107</v>
      </c>
      <c r="E247" s="408"/>
      <c r="F247" s="408"/>
      <c r="G247" s="409"/>
      <c r="H247" s="420" t="s">
        <v>14</v>
      </c>
      <c r="I247" s="416"/>
      <c r="J247" s="416"/>
      <c r="K247" s="417"/>
      <c r="L247" s="403"/>
      <c r="M247" s="402"/>
      <c r="N247" s="403"/>
      <c r="O247" s="402"/>
      <c r="P247" s="402"/>
      <c r="Q247" s="89"/>
      <c r="R247" s="90"/>
      <c r="S247" s="90"/>
      <c r="T247" s="90"/>
      <c r="U247" s="90"/>
    </row>
    <row r="248" spans="1:21" ht="19.5" x14ac:dyDescent="0.3">
      <c r="A248" s="405"/>
      <c r="B248" s="406"/>
      <c r="C248" s="421" t="s">
        <v>18</v>
      </c>
      <c r="D248" s="422" t="s">
        <v>38</v>
      </c>
      <c r="E248" s="408"/>
      <c r="F248" s="408"/>
      <c r="G248" s="409"/>
      <c r="H248" s="409"/>
      <c r="I248" s="416"/>
      <c r="J248" s="416"/>
      <c r="K248" s="417"/>
      <c r="L248" s="402"/>
      <c r="M248" s="402"/>
      <c r="N248" s="402"/>
      <c r="O248" s="402"/>
      <c r="P248" s="402"/>
      <c r="Q248" s="89"/>
      <c r="R248" s="90"/>
      <c r="S248" s="90"/>
      <c r="T248" s="231"/>
      <c r="U248" s="231"/>
    </row>
    <row r="249" spans="1:21" ht="18.75" x14ac:dyDescent="0.25">
      <c r="A249" s="405"/>
      <c r="B249" s="406"/>
      <c r="C249" s="406"/>
      <c r="D249" s="419" t="s">
        <v>108</v>
      </c>
      <c r="E249" s="408"/>
      <c r="F249" s="408"/>
      <c r="G249" s="409"/>
      <c r="H249" s="423" t="s">
        <v>35</v>
      </c>
      <c r="I249" s="424"/>
      <c r="J249" s="424"/>
      <c r="K249" s="425"/>
      <c r="L249" s="402"/>
      <c r="M249" s="402"/>
      <c r="N249" s="402"/>
      <c r="O249" s="402"/>
      <c r="P249" s="402"/>
      <c r="Q249" s="89"/>
      <c r="R249" s="90"/>
      <c r="S249" s="90"/>
      <c r="T249" s="90"/>
      <c r="U249" s="90"/>
    </row>
    <row r="250" spans="1:21" ht="18.75" x14ac:dyDescent="0.25">
      <c r="A250" s="405"/>
      <c r="B250" s="406"/>
      <c r="C250" s="406"/>
      <c r="D250" s="426" t="s">
        <v>43</v>
      </c>
      <c r="E250" s="408"/>
      <c r="F250" s="408"/>
      <c r="G250" s="409"/>
      <c r="H250" s="409"/>
      <c r="I250" s="416"/>
      <c r="J250" s="416"/>
      <c r="K250" s="417"/>
      <c r="L250" s="402"/>
      <c r="M250" s="402"/>
      <c r="N250" s="402"/>
      <c r="O250" s="402"/>
      <c r="P250" s="402"/>
      <c r="Q250" s="89"/>
      <c r="R250" s="90"/>
      <c r="S250" s="90"/>
      <c r="T250" s="231"/>
      <c r="U250" s="231"/>
    </row>
    <row r="251" spans="1:21" ht="18.75" x14ac:dyDescent="0.25">
      <c r="A251" s="405"/>
      <c r="B251" s="406"/>
      <c r="C251" s="406"/>
      <c r="D251" s="406"/>
      <c r="E251" s="427" t="s">
        <v>109</v>
      </c>
      <c r="F251" s="408"/>
      <c r="G251" s="409"/>
      <c r="H251" s="423" t="s">
        <v>35</v>
      </c>
      <c r="I251" s="424"/>
      <c r="J251" s="424"/>
      <c r="K251" s="425"/>
      <c r="L251" s="402"/>
      <c r="M251" s="402"/>
      <c r="N251" s="402"/>
      <c r="O251" s="402"/>
      <c r="P251" s="402"/>
      <c r="Q251" s="89"/>
      <c r="R251" s="90"/>
      <c r="S251" s="90"/>
      <c r="T251" s="90"/>
      <c r="U251" s="90"/>
    </row>
    <row r="252" spans="1:21" ht="18.75" x14ac:dyDescent="0.25">
      <c r="A252" s="405"/>
      <c r="B252" s="406"/>
      <c r="C252" s="406"/>
      <c r="D252" s="406"/>
      <c r="E252" s="427" t="s">
        <v>110</v>
      </c>
      <c r="F252" s="408"/>
      <c r="G252" s="409"/>
      <c r="H252" s="423" t="s">
        <v>61</v>
      </c>
      <c r="I252" s="424"/>
      <c r="J252" s="424"/>
      <c r="K252" s="425"/>
      <c r="L252" s="402"/>
      <c r="M252" s="402"/>
      <c r="N252" s="402"/>
      <c r="O252" s="402"/>
      <c r="P252" s="402"/>
      <c r="Q252" s="89"/>
      <c r="R252" s="90"/>
      <c r="S252" s="90"/>
      <c r="T252" s="90"/>
      <c r="U252" s="90"/>
    </row>
    <row r="253" spans="1:21" ht="19.5" x14ac:dyDescent="0.3">
      <c r="A253" s="405"/>
      <c r="B253" s="406"/>
      <c r="C253" s="407" t="s">
        <v>112</v>
      </c>
      <c r="D253" s="408"/>
      <c r="E253" s="408"/>
      <c r="F253" s="408"/>
      <c r="G253" s="409"/>
      <c r="H253" s="410" t="s">
        <v>35</v>
      </c>
      <c r="I253" s="411"/>
      <c r="J253" s="411"/>
      <c r="K253" s="412"/>
      <c r="L253" s="402"/>
      <c r="M253" s="402"/>
      <c r="N253" s="402"/>
      <c r="O253" s="402"/>
      <c r="P253" s="402"/>
      <c r="Q253" s="381"/>
      <c r="R253" s="382"/>
      <c r="S253" s="382"/>
      <c r="T253" s="382"/>
      <c r="U253" s="382"/>
    </row>
    <row r="254" spans="1:21" ht="19.5" x14ac:dyDescent="0.3">
      <c r="A254" s="413"/>
      <c r="B254" s="408"/>
      <c r="C254" s="407" t="s">
        <v>18</v>
      </c>
      <c r="D254" s="422" t="s">
        <v>19</v>
      </c>
      <c r="E254" s="408"/>
      <c r="F254" s="408"/>
      <c r="G254" s="409"/>
      <c r="H254" s="415" t="s">
        <v>14</v>
      </c>
      <c r="I254" s="416"/>
      <c r="J254" s="416"/>
      <c r="K254" s="417"/>
      <c r="L254" s="418"/>
      <c r="M254" s="402"/>
      <c r="N254" s="418"/>
      <c r="O254" s="418"/>
      <c r="P254" s="418"/>
      <c r="Q254" s="89"/>
      <c r="R254" s="90"/>
      <c r="S254" s="90"/>
      <c r="T254" s="90"/>
      <c r="U254" s="90"/>
    </row>
    <row r="255" spans="1:21" ht="18.75" x14ac:dyDescent="0.25">
      <c r="A255" s="413"/>
      <c r="B255" s="406"/>
      <c r="C255" s="408"/>
      <c r="D255" s="419" t="s">
        <v>86</v>
      </c>
      <c r="E255" s="408"/>
      <c r="F255" s="408"/>
      <c r="G255" s="409"/>
      <c r="H255" s="420" t="s">
        <v>14</v>
      </c>
      <c r="I255" s="416"/>
      <c r="J255" s="416"/>
      <c r="K255" s="417"/>
      <c r="L255" s="403"/>
      <c r="M255" s="402"/>
      <c r="N255" s="403"/>
      <c r="O255" s="402"/>
      <c r="P255" s="402"/>
      <c r="Q255" s="89"/>
      <c r="R255" s="90"/>
      <c r="S255" s="90"/>
      <c r="T255" s="90"/>
      <c r="U255" s="90"/>
    </row>
    <row r="256" spans="1:21" ht="18.75" x14ac:dyDescent="0.25">
      <c r="A256" s="405"/>
      <c r="B256" s="406"/>
      <c r="C256" s="406"/>
      <c r="D256" s="419" t="s">
        <v>88</v>
      </c>
      <c r="E256" s="408"/>
      <c r="F256" s="408"/>
      <c r="G256" s="409"/>
      <c r="H256" s="420" t="s">
        <v>14</v>
      </c>
      <c r="I256" s="416"/>
      <c r="J256" s="416"/>
      <c r="K256" s="417"/>
      <c r="L256" s="403"/>
      <c r="M256" s="402"/>
      <c r="N256" s="403"/>
      <c r="O256" s="402"/>
      <c r="P256" s="402"/>
      <c r="Q256" s="89"/>
      <c r="R256" s="90"/>
      <c r="S256" s="90"/>
      <c r="T256" s="90"/>
      <c r="U256" s="90"/>
    </row>
    <row r="257" spans="1:21" ht="18.75" x14ac:dyDescent="0.25">
      <c r="A257" s="405"/>
      <c r="B257" s="406"/>
      <c r="C257" s="406"/>
      <c r="D257" s="419" t="s">
        <v>106</v>
      </c>
      <c r="E257" s="408"/>
      <c r="F257" s="408"/>
      <c r="G257" s="409"/>
      <c r="H257" s="420" t="s">
        <v>14</v>
      </c>
      <c r="I257" s="416"/>
      <c r="J257" s="416"/>
      <c r="K257" s="417"/>
      <c r="L257" s="403"/>
      <c r="M257" s="402"/>
      <c r="N257" s="403"/>
      <c r="O257" s="402"/>
      <c r="P257" s="402"/>
      <c r="Q257" s="89"/>
      <c r="R257" s="90"/>
      <c r="S257" s="90"/>
      <c r="T257" s="90"/>
      <c r="U257" s="90"/>
    </row>
    <row r="258" spans="1:21" ht="18.75" x14ac:dyDescent="0.25">
      <c r="A258" s="405"/>
      <c r="B258" s="406"/>
      <c r="C258" s="406"/>
      <c r="D258" s="419" t="s">
        <v>107</v>
      </c>
      <c r="E258" s="408"/>
      <c r="F258" s="408"/>
      <c r="G258" s="409"/>
      <c r="H258" s="420" t="s">
        <v>14</v>
      </c>
      <c r="I258" s="416"/>
      <c r="J258" s="416"/>
      <c r="K258" s="417"/>
      <c r="L258" s="403"/>
      <c r="M258" s="402"/>
      <c r="N258" s="403"/>
      <c r="O258" s="402"/>
      <c r="P258" s="402"/>
      <c r="Q258" s="89"/>
      <c r="R258" s="90"/>
      <c r="S258" s="90"/>
      <c r="T258" s="90"/>
      <c r="U258" s="90"/>
    </row>
    <row r="259" spans="1:21" ht="19.5" x14ac:dyDescent="0.3">
      <c r="A259" s="405"/>
      <c r="B259" s="406"/>
      <c r="C259" s="421" t="s">
        <v>18</v>
      </c>
      <c r="D259" s="422" t="s">
        <v>38</v>
      </c>
      <c r="E259" s="408"/>
      <c r="F259" s="408"/>
      <c r="G259" s="409"/>
      <c r="H259" s="409"/>
      <c r="I259" s="416"/>
      <c r="J259" s="416"/>
      <c r="K259" s="417"/>
      <c r="L259" s="402"/>
      <c r="M259" s="402"/>
      <c r="N259" s="402"/>
      <c r="O259" s="402"/>
      <c r="P259" s="402"/>
      <c r="Q259" s="89"/>
      <c r="R259" s="90"/>
      <c r="S259" s="90"/>
      <c r="T259" s="231"/>
      <c r="U259" s="231"/>
    </row>
    <row r="260" spans="1:21" ht="18.75" x14ac:dyDescent="0.25">
      <c r="A260" s="405"/>
      <c r="B260" s="406"/>
      <c r="C260" s="406"/>
      <c r="D260" s="419" t="s">
        <v>108</v>
      </c>
      <c r="E260" s="408"/>
      <c r="F260" s="408"/>
      <c r="G260" s="409"/>
      <c r="H260" s="423" t="s">
        <v>35</v>
      </c>
      <c r="I260" s="424"/>
      <c r="J260" s="424"/>
      <c r="K260" s="425"/>
      <c r="L260" s="402"/>
      <c r="M260" s="402"/>
      <c r="N260" s="402"/>
      <c r="O260" s="402"/>
      <c r="P260" s="402"/>
      <c r="Q260" s="89"/>
      <c r="R260" s="90"/>
      <c r="S260" s="90"/>
      <c r="T260" s="90"/>
      <c r="U260" s="90"/>
    </row>
    <row r="261" spans="1:21" ht="18.75" x14ac:dyDescent="0.25">
      <c r="A261" s="405"/>
      <c r="B261" s="406"/>
      <c r="C261" s="406"/>
      <c r="D261" s="426" t="s">
        <v>43</v>
      </c>
      <c r="E261" s="408"/>
      <c r="F261" s="408"/>
      <c r="G261" s="409"/>
      <c r="H261" s="409"/>
      <c r="I261" s="416"/>
      <c r="J261" s="416"/>
      <c r="K261" s="417"/>
      <c r="L261" s="402"/>
      <c r="M261" s="402"/>
      <c r="N261" s="402"/>
      <c r="O261" s="402"/>
      <c r="P261" s="402"/>
      <c r="Q261" s="89"/>
      <c r="R261" s="90"/>
      <c r="S261" s="90"/>
      <c r="T261" s="231"/>
      <c r="U261" s="231"/>
    </row>
    <row r="262" spans="1:21" ht="18.75" x14ac:dyDescent="0.25">
      <c r="A262" s="405"/>
      <c r="B262" s="406"/>
      <c r="C262" s="406"/>
      <c r="D262" s="406"/>
      <c r="E262" s="427" t="s">
        <v>109</v>
      </c>
      <c r="F262" s="408"/>
      <c r="G262" s="409"/>
      <c r="H262" s="423" t="s">
        <v>35</v>
      </c>
      <c r="I262" s="416"/>
      <c r="J262" s="424"/>
      <c r="K262" s="425"/>
      <c r="L262" s="402"/>
      <c r="M262" s="402"/>
      <c r="N262" s="402"/>
      <c r="O262" s="402"/>
      <c r="P262" s="402"/>
      <c r="Q262" s="89"/>
      <c r="R262" s="90"/>
      <c r="S262" s="90"/>
      <c r="T262" s="90"/>
      <c r="U262" s="90"/>
    </row>
    <row r="263" spans="1:21" ht="18.75" x14ac:dyDescent="0.25">
      <c r="A263" s="405"/>
      <c r="B263" s="406"/>
      <c r="C263" s="406"/>
      <c r="D263" s="406"/>
      <c r="E263" s="427" t="s">
        <v>110</v>
      </c>
      <c r="F263" s="408"/>
      <c r="G263" s="409"/>
      <c r="H263" s="423" t="s">
        <v>61</v>
      </c>
      <c r="I263" s="416"/>
      <c r="J263" s="424"/>
      <c r="K263" s="425"/>
      <c r="L263" s="402"/>
      <c r="M263" s="402"/>
      <c r="N263" s="402"/>
      <c r="O263" s="402"/>
      <c r="P263" s="402"/>
      <c r="Q263" s="89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356"/>
      <c r="M264" s="356"/>
      <c r="N264" s="356"/>
      <c r="O264" s="356"/>
      <c r="P264" s="356"/>
      <c r="Q264" s="357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363">
        <f ca="1">IFERROR(__xludf.DUMMYFUNCTION("IMPORTRANGE(""https://docs.google.com/spreadsheets/d/13wPX838HrBrQMCywv1BsuMkt4PEKTChp52zj44s2izQ/edit?usp=sharing"",""กาญจนบุรี!I265"")+IMPORTRANGE(""https://docs.google.com/spreadsheets/d/1ddFKvqj1W1NEiWytbGlB1zMx_ykJDVtmfEQ-6-lIUBA/edit?usp=sharing"","&amp;"""จันทบุรี!I265"")+IMPORTRANGE(""https://docs.google.com/spreadsheets/d/1T1PQvRODqOBZk8BRht_U031fIS1beLA0Ub2CEytj2q0/edit?usp=sharing"",""ฉะเชิงเทรา!I265"")+IMPORTRANGE(""https://docs.google.com/spreadsheets/d/11tr1B-Bhyr79v2bkwVh5h_fR-PStkgjlZtkrZpYurG0/"&amp;"edit?usp=sharing"",""ชลบุรี!I265"")+IMPORTRANGE(""https://docs.google.com/spreadsheets/d/1hh-FVnSX0vozXhGluamEcS54Dw9_zqW0N7qJUWgJ0Sw/edit?usp=sharing"",""ชัยนาท!I265"")+IMPORTRANGE(""https://docs.google.com/spreadsheets/d/1jkqa6GXxSacMcY1eN8AHjMNJ_7dDXMJ"&amp;"VRLDlaFSOdPM/edit?usp=sharing"",""ตราด!I265"")+IMPORTRANGE(""https://docs.google.com/spreadsheets/d/18hSgUJ3VwClqi_qtULmmW3cLr0oe3OKaSYoKzdpTsYQ/edit?usp=sharing"",""นครนายก!I265"")+IMPORTRANGE(""https://docs.google.com/spreadsheets/d/1YTZo6WM2dQ6Ix6FSdnL"&amp;"5P7uVnVKu40sxZu975tgG10E/edit?usp=sharing"",""นครปฐม!I265"")+IMPORTRANGE(""https://docs.google.com/spreadsheets/d/1OYoGg4WDg5RIzwGeB10padOxJF9E_Vljuvvct_M7RDo/edit?usp=sharing"",""ปทุมธานี!I265"")+IMPORTRANGE(""https://docs.google.com/spreadsheets/d/1GbCI"&amp;"E4D4wk9FUozzqk7SxfDMxDVBwVmI5zcaVUSzKAc/edit?usp=sharing"",""ประจวบคีรีขันธ์!I265"")+IMPORTRANGE(""https://docs.google.com/spreadsheets/d/1vVf6wykvW_lAyu7Yo9L4hUTqHqIeP_qcVuxCtosJEbg/edit?usp=sharing"",""ปราจีนบุรี!I265"")+IMPORTRANGE(""https://docs.googl"&amp;"e.com/spreadsheets/d/1BIDqLLg5jk3v59G8NlR8rk5xfQDKne0sAvZHSj7TI6I/edit?usp=sharing"",""พระนครศรีอยุธยา!I265"")+IMPORTRANGE(""https://docs.google.com/spreadsheets/d/1YXvxf8Yu6_rV4hTBrwMqAcAnv6DfhUxh5emyM3CJp_w/edit?usp=sharing"",""เพชรบุรี!I265"")+IMPORTRA"&amp;"NGE(""https://docs.google.com/spreadsheets/d/19KBlQQs7uwvsao6t2n-KvW3Ax8J8uRRfZPq1zPbXgKc/edit?usp=sharing"",""ระยอง!I265"")+IMPORTRANGE(""https://docs.google.com/spreadsheets/d/1jQ6P4QcrGM89YfqcC_PxOHGCMq5ezhucwJd8ci-NHng/edit?usp=sharing"",""ราชบุรี!I26"&amp;"5"")+IMPORTRANGE(""https://docs.google.com/spreadsheets/d/1lufeA2cfFqM-elVq2hznhDzC6Pr7wkJ9ZG_sYNGCMCU/edit?usp=sharing"",""ลพบุรี!I265"")+IMPORTRANGE(""https://docs.google.com/spreadsheets/d/10oOiF7loTyfsTkbd4MpaIm0HQ9SwB7IYHdIUvt-U1Uc/edit?usp=sharing"""&amp;",""สระแก้ว!I265"")+IMPORTRANGE(""https://docs.google.com/spreadsheets/d/1xmPlrr1QbdSIKvl1dWUl9K4PjAfSL9oeMr_37QVzcxc/edit?usp=sharing"",""สระบุรี!I265"")+IMPORTRANGE(""https://docs.google.com/spreadsheets/d/1j51vR6CYVGhABJpv6tkstgok82RLpXieLzW1yOY5rHw/edi"&amp;"t?usp=sharing"",""สิงห์บุรี!I265"")+IMPORTRANGE(""https://docs.google.com/spreadsheets/d/1H1EalTWKUSzO4Z1-1CwzoDUaVffgrThEBe2sl74kKG0/edit?usp=sharing"",""สุพรรณบุรี!I265"")+IMPORTRANGE(""https://docs.google.com/spreadsheets/d/1BmIruG_sIrJLYao_Pdr7zVArWsf"&amp;"oBt2692TMi6x_854/edit?usp=sharing"",""อ่างทอง!I265"")"),446)</f>
        <v>446</v>
      </c>
      <c r="J265" s="363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126)</f>
        <v>126</v>
      </c>
      <c r="K265" s="364">
        <f ca="1">IF(I265&gt;0,J265*100/I265,0)</f>
        <v>28.251121076233183</v>
      </c>
      <c r="L265" s="365"/>
      <c r="M265" s="365"/>
      <c r="N265" s="365"/>
      <c r="O265" s="365"/>
      <c r="P265" s="365"/>
      <c r="Q265" s="366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213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t="shared" ref="L266:N266" ca="1" si="180">L267+L268</f>
        <v>0</v>
      </c>
      <c r="M266" s="215">
        <f t="shared" ca="1" si="180"/>
        <v>117605</v>
      </c>
      <c r="N266" s="215">
        <f t="shared" ca="1" si="180"/>
        <v>47605</v>
      </c>
      <c r="O266" s="215">
        <f t="shared" ref="O266:O274" ca="1" si="181">IF(L266&gt;0,N266*100/L266,0)</f>
        <v>0</v>
      </c>
      <c r="P266" s="215">
        <f t="shared" ref="P266:P274" ca="1" si="182">IF(M266&gt;0,N266*100/M266,0)</f>
        <v>40.478721142808553</v>
      </c>
      <c r="Q266" s="216">
        <f t="shared" ref="Q266:S266" ca="1" si="183">Q267+Q268</f>
        <v>1041620</v>
      </c>
      <c r="R266" s="217">
        <f t="shared" ca="1" si="183"/>
        <v>1041620</v>
      </c>
      <c r="S266" s="217">
        <f t="shared" ca="1" si="183"/>
        <v>236173</v>
      </c>
      <c r="T266" s="217">
        <f t="shared" ref="T266:T274" ca="1" si="184">IF(Q266&gt;0,S266*100/Q266,0)</f>
        <v>22.67362377834527</v>
      </c>
      <c r="U266" s="217">
        <f t="shared" ref="U266:U274" ca="1" si="185">IF(R266&gt;0,S266*100/R266,0)</f>
        <v>22.67362377834527</v>
      </c>
    </row>
    <row r="267" spans="1:21" ht="18.75" x14ac:dyDescent="0.25">
      <c r="A267" s="211"/>
      <c r="B267" s="70"/>
      <c r="C267" s="70"/>
      <c r="D267" s="70"/>
      <c r="E267" s="78" t="s">
        <v>20</v>
      </c>
      <c r="F267" s="70"/>
      <c r="G267" s="72"/>
      <c r="H267" s="218" t="s">
        <v>14</v>
      </c>
      <c r="I267" s="74"/>
      <c r="J267" s="74"/>
      <c r="K267" s="75"/>
      <c r="L267" s="91">
        <f t="shared" ref="L267:N267" ca="1" si="186">L270+L273</f>
        <v>0</v>
      </c>
      <c r="M267" s="91">
        <f t="shared" ca="1" si="186"/>
        <v>0</v>
      </c>
      <c r="N267" s="91">
        <f t="shared" ca="1" si="186"/>
        <v>0</v>
      </c>
      <c r="O267" s="91">
        <f t="shared" ca="1" si="181"/>
        <v>0</v>
      </c>
      <c r="P267" s="91">
        <f t="shared" ca="1" si="182"/>
        <v>0</v>
      </c>
      <c r="Q267" s="219">
        <f t="shared" ref="Q267:S267" ca="1" si="187">Q270+Q273</f>
        <v>0</v>
      </c>
      <c r="R267" s="136">
        <f t="shared" ca="1" si="187"/>
        <v>0</v>
      </c>
      <c r="S267" s="136">
        <f t="shared" ca="1" si="187"/>
        <v>0</v>
      </c>
      <c r="T267" s="136">
        <f t="shared" ca="1" si="184"/>
        <v>0</v>
      </c>
      <c r="U267" s="136">
        <f t="shared" ca="1" si="185"/>
        <v>0</v>
      </c>
    </row>
    <row r="268" spans="1:21" ht="18.75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t="shared" ref="L268:N268" ca="1" si="188">L271+L274</f>
        <v>0</v>
      </c>
      <c r="M268" s="91">
        <f t="shared" ca="1" si="188"/>
        <v>117605</v>
      </c>
      <c r="N268" s="91">
        <f t="shared" ca="1" si="188"/>
        <v>47605</v>
      </c>
      <c r="O268" s="91">
        <f t="shared" ca="1" si="181"/>
        <v>0</v>
      </c>
      <c r="P268" s="91">
        <f t="shared" ca="1" si="182"/>
        <v>40.478721142808553</v>
      </c>
      <c r="Q268" s="134">
        <f t="shared" ref="Q268:S268" ca="1" si="189">Q271+Q274</f>
        <v>1041620</v>
      </c>
      <c r="R268" s="135">
        <f t="shared" ca="1" si="189"/>
        <v>1041620</v>
      </c>
      <c r="S268" s="135">
        <f t="shared" ca="1" si="189"/>
        <v>236173</v>
      </c>
      <c r="T268" s="135">
        <f t="shared" ca="1" si="184"/>
        <v>22.67362377834527</v>
      </c>
      <c r="U268" s="135">
        <f t="shared" ca="1" si="185"/>
        <v>22.67362377834527</v>
      </c>
    </row>
    <row r="269" spans="1:21" ht="18.75" x14ac:dyDescent="0.25">
      <c r="A269" s="211"/>
      <c r="B269" s="70"/>
      <c r="C269" s="70"/>
      <c r="D269" s="7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t="shared" ref="L269:N269" ca="1" si="190">L270+L271</f>
        <v>0</v>
      </c>
      <c r="M269" s="91">
        <f t="shared" ca="1" si="190"/>
        <v>117605</v>
      </c>
      <c r="N269" s="91">
        <f t="shared" ca="1" si="190"/>
        <v>47605</v>
      </c>
      <c r="O269" s="91">
        <f t="shared" ca="1" si="181"/>
        <v>0</v>
      </c>
      <c r="P269" s="91">
        <f t="shared" ca="1" si="182"/>
        <v>40.478721142808553</v>
      </c>
      <c r="Q269" s="134">
        <f t="shared" ref="Q269:S269" ca="1" si="191">Q270+Q271</f>
        <v>1041620</v>
      </c>
      <c r="R269" s="135">
        <f t="shared" ca="1" si="191"/>
        <v>1041620</v>
      </c>
      <c r="S269" s="135">
        <f t="shared" ca="1" si="191"/>
        <v>236173</v>
      </c>
      <c r="T269" s="135">
        <f t="shared" ca="1" si="184"/>
        <v>22.67362377834527</v>
      </c>
      <c r="U269" s="135">
        <f t="shared" ca="1" si="185"/>
        <v>22.67362377834527</v>
      </c>
    </row>
    <row r="270" spans="1:21" ht="18.75" x14ac:dyDescent="0.25">
      <c r="A270" s="211"/>
      <c r="B270" s="70"/>
      <c r="C270" s="70"/>
      <c r="D270" s="70"/>
      <c r="E270" s="78" t="s">
        <v>36</v>
      </c>
      <c r="F270" s="70"/>
      <c r="G270" s="72"/>
      <c r="H270" s="220" t="s">
        <v>14</v>
      </c>
      <c r="I270" s="221"/>
      <c r="J270" s="221"/>
      <c r="K270" s="222"/>
      <c r="L270" s="91">
        <f ca="1">IFERROR(__xludf.DUMMYFUNCTION("IMPORTRANGE(""https://docs.google.com/spreadsheets/d/13wPX838HrBrQMCywv1BsuMkt4PEKTChp52zj44s2izQ/edit?usp=sharing"",""กาญจนบุรี!L270"")+IMPORTRANGE(""https://docs.google.com/spreadsheets/d/1ddFKvqj1W1NEiWytbGlB1zMx_ykJDVtmfEQ-6-lIUBA/edit?usp=sharing"","&amp;"""จันทบุรี!L270"")+IMPORTRANGE(""https://docs.google.com/spreadsheets/d/1T1PQvRODqOBZk8BRht_U031fIS1beLA0Ub2CEytj2q0/edit?usp=sharing"",""ฉะเชิงเทรา!L270"")+IMPORTRANGE(""https://docs.google.com/spreadsheets/d/11tr1B-Bhyr79v2bkwVh5h_fR-PStkgjlZtkrZpYurG0/"&amp;"edit?usp=sharing"",""ชลบุรี!L270"")+IMPORTRANGE(""https://docs.google.com/spreadsheets/d/1hh-FVnSX0vozXhGluamEcS54Dw9_zqW0N7qJUWgJ0Sw/edit?usp=sharing"",""ชัยนาท!L270"")+IMPORTRANGE(""https://docs.google.com/spreadsheets/d/1jkqa6GXxSacMcY1eN8AHjMNJ_7dDXMJ"&amp;"VRLDlaFSOdPM/edit?usp=sharing"",""ตราด!L270"")+IMPORTRANGE(""https://docs.google.com/spreadsheets/d/18hSgUJ3VwClqi_qtULmmW3cLr0oe3OKaSYoKzdpTsYQ/edit?usp=sharing"",""นครนายก!L270"")+IMPORTRANGE(""https://docs.google.com/spreadsheets/d/1YTZo6WM2dQ6Ix6FSdnL"&amp;"5P7uVnVKu40sxZu975tgG10E/edit?usp=sharing"",""นครปฐม!L270"")+IMPORTRANGE(""https://docs.google.com/spreadsheets/d/1OYoGg4WDg5RIzwGeB10padOxJF9E_Vljuvvct_M7RDo/edit?usp=sharing"",""ปทุมธานี!L270"")+IMPORTRANGE(""https://docs.google.com/spreadsheets/d/1GbCI"&amp;"E4D4wk9FUozzqk7SxfDMxDVBwVmI5zcaVUSzKAc/edit?usp=sharing"",""ประจวบคีรีขันธ์!L270"")+IMPORTRANGE(""https://docs.google.com/spreadsheets/d/1vVf6wykvW_lAyu7Yo9L4hUTqHqIeP_qcVuxCtosJEbg/edit?usp=sharing"",""ปราจีนบุรี!L270"")+IMPORTRANGE(""https://docs.googl"&amp;"e.com/spreadsheets/d/1BIDqLLg5jk3v59G8NlR8rk5xfQDKne0sAvZHSj7TI6I/edit?usp=sharing"",""พระนครศรีอยุธยา!L270"")+IMPORTRANGE(""https://docs.google.com/spreadsheets/d/1YXvxf8Yu6_rV4hTBrwMqAcAnv6DfhUxh5emyM3CJp_w/edit?usp=sharing"",""เพชรบุรี!L270"")+IMPORTRA"&amp;"NGE(""https://docs.google.com/spreadsheets/d/19KBlQQs7uwvsao6t2n-KvW3Ax8J8uRRfZPq1zPbXgKc/edit?usp=sharing"",""ระยอง!L270"")+IMPORTRANGE(""https://docs.google.com/spreadsheets/d/1jQ6P4QcrGM89YfqcC_PxOHGCMq5ezhucwJd8ci-NHng/edit?usp=sharing"",""ราชบุรี!L27"&amp;"0"")+IMPORTRANGE(""https://docs.google.com/spreadsheets/d/1lufeA2cfFqM-elVq2hznhDzC6Pr7wkJ9ZG_sYNGCMCU/edit?usp=sharing"",""ลพบุรี!L270"")+IMPORTRANGE(""https://docs.google.com/spreadsheets/d/10oOiF7loTyfsTkbd4MpaIm0HQ9SwB7IYHdIUvt-U1Uc/edit?usp=sharing"""&amp;",""สระแก้ว!L270"")+IMPORTRANGE(""https://docs.google.com/spreadsheets/d/1xmPlrr1QbdSIKvl1dWUl9K4PjAfSL9oeMr_37QVzcxc/edit?usp=sharing"",""สระบุรี!L270"")+IMPORTRANGE(""https://docs.google.com/spreadsheets/d/1j51vR6CYVGhABJpv6tkstgok82RLpXieLzW1yOY5rHw/edi"&amp;"t?usp=sharing"",""สิงห์บุรี!L270"")+IMPORTRANGE(""https://docs.google.com/spreadsheets/d/1H1EalTWKUSzO4Z1-1CwzoDUaVffgrThEBe2sl74kKG0/edit?usp=sharing"",""สุพรรณบุรี!L270"")+IMPORTRANGE(""https://docs.google.com/spreadsheets/d/1BmIruG_sIrJLYao_Pdr7zVArWsf"&amp;"oBt2692TMi6x_854/edit?usp=sharing"",""อ่างทอง!L270"")"),0)</f>
        <v>0</v>
      </c>
      <c r="M270" s="91">
        <f ca="1">IFERROR(__xludf.DUMMYFUNCTION("IMPORTRANGE(""https://docs.google.com/spreadsheets/d/13wPX838HrBrQMCywv1BsuMkt4PEKTChp52zj44s2izQ/edit?usp=sharing"",""กาญจนบุรี!M270"")+IMPORTRANGE(""https://docs.google.com/spreadsheets/d/1ddFKvqj1W1NEiWytbGlB1zMx_ykJDVtmfEQ-6-lIUBA/edit?usp=sharing"","&amp;"""จันทบุรี!M270"")+IMPORTRANGE(""https://docs.google.com/spreadsheets/d/1T1PQvRODqOBZk8BRht_U031fIS1beLA0Ub2CEytj2q0/edit?usp=sharing"",""ฉะเชิงเทรา!M270"")+IMPORTRANGE(""https://docs.google.com/spreadsheets/d/11tr1B-Bhyr79v2bkwVh5h_fR-PStkgjlZtkrZpYurG0/"&amp;"edit?usp=sharing"",""ชลบุรี!M270"")+IMPORTRANGE(""https://docs.google.com/spreadsheets/d/1hh-FVnSX0vozXhGluamEcS54Dw9_zqW0N7qJUWgJ0Sw/edit?usp=sharing"",""ชัยนาท!M270"")+IMPORTRANGE(""https://docs.google.com/spreadsheets/d/1jkqa6GXxSacMcY1eN8AHjMNJ_7dDXMJ"&amp;"VRLDlaFSOdPM/edit?usp=sharing"",""ตราด!M270"")+IMPORTRANGE(""https://docs.google.com/spreadsheets/d/18hSgUJ3VwClqi_qtULmmW3cLr0oe3OKaSYoKzdpTsYQ/edit?usp=sharing"",""นครนายก!M270"")+IMPORTRANGE(""https://docs.google.com/spreadsheets/d/1YTZo6WM2dQ6Ix6FSdnL"&amp;"5P7uVnVKu40sxZu975tgG10E/edit?usp=sharing"",""นครปฐม!M270"")+IMPORTRANGE(""https://docs.google.com/spreadsheets/d/1OYoGg4WDg5RIzwGeB10padOxJF9E_Vljuvvct_M7RDo/edit?usp=sharing"",""ปทุมธานี!M270"")+IMPORTRANGE(""https://docs.google.com/spreadsheets/d/1GbCI"&amp;"E4D4wk9FUozzqk7SxfDMxDVBwVmI5zcaVUSzKAc/edit?usp=sharing"",""ประจวบคีรีขันธ์!M270"")+IMPORTRANGE(""https://docs.google.com/spreadsheets/d/1vVf6wykvW_lAyu7Yo9L4hUTqHqIeP_qcVuxCtosJEbg/edit?usp=sharing"",""ปราจีนบุรี!M270"")+IMPORTRANGE(""https://docs.googl"&amp;"e.com/spreadsheets/d/1BIDqLLg5jk3v59G8NlR8rk5xfQDKne0sAvZHSj7TI6I/edit?usp=sharing"",""พระนครศรีอยุธยา!M270"")+IMPORTRANGE(""https://docs.google.com/spreadsheets/d/1YXvxf8Yu6_rV4hTBrwMqAcAnv6DfhUxh5emyM3CJp_w/edit?usp=sharing"",""เพชรบุรี!M270"")+IMPORTRA"&amp;"NGE(""https://docs.google.com/spreadsheets/d/19KBlQQs7uwvsao6t2n-KvW3Ax8J8uRRfZPq1zPbXgKc/edit?usp=sharing"",""ระยอง!M270"")+IMPORTRANGE(""https://docs.google.com/spreadsheets/d/1jQ6P4QcrGM89YfqcC_PxOHGCMq5ezhucwJd8ci-NHng/edit?usp=sharing"",""ราชบุรี!M27"&amp;"0"")+IMPORTRANGE(""https://docs.google.com/spreadsheets/d/1lufeA2cfFqM-elVq2hznhDzC6Pr7wkJ9ZG_sYNGCMCU/edit?usp=sharing"",""ลพบุรี!M270"")+IMPORTRANGE(""https://docs.google.com/spreadsheets/d/10oOiF7loTyfsTkbd4MpaIm0HQ9SwB7IYHdIUvt-U1Uc/edit?usp=sharing"""&amp;",""สระแก้ว!M270"")+IMPORTRANGE(""https://docs.google.com/spreadsheets/d/1xmPlrr1QbdSIKvl1dWUl9K4PjAfSL9oeMr_37QVzcxc/edit?usp=sharing"",""สระบุรี!M270"")+IMPORTRANGE(""https://docs.google.com/spreadsheets/d/1j51vR6CYVGhABJpv6tkstgok82RLpXieLzW1yOY5rHw/edi"&amp;"t?usp=sharing"",""สิงห์บุรี!M270"")+IMPORTRANGE(""https://docs.google.com/spreadsheets/d/1H1EalTWKUSzO4Z1-1CwzoDUaVffgrThEBe2sl74kKG0/edit?usp=sharing"",""สุพรรณบุรี!M270"")+IMPORTRANGE(""https://docs.google.com/spreadsheets/d/1BmIruG_sIrJLYao_Pdr7zVArWsf"&amp;"oBt2692TMi6x_854/edit?usp=sharing"",""อ่างทอง!M270"")"),0)</f>
        <v>0</v>
      </c>
      <c r="N270" s="91">
        <f ca="1">IFERROR(__xludf.DUMMYFUNCTION("IMPORTRANGE(""https://docs.google.com/spreadsheets/d/13wPX838HrBrQMCywv1BsuMkt4PEKTChp52zj44s2izQ/edit?usp=sharing"",""กาญจนบุรี!N270"")+IMPORTRANGE(""https://docs.google.com/spreadsheets/d/1ddFKvqj1W1NEiWytbGlB1zMx_ykJDVtmfEQ-6-lIUBA/edit?usp=sharing"","&amp;"""จันทบุรี!N270"")+IMPORTRANGE(""https://docs.google.com/spreadsheets/d/1T1PQvRODqOBZk8BRht_U031fIS1beLA0Ub2CEytj2q0/edit?usp=sharing"",""ฉะเชิงเทรา!N270"")+IMPORTRANGE(""https://docs.google.com/spreadsheets/d/11tr1B-Bhyr79v2bkwVh5h_fR-PStkgjlZtkrZpYurG0/"&amp;"edit?usp=sharing"",""ชลบุรี!N270"")+IMPORTRANGE(""https://docs.google.com/spreadsheets/d/1hh-FVnSX0vozXhGluamEcS54Dw9_zqW0N7qJUWgJ0Sw/edit?usp=sharing"",""ชัยนาท!N270"")+IMPORTRANGE(""https://docs.google.com/spreadsheets/d/1jkqa6GXxSacMcY1eN8AHjMNJ_7dDXMJ"&amp;"VRLDlaFSOdPM/edit?usp=sharing"",""ตราด!N270"")+IMPORTRANGE(""https://docs.google.com/spreadsheets/d/18hSgUJ3VwClqi_qtULmmW3cLr0oe3OKaSYoKzdpTsYQ/edit?usp=sharing"",""นครนายก!N270"")+IMPORTRANGE(""https://docs.google.com/spreadsheets/d/1YTZo6WM2dQ6Ix6FSdnL"&amp;"5P7uVnVKu40sxZu975tgG10E/edit?usp=sharing"",""นครปฐม!N270"")+IMPORTRANGE(""https://docs.google.com/spreadsheets/d/1OYoGg4WDg5RIzwGeB10padOxJF9E_Vljuvvct_M7RDo/edit?usp=sharing"",""ปทุมธานี!N270"")+IMPORTRANGE(""https://docs.google.com/spreadsheets/d/1GbCI"&amp;"E4D4wk9FUozzqk7SxfDMxDVBwVmI5zcaVUSzKAc/edit?usp=sharing"",""ประจวบคีรีขันธ์!N270"")+IMPORTRANGE(""https://docs.google.com/spreadsheets/d/1vVf6wykvW_lAyu7Yo9L4hUTqHqIeP_qcVuxCtosJEbg/edit?usp=sharing"",""ปราจีนบุรี!N270"")+IMPORTRANGE(""https://docs.googl"&amp;"e.com/spreadsheets/d/1BIDqLLg5jk3v59G8NlR8rk5xfQDKne0sAvZHSj7TI6I/edit?usp=sharing"",""พระนครศรีอยุธยา!N270"")+IMPORTRANGE(""https://docs.google.com/spreadsheets/d/1YXvxf8Yu6_rV4hTBrwMqAcAnv6DfhUxh5emyM3CJp_w/edit?usp=sharing"",""เพชรบุรี!N270"")+IMPORTRA"&amp;"NGE(""https://docs.google.com/spreadsheets/d/19KBlQQs7uwvsao6t2n-KvW3Ax8J8uRRfZPq1zPbXgKc/edit?usp=sharing"",""ระยอง!N270"")+IMPORTRANGE(""https://docs.google.com/spreadsheets/d/1jQ6P4QcrGM89YfqcC_PxOHGCMq5ezhucwJd8ci-NHng/edit?usp=sharing"",""ราชบุรี!N27"&amp;"0"")+IMPORTRANGE(""https://docs.google.com/spreadsheets/d/1lufeA2cfFqM-elVq2hznhDzC6Pr7wkJ9ZG_sYNGCMCU/edit?usp=sharing"",""ลพบุรี!N270"")+IMPORTRANGE(""https://docs.google.com/spreadsheets/d/10oOiF7loTyfsTkbd4MpaIm0HQ9SwB7IYHdIUvt-U1Uc/edit?usp=sharing"""&amp;",""สระแก้ว!N270"")+IMPORTRANGE(""https://docs.google.com/spreadsheets/d/1xmPlrr1QbdSIKvl1dWUl9K4PjAfSL9oeMr_37QVzcxc/edit?usp=sharing"",""สระบุรี!N270"")+IMPORTRANGE(""https://docs.google.com/spreadsheets/d/1j51vR6CYVGhABJpv6tkstgok82RLpXieLzW1yOY5rHw/edi"&amp;"t?usp=sharing"",""สิงห์บุรี!N270"")+IMPORTRANGE(""https://docs.google.com/spreadsheets/d/1H1EalTWKUSzO4Z1-1CwzoDUaVffgrThEBe2sl74kKG0/edit?usp=sharing"",""สุพรรณบุรี!N270"")+IMPORTRANGE(""https://docs.google.com/spreadsheets/d/1BmIruG_sIrJLYao_Pdr7zVArWsf"&amp;"oBt2692TMi6x_854/edit?usp=sharing"",""อ่างทอง!N270"")"),0)</f>
        <v>0</v>
      </c>
      <c r="O270" s="91">
        <f t="shared" ca="1" si="181"/>
        <v>0</v>
      </c>
      <c r="P270" s="91">
        <f t="shared" ca="1" si="182"/>
        <v>0</v>
      </c>
      <c r="Q270" s="79">
        <f ca="1">IFERROR(__xludf.DUMMYFUNCTION("IMPORTRANGE(""https://docs.google.com/spreadsheets/d/13wPX838HrBrQMCywv1BsuMkt4PEKTChp52zj44s2izQ/edit?usp=sharing"",""กาญจนบุรี!Q270"")+IMPORTRANGE(""https://docs.google.com/spreadsheets/d/1ddFKvqj1W1NEiWytbGlB1zMx_ykJDVtmfEQ-6-lIUBA/edit?usp=sharing"","&amp;"""จันทบุรี!Q270"")+IMPORTRANGE(""https://docs.google.com/spreadsheets/d/1T1PQvRODqOBZk8BRht_U031fIS1beLA0Ub2CEytj2q0/edit?usp=sharing"",""ฉะเชิงเทรา!Q270"")+IMPORTRANGE(""https://docs.google.com/spreadsheets/d/11tr1B-Bhyr79v2bkwVh5h_fR-PStkgjlZtkrZpYurG0/"&amp;"edit?usp=sharing"",""ชลบุรี!Q270"")+IMPORTRANGE(""https://docs.google.com/spreadsheets/d/1hh-FVnSX0vozXhGluamEcS54Dw9_zqW0N7qJUWgJ0Sw/edit?usp=sharing"",""ชัยนาท!Q270"")+IMPORTRANGE(""https://docs.google.com/spreadsheets/d/1jkqa6GXxSacMcY1eN8AHjMNJ_7dDXMJ"&amp;"VRLDlaFSOdPM/edit?usp=sharing"",""ตราด!Q270"")+IMPORTRANGE(""https://docs.google.com/spreadsheets/d/18hSgUJ3VwClqi_qtULmmW3cLr0oe3OKaSYoKzdpTsYQ/edit?usp=sharing"",""นครนายก!Q270"")+IMPORTRANGE(""https://docs.google.com/spreadsheets/d/1YTZo6WM2dQ6Ix6FSdnL"&amp;"5P7uVnVKu40sxZu975tgG10E/edit?usp=sharing"",""นครปฐม!Q270"")+IMPORTRANGE(""https://docs.google.com/spreadsheets/d/1OYoGg4WDg5RIzwGeB10padOxJF9E_Vljuvvct_M7RDo/edit?usp=sharing"",""ปทุมธานี!Q270"")+IMPORTRANGE(""https://docs.google.com/spreadsheets/d/1GbCI"&amp;"E4D4wk9FUozzqk7SxfDMxDVBwVmI5zcaVUSzKAc/edit?usp=sharing"",""ประจวบคีรีขันธ์!Q270"")+IMPORTRANGE(""https://docs.google.com/spreadsheets/d/1vVf6wykvW_lAyu7Yo9L4hUTqHqIeP_qcVuxCtosJEbg/edit?usp=sharing"",""ปราจีนบุรี!Q270"")+IMPORTRANGE(""https://docs.googl"&amp;"e.com/spreadsheets/d/1BIDqLLg5jk3v59G8NlR8rk5xfQDKne0sAvZHSj7TI6I/edit?usp=sharing"",""พระนครศรีอยุธยา!Q270"")+IMPORTRANGE(""https://docs.google.com/spreadsheets/d/1YXvxf8Yu6_rV4hTBrwMqAcAnv6DfhUxh5emyM3CJp_w/edit?usp=sharing"",""เพชรบุรี!Q270"")+IMPORTRA"&amp;"NGE(""https://docs.google.com/spreadsheets/d/19KBlQQs7uwvsao6t2n-KvW3Ax8J8uRRfZPq1zPbXgKc/edit?usp=sharing"",""ระยอง!Q270"")+IMPORTRANGE(""https://docs.google.com/spreadsheets/d/1jQ6P4QcrGM89YfqcC_PxOHGCMq5ezhucwJd8ci-NHng/edit?usp=sharing"",""ราชบุรี!Q27"&amp;"0"")+IMPORTRANGE(""https://docs.google.com/spreadsheets/d/1lufeA2cfFqM-elVq2hznhDzC6Pr7wkJ9ZG_sYNGCMCU/edit?usp=sharing"",""ลพบุรี!Q270"")+IMPORTRANGE(""https://docs.google.com/spreadsheets/d/10oOiF7loTyfsTkbd4MpaIm0HQ9SwB7IYHdIUvt-U1Uc/edit?usp=sharing"""&amp;",""สระแก้ว!Q270"")+IMPORTRANGE(""https://docs.google.com/spreadsheets/d/1xmPlrr1QbdSIKvl1dWUl9K4PjAfSL9oeMr_37QVzcxc/edit?usp=sharing"",""สระบุรี!Q270"")+IMPORTRANGE(""https://docs.google.com/spreadsheets/d/1j51vR6CYVGhABJpv6tkstgok82RLpXieLzW1yOY5rHw/edi"&amp;"t?usp=sharing"",""สิงห์บุรี!Q270"")+IMPORTRANGE(""https://docs.google.com/spreadsheets/d/1H1EalTWKUSzO4Z1-1CwzoDUaVffgrThEBe2sl74kKG0/edit?usp=sharing"",""สุพรรณบุรี!Q270"")+IMPORTRANGE(""https://docs.google.com/spreadsheets/d/1BmIruG_sIrJLYao_Pdr7zVArWsf"&amp;"oBt2692TMi6x_854/edit?usp=sharing"",""อ่างทอง!Q270"")"),0)</f>
        <v>0</v>
      </c>
      <c r="R270" s="80">
        <f ca="1">IFERROR(__xludf.DUMMYFUNCTION("IMPORTRANGE(""https://docs.google.com/spreadsheets/d/13wPX838HrBrQMCywv1BsuMkt4PEKTChp52zj44s2izQ/edit?usp=sharing"",""กาญจนบุรี!R270"")+IMPORTRANGE(""https://docs.google.com/spreadsheets/d/1ddFKvqj1W1NEiWytbGlB1zMx_ykJDVtmfEQ-6-lIUBA/edit?usp=sharing"","&amp;"""จันทบุรี!R270"")+IMPORTRANGE(""https://docs.google.com/spreadsheets/d/1T1PQvRODqOBZk8BRht_U031fIS1beLA0Ub2CEytj2q0/edit?usp=sharing"",""ฉะเชิงเทรา!R270"")+IMPORTRANGE(""https://docs.google.com/spreadsheets/d/11tr1B-Bhyr79v2bkwVh5h_fR-PStkgjlZtkrZpYurG0/"&amp;"edit?usp=sharing"",""ชลบุรี!R270"")+IMPORTRANGE(""https://docs.google.com/spreadsheets/d/1hh-FVnSX0vozXhGluamEcS54Dw9_zqW0N7qJUWgJ0Sw/edit?usp=sharing"",""ชัยนาท!R270"")+IMPORTRANGE(""https://docs.google.com/spreadsheets/d/1jkqa6GXxSacMcY1eN8AHjMNJ_7dDXMJ"&amp;"VRLDlaFSOdPM/edit?usp=sharing"",""ตราด!R270"")+IMPORTRANGE(""https://docs.google.com/spreadsheets/d/18hSgUJ3VwClqi_qtULmmW3cLr0oe3OKaSYoKzdpTsYQ/edit?usp=sharing"",""นครนายก!R270"")+IMPORTRANGE(""https://docs.google.com/spreadsheets/d/1YTZo6WM2dQ6Ix6FSdnL"&amp;"5P7uVnVKu40sxZu975tgG10E/edit?usp=sharing"",""นครปฐม!R270"")+IMPORTRANGE(""https://docs.google.com/spreadsheets/d/1OYoGg4WDg5RIzwGeB10padOxJF9E_Vljuvvct_M7RDo/edit?usp=sharing"",""ปทุมธานี!R270"")+IMPORTRANGE(""https://docs.google.com/spreadsheets/d/1GbCI"&amp;"E4D4wk9FUozzqk7SxfDMxDVBwVmI5zcaVUSzKAc/edit?usp=sharing"",""ประจวบคีรีขันธ์!R270"")+IMPORTRANGE(""https://docs.google.com/spreadsheets/d/1vVf6wykvW_lAyu7Yo9L4hUTqHqIeP_qcVuxCtosJEbg/edit?usp=sharing"",""ปราจีนบุรี!R270"")+IMPORTRANGE(""https://docs.googl"&amp;"e.com/spreadsheets/d/1BIDqLLg5jk3v59G8NlR8rk5xfQDKne0sAvZHSj7TI6I/edit?usp=sharing"",""พระนครศรีอยุธยา!R270"")+IMPORTRANGE(""https://docs.google.com/spreadsheets/d/1YXvxf8Yu6_rV4hTBrwMqAcAnv6DfhUxh5emyM3CJp_w/edit?usp=sharing"",""เพชรบุรี!R270"")+IMPORTRA"&amp;"NGE(""https://docs.google.com/spreadsheets/d/19KBlQQs7uwvsao6t2n-KvW3Ax8J8uRRfZPq1zPbXgKc/edit?usp=sharing"",""ระยอง!R270"")+IMPORTRANGE(""https://docs.google.com/spreadsheets/d/1jQ6P4QcrGM89YfqcC_PxOHGCMq5ezhucwJd8ci-NHng/edit?usp=sharing"",""ราชบุรี!R27"&amp;"0"")+IMPORTRANGE(""https://docs.google.com/spreadsheets/d/1lufeA2cfFqM-elVq2hznhDzC6Pr7wkJ9ZG_sYNGCMCU/edit?usp=sharing"",""ลพบุรี!R270"")+IMPORTRANGE(""https://docs.google.com/spreadsheets/d/10oOiF7loTyfsTkbd4MpaIm0HQ9SwB7IYHdIUvt-U1Uc/edit?usp=sharing"""&amp;",""สระแก้ว!R270"")+IMPORTRANGE(""https://docs.google.com/spreadsheets/d/1xmPlrr1QbdSIKvl1dWUl9K4PjAfSL9oeMr_37QVzcxc/edit?usp=sharing"",""สระบุรี!R270"")+IMPORTRANGE(""https://docs.google.com/spreadsheets/d/1j51vR6CYVGhABJpv6tkstgok82RLpXieLzW1yOY5rHw/edi"&amp;"t?usp=sharing"",""สิงห์บุรี!R270"")+IMPORTRANGE(""https://docs.google.com/spreadsheets/d/1H1EalTWKUSzO4Z1-1CwzoDUaVffgrThEBe2sl74kKG0/edit?usp=sharing"",""สุพรรณบุรี!R270"")+IMPORTRANGE(""https://docs.google.com/spreadsheets/d/1BmIruG_sIrJLYao_Pdr7zVArWsf"&amp;"oBt2692TMi6x_854/edit?usp=sharing"",""อ่างทอง!R270"")"),0)</f>
        <v>0</v>
      </c>
      <c r="S270" s="80">
        <f ca="1">IFERROR(__xludf.DUMMYFUNCTION("IMPORTRANGE(""https://docs.google.com/spreadsheets/d/13wPX838HrBrQMCywv1BsuMkt4PEKTChp52zj44s2izQ/edit?usp=sharing"",""กาญจนบุรี!S270"")+IMPORTRANGE(""https://docs.google.com/spreadsheets/d/1ddFKvqj1W1NEiWytbGlB1zMx_ykJDVtmfEQ-6-lIUBA/edit?usp=sharing"","&amp;"""จันทบุรี!S270"")+IMPORTRANGE(""https://docs.google.com/spreadsheets/d/1T1PQvRODqOBZk8BRht_U031fIS1beLA0Ub2CEytj2q0/edit?usp=sharing"",""ฉะเชิงเทรา!S270"")+IMPORTRANGE(""https://docs.google.com/spreadsheets/d/11tr1B-Bhyr79v2bkwVh5h_fR-PStkgjlZtkrZpYurG0/"&amp;"edit?usp=sharing"",""ชลบุรี!S270"")+IMPORTRANGE(""https://docs.google.com/spreadsheets/d/1hh-FVnSX0vozXhGluamEcS54Dw9_zqW0N7qJUWgJ0Sw/edit?usp=sharing"",""ชัยนาท!S270"")+IMPORTRANGE(""https://docs.google.com/spreadsheets/d/1jkqa6GXxSacMcY1eN8AHjMNJ_7dDXMJ"&amp;"VRLDlaFSOdPM/edit?usp=sharing"",""ตราด!S270"")+IMPORTRANGE(""https://docs.google.com/spreadsheets/d/18hSgUJ3VwClqi_qtULmmW3cLr0oe3OKaSYoKzdpTsYQ/edit?usp=sharing"",""นครนายก!S270"")+IMPORTRANGE(""https://docs.google.com/spreadsheets/d/1YTZo6WM2dQ6Ix6FSdnL"&amp;"5P7uVnVKu40sxZu975tgG10E/edit?usp=sharing"",""นครปฐม!S270"")+IMPORTRANGE(""https://docs.google.com/spreadsheets/d/1OYoGg4WDg5RIzwGeB10padOxJF9E_Vljuvvct_M7RDo/edit?usp=sharing"",""ปทุมธานี!S270"")+IMPORTRANGE(""https://docs.google.com/spreadsheets/d/1GbCI"&amp;"E4D4wk9FUozzqk7SxfDMxDVBwVmI5zcaVUSzKAc/edit?usp=sharing"",""ประจวบคีรีขันธ์!S270"")+IMPORTRANGE(""https://docs.google.com/spreadsheets/d/1vVf6wykvW_lAyu7Yo9L4hUTqHqIeP_qcVuxCtosJEbg/edit?usp=sharing"",""ปราจีนบุรี!S270"")+IMPORTRANGE(""https://docs.googl"&amp;"e.com/spreadsheets/d/1BIDqLLg5jk3v59G8NlR8rk5xfQDKne0sAvZHSj7TI6I/edit?usp=sharing"",""พระนครศรีอยุธยา!S270"")+IMPORTRANGE(""https://docs.google.com/spreadsheets/d/1YXvxf8Yu6_rV4hTBrwMqAcAnv6DfhUxh5emyM3CJp_w/edit?usp=sharing"",""เพชรบุรี!S270"")+IMPORTRA"&amp;"NGE(""https://docs.google.com/spreadsheets/d/19KBlQQs7uwvsao6t2n-KvW3Ax8J8uRRfZPq1zPbXgKc/edit?usp=sharing"",""ระยอง!S270"")+IMPORTRANGE(""https://docs.google.com/spreadsheets/d/1jQ6P4QcrGM89YfqcC_PxOHGCMq5ezhucwJd8ci-NHng/edit?usp=sharing"",""ราชบุรี!S27"&amp;"0"")+IMPORTRANGE(""https://docs.google.com/spreadsheets/d/1lufeA2cfFqM-elVq2hznhDzC6Pr7wkJ9ZG_sYNGCMCU/edit?usp=sharing"",""ลพบุรี!S270"")+IMPORTRANGE(""https://docs.google.com/spreadsheets/d/10oOiF7loTyfsTkbd4MpaIm0HQ9SwB7IYHdIUvt-U1Uc/edit?usp=sharing"""&amp;",""สระแก้ว!S270"")+IMPORTRANGE(""https://docs.google.com/spreadsheets/d/1xmPlrr1QbdSIKvl1dWUl9K4PjAfSL9oeMr_37QVzcxc/edit?usp=sharing"",""สระบุรี!S270"")+IMPORTRANGE(""https://docs.google.com/spreadsheets/d/1j51vR6CYVGhABJpv6tkstgok82RLpXieLzW1yOY5rHw/edi"&amp;"t?usp=sharing"",""สิงห์บุรี!S270"")+IMPORTRANGE(""https://docs.google.com/spreadsheets/d/1H1EalTWKUSzO4Z1-1CwzoDUaVffgrThEBe2sl74kKG0/edit?usp=sharing"",""สุพรรณบุรี!S270"")+IMPORTRANGE(""https://docs.google.com/spreadsheets/d/1BmIruG_sIrJLYao_Pdr7zVArWsf"&amp;"oBt2692TMi6x_854/edit?usp=sharing"",""อ่างทอง!S270"")"),0)</f>
        <v>0</v>
      </c>
      <c r="T270" s="136">
        <f t="shared" ca="1" si="184"/>
        <v>0</v>
      </c>
      <c r="U270" s="136">
        <f t="shared" ca="1" si="185"/>
        <v>0</v>
      </c>
    </row>
    <row r="271" spans="1:21" ht="18.75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13wPX838HrBrQMCywv1BsuMkt4PEKTChp52zj44s2izQ/edit?usp=sharing"",""กาญจนบุรี!L271"")+IMPORTRANGE(""https://docs.google.com/spreadsheets/d/1ddFKvqj1W1NEiWytbGlB1zMx_ykJDVtmfEQ-6-lIUBA/edit?usp=sharing"","&amp;"""จันทบุรี!L271"")+IMPORTRANGE(""https://docs.google.com/spreadsheets/d/1T1PQvRODqOBZk8BRht_U031fIS1beLA0Ub2CEytj2q0/edit?usp=sharing"",""ฉะเชิงเทรา!L271"")+IMPORTRANGE(""https://docs.google.com/spreadsheets/d/11tr1B-Bhyr79v2bkwVh5h_fR-PStkgjlZtkrZpYurG0/"&amp;"edit?usp=sharing"",""ชลบุรี!L271"")+IMPORTRANGE(""https://docs.google.com/spreadsheets/d/1hh-FVnSX0vozXhGluamEcS54Dw9_zqW0N7qJUWgJ0Sw/edit?usp=sharing"",""ชัยนาท!L271"")+IMPORTRANGE(""https://docs.google.com/spreadsheets/d/1jkqa6GXxSacMcY1eN8AHjMNJ_7dDXMJ"&amp;"VRLDlaFSOdPM/edit?usp=sharing"",""ตราด!L271"")+IMPORTRANGE(""https://docs.google.com/spreadsheets/d/18hSgUJ3VwClqi_qtULmmW3cLr0oe3OKaSYoKzdpTsYQ/edit?usp=sharing"",""นครนายก!L271"")+IMPORTRANGE(""https://docs.google.com/spreadsheets/d/1YTZo6WM2dQ6Ix6FSdnL"&amp;"5P7uVnVKu40sxZu975tgG10E/edit?usp=sharing"",""นครปฐม!L271"")+IMPORTRANGE(""https://docs.google.com/spreadsheets/d/1OYoGg4WDg5RIzwGeB10padOxJF9E_Vljuvvct_M7RDo/edit?usp=sharing"",""ปทุมธานี!L271"")+IMPORTRANGE(""https://docs.google.com/spreadsheets/d/1GbCI"&amp;"E4D4wk9FUozzqk7SxfDMxDVBwVmI5zcaVUSzKAc/edit?usp=sharing"",""ประจวบคีรีขันธ์!L271"")+IMPORTRANGE(""https://docs.google.com/spreadsheets/d/1vVf6wykvW_lAyu7Yo9L4hUTqHqIeP_qcVuxCtosJEbg/edit?usp=sharing"",""ปราจีนบุรี!L271"")+IMPORTRANGE(""https://docs.googl"&amp;"e.com/spreadsheets/d/1BIDqLLg5jk3v59G8NlR8rk5xfQDKne0sAvZHSj7TI6I/edit?usp=sharing"",""พระนครศรีอยุธยา!L271"")+IMPORTRANGE(""https://docs.google.com/spreadsheets/d/1YXvxf8Yu6_rV4hTBrwMqAcAnv6DfhUxh5emyM3CJp_w/edit?usp=sharing"",""เพชรบุรี!L271"")+IMPORTRA"&amp;"NGE(""https://docs.google.com/spreadsheets/d/19KBlQQs7uwvsao6t2n-KvW3Ax8J8uRRfZPq1zPbXgKc/edit?usp=sharing"",""ระยอง!L271"")+IMPORTRANGE(""https://docs.google.com/spreadsheets/d/1jQ6P4QcrGM89YfqcC_PxOHGCMq5ezhucwJd8ci-NHng/edit?usp=sharing"",""ราชบุรี!L27"&amp;"1"")+IMPORTRANGE(""https://docs.google.com/spreadsheets/d/1lufeA2cfFqM-elVq2hznhDzC6Pr7wkJ9ZG_sYNGCMCU/edit?usp=sharing"",""ลพบุรี!L271"")+IMPORTRANGE(""https://docs.google.com/spreadsheets/d/10oOiF7loTyfsTkbd4MpaIm0HQ9SwB7IYHdIUvt-U1Uc/edit?usp=sharing"""&amp;",""สระแก้ว!L271"")+IMPORTRANGE(""https://docs.google.com/spreadsheets/d/1xmPlrr1QbdSIKvl1dWUl9K4PjAfSL9oeMr_37QVzcxc/edit?usp=sharing"",""สระบุรี!L271"")+IMPORTRANGE(""https://docs.google.com/spreadsheets/d/1j51vR6CYVGhABJpv6tkstgok82RLpXieLzW1yOY5rHw/edi"&amp;"t?usp=sharing"",""สิงห์บุรี!L271"")+IMPORTRANGE(""https://docs.google.com/spreadsheets/d/1H1EalTWKUSzO4Z1-1CwzoDUaVffgrThEBe2sl74kKG0/edit?usp=sharing"",""สุพรรณบุรี!L271"")+IMPORTRANGE(""https://docs.google.com/spreadsheets/d/1BmIruG_sIrJLYao_Pdr7zVArWsf"&amp;"oBt2692TMi6x_854/edit?usp=sharing"",""อ่างทอง!L271"")"),0)</f>
        <v>0</v>
      </c>
      <c r="M271" s="91">
        <f ca="1">IFERROR(__xludf.DUMMYFUNCTION("IMPORTRANGE(""https://docs.google.com/spreadsheets/d/13wPX838HrBrQMCywv1BsuMkt4PEKTChp52zj44s2izQ/edit?usp=sharing"",""กาญจนบุรี!M271"")+IMPORTRANGE(""https://docs.google.com/spreadsheets/d/1ddFKvqj1W1NEiWytbGlB1zMx_ykJDVtmfEQ-6-lIUBA/edit?usp=sharing"","&amp;"""จันทบุรี!M271"")+IMPORTRANGE(""https://docs.google.com/spreadsheets/d/1T1PQvRODqOBZk8BRht_U031fIS1beLA0Ub2CEytj2q0/edit?usp=sharing"",""ฉะเชิงเทรา!M271"")+IMPORTRANGE(""https://docs.google.com/spreadsheets/d/11tr1B-Bhyr79v2bkwVh5h_fR-PStkgjlZtkrZpYurG0/"&amp;"edit?usp=sharing"",""ชลบุรี!M271"")+IMPORTRANGE(""https://docs.google.com/spreadsheets/d/1hh-FVnSX0vozXhGluamEcS54Dw9_zqW0N7qJUWgJ0Sw/edit?usp=sharing"",""ชัยนาท!M271"")+IMPORTRANGE(""https://docs.google.com/spreadsheets/d/1jkqa6GXxSacMcY1eN8AHjMNJ_7dDXMJ"&amp;"VRLDlaFSOdPM/edit?usp=sharing"",""ตราด!M271"")+IMPORTRANGE(""https://docs.google.com/spreadsheets/d/18hSgUJ3VwClqi_qtULmmW3cLr0oe3OKaSYoKzdpTsYQ/edit?usp=sharing"",""นครนายก!M271"")+IMPORTRANGE(""https://docs.google.com/spreadsheets/d/1YTZo6WM2dQ6Ix6FSdnL"&amp;"5P7uVnVKu40sxZu975tgG10E/edit?usp=sharing"",""นครปฐม!M271"")+IMPORTRANGE(""https://docs.google.com/spreadsheets/d/1OYoGg4WDg5RIzwGeB10padOxJF9E_Vljuvvct_M7RDo/edit?usp=sharing"",""ปทุมธานี!M271"")+IMPORTRANGE(""https://docs.google.com/spreadsheets/d/1GbCI"&amp;"E4D4wk9FUozzqk7SxfDMxDVBwVmI5zcaVUSzKAc/edit?usp=sharing"",""ประจวบคีรีขันธ์!M271"")+IMPORTRANGE(""https://docs.google.com/spreadsheets/d/1vVf6wykvW_lAyu7Yo9L4hUTqHqIeP_qcVuxCtosJEbg/edit?usp=sharing"",""ปราจีนบุรี!M271"")+IMPORTRANGE(""https://docs.googl"&amp;"e.com/spreadsheets/d/1BIDqLLg5jk3v59G8NlR8rk5xfQDKne0sAvZHSj7TI6I/edit?usp=sharing"",""พระนครศรีอยุธยา!M271"")+IMPORTRANGE(""https://docs.google.com/spreadsheets/d/1YXvxf8Yu6_rV4hTBrwMqAcAnv6DfhUxh5emyM3CJp_w/edit?usp=sharing"",""เพชรบุรี!M271"")+IMPORTRA"&amp;"NGE(""https://docs.google.com/spreadsheets/d/19KBlQQs7uwvsao6t2n-KvW3Ax8J8uRRfZPq1zPbXgKc/edit?usp=sharing"",""ระยอง!M271"")+IMPORTRANGE(""https://docs.google.com/spreadsheets/d/1jQ6P4QcrGM89YfqcC_PxOHGCMq5ezhucwJd8ci-NHng/edit?usp=sharing"",""ราชบุรี!M27"&amp;"1"")+IMPORTRANGE(""https://docs.google.com/spreadsheets/d/1lufeA2cfFqM-elVq2hznhDzC6Pr7wkJ9ZG_sYNGCMCU/edit?usp=sharing"",""ลพบุรี!M271"")+IMPORTRANGE(""https://docs.google.com/spreadsheets/d/10oOiF7loTyfsTkbd4MpaIm0HQ9SwB7IYHdIUvt-U1Uc/edit?usp=sharing"""&amp;",""สระแก้ว!M271"")+IMPORTRANGE(""https://docs.google.com/spreadsheets/d/1xmPlrr1QbdSIKvl1dWUl9K4PjAfSL9oeMr_37QVzcxc/edit?usp=sharing"",""สระบุรี!M271"")+IMPORTRANGE(""https://docs.google.com/spreadsheets/d/1j51vR6CYVGhABJpv6tkstgok82RLpXieLzW1yOY5rHw/edi"&amp;"t?usp=sharing"",""สิงห์บุรี!M271"")+IMPORTRANGE(""https://docs.google.com/spreadsheets/d/1H1EalTWKUSzO4Z1-1CwzoDUaVffgrThEBe2sl74kKG0/edit?usp=sharing"",""สุพรรณบุรี!M271"")+IMPORTRANGE(""https://docs.google.com/spreadsheets/d/1BmIruG_sIrJLYao_Pdr7zVArWsf"&amp;"oBt2692TMi6x_854/edit?usp=sharing"",""อ่างทอง!M271"")"),117605)</f>
        <v>117605</v>
      </c>
      <c r="N271" s="91">
        <f ca="1">IFERROR(__xludf.DUMMYFUNCTION("IMPORTRANGE(""https://docs.google.com/spreadsheets/d/13wPX838HrBrQMCywv1BsuMkt4PEKTChp52zj44s2izQ/edit?usp=sharing"",""กาญจนบุรี!N271"")+IMPORTRANGE(""https://docs.google.com/spreadsheets/d/1ddFKvqj1W1NEiWytbGlB1zMx_ykJDVtmfEQ-6-lIUBA/edit?usp=sharing"","&amp;"""จันทบุรี!N271"")+IMPORTRANGE(""https://docs.google.com/spreadsheets/d/1T1PQvRODqOBZk8BRht_U031fIS1beLA0Ub2CEytj2q0/edit?usp=sharing"",""ฉะเชิงเทรา!N271"")+IMPORTRANGE(""https://docs.google.com/spreadsheets/d/11tr1B-Bhyr79v2bkwVh5h_fR-PStkgjlZtkrZpYurG0/"&amp;"edit?usp=sharing"",""ชลบุรี!N271"")+IMPORTRANGE(""https://docs.google.com/spreadsheets/d/1hh-FVnSX0vozXhGluamEcS54Dw9_zqW0N7qJUWgJ0Sw/edit?usp=sharing"",""ชัยนาท!N271"")+IMPORTRANGE(""https://docs.google.com/spreadsheets/d/1jkqa6GXxSacMcY1eN8AHjMNJ_7dDXMJ"&amp;"VRLDlaFSOdPM/edit?usp=sharing"",""ตราด!N271"")+IMPORTRANGE(""https://docs.google.com/spreadsheets/d/18hSgUJ3VwClqi_qtULmmW3cLr0oe3OKaSYoKzdpTsYQ/edit?usp=sharing"",""นครนายก!N271"")+IMPORTRANGE(""https://docs.google.com/spreadsheets/d/1YTZo6WM2dQ6Ix6FSdnL"&amp;"5P7uVnVKu40sxZu975tgG10E/edit?usp=sharing"",""นครปฐม!N271"")+IMPORTRANGE(""https://docs.google.com/spreadsheets/d/1OYoGg4WDg5RIzwGeB10padOxJF9E_Vljuvvct_M7RDo/edit?usp=sharing"",""ปทุมธานี!N271"")+IMPORTRANGE(""https://docs.google.com/spreadsheets/d/1GbCI"&amp;"E4D4wk9FUozzqk7SxfDMxDVBwVmI5zcaVUSzKAc/edit?usp=sharing"",""ประจวบคีรีขันธ์!N271"")+IMPORTRANGE(""https://docs.google.com/spreadsheets/d/1vVf6wykvW_lAyu7Yo9L4hUTqHqIeP_qcVuxCtosJEbg/edit?usp=sharing"",""ปราจีนบุรี!N271"")+IMPORTRANGE(""https://docs.googl"&amp;"e.com/spreadsheets/d/1BIDqLLg5jk3v59G8NlR8rk5xfQDKne0sAvZHSj7TI6I/edit?usp=sharing"",""พระนครศรีอยุธยา!N271"")+IMPORTRANGE(""https://docs.google.com/spreadsheets/d/1YXvxf8Yu6_rV4hTBrwMqAcAnv6DfhUxh5emyM3CJp_w/edit?usp=sharing"",""เพชรบุรี!N271"")+IMPORTRA"&amp;"NGE(""https://docs.google.com/spreadsheets/d/19KBlQQs7uwvsao6t2n-KvW3Ax8J8uRRfZPq1zPbXgKc/edit?usp=sharing"",""ระยอง!N271"")+IMPORTRANGE(""https://docs.google.com/spreadsheets/d/1jQ6P4QcrGM89YfqcC_PxOHGCMq5ezhucwJd8ci-NHng/edit?usp=sharing"",""ราชบุรี!N27"&amp;"1"")+IMPORTRANGE(""https://docs.google.com/spreadsheets/d/1lufeA2cfFqM-elVq2hznhDzC6Pr7wkJ9ZG_sYNGCMCU/edit?usp=sharing"",""ลพบุรี!N271"")+IMPORTRANGE(""https://docs.google.com/spreadsheets/d/10oOiF7loTyfsTkbd4MpaIm0HQ9SwB7IYHdIUvt-U1Uc/edit?usp=sharing"""&amp;",""สระแก้ว!N271"")+IMPORTRANGE(""https://docs.google.com/spreadsheets/d/1xmPlrr1QbdSIKvl1dWUl9K4PjAfSL9oeMr_37QVzcxc/edit?usp=sharing"",""สระบุรี!N271"")+IMPORTRANGE(""https://docs.google.com/spreadsheets/d/1j51vR6CYVGhABJpv6tkstgok82RLpXieLzW1yOY5rHw/edi"&amp;"t?usp=sharing"",""สิงห์บุรี!N271"")+IMPORTRANGE(""https://docs.google.com/spreadsheets/d/1H1EalTWKUSzO4Z1-1CwzoDUaVffgrThEBe2sl74kKG0/edit?usp=sharing"",""สุพรรณบุรี!N271"")+IMPORTRANGE(""https://docs.google.com/spreadsheets/d/1BmIruG_sIrJLYao_Pdr7zVArWsf"&amp;"oBt2692TMi6x_854/edit?usp=sharing"",""อ่างทอง!N271"")"),47605)</f>
        <v>47605</v>
      </c>
      <c r="O271" s="91">
        <f t="shared" ca="1" si="181"/>
        <v>0</v>
      </c>
      <c r="P271" s="91">
        <f t="shared" ca="1" si="182"/>
        <v>40.478721142808553</v>
      </c>
      <c r="Q271" s="134">
        <f ca="1">IFERROR(__xludf.DUMMYFUNCTION("IMPORTRANGE(""https://docs.google.com/spreadsheets/d/13wPX838HrBrQMCywv1BsuMkt4PEKTChp52zj44s2izQ/edit?usp=sharing"",""กาญจนบุรี!Q271"")+IMPORTRANGE(""https://docs.google.com/spreadsheets/d/1ddFKvqj1W1NEiWytbGlB1zMx_ykJDVtmfEQ-6-lIUBA/edit?usp=sharing"","&amp;"""จันทบุรี!Q271"")+IMPORTRANGE(""https://docs.google.com/spreadsheets/d/1T1PQvRODqOBZk8BRht_U031fIS1beLA0Ub2CEytj2q0/edit?usp=sharing"",""ฉะเชิงเทรา!Q271"")+IMPORTRANGE(""https://docs.google.com/spreadsheets/d/11tr1B-Bhyr79v2bkwVh5h_fR-PStkgjlZtkrZpYurG0/"&amp;"edit?usp=sharing"",""ชลบุรี!Q271"")+IMPORTRANGE(""https://docs.google.com/spreadsheets/d/1hh-FVnSX0vozXhGluamEcS54Dw9_zqW0N7qJUWgJ0Sw/edit?usp=sharing"",""ชัยนาท!Q271"")+IMPORTRANGE(""https://docs.google.com/spreadsheets/d/1jkqa6GXxSacMcY1eN8AHjMNJ_7dDXMJ"&amp;"VRLDlaFSOdPM/edit?usp=sharing"",""ตราด!Q271"")+IMPORTRANGE(""https://docs.google.com/spreadsheets/d/18hSgUJ3VwClqi_qtULmmW3cLr0oe3OKaSYoKzdpTsYQ/edit?usp=sharing"",""นครนายก!Q271"")+IMPORTRANGE(""https://docs.google.com/spreadsheets/d/1YTZo6WM2dQ6Ix6FSdnL"&amp;"5P7uVnVKu40sxZu975tgG10E/edit?usp=sharing"",""นครปฐม!Q271"")+IMPORTRANGE(""https://docs.google.com/spreadsheets/d/1OYoGg4WDg5RIzwGeB10padOxJF9E_Vljuvvct_M7RDo/edit?usp=sharing"",""ปทุมธานี!Q271"")+IMPORTRANGE(""https://docs.google.com/spreadsheets/d/1GbCI"&amp;"E4D4wk9FUozzqk7SxfDMxDVBwVmI5zcaVUSzKAc/edit?usp=sharing"",""ประจวบคีรีขันธ์!Q271"")+IMPORTRANGE(""https://docs.google.com/spreadsheets/d/1vVf6wykvW_lAyu7Yo9L4hUTqHqIeP_qcVuxCtosJEbg/edit?usp=sharing"",""ปราจีนบุรี!Q271"")+IMPORTRANGE(""https://docs.googl"&amp;"e.com/spreadsheets/d/1BIDqLLg5jk3v59G8NlR8rk5xfQDKne0sAvZHSj7TI6I/edit?usp=sharing"",""พระนครศรีอยุธยา!Q271"")+IMPORTRANGE(""https://docs.google.com/spreadsheets/d/1YXvxf8Yu6_rV4hTBrwMqAcAnv6DfhUxh5emyM3CJp_w/edit?usp=sharing"",""เพชรบุรี!Q271"")+IMPORTRA"&amp;"NGE(""https://docs.google.com/spreadsheets/d/19KBlQQs7uwvsao6t2n-KvW3Ax8J8uRRfZPq1zPbXgKc/edit?usp=sharing"",""ระยอง!Q271"")+IMPORTRANGE(""https://docs.google.com/spreadsheets/d/1jQ6P4QcrGM89YfqcC_PxOHGCMq5ezhucwJd8ci-NHng/edit?usp=sharing"",""ราชบุรี!Q27"&amp;"1"")+IMPORTRANGE(""https://docs.google.com/spreadsheets/d/1lufeA2cfFqM-elVq2hznhDzC6Pr7wkJ9ZG_sYNGCMCU/edit?usp=sharing"",""ลพบุรี!Q271"")+IMPORTRANGE(""https://docs.google.com/spreadsheets/d/10oOiF7loTyfsTkbd4MpaIm0HQ9SwB7IYHdIUvt-U1Uc/edit?usp=sharing"""&amp;",""สระแก้ว!Q271"")+IMPORTRANGE(""https://docs.google.com/spreadsheets/d/1xmPlrr1QbdSIKvl1dWUl9K4PjAfSL9oeMr_37QVzcxc/edit?usp=sharing"",""สระบุรี!Q271"")+IMPORTRANGE(""https://docs.google.com/spreadsheets/d/1j51vR6CYVGhABJpv6tkstgok82RLpXieLzW1yOY5rHw/edi"&amp;"t?usp=sharing"",""สิงห์บุรี!Q271"")+IMPORTRANGE(""https://docs.google.com/spreadsheets/d/1H1EalTWKUSzO4Z1-1CwzoDUaVffgrThEBe2sl74kKG0/edit?usp=sharing"",""สุพรรณบุรี!Q271"")+IMPORTRANGE(""https://docs.google.com/spreadsheets/d/1BmIruG_sIrJLYao_Pdr7zVArWsf"&amp;"oBt2692TMi6x_854/edit?usp=sharing"",""อ่างทอง!Q271"")"),1041620)</f>
        <v>1041620</v>
      </c>
      <c r="R271" s="135">
        <f ca="1">IFERROR(__xludf.DUMMYFUNCTION("IMPORTRANGE(""https://docs.google.com/spreadsheets/d/13wPX838HrBrQMCywv1BsuMkt4PEKTChp52zj44s2izQ/edit?usp=sharing"",""กาญจนบุรี!R271"")+IMPORTRANGE(""https://docs.google.com/spreadsheets/d/1ddFKvqj1W1NEiWytbGlB1zMx_ykJDVtmfEQ-6-lIUBA/edit?usp=sharing"","&amp;"""จันทบุรี!R271"")+IMPORTRANGE(""https://docs.google.com/spreadsheets/d/1T1PQvRODqOBZk8BRht_U031fIS1beLA0Ub2CEytj2q0/edit?usp=sharing"",""ฉะเชิงเทรา!R271"")+IMPORTRANGE(""https://docs.google.com/spreadsheets/d/11tr1B-Bhyr79v2bkwVh5h_fR-PStkgjlZtkrZpYurG0/"&amp;"edit?usp=sharing"",""ชลบุรี!R271"")+IMPORTRANGE(""https://docs.google.com/spreadsheets/d/1hh-FVnSX0vozXhGluamEcS54Dw9_zqW0N7qJUWgJ0Sw/edit?usp=sharing"",""ชัยนาท!R271"")+IMPORTRANGE(""https://docs.google.com/spreadsheets/d/1jkqa6GXxSacMcY1eN8AHjMNJ_7dDXMJ"&amp;"VRLDlaFSOdPM/edit?usp=sharing"",""ตราด!R271"")+IMPORTRANGE(""https://docs.google.com/spreadsheets/d/18hSgUJ3VwClqi_qtULmmW3cLr0oe3OKaSYoKzdpTsYQ/edit?usp=sharing"",""นครนายก!R271"")+IMPORTRANGE(""https://docs.google.com/spreadsheets/d/1YTZo6WM2dQ6Ix6FSdnL"&amp;"5P7uVnVKu40sxZu975tgG10E/edit?usp=sharing"",""นครปฐม!R271"")+IMPORTRANGE(""https://docs.google.com/spreadsheets/d/1OYoGg4WDg5RIzwGeB10padOxJF9E_Vljuvvct_M7RDo/edit?usp=sharing"",""ปทุมธานี!R271"")+IMPORTRANGE(""https://docs.google.com/spreadsheets/d/1GbCI"&amp;"E4D4wk9FUozzqk7SxfDMxDVBwVmI5zcaVUSzKAc/edit?usp=sharing"",""ประจวบคีรีขันธ์!R271"")+IMPORTRANGE(""https://docs.google.com/spreadsheets/d/1vVf6wykvW_lAyu7Yo9L4hUTqHqIeP_qcVuxCtosJEbg/edit?usp=sharing"",""ปราจีนบุรี!R271"")+IMPORTRANGE(""https://docs.googl"&amp;"e.com/spreadsheets/d/1BIDqLLg5jk3v59G8NlR8rk5xfQDKne0sAvZHSj7TI6I/edit?usp=sharing"",""พระนครศรีอยุธยา!R271"")+IMPORTRANGE(""https://docs.google.com/spreadsheets/d/1YXvxf8Yu6_rV4hTBrwMqAcAnv6DfhUxh5emyM3CJp_w/edit?usp=sharing"",""เพชรบุรี!R271"")+IMPORTRA"&amp;"NGE(""https://docs.google.com/spreadsheets/d/19KBlQQs7uwvsao6t2n-KvW3Ax8J8uRRfZPq1zPbXgKc/edit?usp=sharing"",""ระยอง!R271"")+IMPORTRANGE(""https://docs.google.com/spreadsheets/d/1jQ6P4QcrGM89YfqcC_PxOHGCMq5ezhucwJd8ci-NHng/edit?usp=sharing"",""ราชบุรี!R27"&amp;"1"")+IMPORTRANGE(""https://docs.google.com/spreadsheets/d/1lufeA2cfFqM-elVq2hznhDzC6Pr7wkJ9ZG_sYNGCMCU/edit?usp=sharing"",""ลพบุรี!R271"")+IMPORTRANGE(""https://docs.google.com/spreadsheets/d/10oOiF7loTyfsTkbd4MpaIm0HQ9SwB7IYHdIUvt-U1Uc/edit?usp=sharing"""&amp;",""สระแก้ว!R271"")+IMPORTRANGE(""https://docs.google.com/spreadsheets/d/1xmPlrr1QbdSIKvl1dWUl9K4PjAfSL9oeMr_37QVzcxc/edit?usp=sharing"",""สระบุรี!R271"")+IMPORTRANGE(""https://docs.google.com/spreadsheets/d/1j51vR6CYVGhABJpv6tkstgok82RLpXieLzW1yOY5rHw/edi"&amp;"t?usp=sharing"",""สิงห์บุรี!R271"")+IMPORTRANGE(""https://docs.google.com/spreadsheets/d/1H1EalTWKUSzO4Z1-1CwzoDUaVffgrThEBe2sl74kKG0/edit?usp=sharing"",""สุพรรณบุรี!R271"")+IMPORTRANGE(""https://docs.google.com/spreadsheets/d/1BmIruG_sIrJLYao_Pdr7zVArWsf"&amp;"oBt2692TMi6x_854/edit?usp=sharing"",""อ่างทอง!R271"")"),1041620)</f>
        <v>1041620</v>
      </c>
      <c r="S271" s="135">
        <f ca="1">IFERROR(__xludf.DUMMYFUNCTION("IMPORTRANGE(""https://docs.google.com/spreadsheets/d/13wPX838HrBrQMCywv1BsuMkt4PEKTChp52zj44s2izQ/edit?usp=sharing"",""กาญจนบุรี!S271"")+IMPORTRANGE(""https://docs.google.com/spreadsheets/d/1ddFKvqj1W1NEiWytbGlB1zMx_ykJDVtmfEQ-6-lIUBA/edit?usp=sharing"","&amp;"""จันทบุรี!S271"")+IMPORTRANGE(""https://docs.google.com/spreadsheets/d/1T1PQvRODqOBZk8BRht_U031fIS1beLA0Ub2CEytj2q0/edit?usp=sharing"",""ฉะเชิงเทรา!S271"")+IMPORTRANGE(""https://docs.google.com/spreadsheets/d/11tr1B-Bhyr79v2bkwVh5h_fR-PStkgjlZtkrZpYurG0/"&amp;"edit?usp=sharing"",""ชลบุรี!S271"")+IMPORTRANGE(""https://docs.google.com/spreadsheets/d/1hh-FVnSX0vozXhGluamEcS54Dw9_zqW0N7qJUWgJ0Sw/edit?usp=sharing"",""ชัยนาท!S271"")+IMPORTRANGE(""https://docs.google.com/spreadsheets/d/1jkqa6GXxSacMcY1eN8AHjMNJ_7dDXMJ"&amp;"VRLDlaFSOdPM/edit?usp=sharing"",""ตราด!S271"")+IMPORTRANGE(""https://docs.google.com/spreadsheets/d/18hSgUJ3VwClqi_qtULmmW3cLr0oe3OKaSYoKzdpTsYQ/edit?usp=sharing"",""นครนายก!S271"")+IMPORTRANGE(""https://docs.google.com/spreadsheets/d/1YTZo6WM2dQ6Ix6FSdnL"&amp;"5P7uVnVKu40sxZu975tgG10E/edit?usp=sharing"",""นครปฐม!S271"")+IMPORTRANGE(""https://docs.google.com/spreadsheets/d/1OYoGg4WDg5RIzwGeB10padOxJF9E_Vljuvvct_M7RDo/edit?usp=sharing"",""ปทุมธานี!S271"")+IMPORTRANGE(""https://docs.google.com/spreadsheets/d/1GbCI"&amp;"E4D4wk9FUozzqk7SxfDMxDVBwVmI5zcaVUSzKAc/edit?usp=sharing"",""ประจวบคีรีขันธ์!S271"")+IMPORTRANGE(""https://docs.google.com/spreadsheets/d/1vVf6wykvW_lAyu7Yo9L4hUTqHqIeP_qcVuxCtosJEbg/edit?usp=sharing"",""ปราจีนบุรี!S271"")+IMPORTRANGE(""https://docs.googl"&amp;"e.com/spreadsheets/d/1BIDqLLg5jk3v59G8NlR8rk5xfQDKne0sAvZHSj7TI6I/edit?usp=sharing"",""พระนครศรีอยุธยา!S271"")+IMPORTRANGE(""https://docs.google.com/spreadsheets/d/1YXvxf8Yu6_rV4hTBrwMqAcAnv6DfhUxh5emyM3CJp_w/edit?usp=sharing"",""เพชรบุรี!S271"")+IMPORTRA"&amp;"NGE(""https://docs.google.com/spreadsheets/d/19KBlQQs7uwvsao6t2n-KvW3Ax8J8uRRfZPq1zPbXgKc/edit?usp=sharing"",""ระยอง!S271"")+IMPORTRANGE(""https://docs.google.com/spreadsheets/d/1jQ6P4QcrGM89YfqcC_PxOHGCMq5ezhucwJd8ci-NHng/edit?usp=sharing"",""ราชบุรี!S27"&amp;"1"")+IMPORTRANGE(""https://docs.google.com/spreadsheets/d/1lufeA2cfFqM-elVq2hznhDzC6Pr7wkJ9ZG_sYNGCMCU/edit?usp=sharing"",""ลพบุรี!S271"")+IMPORTRANGE(""https://docs.google.com/spreadsheets/d/10oOiF7loTyfsTkbd4MpaIm0HQ9SwB7IYHdIUvt-U1Uc/edit?usp=sharing"""&amp;",""สระแก้ว!S271"")+IMPORTRANGE(""https://docs.google.com/spreadsheets/d/1xmPlrr1QbdSIKvl1dWUl9K4PjAfSL9oeMr_37QVzcxc/edit?usp=sharing"",""สระบุรี!S271"")+IMPORTRANGE(""https://docs.google.com/spreadsheets/d/1j51vR6CYVGhABJpv6tkstgok82RLpXieLzW1yOY5rHw/edi"&amp;"t?usp=sharing"",""สิงห์บุรี!S271"")+IMPORTRANGE(""https://docs.google.com/spreadsheets/d/1H1EalTWKUSzO4Z1-1CwzoDUaVffgrThEBe2sl74kKG0/edit?usp=sharing"",""สุพรรณบุรี!S271"")+IMPORTRANGE(""https://docs.google.com/spreadsheets/d/1BmIruG_sIrJLYao_Pdr7zVArWsf"&amp;"oBt2692TMi6x_854/edit?usp=sharing"",""อ่างทอง!S271"")"),236173)</f>
        <v>236173</v>
      </c>
      <c r="T271" s="135">
        <f t="shared" ca="1" si="184"/>
        <v>22.67362377834527</v>
      </c>
      <c r="U271" s="135">
        <f t="shared" ca="1" si="185"/>
        <v>22.67362377834527</v>
      </c>
    </row>
    <row r="272" spans="1:21" ht="18.75" x14ac:dyDescent="0.25">
      <c r="A272" s="211"/>
      <c r="B272" s="70"/>
      <c r="C272" s="70"/>
      <c r="D272" s="7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t="shared" ref="L272:N272" ca="1" si="192">L273+L274</f>
        <v>0</v>
      </c>
      <c r="M272" s="91">
        <f t="shared" ca="1" si="192"/>
        <v>0</v>
      </c>
      <c r="N272" s="91">
        <f t="shared" ca="1" si="192"/>
        <v>0</v>
      </c>
      <c r="O272" s="91">
        <f t="shared" ca="1" si="181"/>
        <v>0</v>
      </c>
      <c r="P272" s="91">
        <f t="shared" ca="1" si="182"/>
        <v>0</v>
      </c>
      <c r="Q272" s="134">
        <f t="shared" ref="Q272:S272" ca="1" si="193">Q273+Q274</f>
        <v>0</v>
      </c>
      <c r="R272" s="135">
        <f t="shared" ca="1" si="193"/>
        <v>0</v>
      </c>
      <c r="S272" s="135">
        <f t="shared" ca="1" si="193"/>
        <v>0</v>
      </c>
      <c r="T272" s="135">
        <f t="shared" ca="1" si="184"/>
        <v>0</v>
      </c>
      <c r="U272" s="135">
        <f t="shared" ca="1" si="185"/>
        <v>0</v>
      </c>
    </row>
    <row r="273" spans="1:21" ht="18.75" x14ac:dyDescent="0.25">
      <c r="A273" s="211"/>
      <c r="B273" s="70"/>
      <c r="C273" s="70"/>
      <c r="D273" s="70"/>
      <c r="E273" s="78" t="s">
        <v>20</v>
      </c>
      <c r="F273" s="70"/>
      <c r="G273" s="72"/>
      <c r="H273" s="220" t="s">
        <v>14</v>
      </c>
      <c r="I273" s="221"/>
      <c r="J273" s="221"/>
      <c r="K273" s="222"/>
      <c r="L273" s="91">
        <f ca="1">IFERROR(__xludf.DUMMYFUNCTION("IMPORTRANGE(""https://docs.google.com/spreadsheets/d/13wPX838HrBrQMCywv1BsuMkt4PEKTChp52zj44s2izQ/edit?usp=sharing"",""กาญจนบุรี!L273"")+IMPORTRANGE(""https://docs.google.com/spreadsheets/d/1ddFKvqj1W1NEiWytbGlB1zMx_ykJDVtmfEQ-6-lIUBA/edit?usp=sharing"","&amp;"""จันทบุรี!L273"")+IMPORTRANGE(""https://docs.google.com/spreadsheets/d/1T1PQvRODqOBZk8BRht_U031fIS1beLA0Ub2CEytj2q0/edit?usp=sharing"",""ฉะเชิงเทรา!L273"")+IMPORTRANGE(""https://docs.google.com/spreadsheets/d/11tr1B-Bhyr79v2bkwVh5h_fR-PStkgjlZtkrZpYurG0/"&amp;"edit?usp=sharing"",""ชลบุรี!L273"")+IMPORTRANGE(""https://docs.google.com/spreadsheets/d/1hh-FVnSX0vozXhGluamEcS54Dw9_zqW0N7qJUWgJ0Sw/edit?usp=sharing"",""ชัยนาท!L273"")+IMPORTRANGE(""https://docs.google.com/spreadsheets/d/1jkqa6GXxSacMcY1eN8AHjMNJ_7dDXMJ"&amp;"VRLDlaFSOdPM/edit?usp=sharing"",""ตราด!L273"")+IMPORTRANGE(""https://docs.google.com/spreadsheets/d/18hSgUJ3VwClqi_qtULmmW3cLr0oe3OKaSYoKzdpTsYQ/edit?usp=sharing"",""นครนายก!L273"")+IMPORTRANGE(""https://docs.google.com/spreadsheets/d/1YTZo6WM2dQ6Ix6FSdnL"&amp;"5P7uVnVKu40sxZu975tgG10E/edit?usp=sharing"",""นครปฐม!L273"")+IMPORTRANGE(""https://docs.google.com/spreadsheets/d/1OYoGg4WDg5RIzwGeB10padOxJF9E_Vljuvvct_M7RDo/edit?usp=sharing"",""ปทุมธานี!L273"")+IMPORTRANGE(""https://docs.google.com/spreadsheets/d/1GbCI"&amp;"E4D4wk9FUozzqk7SxfDMxDVBwVmI5zcaVUSzKAc/edit?usp=sharing"",""ประจวบคีรีขันธ์!L273"")+IMPORTRANGE(""https://docs.google.com/spreadsheets/d/1vVf6wykvW_lAyu7Yo9L4hUTqHqIeP_qcVuxCtosJEbg/edit?usp=sharing"",""ปราจีนบุรี!L273"")+IMPORTRANGE(""https://docs.googl"&amp;"e.com/spreadsheets/d/1BIDqLLg5jk3v59G8NlR8rk5xfQDKne0sAvZHSj7TI6I/edit?usp=sharing"",""พระนครศรีอยุธยา!L273"")+IMPORTRANGE(""https://docs.google.com/spreadsheets/d/1YXvxf8Yu6_rV4hTBrwMqAcAnv6DfhUxh5emyM3CJp_w/edit?usp=sharing"",""เพชรบุรี!L273"")+IMPORTRA"&amp;"NGE(""https://docs.google.com/spreadsheets/d/19KBlQQs7uwvsao6t2n-KvW3Ax8J8uRRfZPq1zPbXgKc/edit?usp=sharing"",""ระยอง!L273"")+IMPORTRANGE(""https://docs.google.com/spreadsheets/d/1jQ6P4QcrGM89YfqcC_PxOHGCMq5ezhucwJd8ci-NHng/edit?usp=sharing"",""ราชบุรี!L27"&amp;"3"")+IMPORTRANGE(""https://docs.google.com/spreadsheets/d/1lufeA2cfFqM-elVq2hznhDzC6Pr7wkJ9ZG_sYNGCMCU/edit?usp=sharing"",""ลพบุรี!L273"")+IMPORTRANGE(""https://docs.google.com/spreadsheets/d/10oOiF7loTyfsTkbd4MpaIm0HQ9SwB7IYHdIUvt-U1Uc/edit?usp=sharing"""&amp;",""สระแก้ว!L273"")+IMPORTRANGE(""https://docs.google.com/spreadsheets/d/1xmPlrr1QbdSIKvl1dWUl9K4PjAfSL9oeMr_37QVzcxc/edit?usp=sharing"",""สระบุรี!L273"")+IMPORTRANGE(""https://docs.google.com/spreadsheets/d/1j51vR6CYVGhABJpv6tkstgok82RLpXieLzW1yOY5rHw/edi"&amp;"t?usp=sharing"",""สิงห์บุรี!L273"")+IMPORTRANGE(""https://docs.google.com/spreadsheets/d/1H1EalTWKUSzO4Z1-1CwzoDUaVffgrThEBe2sl74kKG0/edit?usp=sharing"",""สุพรรณบุรี!L273"")+IMPORTRANGE(""https://docs.google.com/spreadsheets/d/1BmIruG_sIrJLYao_Pdr7zVArWsf"&amp;"oBt2692TMi6x_854/edit?usp=sharing"",""อ่างทอง!L273"")"),0)</f>
        <v>0</v>
      </c>
      <c r="M273" s="91">
        <f ca="1">IFERROR(__xludf.DUMMYFUNCTION("IMPORTRANGE(""https://docs.google.com/spreadsheets/d/13wPX838HrBrQMCywv1BsuMkt4PEKTChp52zj44s2izQ/edit?usp=sharing"",""กาญจนบุรี!M273"")+IMPORTRANGE(""https://docs.google.com/spreadsheets/d/1ddFKvqj1W1NEiWytbGlB1zMx_ykJDVtmfEQ-6-lIUBA/edit?usp=sharing"","&amp;"""จันทบุรี!M273"")+IMPORTRANGE(""https://docs.google.com/spreadsheets/d/1T1PQvRODqOBZk8BRht_U031fIS1beLA0Ub2CEytj2q0/edit?usp=sharing"",""ฉะเชิงเทรา!M273"")+IMPORTRANGE(""https://docs.google.com/spreadsheets/d/11tr1B-Bhyr79v2bkwVh5h_fR-PStkgjlZtkrZpYurG0/"&amp;"edit?usp=sharing"",""ชลบุรี!M273"")+IMPORTRANGE(""https://docs.google.com/spreadsheets/d/1hh-FVnSX0vozXhGluamEcS54Dw9_zqW0N7qJUWgJ0Sw/edit?usp=sharing"",""ชัยนาท!M273"")+IMPORTRANGE(""https://docs.google.com/spreadsheets/d/1jkqa6GXxSacMcY1eN8AHjMNJ_7dDXMJ"&amp;"VRLDlaFSOdPM/edit?usp=sharing"",""ตราด!M273"")+IMPORTRANGE(""https://docs.google.com/spreadsheets/d/18hSgUJ3VwClqi_qtULmmW3cLr0oe3OKaSYoKzdpTsYQ/edit?usp=sharing"",""นครนายก!M273"")+IMPORTRANGE(""https://docs.google.com/spreadsheets/d/1YTZo6WM2dQ6Ix6FSdnL"&amp;"5P7uVnVKu40sxZu975tgG10E/edit?usp=sharing"",""นครปฐม!M273"")+IMPORTRANGE(""https://docs.google.com/spreadsheets/d/1OYoGg4WDg5RIzwGeB10padOxJF9E_Vljuvvct_M7RDo/edit?usp=sharing"",""ปทุมธานี!M273"")+IMPORTRANGE(""https://docs.google.com/spreadsheets/d/1GbCI"&amp;"E4D4wk9FUozzqk7SxfDMxDVBwVmI5zcaVUSzKAc/edit?usp=sharing"",""ประจวบคีรีขันธ์!M273"")+IMPORTRANGE(""https://docs.google.com/spreadsheets/d/1vVf6wykvW_lAyu7Yo9L4hUTqHqIeP_qcVuxCtosJEbg/edit?usp=sharing"",""ปราจีนบุรี!M273"")+IMPORTRANGE(""https://docs.googl"&amp;"e.com/spreadsheets/d/1BIDqLLg5jk3v59G8NlR8rk5xfQDKne0sAvZHSj7TI6I/edit?usp=sharing"",""พระนครศรีอยุธยา!M273"")+IMPORTRANGE(""https://docs.google.com/spreadsheets/d/1YXvxf8Yu6_rV4hTBrwMqAcAnv6DfhUxh5emyM3CJp_w/edit?usp=sharing"",""เพชรบุรี!M273"")+IMPORTRA"&amp;"NGE(""https://docs.google.com/spreadsheets/d/19KBlQQs7uwvsao6t2n-KvW3Ax8J8uRRfZPq1zPbXgKc/edit?usp=sharing"",""ระยอง!M273"")+IMPORTRANGE(""https://docs.google.com/spreadsheets/d/1jQ6P4QcrGM89YfqcC_PxOHGCMq5ezhucwJd8ci-NHng/edit?usp=sharing"",""ราชบุรี!M27"&amp;"3"")+IMPORTRANGE(""https://docs.google.com/spreadsheets/d/1lufeA2cfFqM-elVq2hznhDzC6Pr7wkJ9ZG_sYNGCMCU/edit?usp=sharing"",""ลพบุรี!M273"")+IMPORTRANGE(""https://docs.google.com/spreadsheets/d/10oOiF7loTyfsTkbd4MpaIm0HQ9SwB7IYHdIUvt-U1Uc/edit?usp=sharing"""&amp;",""สระแก้ว!M273"")+IMPORTRANGE(""https://docs.google.com/spreadsheets/d/1xmPlrr1QbdSIKvl1dWUl9K4PjAfSL9oeMr_37QVzcxc/edit?usp=sharing"",""สระบุรี!M273"")+IMPORTRANGE(""https://docs.google.com/spreadsheets/d/1j51vR6CYVGhABJpv6tkstgok82RLpXieLzW1yOY5rHw/edi"&amp;"t?usp=sharing"",""สิงห์บุรี!M273"")+IMPORTRANGE(""https://docs.google.com/spreadsheets/d/1H1EalTWKUSzO4Z1-1CwzoDUaVffgrThEBe2sl74kKG0/edit?usp=sharing"",""สุพรรณบุรี!M273"")+IMPORTRANGE(""https://docs.google.com/spreadsheets/d/1BmIruG_sIrJLYao_Pdr7zVArWsf"&amp;"oBt2692TMi6x_854/edit?usp=sharing"",""อ่างทอง!M273"")"),0)</f>
        <v>0</v>
      </c>
      <c r="N273" s="91">
        <f ca="1">IFERROR(__xludf.DUMMYFUNCTION("IMPORTRANGE(""https://docs.google.com/spreadsheets/d/13wPX838HrBrQMCywv1BsuMkt4PEKTChp52zj44s2izQ/edit?usp=sharing"",""กาญจนบุรี!N273"")+IMPORTRANGE(""https://docs.google.com/spreadsheets/d/1ddFKvqj1W1NEiWytbGlB1zMx_ykJDVtmfEQ-6-lIUBA/edit?usp=sharing"","&amp;"""จันทบุรี!N273"")+IMPORTRANGE(""https://docs.google.com/spreadsheets/d/1T1PQvRODqOBZk8BRht_U031fIS1beLA0Ub2CEytj2q0/edit?usp=sharing"",""ฉะเชิงเทรา!N273"")+IMPORTRANGE(""https://docs.google.com/spreadsheets/d/11tr1B-Bhyr79v2bkwVh5h_fR-PStkgjlZtkrZpYurG0/"&amp;"edit?usp=sharing"",""ชลบุรี!N273"")+IMPORTRANGE(""https://docs.google.com/spreadsheets/d/1hh-FVnSX0vozXhGluamEcS54Dw9_zqW0N7qJUWgJ0Sw/edit?usp=sharing"",""ชัยนาท!N273"")+IMPORTRANGE(""https://docs.google.com/spreadsheets/d/1jkqa6GXxSacMcY1eN8AHjMNJ_7dDXMJ"&amp;"VRLDlaFSOdPM/edit?usp=sharing"",""ตราด!N273"")+IMPORTRANGE(""https://docs.google.com/spreadsheets/d/18hSgUJ3VwClqi_qtULmmW3cLr0oe3OKaSYoKzdpTsYQ/edit?usp=sharing"",""นครนายก!N273"")+IMPORTRANGE(""https://docs.google.com/spreadsheets/d/1YTZo6WM2dQ6Ix6FSdnL"&amp;"5P7uVnVKu40sxZu975tgG10E/edit?usp=sharing"",""นครปฐม!N273"")+IMPORTRANGE(""https://docs.google.com/spreadsheets/d/1OYoGg4WDg5RIzwGeB10padOxJF9E_Vljuvvct_M7RDo/edit?usp=sharing"",""ปทุมธานี!N273"")+IMPORTRANGE(""https://docs.google.com/spreadsheets/d/1GbCI"&amp;"E4D4wk9FUozzqk7SxfDMxDVBwVmI5zcaVUSzKAc/edit?usp=sharing"",""ประจวบคีรีขันธ์!N273"")+IMPORTRANGE(""https://docs.google.com/spreadsheets/d/1vVf6wykvW_lAyu7Yo9L4hUTqHqIeP_qcVuxCtosJEbg/edit?usp=sharing"",""ปราจีนบุรี!N273"")+IMPORTRANGE(""https://docs.googl"&amp;"e.com/spreadsheets/d/1BIDqLLg5jk3v59G8NlR8rk5xfQDKne0sAvZHSj7TI6I/edit?usp=sharing"",""พระนครศรีอยุธยา!N273"")+IMPORTRANGE(""https://docs.google.com/spreadsheets/d/1YXvxf8Yu6_rV4hTBrwMqAcAnv6DfhUxh5emyM3CJp_w/edit?usp=sharing"",""เพชรบุรี!N273"")+IMPORTRA"&amp;"NGE(""https://docs.google.com/spreadsheets/d/19KBlQQs7uwvsao6t2n-KvW3Ax8J8uRRfZPq1zPbXgKc/edit?usp=sharing"",""ระยอง!N273"")+IMPORTRANGE(""https://docs.google.com/spreadsheets/d/1jQ6P4QcrGM89YfqcC_PxOHGCMq5ezhucwJd8ci-NHng/edit?usp=sharing"",""ราชบุรี!N27"&amp;"3"")+IMPORTRANGE(""https://docs.google.com/spreadsheets/d/1lufeA2cfFqM-elVq2hznhDzC6Pr7wkJ9ZG_sYNGCMCU/edit?usp=sharing"",""ลพบุรี!N273"")+IMPORTRANGE(""https://docs.google.com/spreadsheets/d/10oOiF7loTyfsTkbd4MpaIm0HQ9SwB7IYHdIUvt-U1Uc/edit?usp=sharing"""&amp;",""สระแก้ว!N273"")+IMPORTRANGE(""https://docs.google.com/spreadsheets/d/1xmPlrr1QbdSIKvl1dWUl9K4PjAfSL9oeMr_37QVzcxc/edit?usp=sharing"",""สระบุรี!N273"")+IMPORTRANGE(""https://docs.google.com/spreadsheets/d/1j51vR6CYVGhABJpv6tkstgok82RLpXieLzW1yOY5rHw/edi"&amp;"t?usp=sharing"",""สิงห์บุรี!N273"")+IMPORTRANGE(""https://docs.google.com/spreadsheets/d/1H1EalTWKUSzO4Z1-1CwzoDUaVffgrThEBe2sl74kKG0/edit?usp=sharing"",""สุพรรณบุรี!N273"")+IMPORTRANGE(""https://docs.google.com/spreadsheets/d/1BmIruG_sIrJLYao_Pdr7zVArWsf"&amp;"oBt2692TMi6x_854/edit?usp=sharing"",""อ่างทอง!N273"")"),0)</f>
        <v>0</v>
      </c>
      <c r="O273" s="91">
        <f t="shared" ca="1" si="181"/>
        <v>0</v>
      </c>
      <c r="P273" s="91">
        <f t="shared" ca="1" si="182"/>
        <v>0</v>
      </c>
      <c r="Q273" s="79">
        <f ca="1">IFERROR(__xludf.DUMMYFUNCTION("IMPORTRANGE(""https://docs.google.com/spreadsheets/d/13wPX838HrBrQMCywv1BsuMkt4PEKTChp52zj44s2izQ/edit?usp=sharing"",""กาญจนบุรี!Q273"")+IMPORTRANGE(""https://docs.google.com/spreadsheets/d/1ddFKvqj1W1NEiWytbGlB1zMx_ykJDVtmfEQ-6-lIUBA/edit?usp=sharing"","&amp;"""จันทบุรี!Q273"")+IMPORTRANGE(""https://docs.google.com/spreadsheets/d/1T1PQvRODqOBZk8BRht_U031fIS1beLA0Ub2CEytj2q0/edit?usp=sharing"",""ฉะเชิงเทรา!Q273"")+IMPORTRANGE(""https://docs.google.com/spreadsheets/d/11tr1B-Bhyr79v2bkwVh5h_fR-PStkgjlZtkrZpYurG0/"&amp;"edit?usp=sharing"",""ชลบุรี!Q273"")+IMPORTRANGE(""https://docs.google.com/spreadsheets/d/1hh-FVnSX0vozXhGluamEcS54Dw9_zqW0N7qJUWgJ0Sw/edit?usp=sharing"",""ชัยนาท!Q273"")+IMPORTRANGE(""https://docs.google.com/spreadsheets/d/1jkqa6GXxSacMcY1eN8AHjMNJ_7dDXMJ"&amp;"VRLDlaFSOdPM/edit?usp=sharing"",""ตราด!Q273"")+IMPORTRANGE(""https://docs.google.com/spreadsheets/d/18hSgUJ3VwClqi_qtULmmW3cLr0oe3OKaSYoKzdpTsYQ/edit?usp=sharing"",""นครนายก!Q273"")+IMPORTRANGE(""https://docs.google.com/spreadsheets/d/1YTZo6WM2dQ6Ix6FSdnL"&amp;"5P7uVnVKu40sxZu975tgG10E/edit?usp=sharing"",""นครปฐม!Q273"")+IMPORTRANGE(""https://docs.google.com/spreadsheets/d/1OYoGg4WDg5RIzwGeB10padOxJF9E_Vljuvvct_M7RDo/edit?usp=sharing"",""ปทุมธานี!Q273"")+IMPORTRANGE(""https://docs.google.com/spreadsheets/d/1GbCI"&amp;"E4D4wk9FUozzqk7SxfDMxDVBwVmI5zcaVUSzKAc/edit?usp=sharing"",""ประจวบคีรีขันธ์!Q273"")+IMPORTRANGE(""https://docs.google.com/spreadsheets/d/1vVf6wykvW_lAyu7Yo9L4hUTqHqIeP_qcVuxCtosJEbg/edit?usp=sharing"",""ปราจีนบุรี!Q273"")+IMPORTRANGE(""https://docs.googl"&amp;"e.com/spreadsheets/d/1BIDqLLg5jk3v59G8NlR8rk5xfQDKne0sAvZHSj7TI6I/edit?usp=sharing"",""พระนครศรีอยุธยา!Q273"")+IMPORTRANGE(""https://docs.google.com/spreadsheets/d/1YXvxf8Yu6_rV4hTBrwMqAcAnv6DfhUxh5emyM3CJp_w/edit?usp=sharing"",""เพชรบุรี!Q273"")+IMPORTRA"&amp;"NGE(""https://docs.google.com/spreadsheets/d/19KBlQQs7uwvsao6t2n-KvW3Ax8J8uRRfZPq1zPbXgKc/edit?usp=sharing"",""ระยอง!Q273"")+IMPORTRANGE(""https://docs.google.com/spreadsheets/d/1jQ6P4QcrGM89YfqcC_PxOHGCMq5ezhucwJd8ci-NHng/edit?usp=sharing"",""ราชบุรี!Q27"&amp;"3"")+IMPORTRANGE(""https://docs.google.com/spreadsheets/d/1lufeA2cfFqM-elVq2hznhDzC6Pr7wkJ9ZG_sYNGCMCU/edit?usp=sharing"",""ลพบุรี!Q273"")+IMPORTRANGE(""https://docs.google.com/spreadsheets/d/10oOiF7loTyfsTkbd4MpaIm0HQ9SwB7IYHdIUvt-U1Uc/edit?usp=sharing"""&amp;",""สระแก้ว!Q273"")+IMPORTRANGE(""https://docs.google.com/spreadsheets/d/1xmPlrr1QbdSIKvl1dWUl9K4PjAfSL9oeMr_37QVzcxc/edit?usp=sharing"",""สระบุรี!Q273"")+IMPORTRANGE(""https://docs.google.com/spreadsheets/d/1j51vR6CYVGhABJpv6tkstgok82RLpXieLzW1yOY5rHw/edi"&amp;"t?usp=sharing"",""สิงห์บุรี!Q273"")+IMPORTRANGE(""https://docs.google.com/spreadsheets/d/1H1EalTWKUSzO4Z1-1CwzoDUaVffgrThEBe2sl74kKG0/edit?usp=sharing"",""สุพรรณบุรี!Q273"")+IMPORTRANGE(""https://docs.google.com/spreadsheets/d/1BmIruG_sIrJLYao_Pdr7zVArWsf"&amp;"oBt2692TMi6x_854/edit?usp=sharing"",""อ่างทอง!Q273"")"),0)</f>
        <v>0</v>
      </c>
      <c r="R273" s="80">
        <f ca="1">IFERROR(__xludf.DUMMYFUNCTION("IMPORTRANGE(""https://docs.google.com/spreadsheets/d/13wPX838HrBrQMCywv1BsuMkt4PEKTChp52zj44s2izQ/edit?usp=sharing"",""กาญจนบุรี!R273"")+IMPORTRANGE(""https://docs.google.com/spreadsheets/d/1ddFKvqj1W1NEiWytbGlB1zMx_ykJDVtmfEQ-6-lIUBA/edit?usp=sharing"","&amp;"""จันทบุรี!R273"")+IMPORTRANGE(""https://docs.google.com/spreadsheets/d/1T1PQvRODqOBZk8BRht_U031fIS1beLA0Ub2CEytj2q0/edit?usp=sharing"",""ฉะเชิงเทรา!R273"")+IMPORTRANGE(""https://docs.google.com/spreadsheets/d/11tr1B-Bhyr79v2bkwVh5h_fR-PStkgjlZtkrZpYurG0/"&amp;"edit?usp=sharing"",""ชลบุรี!R273"")+IMPORTRANGE(""https://docs.google.com/spreadsheets/d/1hh-FVnSX0vozXhGluamEcS54Dw9_zqW0N7qJUWgJ0Sw/edit?usp=sharing"",""ชัยนาท!R273"")+IMPORTRANGE(""https://docs.google.com/spreadsheets/d/1jkqa6GXxSacMcY1eN8AHjMNJ_7dDXMJ"&amp;"VRLDlaFSOdPM/edit?usp=sharing"",""ตราด!R273"")+IMPORTRANGE(""https://docs.google.com/spreadsheets/d/18hSgUJ3VwClqi_qtULmmW3cLr0oe3OKaSYoKzdpTsYQ/edit?usp=sharing"",""นครนายก!R273"")+IMPORTRANGE(""https://docs.google.com/spreadsheets/d/1YTZo6WM2dQ6Ix6FSdnL"&amp;"5P7uVnVKu40sxZu975tgG10E/edit?usp=sharing"",""นครปฐม!R273"")+IMPORTRANGE(""https://docs.google.com/spreadsheets/d/1OYoGg4WDg5RIzwGeB10padOxJF9E_Vljuvvct_M7RDo/edit?usp=sharing"",""ปทุมธานี!R273"")+IMPORTRANGE(""https://docs.google.com/spreadsheets/d/1GbCI"&amp;"E4D4wk9FUozzqk7SxfDMxDVBwVmI5zcaVUSzKAc/edit?usp=sharing"",""ประจวบคีรีขันธ์!R273"")+IMPORTRANGE(""https://docs.google.com/spreadsheets/d/1vVf6wykvW_lAyu7Yo9L4hUTqHqIeP_qcVuxCtosJEbg/edit?usp=sharing"",""ปราจีนบุรี!R273"")+IMPORTRANGE(""https://docs.googl"&amp;"e.com/spreadsheets/d/1BIDqLLg5jk3v59G8NlR8rk5xfQDKne0sAvZHSj7TI6I/edit?usp=sharing"",""พระนครศรีอยุธยา!R273"")+IMPORTRANGE(""https://docs.google.com/spreadsheets/d/1YXvxf8Yu6_rV4hTBrwMqAcAnv6DfhUxh5emyM3CJp_w/edit?usp=sharing"",""เพชรบุรี!R273"")+IMPORTRA"&amp;"NGE(""https://docs.google.com/spreadsheets/d/19KBlQQs7uwvsao6t2n-KvW3Ax8J8uRRfZPq1zPbXgKc/edit?usp=sharing"",""ระยอง!R273"")+IMPORTRANGE(""https://docs.google.com/spreadsheets/d/1jQ6P4QcrGM89YfqcC_PxOHGCMq5ezhucwJd8ci-NHng/edit?usp=sharing"",""ราชบุรี!R27"&amp;"3"")+IMPORTRANGE(""https://docs.google.com/spreadsheets/d/1lufeA2cfFqM-elVq2hznhDzC6Pr7wkJ9ZG_sYNGCMCU/edit?usp=sharing"",""ลพบุรี!R273"")+IMPORTRANGE(""https://docs.google.com/spreadsheets/d/10oOiF7loTyfsTkbd4MpaIm0HQ9SwB7IYHdIUvt-U1Uc/edit?usp=sharing"""&amp;",""สระแก้ว!R273"")+IMPORTRANGE(""https://docs.google.com/spreadsheets/d/1xmPlrr1QbdSIKvl1dWUl9K4PjAfSL9oeMr_37QVzcxc/edit?usp=sharing"",""สระบุรี!R273"")+IMPORTRANGE(""https://docs.google.com/spreadsheets/d/1j51vR6CYVGhABJpv6tkstgok82RLpXieLzW1yOY5rHw/edi"&amp;"t?usp=sharing"",""สิงห์บุรี!R273"")+IMPORTRANGE(""https://docs.google.com/spreadsheets/d/1H1EalTWKUSzO4Z1-1CwzoDUaVffgrThEBe2sl74kKG0/edit?usp=sharing"",""สุพรรณบุรี!R273"")+IMPORTRANGE(""https://docs.google.com/spreadsheets/d/1BmIruG_sIrJLYao_Pdr7zVArWsf"&amp;"oBt2692TMi6x_854/edit?usp=sharing"",""อ่างทอง!R273"")"),0)</f>
        <v>0</v>
      </c>
      <c r="S273" s="80">
        <f ca="1">IFERROR(__xludf.DUMMYFUNCTION("IMPORTRANGE(""https://docs.google.com/spreadsheets/d/13wPX838HrBrQMCywv1BsuMkt4PEKTChp52zj44s2izQ/edit?usp=sharing"",""กาญจนบุรี!S273"")+IMPORTRANGE(""https://docs.google.com/spreadsheets/d/1ddFKvqj1W1NEiWytbGlB1zMx_ykJDVtmfEQ-6-lIUBA/edit?usp=sharing"","&amp;"""จันทบุรี!S273"")+IMPORTRANGE(""https://docs.google.com/spreadsheets/d/1T1PQvRODqOBZk8BRht_U031fIS1beLA0Ub2CEytj2q0/edit?usp=sharing"",""ฉะเชิงเทรา!S273"")+IMPORTRANGE(""https://docs.google.com/spreadsheets/d/11tr1B-Bhyr79v2bkwVh5h_fR-PStkgjlZtkrZpYurG0/"&amp;"edit?usp=sharing"",""ชลบุรี!S273"")+IMPORTRANGE(""https://docs.google.com/spreadsheets/d/1hh-FVnSX0vozXhGluamEcS54Dw9_zqW0N7qJUWgJ0Sw/edit?usp=sharing"",""ชัยนาท!S273"")+IMPORTRANGE(""https://docs.google.com/spreadsheets/d/1jkqa6GXxSacMcY1eN8AHjMNJ_7dDXMJ"&amp;"VRLDlaFSOdPM/edit?usp=sharing"",""ตราด!S273"")+IMPORTRANGE(""https://docs.google.com/spreadsheets/d/18hSgUJ3VwClqi_qtULmmW3cLr0oe3OKaSYoKzdpTsYQ/edit?usp=sharing"",""นครนายก!S273"")+IMPORTRANGE(""https://docs.google.com/spreadsheets/d/1YTZo6WM2dQ6Ix6FSdnL"&amp;"5P7uVnVKu40sxZu975tgG10E/edit?usp=sharing"",""นครปฐม!S273"")+IMPORTRANGE(""https://docs.google.com/spreadsheets/d/1OYoGg4WDg5RIzwGeB10padOxJF9E_Vljuvvct_M7RDo/edit?usp=sharing"",""ปทุมธานี!S273"")+IMPORTRANGE(""https://docs.google.com/spreadsheets/d/1GbCI"&amp;"E4D4wk9FUozzqk7SxfDMxDVBwVmI5zcaVUSzKAc/edit?usp=sharing"",""ประจวบคีรีขันธ์!S273"")+IMPORTRANGE(""https://docs.google.com/spreadsheets/d/1vVf6wykvW_lAyu7Yo9L4hUTqHqIeP_qcVuxCtosJEbg/edit?usp=sharing"",""ปราจีนบุรี!S273"")+IMPORTRANGE(""https://docs.googl"&amp;"e.com/spreadsheets/d/1BIDqLLg5jk3v59G8NlR8rk5xfQDKne0sAvZHSj7TI6I/edit?usp=sharing"",""พระนครศรีอยุธยา!S273"")+IMPORTRANGE(""https://docs.google.com/spreadsheets/d/1YXvxf8Yu6_rV4hTBrwMqAcAnv6DfhUxh5emyM3CJp_w/edit?usp=sharing"",""เพชรบุรี!S273"")+IMPORTRA"&amp;"NGE(""https://docs.google.com/spreadsheets/d/19KBlQQs7uwvsao6t2n-KvW3Ax8J8uRRfZPq1zPbXgKc/edit?usp=sharing"",""ระยอง!S273"")+IMPORTRANGE(""https://docs.google.com/spreadsheets/d/1jQ6P4QcrGM89YfqcC_PxOHGCMq5ezhucwJd8ci-NHng/edit?usp=sharing"",""ราชบุรี!S27"&amp;"3"")+IMPORTRANGE(""https://docs.google.com/spreadsheets/d/1lufeA2cfFqM-elVq2hznhDzC6Pr7wkJ9ZG_sYNGCMCU/edit?usp=sharing"",""ลพบุรี!S273"")+IMPORTRANGE(""https://docs.google.com/spreadsheets/d/10oOiF7loTyfsTkbd4MpaIm0HQ9SwB7IYHdIUvt-U1Uc/edit?usp=sharing"""&amp;",""สระแก้ว!S273"")+IMPORTRANGE(""https://docs.google.com/spreadsheets/d/1xmPlrr1QbdSIKvl1dWUl9K4PjAfSL9oeMr_37QVzcxc/edit?usp=sharing"",""สระบุรี!S273"")+IMPORTRANGE(""https://docs.google.com/spreadsheets/d/1j51vR6CYVGhABJpv6tkstgok82RLpXieLzW1yOY5rHw/edi"&amp;"t?usp=sharing"",""สิงห์บุรี!S273"")+IMPORTRANGE(""https://docs.google.com/spreadsheets/d/1H1EalTWKUSzO4Z1-1CwzoDUaVffgrThEBe2sl74kKG0/edit?usp=sharing"",""สุพรรณบุรี!S273"")+IMPORTRANGE(""https://docs.google.com/spreadsheets/d/1BmIruG_sIrJLYao_Pdr7zVArWsf"&amp;"oBt2692TMi6x_854/edit?usp=sharing"",""อ่างทอง!S273"")"),0)</f>
        <v>0</v>
      </c>
      <c r="T273" s="136">
        <f t="shared" ca="1" si="184"/>
        <v>0</v>
      </c>
      <c r="U273" s="136">
        <f t="shared" ca="1" si="185"/>
        <v>0</v>
      </c>
    </row>
    <row r="274" spans="1:21" ht="18.75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13wPX838HrBrQMCywv1BsuMkt4PEKTChp52zj44s2izQ/edit?usp=sharing"",""กาญจนบุรี!L274"")+IMPORTRANGE(""https://docs.google.com/spreadsheets/d/1ddFKvqj1W1NEiWytbGlB1zMx_ykJDVtmfEQ-6-lIUBA/edit?usp=sharing"","&amp;"""จันทบุรี!L274"")+IMPORTRANGE(""https://docs.google.com/spreadsheets/d/1T1PQvRODqOBZk8BRht_U031fIS1beLA0Ub2CEytj2q0/edit?usp=sharing"",""ฉะเชิงเทรา!L274"")+IMPORTRANGE(""https://docs.google.com/spreadsheets/d/11tr1B-Bhyr79v2bkwVh5h_fR-PStkgjlZtkrZpYurG0/"&amp;"edit?usp=sharing"",""ชลบุรี!L274"")+IMPORTRANGE(""https://docs.google.com/spreadsheets/d/1hh-FVnSX0vozXhGluamEcS54Dw9_zqW0N7qJUWgJ0Sw/edit?usp=sharing"",""ชัยนาท!L274"")+IMPORTRANGE(""https://docs.google.com/spreadsheets/d/1jkqa6GXxSacMcY1eN8AHjMNJ_7dDXMJ"&amp;"VRLDlaFSOdPM/edit?usp=sharing"",""ตราด!L274"")+IMPORTRANGE(""https://docs.google.com/spreadsheets/d/18hSgUJ3VwClqi_qtULmmW3cLr0oe3OKaSYoKzdpTsYQ/edit?usp=sharing"",""นครนายก!L274"")+IMPORTRANGE(""https://docs.google.com/spreadsheets/d/1YTZo6WM2dQ6Ix6FSdnL"&amp;"5P7uVnVKu40sxZu975tgG10E/edit?usp=sharing"",""นครปฐม!L274"")+IMPORTRANGE(""https://docs.google.com/spreadsheets/d/1OYoGg4WDg5RIzwGeB10padOxJF9E_Vljuvvct_M7RDo/edit?usp=sharing"",""ปทุมธานี!L274"")+IMPORTRANGE(""https://docs.google.com/spreadsheets/d/1GbCI"&amp;"E4D4wk9FUozzqk7SxfDMxDVBwVmI5zcaVUSzKAc/edit?usp=sharing"",""ประจวบคีรีขันธ์!L274"")+IMPORTRANGE(""https://docs.google.com/spreadsheets/d/1vVf6wykvW_lAyu7Yo9L4hUTqHqIeP_qcVuxCtosJEbg/edit?usp=sharing"",""ปราจีนบุรี!L274"")+IMPORTRANGE(""https://docs.googl"&amp;"e.com/spreadsheets/d/1BIDqLLg5jk3v59G8NlR8rk5xfQDKne0sAvZHSj7TI6I/edit?usp=sharing"",""พระนครศรีอยุธยา!L274"")+IMPORTRANGE(""https://docs.google.com/spreadsheets/d/1YXvxf8Yu6_rV4hTBrwMqAcAnv6DfhUxh5emyM3CJp_w/edit?usp=sharing"",""เพชรบุรี!L274"")+IMPORTRA"&amp;"NGE(""https://docs.google.com/spreadsheets/d/19KBlQQs7uwvsao6t2n-KvW3Ax8J8uRRfZPq1zPbXgKc/edit?usp=sharing"",""ระยอง!L274"")+IMPORTRANGE(""https://docs.google.com/spreadsheets/d/1jQ6P4QcrGM89YfqcC_PxOHGCMq5ezhucwJd8ci-NHng/edit?usp=sharing"",""ราชบุรี!L27"&amp;"4"")+IMPORTRANGE(""https://docs.google.com/spreadsheets/d/1lufeA2cfFqM-elVq2hznhDzC6Pr7wkJ9ZG_sYNGCMCU/edit?usp=sharing"",""ลพบุรี!L274"")+IMPORTRANGE(""https://docs.google.com/spreadsheets/d/10oOiF7loTyfsTkbd4MpaIm0HQ9SwB7IYHdIUvt-U1Uc/edit?usp=sharing"""&amp;",""สระแก้ว!L274"")+IMPORTRANGE(""https://docs.google.com/spreadsheets/d/1xmPlrr1QbdSIKvl1dWUl9K4PjAfSL9oeMr_37QVzcxc/edit?usp=sharing"",""สระบุรี!L274"")+IMPORTRANGE(""https://docs.google.com/spreadsheets/d/1j51vR6CYVGhABJpv6tkstgok82RLpXieLzW1yOY5rHw/edi"&amp;"t?usp=sharing"",""สิงห์บุรี!L274"")+IMPORTRANGE(""https://docs.google.com/spreadsheets/d/1H1EalTWKUSzO4Z1-1CwzoDUaVffgrThEBe2sl74kKG0/edit?usp=sharing"",""สุพรรณบุรี!L274"")+IMPORTRANGE(""https://docs.google.com/spreadsheets/d/1BmIruG_sIrJLYao_Pdr7zVArWsf"&amp;"oBt2692TMi6x_854/edit?usp=sharing"",""อ่างทอง!L274"")"),0)</f>
        <v>0</v>
      </c>
      <c r="M274" s="91">
        <f ca="1">IFERROR(__xludf.DUMMYFUNCTION("IMPORTRANGE(""https://docs.google.com/spreadsheets/d/13wPX838HrBrQMCywv1BsuMkt4PEKTChp52zj44s2izQ/edit?usp=sharing"",""กาญจนบุรี!M274"")+IMPORTRANGE(""https://docs.google.com/spreadsheets/d/1ddFKvqj1W1NEiWytbGlB1zMx_ykJDVtmfEQ-6-lIUBA/edit?usp=sharing"","&amp;"""จันทบุรี!M274"")+IMPORTRANGE(""https://docs.google.com/spreadsheets/d/1T1PQvRODqOBZk8BRht_U031fIS1beLA0Ub2CEytj2q0/edit?usp=sharing"",""ฉะเชิงเทรา!M274"")+IMPORTRANGE(""https://docs.google.com/spreadsheets/d/11tr1B-Bhyr79v2bkwVh5h_fR-PStkgjlZtkrZpYurG0/"&amp;"edit?usp=sharing"",""ชลบุรี!M274"")+IMPORTRANGE(""https://docs.google.com/spreadsheets/d/1hh-FVnSX0vozXhGluamEcS54Dw9_zqW0N7qJUWgJ0Sw/edit?usp=sharing"",""ชัยนาท!M274"")+IMPORTRANGE(""https://docs.google.com/spreadsheets/d/1jkqa6GXxSacMcY1eN8AHjMNJ_7dDXMJ"&amp;"VRLDlaFSOdPM/edit?usp=sharing"",""ตราด!M274"")+IMPORTRANGE(""https://docs.google.com/spreadsheets/d/18hSgUJ3VwClqi_qtULmmW3cLr0oe3OKaSYoKzdpTsYQ/edit?usp=sharing"",""นครนายก!M274"")+IMPORTRANGE(""https://docs.google.com/spreadsheets/d/1YTZo6WM2dQ6Ix6FSdnL"&amp;"5P7uVnVKu40sxZu975tgG10E/edit?usp=sharing"",""นครปฐม!M274"")+IMPORTRANGE(""https://docs.google.com/spreadsheets/d/1OYoGg4WDg5RIzwGeB10padOxJF9E_Vljuvvct_M7RDo/edit?usp=sharing"",""ปทุมธานี!M274"")+IMPORTRANGE(""https://docs.google.com/spreadsheets/d/1GbCI"&amp;"E4D4wk9FUozzqk7SxfDMxDVBwVmI5zcaVUSzKAc/edit?usp=sharing"",""ประจวบคีรีขันธ์!M274"")+IMPORTRANGE(""https://docs.google.com/spreadsheets/d/1vVf6wykvW_lAyu7Yo9L4hUTqHqIeP_qcVuxCtosJEbg/edit?usp=sharing"",""ปราจีนบุรี!M274"")+IMPORTRANGE(""https://docs.googl"&amp;"e.com/spreadsheets/d/1BIDqLLg5jk3v59G8NlR8rk5xfQDKne0sAvZHSj7TI6I/edit?usp=sharing"",""พระนครศรีอยุธยา!M274"")+IMPORTRANGE(""https://docs.google.com/spreadsheets/d/1YXvxf8Yu6_rV4hTBrwMqAcAnv6DfhUxh5emyM3CJp_w/edit?usp=sharing"",""เพชรบุรี!M274"")+IMPORTRA"&amp;"NGE(""https://docs.google.com/spreadsheets/d/19KBlQQs7uwvsao6t2n-KvW3Ax8J8uRRfZPq1zPbXgKc/edit?usp=sharing"",""ระยอง!M274"")+IMPORTRANGE(""https://docs.google.com/spreadsheets/d/1jQ6P4QcrGM89YfqcC_PxOHGCMq5ezhucwJd8ci-NHng/edit?usp=sharing"",""ราชบุรี!M27"&amp;"4"")+IMPORTRANGE(""https://docs.google.com/spreadsheets/d/1lufeA2cfFqM-elVq2hznhDzC6Pr7wkJ9ZG_sYNGCMCU/edit?usp=sharing"",""ลพบุรี!M274"")+IMPORTRANGE(""https://docs.google.com/spreadsheets/d/10oOiF7loTyfsTkbd4MpaIm0HQ9SwB7IYHdIUvt-U1Uc/edit?usp=sharing"""&amp;",""สระแก้ว!M274"")+IMPORTRANGE(""https://docs.google.com/spreadsheets/d/1xmPlrr1QbdSIKvl1dWUl9K4PjAfSL9oeMr_37QVzcxc/edit?usp=sharing"",""สระบุรี!M274"")+IMPORTRANGE(""https://docs.google.com/spreadsheets/d/1j51vR6CYVGhABJpv6tkstgok82RLpXieLzW1yOY5rHw/edi"&amp;"t?usp=sharing"",""สิงห์บุรี!M274"")+IMPORTRANGE(""https://docs.google.com/spreadsheets/d/1H1EalTWKUSzO4Z1-1CwzoDUaVffgrThEBe2sl74kKG0/edit?usp=sharing"",""สุพรรณบุรี!M274"")+IMPORTRANGE(""https://docs.google.com/spreadsheets/d/1BmIruG_sIrJLYao_Pdr7zVArWsf"&amp;"oBt2692TMi6x_854/edit?usp=sharing"",""อ่างทอง!M274"")"),0)</f>
        <v>0</v>
      </c>
      <c r="N274" s="91">
        <f ca="1">IFERROR(__xludf.DUMMYFUNCTION("IMPORTRANGE(""https://docs.google.com/spreadsheets/d/13wPX838HrBrQMCywv1BsuMkt4PEKTChp52zj44s2izQ/edit?usp=sharing"",""กาญจนบุรี!N274"")+IMPORTRANGE(""https://docs.google.com/spreadsheets/d/1ddFKvqj1W1NEiWytbGlB1zMx_ykJDVtmfEQ-6-lIUBA/edit?usp=sharing"","&amp;"""จันทบุรี!N274"")+IMPORTRANGE(""https://docs.google.com/spreadsheets/d/1T1PQvRODqOBZk8BRht_U031fIS1beLA0Ub2CEytj2q0/edit?usp=sharing"",""ฉะเชิงเทรา!N274"")+IMPORTRANGE(""https://docs.google.com/spreadsheets/d/11tr1B-Bhyr79v2bkwVh5h_fR-PStkgjlZtkrZpYurG0/"&amp;"edit?usp=sharing"",""ชลบุรี!N274"")+IMPORTRANGE(""https://docs.google.com/spreadsheets/d/1hh-FVnSX0vozXhGluamEcS54Dw9_zqW0N7qJUWgJ0Sw/edit?usp=sharing"",""ชัยนาท!N274"")+IMPORTRANGE(""https://docs.google.com/spreadsheets/d/1jkqa6GXxSacMcY1eN8AHjMNJ_7dDXMJ"&amp;"VRLDlaFSOdPM/edit?usp=sharing"",""ตราด!N274"")+IMPORTRANGE(""https://docs.google.com/spreadsheets/d/18hSgUJ3VwClqi_qtULmmW3cLr0oe3OKaSYoKzdpTsYQ/edit?usp=sharing"",""นครนายก!N274"")+IMPORTRANGE(""https://docs.google.com/spreadsheets/d/1YTZo6WM2dQ6Ix6FSdnL"&amp;"5P7uVnVKu40sxZu975tgG10E/edit?usp=sharing"",""นครปฐม!N274"")+IMPORTRANGE(""https://docs.google.com/spreadsheets/d/1OYoGg4WDg5RIzwGeB10padOxJF9E_Vljuvvct_M7RDo/edit?usp=sharing"",""ปทุมธานี!N274"")+IMPORTRANGE(""https://docs.google.com/spreadsheets/d/1GbCI"&amp;"E4D4wk9FUozzqk7SxfDMxDVBwVmI5zcaVUSzKAc/edit?usp=sharing"",""ประจวบคีรีขันธ์!N274"")+IMPORTRANGE(""https://docs.google.com/spreadsheets/d/1vVf6wykvW_lAyu7Yo9L4hUTqHqIeP_qcVuxCtosJEbg/edit?usp=sharing"",""ปราจีนบุรี!N274"")+IMPORTRANGE(""https://docs.googl"&amp;"e.com/spreadsheets/d/1BIDqLLg5jk3v59G8NlR8rk5xfQDKne0sAvZHSj7TI6I/edit?usp=sharing"",""พระนครศรีอยุธยา!N274"")+IMPORTRANGE(""https://docs.google.com/spreadsheets/d/1YXvxf8Yu6_rV4hTBrwMqAcAnv6DfhUxh5emyM3CJp_w/edit?usp=sharing"",""เพชรบุรี!N274"")+IMPORTRA"&amp;"NGE(""https://docs.google.com/spreadsheets/d/19KBlQQs7uwvsao6t2n-KvW3Ax8J8uRRfZPq1zPbXgKc/edit?usp=sharing"",""ระยอง!N274"")+IMPORTRANGE(""https://docs.google.com/spreadsheets/d/1jQ6P4QcrGM89YfqcC_PxOHGCMq5ezhucwJd8ci-NHng/edit?usp=sharing"",""ราชบุรี!N27"&amp;"4"")+IMPORTRANGE(""https://docs.google.com/spreadsheets/d/1lufeA2cfFqM-elVq2hznhDzC6Pr7wkJ9ZG_sYNGCMCU/edit?usp=sharing"",""ลพบุรี!N274"")+IMPORTRANGE(""https://docs.google.com/spreadsheets/d/10oOiF7loTyfsTkbd4MpaIm0HQ9SwB7IYHdIUvt-U1Uc/edit?usp=sharing"""&amp;",""สระแก้ว!N274"")+IMPORTRANGE(""https://docs.google.com/spreadsheets/d/1xmPlrr1QbdSIKvl1dWUl9K4PjAfSL9oeMr_37QVzcxc/edit?usp=sharing"",""สระบุรี!N274"")+IMPORTRANGE(""https://docs.google.com/spreadsheets/d/1j51vR6CYVGhABJpv6tkstgok82RLpXieLzW1yOY5rHw/edi"&amp;"t?usp=sharing"",""สิงห์บุรี!N274"")+IMPORTRANGE(""https://docs.google.com/spreadsheets/d/1H1EalTWKUSzO4Z1-1CwzoDUaVffgrThEBe2sl74kKG0/edit?usp=sharing"",""สุพรรณบุรี!N274"")+IMPORTRANGE(""https://docs.google.com/spreadsheets/d/1BmIruG_sIrJLYao_Pdr7zVArWsf"&amp;"oBt2692TMi6x_854/edit?usp=sharing"",""อ่างทอง!N274"")"),0)</f>
        <v>0</v>
      </c>
      <c r="O274" s="91">
        <f t="shared" ca="1" si="181"/>
        <v>0</v>
      </c>
      <c r="P274" s="91">
        <f t="shared" ca="1" si="182"/>
        <v>0</v>
      </c>
      <c r="Q274" s="76">
        <f ca="1">IFERROR(__xludf.DUMMYFUNCTION("IMPORTRANGE(""https://docs.google.com/spreadsheets/d/13wPX838HrBrQMCywv1BsuMkt4PEKTChp52zj44s2izQ/edit?usp=sharing"",""กาญจนบุรี!Q274"")+IMPORTRANGE(""https://docs.google.com/spreadsheets/d/1ddFKvqj1W1NEiWytbGlB1zMx_ykJDVtmfEQ-6-lIUBA/edit?usp=sharing"","&amp;"""จันทบุรี!Q274"")+IMPORTRANGE(""https://docs.google.com/spreadsheets/d/1T1PQvRODqOBZk8BRht_U031fIS1beLA0Ub2CEytj2q0/edit?usp=sharing"",""ฉะเชิงเทรา!Q274"")+IMPORTRANGE(""https://docs.google.com/spreadsheets/d/11tr1B-Bhyr79v2bkwVh5h_fR-PStkgjlZtkrZpYurG0/"&amp;"edit?usp=sharing"",""ชลบุรี!Q274"")+IMPORTRANGE(""https://docs.google.com/spreadsheets/d/1hh-FVnSX0vozXhGluamEcS54Dw9_zqW0N7qJUWgJ0Sw/edit?usp=sharing"",""ชัยนาท!Q274"")+IMPORTRANGE(""https://docs.google.com/spreadsheets/d/1jkqa6GXxSacMcY1eN8AHjMNJ_7dDXMJ"&amp;"VRLDlaFSOdPM/edit?usp=sharing"",""ตราด!Q274"")+IMPORTRANGE(""https://docs.google.com/spreadsheets/d/18hSgUJ3VwClqi_qtULmmW3cLr0oe3OKaSYoKzdpTsYQ/edit?usp=sharing"",""นครนายก!Q274"")+IMPORTRANGE(""https://docs.google.com/spreadsheets/d/1YTZo6WM2dQ6Ix6FSdnL"&amp;"5P7uVnVKu40sxZu975tgG10E/edit?usp=sharing"",""นครปฐม!Q274"")+IMPORTRANGE(""https://docs.google.com/spreadsheets/d/1OYoGg4WDg5RIzwGeB10padOxJF9E_Vljuvvct_M7RDo/edit?usp=sharing"",""ปทุมธานี!Q274"")+IMPORTRANGE(""https://docs.google.com/spreadsheets/d/1GbCI"&amp;"E4D4wk9FUozzqk7SxfDMxDVBwVmI5zcaVUSzKAc/edit?usp=sharing"",""ประจวบคีรีขันธ์!Q274"")+IMPORTRANGE(""https://docs.google.com/spreadsheets/d/1vVf6wykvW_lAyu7Yo9L4hUTqHqIeP_qcVuxCtosJEbg/edit?usp=sharing"",""ปราจีนบุรี!Q274"")+IMPORTRANGE(""https://docs.googl"&amp;"e.com/spreadsheets/d/1BIDqLLg5jk3v59G8NlR8rk5xfQDKne0sAvZHSj7TI6I/edit?usp=sharing"",""พระนครศรีอยุธยา!Q274"")+IMPORTRANGE(""https://docs.google.com/spreadsheets/d/1YXvxf8Yu6_rV4hTBrwMqAcAnv6DfhUxh5emyM3CJp_w/edit?usp=sharing"",""เพชรบุรี!Q274"")+IMPORTRA"&amp;"NGE(""https://docs.google.com/spreadsheets/d/19KBlQQs7uwvsao6t2n-KvW3Ax8J8uRRfZPq1zPbXgKc/edit?usp=sharing"",""ระยอง!Q274"")+IMPORTRANGE(""https://docs.google.com/spreadsheets/d/1jQ6P4QcrGM89YfqcC_PxOHGCMq5ezhucwJd8ci-NHng/edit?usp=sharing"",""ราชบุรี!Q27"&amp;"4"")+IMPORTRANGE(""https://docs.google.com/spreadsheets/d/1lufeA2cfFqM-elVq2hznhDzC6Pr7wkJ9ZG_sYNGCMCU/edit?usp=sharing"",""ลพบุรี!Q274"")+IMPORTRANGE(""https://docs.google.com/spreadsheets/d/10oOiF7loTyfsTkbd4MpaIm0HQ9SwB7IYHdIUvt-U1Uc/edit?usp=sharing"""&amp;",""สระแก้ว!Q274"")+IMPORTRANGE(""https://docs.google.com/spreadsheets/d/1xmPlrr1QbdSIKvl1dWUl9K4PjAfSL9oeMr_37QVzcxc/edit?usp=sharing"",""สระบุรี!Q274"")+IMPORTRANGE(""https://docs.google.com/spreadsheets/d/1j51vR6CYVGhABJpv6tkstgok82RLpXieLzW1yOY5rHw/edi"&amp;"t?usp=sharing"",""สิงห์บุรี!Q274"")+IMPORTRANGE(""https://docs.google.com/spreadsheets/d/1H1EalTWKUSzO4Z1-1CwzoDUaVffgrThEBe2sl74kKG0/edit?usp=sharing"",""สุพรรณบุรี!Q274"")+IMPORTRANGE(""https://docs.google.com/spreadsheets/d/1BmIruG_sIrJLYao_Pdr7zVArWsf"&amp;"oBt2692TMi6x_854/edit?usp=sharing"",""อ่างทอง!Q274"")"),0)</f>
        <v>0</v>
      </c>
      <c r="R274" s="77">
        <f ca="1">IFERROR(__xludf.DUMMYFUNCTION("IMPORTRANGE(""https://docs.google.com/spreadsheets/d/13wPX838HrBrQMCywv1BsuMkt4PEKTChp52zj44s2izQ/edit?usp=sharing"",""กาญจนบุรี!R274"")+IMPORTRANGE(""https://docs.google.com/spreadsheets/d/1ddFKvqj1W1NEiWytbGlB1zMx_ykJDVtmfEQ-6-lIUBA/edit?usp=sharing"","&amp;"""จันทบุรี!R274"")+IMPORTRANGE(""https://docs.google.com/spreadsheets/d/1T1PQvRODqOBZk8BRht_U031fIS1beLA0Ub2CEytj2q0/edit?usp=sharing"",""ฉะเชิงเทรา!R274"")+IMPORTRANGE(""https://docs.google.com/spreadsheets/d/11tr1B-Bhyr79v2bkwVh5h_fR-PStkgjlZtkrZpYurG0/"&amp;"edit?usp=sharing"",""ชลบุรี!R274"")+IMPORTRANGE(""https://docs.google.com/spreadsheets/d/1hh-FVnSX0vozXhGluamEcS54Dw9_zqW0N7qJUWgJ0Sw/edit?usp=sharing"",""ชัยนาท!R274"")+IMPORTRANGE(""https://docs.google.com/spreadsheets/d/1jkqa6GXxSacMcY1eN8AHjMNJ_7dDXMJ"&amp;"VRLDlaFSOdPM/edit?usp=sharing"",""ตราด!R274"")+IMPORTRANGE(""https://docs.google.com/spreadsheets/d/18hSgUJ3VwClqi_qtULmmW3cLr0oe3OKaSYoKzdpTsYQ/edit?usp=sharing"",""นครนายก!R274"")+IMPORTRANGE(""https://docs.google.com/spreadsheets/d/1YTZo6WM2dQ6Ix6FSdnL"&amp;"5P7uVnVKu40sxZu975tgG10E/edit?usp=sharing"",""นครปฐม!R274"")+IMPORTRANGE(""https://docs.google.com/spreadsheets/d/1OYoGg4WDg5RIzwGeB10padOxJF9E_Vljuvvct_M7RDo/edit?usp=sharing"",""ปทุมธานี!R274"")+IMPORTRANGE(""https://docs.google.com/spreadsheets/d/1GbCI"&amp;"E4D4wk9FUozzqk7SxfDMxDVBwVmI5zcaVUSzKAc/edit?usp=sharing"",""ประจวบคีรีขันธ์!R274"")+IMPORTRANGE(""https://docs.google.com/spreadsheets/d/1vVf6wykvW_lAyu7Yo9L4hUTqHqIeP_qcVuxCtosJEbg/edit?usp=sharing"",""ปราจีนบุรี!R274"")+IMPORTRANGE(""https://docs.googl"&amp;"e.com/spreadsheets/d/1BIDqLLg5jk3v59G8NlR8rk5xfQDKne0sAvZHSj7TI6I/edit?usp=sharing"",""พระนครศรีอยุธยา!R274"")+IMPORTRANGE(""https://docs.google.com/spreadsheets/d/1YXvxf8Yu6_rV4hTBrwMqAcAnv6DfhUxh5emyM3CJp_w/edit?usp=sharing"",""เพชรบุรี!R274"")+IMPORTRA"&amp;"NGE(""https://docs.google.com/spreadsheets/d/19KBlQQs7uwvsao6t2n-KvW3Ax8J8uRRfZPq1zPbXgKc/edit?usp=sharing"",""ระยอง!R274"")+IMPORTRANGE(""https://docs.google.com/spreadsheets/d/1jQ6P4QcrGM89YfqcC_PxOHGCMq5ezhucwJd8ci-NHng/edit?usp=sharing"",""ราชบุรี!R27"&amp;"4"")+IMPORTRANGE(""https://docs.google.com/spreadsheets/d/1lufeA2cfFqM-elVq2hznhDzC6Pr7wkJ9ZG_sYNGCMCU/edit?usp=sharing"",""ลพบุรี!R274"")+IMPORTRANGE(""https://docs.google.com/spreadsheets/d/10oOiF7loTyfsTkbd4MpaIm0HQ9SwB7IYHdIUvt-U1Uc/edit?usp=sharing"""&amp;",""สระแก้ว!R274"")+IMPORTRANGE(""https://docs.google.com/spreadsheets/d/1xmPlrr1QbdSIKvl1dWUl9K4PjAfSL9oeMr_37QVzcxc/edit?usp=sharing"",""สระบุรี!R274"")+IMPORTRANGE(""https://docs.google.com/spreadsheets/d/1j51vR6CYVGhABJpv6tkstgok82RLpXieLzW1yOY5rHw/edi"&amp;"t?usp=sharing"",""สิงห์บุรี!R274"")+IMPORTRANGE(""https://docs.google.com/spreadsheets/d/1H1EalTWKUSzO4Z1-1CwzoDUaVffgrThEBe2sl74kKG0/edit?usp=sharing"",""สุพรรณบุรี!R274"")+IMPORTRANGE(""https://docs.google.com/spreadsheets/d/1BmIruG_sIrJLYao_Pdr7zVArWsf"&amp;"oBt2692TMi6x_854/edit?usp=sharing"",""อ่างทอง!R274"")"),0)</f>
        <v>0</v>
      </c>
      <c r="S274" s="77">
        <f ca="1">IFERROR(__xludf.DUMMYFUNCTION("IMPORTRANGE(""https://docs.google.com/spreadsheets/d/13wPX838HrBrQMCywv1BsuMkt4PEKTChp52zj44s2izQ/edit?usp=sharing"",""กาญจนบุรี!S274"")+IMPORTRANGE(""https://docs.google.com/spreadsheets/d/1ddFKvqj1W1NEiWytbGlB1zMx_ykJDVtmfEQ-6-lIUBA/edit?usp=sharing"","&amp;"""จันทบุรี!S274"")+IMPORTRANGE(""https://docs.google.com/spreadsheets/d/1T1PQvRODqOBZk8BRht_U031fIS1beLA0Ub2CEytj2q0/edit?usp=sharing"",""ฉะเชิงเทรา!S274"")+IMPORTRANGE(""https://docs.google.com/spreadsheets/d/11tr1B-Bhyr79v2bkwVh5h_fR-PStkgjlZtkrZpYurG0/"&amp;"edit?usp=sharing"",""ชลบุรี!S274"")+IMPORTRANGE(""https://docs.google.com/spreadsheets/d/1hh-FVnSX0vozXhGluamEcS54Dw9_zqW0N7qJUWgJ0Sw/edit?usp=sharing"",""ชัยนาท!S274"")+IMPORTRANGE(""https://docs.google.com/spreadsheets/d/1jkqa6GXxSacMcY1eN8AHjMNJ_7dDXMJ"&amp;"VRLDlaFSOdPM/edit?usp=sharing"",""ตราด!S274"")+IMPORTRANGE(""https://docs.google.com/spreadsheets/d/18hSgUJ3VwClqi_qtULmmW3cLr0oe3OKaSYoKzdpTsYQ/edit?usp=sharing"",""นครนายก!S274"")+IMPORTRANGE(""https://docs.google.com/spreadsheets/d/1YTZo6WM2dQ6Ix6FSdnL"&amp;"5P7uVnVKu40sxZu975tgG10E/edit?usp=sharing"",""นครปฐม!S274"")+IMPORTRANGE(""https://docs.google.com/spreadsheets/d/1OYoGg4WDg5RIzwGeB10padOxJF9E_Vljuvvct_M7RDo/edit?usp=sharing"",""ปทุมธานี!S274"")+IMPORTRANGE(""https://docs.google.com/spreadsheets/d/1GbCI"&amp;"E4D4wk9FUozzqk7SxfDMxDVBwVmI5zcaVUSzKAc/edit?usp=sharing"",""ประจวบคีรีขันธ์!S274"")+IMPORTRANGE(""https://docs.google.com/spreadsheets/d/1vVf6wykvW_lAyu7Yo9L4hUTqHqIeP_qcVuxCtosJEbg/edit?usp=sharing"",""ปราจีนบุรี!S274"")+IMPORTRANGE(""https://docs.googl"&amp;"e.com/spreadsheets/d/1BIDqLLg5jk3v59G8NlR8rk5xfQDKne0sAvZHSj7TI6I/edit?usp=sharing"",""พระนครศรีอยุธยา!S274"")+IMPORTRANGE(""https://docs.google.com/spreadsheets/d/1YXvxf8Yu6_rV4hTBrwMqAcAnv6DfhUxh5emyM3CJp_w/edit?usp=sharing"",""เพชรบุรี!S274"")+IMPORTRA"&amp;"NGE(""https://docs.google.com/spreadsheets/d/19KBlQQs7uwvsao6t2n-KvW3Ax8J8uRRfZPq1zPbXgKc/edit?usp=sharing"",""ระยอง!S274"")+IMPORTRANGE(""https://docs.google.com/spreadsheets/d/1jQ6P4QcrGM89YfqcC_PxOHGCMq5ezhucwJd8ci-NHng/edit?usp=sharing"",""ราชบุรี!S27"&amp;"4"")+IMPORTRANGE(""https://docs.google.com/spreadsheets/d/1lufeA2cfFqM-elVq2hznhDzC6Pr7wkJ9ZG_sYNGCMCU/edit?usp=sharing"",""ลพบุรี!S274"")+IMPORTRANGE(""https://docs.google.com/spreadsheets/d/10oOiF7loTyfsTkbd4MpaIm0HQ9SwB7IYHdIUvt-U1Uc/edit?usp=sharing"""&amp;",""สระแก้ว!S274"")+IMPORTRANGE(""https://docs.google.com/spreadsheets/d/1xmPlrr1QbdSIKvl1dWUl9K4PjAfSL9oeMr_37QVzcxc/edit?usp=sharing"",""สระบุรี!S274"")+IMPORTRANGE(""https://docs.google.com/spreadsheets/d/1j51vR6CYVGhABJpv6tkstgok82RLpXieLzW1yOY5rHw/edi"&amp;"t?usp=sharing"",""สิงห์บุรี!S274"")+IMPORTRANGE(""https://docs.google.com/spreadsheets/d/1H1EalTWKUSzO4Z1-1CwzoDUaVffgrThEBe2sl74kKG0/edit?usp=sharing"",""สุพรรณบุรี!S274"")+IMPORTRANGE(""https://docs.google.com/spreadsheets/d/1BmIruG_sIrJLYao_Pdr7zVArWsf"&amp;"oBt2692TMi6x_854/edit?usp=sharing"",""อ่างทอง!S274"")"),0)</f>
        <v>0</v>
      </c>
      <c r="T274" s="135">
        <f t="shared" ca="1" si="184"/>
        <v>0</v>
      </c>
      <c r="U274" s="135">
        <f t="shared" ca="1" si="185"/>
        <v>0</v>
      </c>
    </row>
    <row r="275" spans="1:21" ht="19.5" x14ac:dyDescent="0.3">
      <c r="A275" s="224"/>
      <c r="B275" s="225"/>
      <c r="C275" s="78" t="s">
        <v>18</v>
      </c>
      <c r="D275" s="226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230"/>
      <c r="R275" s="231"/>
      <c r="S275" s="231"/>
      <c r="T275" s="231"/>
      <c r="U275" s="231"/>
    </row>
    <row r="276" spans="1:21" ht="18.75" x14ac:dyDescent="0.25">
      <c r="A276" s="428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4">
        <f ca="1">IFERROR(__xludf.DUMMYFUNCTION("IMPORTRANGE(""https://docs.google.com/spreadsheets/d/13wPX838HrBrQMCywv1BsuMkt4PEKTChp52zj44s2izQ/edit?usp=sharing"",""กาญจนบุรี!I276"")+IMPORTRANGE(""https://docs.google.com/spreadsheets/d/1ddFKvqj1W1NEiWytbGlB1zMx_ykJDVtmfEQ-6-lIUBA/edit?usp=sharing"","&amp;"""จันทบุรี!I276"")+IMPORTRANGE(""https://docs.google.com/spreadsheets/d/1T1PQvRODqOBZk8BRht_U031fIS1beLA0Ub2CEytj2q0/edit?usp=sharing"",""ฉะเชิงเทรา!I276"")+IMPORTRANGE(""https://docs.google.com/spreadsheets/d/11tr1B-Bhyr79v2bkwVh5h_fR-PStkgjlZtkrZpYurG0/"&amp;"edit?usp=sharing"",""ชลบุรี!I276"")+IMPORTRANGE(""https://docs.google.com/spreadsheets/d/1hh-FVnSX0vozXhGluamEcS54Dw9_zqW0N7qJUWgJ0Sw/edit?usp=sharing"",""ชัยนาท!I276"")+IMPORTRANGE(""https://docs.google.com/spreadsheets/d/1jkqa6GXxSacMcY1eN8AHjMNJ_7dDXMJ"&amp;"VRLDlaFSOdPM/edit?usp=sharing"",""ตราด!I276"")+IMPORTRANGE(""https://docs.google.com/spreadsheets/d/18hSgUJ3VwClqi_qtULmmW3cLr0oe3OKaSYoKzdpTsYQ/edit?usp=sharing"",""นครนายก!I276"")+IMPORTRANGE(""https://docs.google.com/spreadsheets/d/1YTZo6WM2dQ6Ix6FSdnL"&amp;"5P7uVnVKu40sxZu975tgG10E/edit?usp=sharing"",""นครปฐม!I276"")+IMPORTRANGE(""https://docs.google.com/spreadsheets/d/1OYoGg4WDg5RIzwGeB10padOxJF9E_Vljuvvct_M7RDo/edit?usp=sharing"",""ปทุมธานี!I276"")+IMPORTRANGE(""https://docs.google.com/spreadsheets/d/1GbCI"&amp;"E4D4wk9FUozzqk7SxfDMxDVBwVmI5zcaVUSzKAc/edit?usp=sharing"",""ประจวบคีรีขันธ์!I276"")+IMPORTRANGE(""https://docs.google.com/spreadsheets/d/1vVf6wykvW_lAyu7Yo9L4hUTqHqIeP_qcVuxCtosJEbg/edit?usp=sharing"",""ปราจีนบุรี!I276"")+IMPORTRANGE(""https://docs.googl"&amp;"e.com/spreadsheets/d/1BIDqLLg5jk3v59G8NlR8rk5xfQDKne0sAvZHSj7TI6I/edit?usp=sharing"",""พระนครศรีอยุธยา!I276"")+IMPORTRANGE(""https://docs.google.com/spreadsheets/d/1YXvxf8Yu6_rV4hTBrwMqAcAnv6DfhUxh5emyM3CJp_w/edit?usp=sharing"",""เพชรบุรี!I276"")+IMPORTRA"&amp;"NGE(""https://docs.google.com/spreadsheets/d/19KBlQQs7uwvsao6t2n-KvW3Ax8J8uRRfZPq1zPbXgKc/edit?usp=sharing"",""ระยอง!I276"")+IMPORTRANGE(""https://docs.google.com/spreadsheets/d/1jQ6P4QcrGM89YfqcC_PxOHGCMq5ezhucwJd8ci-NHng/edit?usp=sharing"",""ราชบุรี!I27"&amp;"6"")+IMPORTRANGE(""https://docs.google.com/spreadsheets/d/1lufeA2cfFqM-elVq2hznhDzC6Pr7wkJ9ZG_sYNGCMCU/edit?usp=sharing"",""ลพบุรี!I276"")+IMPORTRANGE(""https://docs.google.com/spreadsheets/d/10oOiF7loTyfsTkbd4MpaIm0HQ9SwB7IYHdIUvt-U1Uc/edit?usp=sharing"""&amp;",""สระแก้ว!I276"")+IMPORTRANGE(""https://docs.google.com/spreadsheets/d/1xmPlrr1QbdSIKvl1dWUl9K4PjAfSL9oeMr_37QVzcxc/edit?usp=sharing"",""สระบุรี!I276"")+IMPORTRANGE(""https://docs.google.com/spreadsheets/d/1j51vR6CYVGhABJpv6tkstgok82RLpXieLzW1yOY5rHw/edi"&amp;"t?usp=sharing"",""สิงห์บุรี!I276"")+IMPORTRANGE(""https://docs.google.com/spreadsheets/d/1H1EalTWKUSzO4Z1-1CwzoDUaVffgrThEBe2sl74kKG0/edit?usp=sharing"",""สุพรรณบุรี!I276"")+IMPORTRANGE(""https://docs.google.com/spreadsheets/d/1BmIruG_sIrJLYao_Pdr7zVArWsf"&amp;"oBt2692TMi6x_854/edit?usp=sharing"",""อ่างทอง!I276"")"),446)</f>
        <v>446</v>
      </c>
      <c r="J276" s="435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126)</f>
        <v>126</v>
      </c>
      <c r="K276" s="436">
        <f ca="1">IF(I276&gt;0,J276*100/I276,0)</f>
        <v>28.251121076233183</v>
      </c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</row>
    <row r="277" spans="1:21" ht="18.75" x14ac:dyDescent="0.25">
      <c r="A277" s="437"/>
      <c r="B277" s="438"/>
      <c r="C277" s="438"/>
      <c r="D277" s="439" t="s">
        <v>116</v>
      </c>
      <c r="E277" s="440"/>
      <c r="F277" s="440"/>
      <c r="G277" s="441"/>
      <c r="H277" s="180" t="s">
        <v>35</v>
      </c>
      <c r="I277" s="341">
        <v>0</v>
      </c>
      <c r="J277" s="341">
        <v>0</v>
      </c>
      <c r="K277" s="442">
        <v>0</v>
      </c>
      <c r="L277" s="443"/>
      <c r="M277" s="443"/>
      <c r="N277" s="443"/>
      <c r="O277" s="443"/>
      <c r="P277" s="443"/>
      <c r="Q277" s="444"/>
      <c r="R277" s="445"/>
      <c r="S277" s="445"/>
      <c r="T277" s="445"/>
      <c r="U277" s="445"/>
    </row>
    <row r="278" spans="1:21" ht="19.5" x14ac:dyDescent="0.3">
      <c r="A278" s="446" t="s">
        <v>117</v>
      </c>
      <c r="B278" s="447"/>
      <c r="C278" s="447"/>
      <c r="D278" s="447"/>
      <c r="E278" s="448"/>
      <c r="F278" s="448"/>
      <c r="G278" s="448"/>
      <c r="H278" s="448"/>
      <c r="I278" s="449"/>
      <c r="J278" s="449"/>
      <c r="K278" s="450"/>
      <c r="L278" s="451"/>
      <c r="M278" s="451"/>
      <c r="N278" s="451"/>
      <c r="O278" s="451"/>
      <c r="P278" s="452"/>
      <c r="Q278" s="453"/>
      <c r="R278" s="454"/>
      <c r="S278" s="454"/>
      <c r="T278" s="454"/>
      <c r="U278" s="455"/>
    </row>
    <row r="279" spans="1:21" ht="19.5" x14ac:dyDescent="0.3">
      <c r="A279" s="456" t="s">
        <v>118</v>
      </c>
      <c r="B279" s="457"/>
      <c r="C279" s="458"/>
      <c r="D279" s="457"/>
      <c r="E279" s="457"/>
      <c r="F279" s="457"/>
      <c r="G279" s="457"/>
      <c r="H279" s="457"/>
      <c r="I279" s="459"/>
      <c r="J279" s="460"/>
      <c r="K279" s="461"/>
      <c r="L279" s="461"/>
      <c r="M279" s="461"/>
      <c r="N279" s="461"/>
      <c r="O279" s="461"/>
      <c r="P279" s="461"/>
      <c r="Q279" s="462"/>
      <c r="R279" s="463"/>
      <c r="S279" s="463"/>
      <c r="T279" s="463"/>
      <c r="U279" s="463"/>
    </row>
    <row r="280" spans="1:21" ht="19.5" x14ac:dyDescent="0.3">
      <c r="A280" s="464"/>
      <c r="B280" s="465" t="s">
        <v>119</v>
      </c>
      <c r="C280" s="466"/>
      <c r="D280" s="467"/>
      <c r="E280" s="466"/>
      <c r="F280" s="466"/>
      <c r="G280" s="468"/>
      <c r="H280" s="469" t="s">
        <v>35</v>
      </c>
      <c r="I280" s="470">
        <f t="shared" ref="I280:J280" ca="1" si="194">I293</f>
        <v>10</v>
      </c>
      <c r="J280" s="470">
        <f t="shared" ca="1" si="194"/>
        <v>10</v>
      </c>
      <c r="K280" s="471">
        <f t="shared" ref="K280:K281" ca="1" si="195">IF(I280&gt;0,J280*100/I280,0)</f>
        <v>100</v>
      </c>
      <c r="L280" s="472"/>
      <c r="M280" s="472"/>
      <c r="N280" s="472"/>
      <c r="O280" s="472"/>
      <c r="P280" s="472"/>
      <c r="Q280" s="473"/>
      <c r="R280" s="474"/>
      <c r="S280" s="474"/>
      <c r="T280" s="474"/>
      <c r="U280" s="474"/>
    </row>
    <row r="281" spans="1:21" ht="19.5" x14ac:dyDescent="0.3">
      <c r="A281" s="464"/>
      <c r="B281" s="466"/>
      <c r="C281" s="466"/>
      <c r="D281" s="467"/>
      <c r="E281" s="466"/>
      <c r="F281" s="466"/>
      <c r="G281" s="468"/>
      <c r="H281" s="469" t="s">
        <v>46</v>
      </c>
      <c r="I281" s="470">
        <f t="shared" ref="I281:J281" ca="1" si="196">I292</f>
        <v>100</v>
      </c>
      <c r="J281" s="470">
        <f t="shared" ca="1" si="196"/>
        <v>100</v>
      </c>
      <c r="K281" s="471">
        <f t="shared" ca="1" si="195"/>
        <v>100</v>
      </c>
      <c r="L281" s="472"/>
      <c r="M281" s="472"/>
      <c r="N281" s="472"/>
      <c r="O281" s="472"/>
      <c r="P281" s="472"/>
      <c r="Q281" s="473"/>
      <c r="R281" s="474"/>
      <c r="S281" s="474"/>
      <c r="T281" s="474"/>
      <c r="U281" s="474"/>
    </row>
    <row r="282" spans="1:21" ht="19.5" x14ac:dyDescent="0.3">
      <c r="A282" s="211"/>
      <c r="B282" s="70"/>
      <c r="C282" s="212" t="s">
        <v>18</v>
      </c>
      <c r="D282" s="213" t="s">
        <v>19</v>
      </c>
      <c r="E282" s="70"/>
      <c r="F282" s="70"/>
      <c r="G282" s="72"/>
      <c r="H282" s="214" t="s">
        <v>14</v>
      </c>
      <c r="I282" s="74"/>
      <c r="J282" s="74"/>
      <c r="K282" s="75"/>
      <c r="L282" s="215">
        <f t="shared" ref="L282:N282" ca="1" si="197">L283+L284</f>
        <v>137720</v>
      </c>
      <c r="M282" s="215">
        <f t="shared" ca="1" si="197"/>
        <v>137720</v>
      </c>
      <c r="N282" s="215">
        <f t="shared" ca="1" si="197"/>
        <v>106620</v>
      </c>
      <c r="O282" s="215">
        <f t="shared" ref="O282:O290" ca="1" si="198">IF(L282&gt;0,N282*100/L282,0)</f>
        <v>77.417949462677896</v>
      </c>
      <c r="P282" s="215">
        <f t="shared" ref="P282:P290" ca="1" si="199">IF(M282&gt;0,N282*100/M282,0)</f>
        <v>77.417949462677896</v>
      </c>
      <c r="Q282" s="216">
        <f t="shared" ref="Q282:S282" ca="1" si="200">Q283+Q284</f>
        <v>0</v>
      </c>
      <c r="R282" s="217">
        <f t="shared" ca="1" si="200"/>
        <v>0</v>
      </c>
      <c r="S282" s="217">
        <f t="shared" ca="1" si="200"/>
        <v>0</v>
      </c>
      <c r="T282" s="217">
        <f t="shared" ref="T282:T290" ca="1" si="201">IF(Q282&gt;0,S282*100/Q282,0)</f>
        <v>0</v>
      </c>
      <c r="U282" s="217">
        <f t="shared" ref="U282:U290" ca="1" si="202">IF(R282&gt;0,S282*100/R282,0)</f>
        <v>0</v>
      </c>
    </row>
    <row r="283" spans="1:21" ht="18.75" x14ac:dyDescent="0.25">
      <c r="A283" s="211"/>
      <c r="B283" s="70"/>
      <c r="C283" s="70"/>
      <c r="D283" s="70"/>
      <c r="E283" s="78" t="s">
        <v>20</v>
      </c>
      <c r="F283" s="70"/>
      <c r="G283" s="72"/>
      <c r="H283" s="218" t="s">
        <v>14</v>
      </c>
      <c r="I283" s="74"/>
      <c r="J283" s="74"/>
      <c r="K283" s="75"/>
      <c r="L283" s="91">
        <f t="shared" ref="L283:N283" ca="1" si="203">L286+L289</f>
        <v>0</v>
      </c>
      <c r="M283" s="91">
        <f t="shared" ca="1" si="203"/>
        <v>0</v>
      </c>
      <c r="N283" s="91">
        <f t="shared" ca="1" si="203"/>
        <v>0</v>
      </c>
      <c r="O283" s="91">
        <f t="shared" ca="1" si="198"/>
        <v>0</v>
      </c>
      <c r="P283" s="91">
        <f t="shared" ca="1" si="199"/>
        <v>0</v>
      </c>
      <c r="Q283" s="219">
        <f t="shared" ref="Q283:S283" ca="1" si="204">Q286+Q289</f>
        <v>0</v>
      </c>
      <c r="R283" s="136">
        <f t="shared" ca="1" si="204"/>
        <v>0</v>
      </c>
      <c r="S283" s="136">
        <f t="shared" ca="1" si="204"/>
        <v>0</v>
      </c>
      <c r="T283" s="136">
        <f t="shared" ca="1" si="201"/>
        <v>0</v>
      </c>
      <c r="U283" s="136">
        <f t="shared" ca="1" si="202"/>
        <v>0</v>
      </c>
    </row>
    <row r="284" spans="1:21" ht="18.75" x14ac:dyDescent="0.25">
      <c r="A284" s="211"/>
      <c r="B284" s="70"/>
      <c r="C284" s="70"/>
      <c r="D284" s="70"/>
      <c r="E284" s="78" t="s">
        <v>21</v>
      </c>
      <c r="F284" s="70"/>
      <c r="G284" s="72"/>
      <c r="H284" s="218" t="s">
        <v>14</v>
      </c>
      <c r="I284" s="74"/>
      <c r="J284" s="74"/>
      <c r="K284" s="75"/>
      <c r="L284" s="91">
        <f t="shared" ref="L284:N284" ca="1" si="205">L287+L290</f>
        <v>137720</v>
      </c>
      <c r="M284" s="91">
        <f t="shared" ca="1" si="205"/>
        <v>137720</v>
      </c>
      <c r="N284" s="91">
        <f t="shared" ca="1" si="205"/>
        <v>106620</v>
      </c>
      <c r="O284" s="91">
        <f t="shared" ca="1" si="198"/>
        <v>77.417949462677896</v>
      </c>
      <c r="P284" s="91">
        <f t="shared" ca="1" si="199"/>
        <v>77.417949462677896</v>
      </c>
      <c r="Q284" s="134">
        <f t="shared" ref="Q284:S284" ca="1" si="206">Q287+Q290</f>
        <v>0</v>
      </c>
      <c r="R284" s="135">
        <f t="shared" ca="1" si="206"/>
        <v>0</v>
      </c>
      <c r="S284" s="135">
        <f t="shared" ca="1" si="206"/>
        <v>0</v>
      </c>
      <c r="T284" s="135">
        <f t="shared" ca="1" si="201"/>
        <v>0</v>
      </c>
      <c r="U284" s="135">
        <f t="shared" ca="1" si="202"/>
        <v>0</v>
      </c>
    </row>
    <row r="285" spans="1:21" ht="18.75" x14ac:dyDescent="0.25">
      <c r="A285" s="211"/>
      <c r="B285" s="70"/>
      <c r="C285" s="70"/>
      <c r="D285" s="71" t="s">
        <v>22</v>
      </c>
      <c r="E285" s="70"/>
      <c r="F285" s="70"/>
      <c r="G285" s="72"/>
      <c r="H285" s="220" t="s">
        <v>14</v>
      </c>
      <c r="I285" s="221"/>
      <c r="J285" s="221"/>
      <c r="K285" s="222"/>
      <c r="L285" s="91">
        <f t="shared" ref="L285:N285" ca="1" si="207">L286+L287</f>
        <v>137720</v>
      </c>
      <c r="M285" s="91">
        <f t="shared" ca="1" si="207"/>
        <v>137720</v>
      </c>
      <c r="N285" s="91">
        <f t="shared" ca="1" si="207"/>
        <v>106620</v>
      </c>
      <c r="O285" s="91">
        <f t="shared" ca="1" si="198"/>
        <v>77.417949462677896</v>
      </c>
      <c r="P285" s="91">
        <f t="shared" ca="1" si="199"/>
        <v>77.417949462677896</v>
      </c>
      <c r="Q285" s="134">
        <f t="shared" ref="Q285:S285" ca="1" si="208">Q286+Q287</f>
        <v>0</v>
      </c>
      <c r="R285" s="135">
        <f t="shared" ca="1" si="208"/>
        <v>0</v>
      </c>
      <c r="S285" s="135">
        <f t="shared" ca="1" si="208"/>
        <v>0</v>
      </c>
      <c r="T285" s="135">
        <f t="shared" ca="1" si="201"/>
        <v>0</v>
      </c>
      <c r="U285" s="135">
        <f t="shared" ca="1" si="202"/>
        <v>0</v>
      </c>
    </row>
    <row r="286" spans="1:21" ht="18.75" x14ac:dyDescent="0.25">
      <c r="A286" s="211"/>
      <c r="B286" s="70"/>
      <c r="C286" s="70"/>
      <c r="D286" s="70"/>
      <c r="E286" s="78" t="s">
        <v>36</v>
      </c>
      <c r="F286" s="70"/>
      <c r="G286" s="72"/>
      <c r="H286" s="220" t="s">
        <v>14</v>
      </c>
      <c r="I286" s="221"/>
      <c r="J286" s="221"/>
      <c r="K286" s="222"/>
      <c r="L286" s="91">
        <f ca="1">IFERROR(__xludf.DUMMYFUNCTION("IMPORTRANGE(""https://docs.google.com/spreadsheets/d/13wPX838HrBrQMCywv1BsuMkt4PEKTChp52zj44s2izQ/edit?usp=sharing"",""กาญจนบุรี!L286"")+IMPORTRANGE(""https://docs.google.com/spreadsheets/d/1ddFKvqj1W1NEiWytbGlB1zMx_ykJDVtmfEQ-6-lIUBA/edit?usp=sharing"","&amp;"""จันทบุรี!L286"")+IMPORTRANGE(""https://docs.google.com/spreadsheets/d/1T1PQvRODqOBZk8BRht_U031fIS1beLA0Ub2CEytj2q0/edit?usp=sharing"",""ฉะเชิงเทรา!L286"")+IMPORTRANGE(""https://docs.google.com/spreadsheets/d/11tr1B-Bhyr79v2bkwVh5h_fR-PStkgjlZtkrZpYurG0/"&amp;"edit?usp=sharing"",""ชลบุรี!L286"")+IMPORTRANGE(""https://docs.google.com/spreadsheets/d/1hh-FVnSX0vozXhGluamEcS54Dw9_zqW0N7qJUWgJ0Sw/edit?usp=sharing"",""ชัยนาท!L286"")+IMPORTRANGE(""https://docs.google.com/spreadsheets/d/1jkqa6GXxSacMcY1eN8AHjMNJ_7dDXMJ"&amp;"VRLDlaFSOdPM/edit?usp=sharing"",""ตราด!L286"")+IMPORTRANGE(""https://docs.google.com/spreadsheets/d/18hSgUJ3VwClqi_qtULmmW3cLr0oe3OKaSYoKzdpTsYQ/edit?usp=sharing"",""นครนายก!L286"")+IMPORTRANGE(""https://docs.google.com/spreadsheets/d/1YTZo6WM2dQ6Ix6FSdnL"&amp;"5P7uVnVKu40sxZu975tgG10E/edit?usp=sharing"",""นครปฐม!L286"")+IMPORTRANGE(""https://docs.google.com/spreadsheets/d/1OYoGg4WDg5RIzwGeB10padOxJF9E_Vljuvvct_M7RDo/edit?usp=sharing"",""ปทุมธานี!L286"")+IMPORTRANGE(""https://docs.google.com/spreadsheets/d/1GbCI"&amp;"E4D4wk9FUozzqk7SxfDMxDVBwVmI5zcaVUSzKAc/edit?usp=sharing"",""ประจวบคีรีขันธ์!L286"")+IMPORTRANGE(""https://docs.google.com/spreadsheets/d/1vVf6wykvW_lAyu7Yo9L4hUTqHqIeP_qcVuxCtosJEbg/edit?usp=sharing"",""ปราจีนบุรี!L286"")+IMPORTRANGE(""https://docs.googl"&amp;"e.com/spreadsheets/d/1BIDqLLg5jk3v59G8NlR8rk5xfQDKne0sAvZHSj7TI6I/edit?usp=sharing"",""พระนครศรีอยุธยา!L286"")+IMPORTRANGE(""https://docs.google.com/spreadsheets/d/1YXvxf8Yu6_rV4hTBrwMqAcAnv6DfhUxh5emyM3CJp_w/edit?usp=sharing"",""เพชรบุรี!L286"")+IMPORTRA"&amp;"NGE(""https://docs.google.com/spreadsheets/d/19KBlQQs7uwvsao6t2n-KvW3Ax8J8uRRfZPq1zPbXgKc/edit?usp=sharing"",""ระยอง!L286"")+IMPORTRANGE(""https://docs.google.com/spreadsheets/d/1jQ6P4QcrGM89YfqcC_PxOHGCMq5ezhucwJd8ci-NHng/edit?usp=sharing"",""ราชบุรี!L28"&amp;"6"")+IMPORTRANGE(""https://docs.google.com/spreadsheets/d/1lufeA2cfFqM-elVq2hznhDzC6Pr7wkJ9ZG_sYNGCMCU/edit?usp=sharing"",""ลพบุรี!L286"")+IMPORTRANGE(""https://docs.google.com/spreadsheets/d/10oOiF7loTyfsTkbd4MpaIm0HQ9SwB7IYHdIUvt-U1Uc/edit?usp=sharing"""&amp;",""สระแก้ว!L286"")+IMPORTRANGE(""https://docs.google.com/spreadsheets/d/1xmPlrr1QbdSIKvl1dWUl9K4PjAfSL9oeMr_37QVzcxc/edit?usp=sharing"",""สระบุรี!L286"")+IMPORTRANGE(""https://docs.google.com/spreadsheets/d/1j51vR6CYVGhABJpv6tkstgok82RLpXieLzW1yOY5rHw/edi"&amp;"t?usp=sharing"",""สิงห์บุรี!L286"")+IMPORTRANGE(""https://docs.google.com/spreadsheets/d/1H1EalTWKUSzO4Z1-1CwzoDUaVffgrThEBe2sl74kKG0/edit?usp=sharing"",""สุพรรณบุรี!L286"")+IMPORTRANGE(""https://docs.google.com/spreadsheets/d/1BmIruG_sIrJLYao_Pdr7zVArWsf"&amp;"oBt2692TMi6x_854/edit?usp=sharing"",""อ่างทอง!L286"")"),0)</f>
        <v>0</v>
      </c>
      <c r="M286" s="91">
        <f ca="1">IFERROR(__xludf.DUMMYFUNCTION("IMPORTRANGE(""https://docs.google.com/spreadsheets/d/13wPX838HrBrQMCywv1BsuMkt4PEKTChp52zj44s2izQ/edit?usp=sharing"",""กาญจนบุรี!M286"")+IMPORTRANGE(""https://docs.google.com/spreadsheets/d/1ddFKvqj1W1NEiWytbGlB1zMx_ykJDVtmfEQ-6-lIUBA/edit?usp=sharing"","&amp;"""จันทบุรี!M286"")+IMPORTRANGE(""https://docs.google.com/spreadsheets/d/1T1PQvRODqOBZk8BRht_U031fIS1beLA0Ub2CEytj2q0/edit?usp=sharing"",""ฉะเชิงเทรา!M286"")+IMPORTRANGE(""https://docs.google.com/spreadsheets/d/11tr1B-Bhyr79v2bkwVh5h_fR-PStkgjlZtkrZpYurG0/"&amp;"edit?usp=sharing"",""ชลบุรี!M286"")+IMPORTRANGE(""https://docs.google.com/spreadsheets/d/1hh-FVnSX0vozXhGluamEcS54Dw9_zqW0N7qJUWgJ0Sw/edit?usp=sharing"",""ชัยนาท!M286"")+IMPORTRANGE(""https://docs.google.com/spreadsheets/d/1jkqa6GXxSacMcY1eN8AHjMNJ_7dDXMJ"&amp;"VRLDlaFSOdPM/edit?usp=sharing"",""ตราด!M286"")+IMPORTRANGE(""https://docs.google.com/spreadsheets/d/18hSgUJ3VwClqi_qtULmmW3cLr0oe3OKaSYoKzdpTsYQ/edit?usp=sharing"",""นครนายก!M286"")+IMPORTRANGE(""https://docs.google.com/spreadsheets/d/1YTZo6WM2dQ6Ix6FSdnL"&amp;"5P7uVnVKu40sxZu975tgG10E/edit?usp=sharing"",""นครปฐม!M286"")+IMPORTRANGE(""https://docs.google.com/spreadsheets/d/1OYoGg4WDg5RIzwGeB10padOxJF9E_Vljuvvct_M7RDo/edit?usp=sharing"",""ปทุมธานี!M286"")+IMPORTRANGE(""https://docs.google.com/spreadsheets/d/1GbCI"&amp;"E4D4wk9FUozzqk7SxfDMxDVBwVmI5zcaVUSzKAc/edit?usp=sharing"",""ประจวบคีรีขันธ์!M286"")+IMPORTRANGE(""https://docs.google.com/spreadsheets/d/1vVf6wykvW_lAyu7Yo9L4hUTqHqIeP_qcVuxCtosJEbg/edit?usp=sharing"",""ปราจีนบุรี!M286"")+IMPORTRANGE(""https://docs.googl"&amp;"e.com/spreadsheets/d/1BIDqLLg5jk3v59G8NlR8rk5xfQDKne0sAvZHSj7TI6I/edit?usp=sharing"",""พระนครศรีอยุธยา!M286"")+IMPORTRANGE(""https://docs.google.com/spreadsheets/d/1YXvxf8Yu6_rV4hTBrwMqAcAnv6DfhUxh5emyM3CJp_w/edit?usp=sharing"",""เพชรบุรี!M286"")+IMPORTRA"&amp;"NGE(""https://docs.google.com/spreadsheets/d/19KBlQQs7uwvsao6t2n-KvW3Ax8J8uRRfZPq1zPbXgKc/edit?usp=sharing"",""ระยอง!M286"")+IMPORTRANGE(""https://docs.google.com/spreadsheets/d/1jQ6P4QcrGM89YfqcC_PxOHGCMq5ezhucwJd8ci-NHng/edit?usp=sharing"",""ราชบุรี!M28"&amp;"6"")+IMPORTRANGE(""https://docs.google.com/spreadsheets/d/1lufeA2cfFqM-elVq2hznhDzC6Pr7wkJ9ZG_sYNGCMCU/edit?usp=sharing"",""ลพบุรี!M286"")+IMPORTRANGE(""https://docs.google.com/spreadsheets/d/10oOiF7loTyfsTkbd4MpaIm0HQ9SwB7IYHdIUvt-U1Uc/edit?usp=sharing"""&amp;",""สระแก้ว!M286"")+IMPORTRANGE(""https://docs.google.com/spreadsheets/d/1xmPlrr1QbdSIKvl1dWUl9K4PjAfSL9oeMr_37QVzcxc/edit?usp=sharing"",""สระบุรี!M286"")+IMPORTRANGE(""https://docs.google.com/spreadsheets/d/1j51vR6CYVGhABJpv6tkstgok82RLpXieLzW1yOY5rHw/edi"&amp;"t?usp=sharing"",""สิงห์บุรี!M286"")+IMPORTRANGE(""https://docs.google.com/spreadsheets/d/1H1EalTWKUSzO4Z1-1CwzoDUaVffgrThEBe2sl74kKG0/edit?usp=sharing"",""สุพรรณบุรี!M286"")+IMPORTRANGE(""https://docs.google.com/spreadsheets/d/1BmIruG_sIrJLYao_Pdr7zVArWsf"&amp;"oBt2692TMi6x_854/edit?usp=sharing"",""อ่างทอง!M286"")"),0)</f>
        <v>0</v>
      </c>
      <c r="N286" s="91">
        <f ca="1">IFERROR(__xludf.DUMMYFUNCTION("IMPORTRANGE(""https://docs.google.com/spreadsheets/d/13wPX838HrBrQMCywv1BsuMkt4PEKTChp52zj44s2izQ/edit?usp=sharing"",""กาญจนบุรี!N286"")+IMPORTRANGE(""https://docs.google.com/spreadsheets/d/1ddFKvqj1W1NEiWytbGlB1zMx_ykJDVtmfEQ-6-lIUBA/edit?usp=sharing"","&amp;"""จันทบุรี!N286"")+IMPORTRANGE(""https://docs.google.com/spreadsheets/d/1T1PQvRODqOBZk8BRht_U031fIS1beLA0Ub2CEytj2q0/edit?usp=sharing"",""ฉะเชิงเทรา!N286"")+IMPORTRANGE(""https://docs.google.com/spreadsheets/d/11tr1B-Bhyr79v2bkwVh5h_fR-PStkgjlZtkrZpYurG0/"&amp;"edit?usp=sharing"",""ชลบุรี!N286"")+IMPORTRANGE(""https://docs.google.com/spreadsheets/d/1hh-FVnSX0vozXhGluamEcS54Dw9_zqW0N7qJUWgJ0Sw/edit?usp=sharing"",""ชัยนาท!N286"")+IMPORTRANGE(""https://docs.google.com/spreadsheets/d/1jkqa6GXxSacMcY1eN8AHjMNJ_7dDXMJ"&amp;"VRLDlaFSOdPM/edit?usp=sharing"",""ตราด!N286"")+IMPORTRANGE(""https://docs.google.com/spreadsheets/d/18hSgUJ3VwClqi_qtULmmW3cLr0oe3OKaSYoKzdpTsYQ/edit?usp=sharing"",""นครนายก!N286"")+IMPORTRANGE(""https://docs.google.com/spreadsheets/d/1YTZo6WM2dQ6Ix6FSdnL"&amp;"5P7uVnVKu40sxZu975tgG10E/edit?usp=sharing"",""นครปฐม!N286"")+IMPORTRANGE(""https://docs.google.com/spreadsheets/d/1OYoGg4WDg5RIzwGeB10padOxJF9E_Vljuvvct_M7RDo/edit?usp=sharing"",""ปทุมธานี!N286"")+IMPORTRANGE(""https://docs.google.com/spreadsheets/d/1GbCI"&amp;"E4D4wk9FUozzqk7SxfDMxDVBwVmI5zcaVUSzKAc/edit?usp=sharing"",""ประจวบคีรีขันธ์!N286"")+IMPORTRANGE(""https://docs.google.com/spreadsheets/d/1vVf6wykvW_lAyu7Yo9L4hUTqHqIeP_qcVuxCtosJEbg/edit?usp=sharing"",""ปราจีนบุรี!N286"")+IMPORTRANGE(""https://docs.googl"&amp;"e.com/spreadsheets/d/1BIDqLLg5jk3v59G8NlR8rk5xfQDKne0sAvZHSj7TI6I/edit?usp=sharing"",""พระนครศรีอยุธยา!N286"")+IMPORTRANGE(""https://docs.google.com/spreadsheets/d/1YXvxf8Yu6_rV4hTBrwMqAcAnv6DfhUxh5emyM3CJp_w/edit?usp=sharing"",""เพชรบุรี!N286"")+IMPORTRA"&amp;"NGE(""https://docs.google.com/spreadsheets/d/19KBlQQs7uwvsao6t2n-KvW3Ax8J8uRRfZPq1zPbXgKc/edit?usp=sharing"",""ระยอง!N286"")+IMPORTRANGE(""https://docs.google.com/spreadsheets/d/1jQ6P4QcrGM89YfqcC_PxOHGCMq5ezhucwJd8ci-NHng/edit?usp=sharing"",""ราชบุรี!N28"&amp;"6"")+IMPORTRANGE(""https://docs.google.com/spreadsheets/d/1lufeA2cfFqM-elVq2hznhDzC6Pr7wkJ9ZG_sYNGCMCU/edit?usp=sharing"",""ลพบุรี!N286"")+IMPORTRANGE(""https://docs.google.com/spreadsheets/d/10oOiF7loTyfsTkbd4MpaIm0HQ9SwB7IYHdIUvt-U1Uc/edit?usp=sharing"""&amp;",""สระแก้ว!N286"")+IMPORTRANGE(""https://docs.google.com/spreadsheets/d/1xmPlrr1QbdSIKvl1dWUl9K4PjAfSL9oeMr_37QVzcxc/edit?usp=sharing"",""สระบุรี!N286"")+IMPORTRANGE(""https://docs.google.com/spreadsheets/d/1j51vR6CYVGhABJpv6tkstgok82RLpXieLzW1yOY5rHw/edi"&amp;"t?usp=sharing"",""สิงห์บุรี!N286"")+IMPORTRANGE(""https://docs.google.com/spreadsheets/d/1H1EalTWKUSzO4Z1-1CwzoDUaVffgrThEBe2sl74kKG0/edit?usp=sharing"",""สุพรรณบุรี!N286"")+IMPORTRANGE(""https://docs.google.com/spreadsheets/d/1BmIruG_sIrJLYao_Pdr7zVArWsf"&amp;"oBt2692TMi6x_854/edit?usp=sharing"",""อ่างทอง!N286"")"),0)</f>
        <v>0</v>
      </c>
      <c r="O286" s="91">
        <f t="shared" ca="1" si="198"/>
        <v>0</v>
      </c>
      <c r="P286" s="91">
        <f t="shared" ca="1" si="199"/>
        <v>0</v>
      </c>
      <c r="Q286" s="79">
        <f ca="1">IFERROR(__xludf.DUMMYFUNCTION("IMPORTRANGE(""https://docs.google.com/spreadsheets/d/13wPX838HrBrQMCywv1BsuMkt4PEKTChp52zj44s2izQ/edit?usp=sharing"",""กาญจนบุรี!Q286"")+IMPORTRANGE(""https://docs.google.com/spreadsheets/d/1ddFKvqj1W1NEiWytbGlB1zMx_ykJDVtmfEQ-6-lIUBA/edit?usp=sharing"","&amp;"""จันทบุรี!Q286"")+IMPORTRANGE(""https://docs.google.com/spreadsheets/d/1T1PQvRODqOBZk8BRht_U031fIS1beLA0Ub2CEytj2q0/edit?usp=sharing"",""ฉะเชิงเทรา!Q286"")+IMPORTRANGE(""https://docs.google.com/spreadsheets/d/11tr1B-Bhyr79v2bkwVh5h_fR-PStkgjlZtkrZpYurG0/"&amp;"edit?usp=sharing"",""ชลบุรี!Q286"")+IMPORTRANGE(""https://docs.google.com/spreadsheets/d/1hh-FVnSX0vozXhGluamEcS54Dw9_zqW0N7qJUWgJ0Sw/edit?usp=sharing"",""ชัยนาท!Q286"")+IMPORTRANGE(""https://docs.google.com/spreadsheets/d/1jkqa6GXxSacMcY1eN8AHjMNJ_7dDXMJ"&amp;"VRLDlaFSOdPM/edit?usp=sharing"",""ตราด!Q286"")+IMPORTRANGE(""https://docs.google.com/spreadsheets/d/18hSgUJ3VwClqi_qtULmmW3cLr0oe3OKaSYoKzdpTsYQ/edit?usp=sharing"",""นครนายก!Q286"")+IMPORTRANGE(""https://docs.google.com/spreadsheets/d/1YTZo6WM2dQ6Ix6FSdnL"&amp;"5P7uVnVKu40sxZu975tgG10E/edit?usp=sharing"",""นครปฐม!Q286"")+IMPORTRANGE(""https://docs.google.com/spreadsheets/d/1OYoGg4WDg5RIzwGeB10padOxJF9E_Vljuvvct_M7RDo/edit?usp=sharing"",""ปทุมธานี!Q286"")+IMPORTRANGE(""https://docs.google.com/spreadsheets/d/1GbCI"&amp;"E4D4wk9FUozzqk7SxfDMxDVBwVmI5zcaVUSzKAc/edit?usp=sharing"",""ประจวบคีรีขันธ์!Q286"")+IMPORTRANGE(""https://docs.google.com/spreadsheets/d/1vVf6wykvW_lAyu7Yo9L4hUTqHqIeP_qcVuxCtosJEbg/edit?usp=sharing"",""ปราจีนบุรี!Q286"")+IMPORTRANGE(""https://docs.googl"&amp;"e.com/spreadsheets/d/1BIDqLLg5jk3v59G8NlR8rk5xfQDKne0sAvZHSj7TI6I/edit?usp=sharing"",""พระนครศรีอยุธยา!Q286"")+IMPORTRANGE(""https://docs.google.com/spreadsheets/d/1YXvxf8Yu6_rV4hTBrwMqAcAnv6DfhUxh5emyM3CJp_w/edit?usp=sharing"",""เพชรบุรี!Q286"")+IMPORTRA"&amp;"NGE(""https://docs.google.com/spreadsheets/d/19KBlQQs7uwvsao6t2n-KvW3Ax8J8uRRfZPq1zPbXgKc/edit?usp=sharing"",""ระยอง!Q286"")+IMPORTRANGE(""https://docs.google.com/spreadsheets/d/1jQ6P4QcrGM89YfqcC_PxOHGCMq5ezhucwJd8ci-NHng/edit?usp=sharing"",""ราชบุรี!Q28"&amp;"6"")+IMPORTRANGE(""https://docs.google.com/spreadsheets/d/1lufeA2cfFqM-elVq2hznhDzC6Pr7wkJ9ZG_sYNGCMCU/edit?usp=sharing"",""ลพบุรี!Q286"")+IMPORTRANGE(""https://docs.google.com/spreadsheets/d/10oOiF7loTyfsTkbd4MpaIm0HQ9SwB7IYHdIUvt-U1Uc/edit?usp=sharing"""&amp;",""สระแก้ว!Q286"")+IMPORTRANGE(""https://docs.google.com/spreadsheets/d/1xmPlrr1QbdSIKvl1dWUl9K4PjAfSL9oeMr_37QVzcxc/edit?usp=sharing"",""สระบุรี!Q286"")+IMPORTRANGE(""https://docs.google.com/spreadsheets/d/1j51vR6CYVGhABJpv6tkstgok82RLpXieLzW1yOY5rHw/edi"&amp;"t?usp=sharing"",""สิงห์บุรี!Q286"")+IMPORTRANGE(""https://docs.google.com/spreadsheets/d/1H1EalTWKUSzO4Z1-1CwzoDUaVffgrThEBe2sl74kKG0/edit?usp=sharing"",""สุพรรณบุรี!Q286"")+IMPORTRANGE(""https://docs.google.com/spreadsheets/d/1BmIruG_sIrJLYao_Pdr7zVArWsf"&amp;"oBt2692TMi6x_854/edit?usp=sharing"",""อ่างทอง!Q286"")"),0)</f>
        <v>0</v>
      </c>
      <c r="R286" s="80">
        <f ca="1">IFERROR(__xludf.DUMMYFUNCTION("IMPORTRANGE(""https://docs.google.com/spreadsheets/d/13wPX838HrBrQMCywv1BsuMkt4PEKTChp52zj44s2izQ/edit?usp=sharing"",""กาญจนบุรี!R286"")+IMPORTRANGE(""https://docs.google.com/spreadsheets/d/1ddFKvqj1W1NEiWytbGlB1zMx_ykJDVtmfEQ-6-lIUBA/edit?usp=sharing"","&amp;"""จันทบุรี!R286"")+IMPORTRANGE(""https://docs.google.com/spreadsheets/d/1T1PQvRODqOBZk8BRht_U031fIS1beLA0Ub2CEytj2q0/edit?usp=sharing"",""ฉะเชิงเทรา!R286"")+IMPORTRANGE(""https://docs.google.com/spreadsheets/d/11tr1B-Bhyr79v2bkwVh5h_fR-PStkgjlZtkrZpYurG0/"&amp;"edit?usp=sharing"",""ชลบุรี!R286"")+IMPORTRANGE(""https://docs.google.com/spreadsheets/d/1hh-FVnSX0vozXhGluamEcS54Dw9_zqW0N7qJUWgJ0Sw/edit?usp=sharing"",""ชัยนาท!R286"")+IMPORTRANGE(""https://docs.google.com/spreadsheets/d/1jkqa6GXxSacMcY1eN8AHjMNJ_7dDXMJ"&amp;"VRLDlaFSOdPM/edit?usp=sharing"",""ตราด!R286"")+IMPORTRANGE(""https://docs.google.com/spreadsheets/d/18hSgUJ3VwClqi_qtULmmW3cLr0oe3OKaSYoKzdpTsYQ/edit?usp=sharing"",""นครนายก!R286"")+IMPORTRANGE(""https://docs.google.com/spreadsheets/d/1YTZo6WM2dQ6Ix6FSdnL"&amp;"5P7uVnVKu40sxZu975tgG10E/edit?usp=sharing"",""นครปฐม!R286"")+IMPORTRANGE(""https://docs.google.com/spreadsheets/d/1OYoGg4WDg5RIzwGeB10padOxJF9E_Vljuvvct_M7RDo/edit?usp=sharing"",""ปทุมธานี!R286"")+IMPORTRANGE(""https://docs.google.com/spreadsheets/d/1GbCI"&amp;"E4D4wk9FUozzqk7SxfDMxDVBwVmI5zcaVUSzKAc/edit?usp=sharing"",""ประจวบคีรีขันธ์!R286"")+IMPORTRANGE(""https://docs.google.com/spreadsheets/d/1vVf6wykvW_lAyu7Yo9L4hUTqHqIeP_qcVuxCtosJEbg/edit?usp=sharing"",""ปราจีนบุรี!R286"")+IMPORTRANGE(""https://docs.googl"&amp;"e.com/spreadsheets/d/1BIDqLLg5jk3v59G8NlR8rk5xfQDKne0sAvZHSj7TI6I/edit?usp=sharing"",""พระนครศรีอยุธยา!R286"")+IMPORTRANGE(""https://docs.google.com/spreadsheets/d/1YXvxf8Yu6_rV4hTBrwMqAcAnv6DfhUxh5emyM3CJp_w/edit?usp=sharing"",""เพชรบุรี!R286"")+IMPORTRA"&amp;"NGE(""https://docs.google.com/spreadsheets/d/19KBlQQs7uwvsao6t2n-KvW3Ax8J8uRRfZPq1zPbXgKc/edit?usp=sharing"",""ระยอง!R286"")+IMPORTRANGE(""https://docs.google.com/spreadsheets/d/1jQ6P4QcrGM89YfqcC_PxOHGCMq5ezhucwJd8ci-NHng/edit?usp=sharing"",""ราชบุรี!R28"&amp;"6"")+IMPORTRANGE(""https://docs.google.com/spreadsheets/d/1lufeA2cfFqM-elVq2hznhDzC6Pr7wkJ9ZG_sYNGCMCU/edit?usp=sharing"",""ลพบุรี!R286"")+IMPORTRANGE(""https://docs.google.com/spreadsheets/d/10oOiF7loTyfsTkbd4MpaIm0HQ9SwB7IYHdIUvt-U1Uc/edit?usp=sharing"""&amp;",""สระแก้ว!R286"")+IMPORTRANGE(""https://docs.google.com/spreadsheets/d/1xmPlrr1QbdSIKvl1dWUl9K4PjAfSL9oeMr_37QVzcxc/edit?usp=sharing"",""สระบุรี!R286"")+IMPORTRANGE(""https://docs.google.com/spreadsheets/d/1j51vR6CYVGhABJpv6tkstgok82RLpXieLzW1yOY5rHw/edi"&amp;"t?usp=sharing"",""สิงห์บุรี!R286"")+IMPORTRANGE(""https://docs.google.com/spreadsheets/d/1H1EalTWKUSzO4Z1-1CwzoDUaVffgrThEBe2sl74kKG0/edit?usp=sharing"",""สุพรรณบุรี!R286"")+IMPORTRANGE(""https://docs.google.com/spreadsheets/d/1BmIruG_sIrJLYao_Pdr7zVArWsf"&amp;"oBt2692TMi6x_854/edit?usp=sharing"",""อ่างทอง!R286"")"),0)</f>
        <v>0</v>
      </c>
      <c r="S286" s="80">
        <f ca="1">IFERROR(__xludf.DUMMYFUNCTION("IMPORTRANGE(""https://docs.google.com/spreadsheets/d/13wPX838HrBrQMCywv1BsuMkt4PEKTChp52zj44s2izQ/edit?usp=sharing"",""กาญจนบุรี!S286"")+IMPORTRANGE(""https://docs.google.com/spreadsheets/d/1ddFKvqj1W1NEiWytbGlB1zMx_ykJDVtmfEQ-6-lIUBA/edit?usp=sharing"","&amp;"""จันทบุรี!S286"")+IMPORTRANGE(""https://docs.google.com/spreadsheets/d/1T1PQvRODqOBZk8BRht_U031fIS1beLA0Ub2CEytj2q0/edit?usp=sharing"",""ฉะเชิงเทรา!S286"")+IMPORTRANGE(""https://docs.google.com/spreadsheets/d/11tr1B-Bhyr79v2bkwVh5h_fR-PStkgjlZtkrZpYurG0/"&amp;"edit?usp=sharing"",""ชลบุรี!S286"")+IMPORTRANGE(""https://docs.google.com/spreadsheets/d/1hh-FVnSX0vozXhGluamEcS54Dw9_zqW0N7qJUWgJ0Sw/edit?usp=sharing"",""ชัยนาท!S286"")+IMPORTRANGE(""https://docs.google.com/spreadsheets/d/1jkqa6GXxSacMcY1eN8AHjMNJ_7dDXMJ"&amp;"VRLDlaFSOdPM/edit?usp=sharing"",""ตราด!S286"")+IMPORTRANGE(""https://docs.google.com/spreadsheets/d/18hSgUJ3VwClqi_qtULmmW3cLr0oe3OKaSYoKzdpTsYQ/edit?usp=sharing"",""นครนายก!S286"")+IMPORTRANGE(""https://docs.google.com/spreadsheets/d/1YTZo6WM2dQ6Ix6FSdnL"&amp;"5P7uVnVKu40sxZu975tgG10E/edit?usp=sharing"",""นครปฐม!S286"")+IMPORTRANGE(""https://docs.google.com/spreadsheets/d/1OYoGg4WDg5RIzwGeB10padOxJF9E_Vljuvvct_M7RDo/edit?usp=sharing"",""ปทุมธานี!S286"")+IMPORTRANGE(""https://docs.google.com/spreadsheets/d/1GbCI"&amp;"E4D4wk9FUozzqk7SxfDMxDVBwVmI5zcaVUSzKAc/edit?usp=sharing"",""ประจวบคีรีขันธ์!S286"")+IMPORTRANGE(""https://docs.google.com/spreadsheets/d/1vVf6wykvW_lAyu7Yo9L4hUTqHqIeP_qcVuxCtosJEbg/edit?usp=sharing"",""ปราจีนบุรี!S286"")+IMPORTRANGE(""https://docs.googl"&amp;"e.com/spreadsheets/d/1BIDqLLg5jk3v59G8NlR8rk5xfQDKne0sAvZHSj7TI6I/edit?usp=sharing"",""พระนครศรีอยุธยา!S286"")+IMPORTRANGE(""https://docs.google.com/spreadsheets/d/1YXvxf8Yu6_rV4hTBrwMqAcAnv6DfhUxh5emyM3CJp_w/edit?usp=sharing"",""เพชรบุรี!S286"")+IMPORTRA"&amp;"NGE(""https://docs.google.com/spreadsheets/d/19KBlQQs7uwvsao6t2n-KvW3Ax8J8uRRfZPq1zPbXgKc/edit?usp=sharing"",""ระยอง!S286"")+IMPORTRANGE(""https://docs.google.com/spreadsheets/d/1jQ6P4QcrGM89YfqcC_PxOHGCMq5ezhucwJd8ci-NHng/edit?usp=sharing"",""ราชบุรี!S28"&amp;"6"")+IMPORTRANGE(""https://docs.google.com/spreadsheets/d/1lufeA2cfFqM-elVq2hznhDzC6Pr7wkJ9ZG_sYNGCMCU/edit?usp=sharing"",""ลพบุรี!S286"")+IMPORTRANGE(""https://docs.google.com/spreadsheets/d/10oOiF7loTyfsTkbd4MpaIm0HQ9SwB7IYHdIUvt-U1Uc/edit?usp=sharing"""&amp;",""สระแก้ว!S286"")+IMPORTRANGE(""https://docs.google.com/spreadsheets/d/1xmPlrr1QbdSIKvl1dWUl9K4PjAfSL9oeMr_37QVzcxc/edit?usp=sharing"",""สระบุรี!S286"")+IMPORTRANGE(""https://docs.google.com/spreadsheets/d/1j51vR6CYVGhABJpv6tkstgok82RLpXieLzW1yOY5rHw/edi"&amp;"t?usp=sharing"",""สิงห์บุรี!S286"")+IMPORTRANGE(""https://docs.google.com/spreadsheets/d/1H1EalTWKUSzO4Z1-1CwzoDUaVffgrThEBe2sl74kKG0/edit?usp=sharing"",""สุพรรณบุรี!S286"")+IMPORTRANGE(""https://docs.google.com/spreadsheets/d/1BmIruG_sIrJLYao_Pdr7zVArWsf"&amp;"oBt2692TMi6x_854/edit?usp=sharing"",""อ่างทอง!S286"")"),0)</f>
        <v>0</v>
      </c>
      <c r="T286" s="136">
        <f t="shared" ca="1" si="201"/>
        <v>0</v>
      </c>
      <c r="U286" s="136">
        <f t="shared" ca="1" si="202"/>
        <v>0</v>
      </c>
    </row>
    <row r="287" spans="1:21" ht="18.75" x14ac:dyDescent="0.25">
      <c r="A287" s="211"/>
      <c r="B287" s="70"/>
      <c r="C287" s="70"/>
      <c r="D287" s="70"/>
      <c r="E287" s="78" t="s">
        <v>37</v>
      </c>
      <c r="F287" s="70"/>
      <c r="G287" s="72"/>
      <c r="H287" s="220" t="s">
        <v>14</v>
      </c>
      <c r="I287" s="221"/>
      <c r="J287" s="221"/>
      <c r="K287" s="222"/>
      <c r="L287" s="91">
        <f ca="1">IFERROR(__xludf.DUMMYFUNCTION("IMPORTRANGE(""https://docs.google.com/spreadsheets/d/13wPX838HrBrQMCywv1BsuMkt4PEKTChp52zj44s2izQ/edit?usp=sharing"",""กาญจนบุรี!L287"")+IMPORTRANGE(""https://docs.google.com/spreadsheets/d/1ddFKvqj1W1NEiWytbGlB1zMx_ykJDVtmfEQ-6-lIUBA/edit?usp=sharing"","&amp;"""จันทบุรี!L287"")+IMPORTRANGE(""https://docs.google.com/spreadsheets/d/1T1PQvRODqOBZk8BRht_U031fIS1beLA0Ub2CEytj2q0/edit?usp=sharing"",""ฉะเชิงเทรา!L287"")+IMPORTRANGE(""https://docs.google.com/spreadsheets/d/11tr1B-Bhyr79v2bkwVh5h_fR-PStkgjlZtkrZpYurG0/"&amp;"edit?usp=sharing"",""ชลบุรี!L287"")+IMPORTRANGE(""https://docs.google.com/spreadsheets/d/1hh-FVnSX0vozXhGluamEcS54Dw9_zqW0N7qJUWgJ0Sw/edit?usp=sharing"",""ชัยนาท!L287"")+IMPORTRANGE(""https://docs.google.com/spreadsheets/d/1jkqa6GXxSacMcY1eN8AHjMNJ_7dDXMJ"&amp;"VRLDlaFSOdPM/edit?usp=sharing"",""ตราด!L287"")+IMPORTRANGE(""https://docs.google.com/spreadsheets/d/18hSgUJ3VwClqi_qtULmmW3cLr0oe3OKaSYoKzdpTsYQ/edit?usp=sharing"",""นครนายก!L287"")+IMPORTRANGE(""https://docs.google.com/spreadsheets/d/1YTZo6WM2dQ6Ix6FSdnL"&amp;"5P7uVnVKu40sxZu975tgG10E/edit?usp=sharing"",""นครปฐม!L287"")+IMPORTRANGE(""https://docs.google.com/spreadsheets/d/1OYoGg4WDg5RIzwGeB10padOxJF9E_Vljuvvct_M7RDo/edit?usp=sharing"",""ปทุมธานี!L287"")+IMPORTRANGE(""https://docs.google.com/spreadsheets/d/1GbCI"&amp;"E4D4wk9FUozzqk7SxfDMxDVBwVmI5zcaVUSzKAc/edit?usp=sharing"",""ประจวบคีรีขันธ์!L287"")+IMPORTRANGE(""https://docs.google.com/spreadsheets/d/1vVf6wykvW_lAyu7Yo9L4hUTqHqIeP_qcVuxCtosJEbg/edit?usp=sharing"",""ปราจีนบุรี!L287"")+IMPORTRANGE(""https://docs.googl"&amp;"e.com/spreadsheets/d/1BIDqLLg5jk3v59G8NlR8rk5xfQDKne0sAvZHSj7TI6I/edit?usp=sharing"",""พระนครศรีอยุธยา!L287"")+IMPORTRANGE(""https://docs.google.com/spreadsheets/d/1YXvxf8Yu6_rV4hTBrwMqAcAnv6DfhUxh5emyM3CJp_w/edit?usp=sharing"",""เพชรบุรี!L287"")+IMPORTRA"&amp;"NGE(""https://docs.google.com/spreadsheets/d/19KBlQQs7uwvsao6t2n-KvW3Ax8J8uRRfZPq1zPbXgKc/edit?usp=sharing"",""ระยอง!L287"")+IMPORTRANGE(""https://docs.google.com/spreadsheets/d/1jQ6P4QcrGM89YfqcC_PxOHGCMq5ezhucwJd8ci-NHng/edit?usp=sharing"",""ราชบุรี!L28"&amp;"7"")+IMPORTRANGE(""https://docs.google.com/spreadsheets/d/1lufeA2cfFqM-elVq2hznhDzC6Pr7wkJ9ZG_sYNGCMCU/edit?usp=sharing"",""ลพบุรี!L287"")+IMPORTRANGE(""https://docs.google.com/spreadsheets/d/10oOiF7loTyfsTkbd4MpaIm0HQ9SwB7IYHdIUvt-U1Uc/edit?usp=sharing"""&amp;",""สระแก้ว!L287"")+IMPORTRANGE(""https://docs.google.com/spreadsheets/d/1xmPlrr1QbdSIKvl1dWUl9K4PjAfSL9oeMr_37QVzcxc/edit?usp=sharing"",""สระบุรี!L287"")+IMPORTRANGE(""https://docs.google.com/spreadsheets/d/1j51vR6CYVGhABJpv6tkstgok82RLpXieLzW1yOY5rHw/edi"&amp;"t?usp=sharing"",""สิงห์บุรี!L287"")+IMPORTRANGE(""https://docs.google.com/spreadsheets/d/1H1EalTWKUSzO4Z1-1CwzoDUaVffgrThEBe2sl74kKG0/edit?usp=sharing"",""สุพรรณบุรี!L287"")+IMPORTRANGE(""https://docs.google.com/spreadsheets/d/1BmIruG_sIrJLYao_Pdr7zVArWsf"&amp;"oBt2692TMi6x_854/edit?usp=sharing"",""อ่างทอง!L287"")"),137720)</f>
        <v>137720</v>
      </c>
      <c r="M287" s="91">
        <f ca="1">IFERROR(__xludf.DUMMYFUNCTION("IMPORTRANGE(""https://docs.google.com/spreadsheets/d/13wPX838HrBrQMCywv1BsuMkt4PEKTChp52zj44s2izQ/edit?usp=sharing"",""กาญจนบุรี!M287"")+IMPORTRANGE(""https://docs.google.com/spreadsheets/d/1ddFKvqj1W1NEiWytbGlB1zMx_ykJDVtmfEQ-6-lIUBA/edit?usp=sharing"","&amp;"""จันทบุรี!M287"")+IMPORTRANGE(""https://docs.google.com/spreadsheets/d/1T1PQvRODqOBZk8BRht_U031fIS1beLA0Ub2CEytj2q0/edit?usp=sharing"",""ฉะเชิงเทรา!M287"")+IMPORTRANGE(""https://docs.google.com/spreadsheets/d/11tr1B-Bhyr79v2bkwVh5h_fR-PStkgjlZtkrZpYurG0/"&amp;"edit?usp=sharing"",""ชลบุรี!M287"")+IMPORTRANGE(""https://docs.google.com/spreadsheets/d/1hh-FVnSX0vozXhGluamEcS54Dw9_zqW0N7qJUWgJ0Sw/edit?usp=sharing"",""ชัยนาท!M287"")+IMPORTRANGE(""https://docs.google.com/spreadsheets/d/1jkqa6GXxSacMcY1eN8AHjMNJ_7dDXMJ"&amp;"VRLDlaFSOdPM/edit?usp=sharing"",""ตราด!M287"")+IMPORTRANGE(""https://docs.google.com/spreadsheets/d/18hSgUJ3VwClqi_qtULmmW3cLr0oe3OKaSYoKzdpTsYQ/edit?usp=sharing"",""นครนายก!M287"")+IMPORTRANGE(""https://docs.google.com/spreadsheets/d/1YTZo6WM2dQ6Ix6FSdnL"&amp;"5P7uVnVKu40sxZu975tgG10E/edit?usp=sharing"",""นครปฐม!M287"")+IMPORTRANGE(""https://docs.google.com/spreadsheets/d/1OYoGg4WDg5RIzwGeB10padOxJF9E_Vljuvvct_M7RDo/edit?usp=sharing"",""ปทุมธานี!M287"")+IMPORTRANGE(""https://docs.google.com/spreadsheets/d/1GbCI"&amp;"E4D4wk9FUozzqk7SxfDMxDVBwVmI5zcaVUSzKAc/edit?usp=sharing"",""ประจวบคีรีขันธ์!M287"")+IMPORTRANGE(""https://docs.google.com/spreadsheets/d/1vVf6wykvW_lAyu7Yo9L4hUTqHqIeP_qcVuxCtosJEbg/edit?usp=sharing"",""ปราจีนบุรี!M287"")+IMPORTRANGE(""https://docs.googl"&amp;"e.com/spreadsheets/d/1BIDqLLg5jk3v59G8NlR8rk5xfQDKne0sAvZHSj7TI6I/edit?usp=sharing"",""พระนครศรีอยุธยา!M287"")+IMPORTRANGE(""https://docs.google.com/spreadsheets/d/1YXvxf8Yu6_rV4hTBrwMqAcAnv6DfhUxh5emyM3CJp_w/edit?usp=sharing"",""เพชรบุรี!M287"")+IMPORTRA"&amp;"NGE(""https://docs.google.com/spreadsheets/d/19KBlQQs7uwvsao6t2n-KvW3Ax8J8uRRfZPq1zPbXgKc/edit?usp=sharing"",""ระยอง!M287"")+IMPORTRANGE(""https://docs.google.com/spreadsheets/d/1jQ6P4QcrGM89YfqcC_PxOHGCMq5ezhucwJd8ci-NHng/edit?usp=sharing"",""ราชบุรี!M28"&amp;"7"")+IMPORTRANGE(""https://docs.google.com/spreadsheets/d/1lufeA2cfFqM-elVq2hznhDzC6Pr7wkJ9ZG_sYNGCMCU/edit?usp=sharing"",""ลพบุรี!M287"")+IMPORTRANGE(""https://docs.google.com/spreadsheets/d/10oOiF7loTyfsTkbd4MpaIm0HQ9SwB7IYHdIUvt-U1Uc/edit?usp=sharing"""&amp;",""สระแก้ว!M287"")+IMPORTRANGE(""https://docs.google.com/spreadsheets/d/1xmPlrr1QbdSIKvl1dWUl9K4PjAfSL9oeMr_37QVzcxc/edit?usp=sharing"",""สระบุรี!M287"")+IMPORTRANGE(""https://docs.google.com/spreadsheets/d/1j51vR6CYVGhABJpv6tkstgok82RLpXieLzW1yOY5rHw/edi"&amp;"t?usp=sharing"",""สิงห์บุรี!M287"")+IMPORTRANGE(""https://docs.google.com/spreadsheets/d/1H1EalTWKUSzO4Z1-1CwzoDUaVffgrThEBe2sl74kKG0/edit?usp=sharing"",""สุพรรณบุรี!M287"")+IMPORTRANGE(""https://docs.google.com/spreadsheets/d/1BmIruG_sIrJLYao_Pdr7zVArWsf"&amp;"oBt2692TMi6x_854/edit?usp=sharing"",""อ่างทอง!M287"")"),137720)</f>
        <v>137720</v>
      </c>
      <c r="N287" s="91">
        <f ca="1">IFERROR(__xludf.DUMMYFUNCTION("IMPORTRANGE(""https://docs.google.com/spreadsheets/d/13wPX838HrBrQMCywv1BsuMkt4PEKTChp52zj44s2izQ/edit?usp=sharing"",""กาญจนบุรี!N287"")+IMPORTRANGE(""https://docs.google.com/spreadsheets/d/1ddFKvqj1W1NEiWytbGlB1zMx_ykJDVtmfEQ-6-lIUBA/edit?usp=sharing"","&amp;"""จันทบุรี!N287"")+IMPORTRANGE(""https://docs.google.com/spreadsheets/d/1T1PQvRODqOBZk8BRht_U031fIS1beLA0Ub2CEytj2q0/edit?usp=sharing"",""ฉะเชิงเทรา!N287"")+IMPORTRANGE(""https://docs.google.com/spreadsheets/d/11tr1B-Bhyr79v2bkwVh5h_fR-PStkgjlZtkrZpYurG0/"&amp;"edit?usp=sharing"",""ชลบุรี!N287"")+IMPORTRANGE(""https://docs.google.com/spreadsheets/d/1hh-FVnSX0vozXhGluamEcS54Dw9_zqW0N7qJUWgJ0Sw/edit?usp=sharing"",""ชัยนาท!N287"")+IMPORTRANGE(""https://docs.google.com/spreadsheets/d/1jkqa6GXxSacMcY1eN8AHjMNJ_7dDXMJ"&amp;"VRLDlaFSOdPM/edit?usp=sharing"",""ตราด!N287"")+IMPORTRANGE(""https://docs.google.com/spreadsheets/d/18hSgUJ3VwClqi_qtULmmW3cLr0oe3OKaSYoKzdpTsYQ/edit?usp=sharing"",""นครนายก!N287"")+IMPORTRANGE(""https://docs.google.com/spreadsheets/d/1YTZo6WM2dQ6Ix6FSdnL"&amp;"5P7uVnVKu40sxZu975tgG10E/edit?usp=sharing"",""นครปฐม!N287"")+IMPORTRANGE(""https://docs.google.com/spreadsheets/d/1OYoGg4WDg5RIzwGeB10padOxJF9E_Vljuvvct_M7RDo/edit?usp=sharing"",""ปทุมธานี!N287"")+IMPORTRANGE(""https://docs.google.com/spreadsheets/d/1GbCI"&amp;"E4D4wk9FUozzqk7SxfDMxDVBwVmI5zcaVUSzKAc/edit?usp=sharing"",""ประจวบคีรีขันธ์!N287"")+IMPORTRANGE(""https://docs.google.com/spreadsheets/d/1vVf6wykvW_lAyu7Yo9L4hUTqHqIeP_qcVuxCtosJEbg/edit?usp=sharing"",""ปราจีนบุรี!N287"")+IMPORTRANGE(""https://docs.googl"&amp;"e.com/spreadsheets/d/1BIDqLLg5jk3v59G8NlR8rk5xfQDKne0sAvZHSj7TI6I/edit?usp=sharing"",""พระนครศรีอยุธยา!N287"")+IMPORTRANGE(""https://docs.google.com/spreadsheets/d/1YXvxf8Yu6_rV4hTBrwMqAcAnv6DfhUxh5emyM3CJp_w/edit?usp=sharing"",""เพชรบุรี!N287"")+IMPORTRA"&amp;"NGE(""https://docs.google.com/spreadsheets/d/19KBlQQs7uwvsao6t2n-KvW3Ax8J8uRRfZPq1zPbXgKc/edit?usp=sharing"",""ระยอง!N287"")+IMPORTRANGE(""https://docs.google.com/spreadsheets/d/1jQ6P4QcrGM89YfqcC_PxOHGCMq5ezhucwJd8ci-NHng/edit?usp=sharing"",""ราชบุรี!N28"&amp;"7"")+IMPORTRANGE(""https://docs.google.com/spreadsheets/d/1lufeA2cfFqM-elVq2hznhDzC6Pr7wkJ9ZG_sYNGCMCU/edit?usp=sharing"",""ลพบุรี!N287"")+IMPORTRANGE(""https://docs.google.com/spreadsheets/d/10oOiF7loTyfsTkbd4MpaIm0HQ9SwB7IYHdIUvt-U1Uc/edit?usp=sharing"""&amp;",""สระแก้ว!N287"")+IMPORTRANGE(""https://docs.google.com/spreadsheets/d/1xmPlrr1QbdSIKvl1dWUl9K4PjAfSL9oeMr_37QVzcxc/edit?usp=sharing"",""สระบุรี!N287"")+IMPORTRANGE(""https://docs.google.com/spreadsheets/d/1j51vR6CYVGhABJpv6tkstgok82RLpXieLzW1yOY5rHw/edi"&amp;"t?usp=sharing"",""สิงห์บุรี!N287"")+IMPORTRANGE(""https://docs.google.com/spreadsheets/d/1H1EalTWKUSzO4Z1-1CwzoDUaVffgrThEBe2sl74kKG0/edit?usp=sharing"",""สุพรรณบุรี!N287"")+IMPORTRANGE(""https://docs.google.com/spreadsheets/d/1BmIruG_sIrJLYao_Pdr7zVArWsf"&amp;"oBt2692TMi6x_854/edit?usp=sharing"",""อ่างทอง!N287"")"),106620)</f>
        <v>106620</v>
      </c>
      <c r="O287" s="91">
        <f t="shared" ca="1" si="198"/>
        <v>77.417949462677896</v>
      </c>
      <c r="P287" s="91">
        <f t="shared" ca="1" si="199"/>
        <v>77.417949462677896</v>
      </c>
      <c r="Q287" s="76">
        <f ca="1">IFERROR(__xludf.DUMMYFUNCTION("IMPORTRANGE(""https://docs.google.com/spreadsheets/d/13wPX838HrBrQMCywv1BsuMkt4PEKTChp52zj44s2izQ/edit?usp=sharing"",""กาญจนบุรี!Q287"")+IMPORTRANGE(""https://docs.google.com/spreadsheets/d/1ddFKvqj1W1NEiWytbGlB1zMx_ykJDVtmfEQ-6-lIUBA/edit?usp=sharing"","&amp;"""จันทบุรี!Q287"")+IMPORTRANGE(""https://docs.google.com/spreadsheets/d/1T1PQvRODqOBZk8BRht_U031fIS1beLA0Ub2CEytj2q0/edit?usp=sharing"",""ฉะเชิงเทรา!Q287"")+IMPORTRANGE(""https://docs.google.com/spreadsheets/d/11tr1B-Bhyr79v2bkwVh5h_fR-PStkgjlZtkrZpYurG0/"&amp;"edit?usp=sharing"",""ชลบุรี!Q287"")+IMPORTRANGE(""https://docs.google.com/spreadsheets/d/1hh-FVnSX0vozXhGluamEcS54Dw9_zqW0N7qJUWgJ0Sw/edit?usp=sharing"",""ชัยนาท!Q287"")+IMPORTRANGE(""https://docs.google.com/spreadsheets/d/1jkqa6GXxSacMcY1eN8AHjMNJ_7dDXMJ"&amp;"VRLDlaFSOdPM/edit?usp=sharing"",""ตราด!Q287"")+IMPORTRANGE(""https://docs.google.com/spreadsheets/d/18hSgUJ3VwClqi_qtULmmW3cLr0oe3OKaSYoKzdpTsYQ/edit?usp=sharing"",""นครนายก!Q287"")+IMPORTRANGE(""https://docs.google.com/spreadsheets/d/1YTZo6WM2dQ6Ix6FSdnL"&amp;"5P7uVnVKu40sxZu975tgG10E/edit?usp=sharing"",""นครปฐม!Q287"")+IMPORTRANGE(""https://docs.google.com/spreadsheets/d/1OYoGg4WDg5RIzwGeB10padOxJF9E_Vljuvvct_M7RDo/edit?usp=sharing"",""ปทุมธานี!Q287"")+IMPORTRANGE(""https://docs.google.com/spreadsheets/d/1GbCI"&amp;"E4D4wk9FUozzqk7SxfDMxDVBwVmI5zcaVUSzKAc/edit?usp=sharing"",""ประจวบคีรีขันธ์!Q287"")+IMPORTRANGE(""https://docs.google.com/spreadsheets/d/1vVf6wykvW_lAyu7Yo9L4hUTqHqIeP_qcVuxCtosJEbg/edit?usp=sharing"",""ปราจีนบุรี!Q287"")+IMPORTRANGE(""https://docs.googl"&amp;"e.com/spreadsheets/d/1BIDqLLg5jk3v59G8NlR8rk5xfQDKne0sAvZHSj7TI6I/edit?usp=sharing"",""พระนครศรีอยุธยา!Q287"")+IMPORTRANGE(""https://docs.google.com/spreadsheets/d/1YXvxf8Yu6_rV4hTBrwMqAcAnv6DfhUxh5emyM3CJp_w/edit?usp=sharing"",""เพชรบุรี!Q287"")+IMPORTRA"&amp;"NGE(""https://docs.google.com/spreadsheets/d/19KBlQQs7uwvsao6t2n-KvW3Ax8J8uRRfZPq1zPbXgKc/edit?usp=sharing"",""ระยอง!Q287"")+IMPORTRANGE(""https://docs.google.com/spreadsheets/d/1jQ6P4QcrGM89YfqcC_PxOHGCMq5ezhucwJd8ci-NHng/edit?usp=sharing"",""ราชบุรี!Q28"&amp;"7"")+IMPORTRANGE(""https://docs.google.com/spreadsheets/d/1lufeA2cfFqM-elVq2hznhDzC6Pr7wkJ9ZG_sYNGCMCU/edit?usp=sharing"",""ลพบุรี!Q287"")+IMPORTRANGE(""https://docs.google.com/spreadsheets/d/10oOiF7loTyfsTkbd4MpaIm0HQ9SwB7IYHdIUvt-U1Uc/edit?usp=sharing"""&amp;",""สระแก้ว!Q287"")+IMPORTRANGE(""https://docs.google.com/spreadsheets/d/1xmPlrr1QbdSIKvl1dWUl9K4PjAfSL9oeMr_37QVzcxc/edit?usp=sharing"",""สระบุรี!Q287"")+IMPORTRANGE(""https://docs.google.com/spreadsheets/d/1j51vR6CYVGhABJpv6tkstgok82RLpXieLzW1yOY5rHw/edi"&amp;"t?usp=sharing"",""สิงห์บุรี!Q287"")+IMPORTRANGE(""https://docs.google.com/spreadsheets/d/1H1EalTWKUSzO4Z1-1CwzoDUaVffgrThEBe2sl74kKG0/edit?usp=sharing"",""สุพรรณบุรี!Q287"")+IMPORTRANGE(""https://docs.google.com/spreadsheets/d/1BmIruG_sIrJLYao_Pdr7zVArWsf"&amp;"oBt2692TMi6x_854/edit?usp=sharing"",""อ่างทอง!Q287"")"),0)</f>
        <v>0</v>
      </c>
      <c r="R287" s="77">
        <f ca="1">IFERROR(__xludf.DUMMYFUNCTION("IMPORTRANGE(""https://docs.google.com/spreadsheets/d/13wPX838HrBrQMCywv1BsuMkt4PEKTChp52zj44s2izQ/edit?usp=sharing"",""กาญจนบุรี!R287"")+IMPORTRANGE(""https://docs.google.com/spreadsheets/d/1ddFKvqj1W1NEiWytbGlB1zMx_ykJDVtmfEQ-6-lIUBA/edit?usp=sharing"","&amp;"""จันทบุรี!R287"")+IMPORTRANGE(""https://docs.google.com/spreadsheets/d/1T1PQvRODqOBZk8BRht_U031fIS1beLA0Ub2CEytj2q0/edit?usp=sharing"",""ฉะเชิงเทรา!R287"")+IMPORTRANGE(""https://docs.google.com/spreadsheets/d/11tr1B-Bhyr79v2bkwVh5h_fR-PStkgjlZtkrZpYurG0/"&amp;"edit?usp=sharing"",""ชลบุรี!R287"")+IMPORTRANGE(""https://docs.google.com/spreadsheets/d/1hh-FVnSX0vozXhGluamEcS54Dw9_zqW0N7qJUWgJ0Sw/edit?usp=sharing"",""ชัยนาท!R287"")+IMPORTRANGE(""https://docs.google.com/spreadsheets/d/1jkqa6GXxSacMcY1eN8AHjMNJ_7dDXMJ"&amp;"VRLDlaFSOdPM/edit?usp=sharing"",""ตราด!R287"")+IMPORTRANGE(""https://docs.google.com/spreadsheets/d/18hSgUJ3VwClqi_qtULmmW3cLr0oe3OKaSYoKzdpTsYQ/edit?usp=sharing"",""นครนายก!R287"")+IMPORTRANGE(""https://docs.google.com/spreadsheets/d/1YTZo6WM2dQ6Ix6FSdnL"&amp;"5P7uVnVKu40sxZu975tgG10E/edit?usp=sharing"",""นครปฐม!R287"")+IMPORTRANGE(""https://docs.google.com/spreadsheets/d/1OYoGg4WDg5RIzwGeB10padOxJF9E_Vljuvvct_M7RDo/edit?usp=sharing"",""ปทุมธานี!R287"")+IMPORTRANGE(""https://docs.google.com/spreadsheets/d/1GbCI"&amp;"E4D4wk9FUozzqk7SxfDMxDVBwVmI5zcaVUSzKAc/edit?usp=sharing"",""ประจวบคีรีขันธ์!R287"")+IMPORTRANGE(""https://docs.google.com/spreadsheets/d/1vVf6wykvW_lAyu7Yo9L4hUTqHqIeP_qcVuxCtosJEbg/edit?usp=sharing"",""ปราจีนบุรี!R287"")+IMPORTRANGE(""https://docs.googl"&amp;"e.com/spreadsheets/d/1BIDqLLg5jk3v59G8NlR8rk5xfQDKne0sAvZHSj7TI6I/edit?usp=sharing"",""พระนครศรีอยุธยา!R287"")+IMPORTRANGE(""https://docs.google.com/spreadsheets/d/1YXvxf8Yu6_rV4hTBrwMqAcAnv6DfhUxh5emyM3CJp_w/edit?usp=sharing"",""เพชรบุรี!R287"")+IMPORTRA"&amp;"NGE(""https://docs.google.com/spreadsheets/d/19KBlQQs7uwvsao6t2n-KvW3Ax8J8uRRfZPq1zPbXgKc/edit?usp=sharing"",""ระยอง!R287"")+IMPORTRANGE(""https://docs.google.com/spreadsheets/d/1jQ6P4QcrGM89YfqcC_PxOHGCMq5ezhucwJd8ci-NHng/edit?usp=sharing"",""ราชบุรี!R28"&amp;"7"")+IMPORTRANGE(""https://docs.google.com/spreadsheets/d/1lufeA2cfFqM-elVq2hznhDzC6Pr7wkJ9ZG_sYNGCMCU/edit?usp=sharing"",""ลพบุรี!R287"")+IMPORTRANGE(""https://docs.google.com/spreadsheets/d/10oOiF7loTyfsTkbd4MpaIm0HQ9SwB7IYHdIUvt-U1Uc/edit?usp=sharing"""&amp;",""สระแก้ว!R287"")+IMPORTRANGE(""https://docs.google.com/spreadsheets/d/1xmPlrr1QbdSIKvl1dWUl9K4PjAfSL9oeMr_37QVzcxc/edit?usp=sharing"",""สระบุรี!R287"")+IMPORTRANGE(""https://docs.google.com/spreadsheets/d/1j51vR6CYVGhABJpv6tkstgok82RLpXieLzW1yOY5rHw/edi"&amp;"t?usp=sharing"",""สิงห์บุรี!R287"")+IMPORTRANGE(""https://docs.google.com/spreadsheets/d/1H1EalTWKUSzO4Z1-1CwzoDUaVffgrThEBe2sl74kKG0/edit?usp=sharing"",""สุพรรณบุรี!R287"")+IMPORTRANGE(""https://docs.google.com/spreadsheets/d/1BmIruG_sIrJLYao_Pdr7zVArWsf"&amp;"oBt2692TMi6x_854/edit?usp=sharing"",""อ่างทอง!R287"")"),0)</f>
        <v>0</v>
      </c>
      <c r="S287" s="77">
        <f ca="1">IFERROR(__xludf.DUMMYFUNCTION("IMPORTRANGE(""https://docs.google.com/spreadsheets/d/13wPX838HrBrQMCywv1BsuMkt4PEKTChp52zj44s2izQ/edit?usp=sharing"",""กาญจนบุรี!S287"")+IMPORTRANGE(""https://docs.google.com/spreadsheets/d/1ddFKvqj1W1NEiWytbGlB1zMx_ykJDVtmfEQ-6-lIUBA/edit?usp=sharing"","&amp;"""จันทบุรี!S287"")+IMPORTRANGE(""https://docs.google.com/spreadsheets/d/1T1PQvRODqOBZk8BRht_U031fIS1beLA0Ub2CEytj2q0/edit?usp=sharing"",""ฉะเชิงเทรา!S287"")+IMPORTRANGE(""https://docs.google.com/spreadsheets/d/11tr1B-Bhyr79v2bkwVh5h_fR-PStkgjlZtkrZpYurG0/"&amp;"edit?usp=sharing"",""ชลบุรี!S287"")+IMPORTRANGE(""https://docs.google.com/spreadsheets/d/1hh-FVnSX0vozXhGluamEcS54Dw9_zqW0N7qJUWgJ0Sw/edit?usp=sharing"",""ชัยนาท!S287"")+IMPORTRANGE(""https://docs.google.com/spreadsheets/d/1jkqa6GXxSacMcY1eN8AHjMNJ_7dDXMJ"&amp;"VRLDlaFSOdPM/edit?usp=sharing"",""ตราด!S287"")+IMPORTRANGE(""https://docs.google.com/spreadsheets/d/18hSgUJ3VwClqi_qtULmmW3cLr0oe3OKaSYoKzdpTsYQ/edit?usp=sharing"",""นครนายก!S287"")+IMPORTRANGE(""https://docs.google.com/spreadsheets/d/1YTZo6WM2dQ6Ix6FSdnL"&amp;"5P7uVnVKu40sxZu975tgG10E/edit?usp=sharing"",""นครปฐม!S287"")+IMPORTRANGE(""https://docs.google.com/spreadsheets/d/1OYoGg4WDg5RIzwGeB10padOxJF9E_Vljuvvct_M7RDo/edit?usp=sharing"",""ปทุมธานี!S287"")+IMPORTRANGE(""https://docs.google.com/spreadsheets/d/1GbCI"&amp;"E4D4wk9FUozzqk7SxfDMxDVBwVmI5zcaVUSzKAc/edit?usp=sharing"",""ประจวบคีรีขันธ์!S287"")+IMPORTRANGE(""https://docs.google.com/spreadsheets/d/1vVf6wykvW_lAyu7Yo9L4hUTqHqIeP_qcVuxCtosJEbg/edit?usp=sharing"",""ปราจีนบุรี!S287"")+IMPORTRANGE(""https://docs.googl"&amp;"e.com/spreadsheets/d/1BIDqLLg5jk3v59G8NlR8rk5xfQDKne0sAvZHSj7TI6I/edit?usp=sharing"",""พระนครศรีอยุธยา!S287"")+IMPORTRANGE(""https://docs.google.com/spreadsheets/d/1YXvxf8Yu6_rV4hTBrwMqAcAnv6DfhUxh5emyM3CJp_w/edit?usp=sharing"",""เพชรบุรี!S287"")+IMPORTRA"&amp;"NGE(""https://docs.google.com/spreadsheets/d/19KBlQQs7uwvsao6t2n-KvW3Ax8J8uRRfZPq1zPbXgKc/edit?usp=sharing"",""ระยอง!S287"")+IMPORTRANGE(""https://docs.google.com/spreadsheets/d/1jQ6P4QcrGM89YfqcC_PxOHGCMq5ezhucwJd8ci-NHng/edit?usp=sharing"",""ราชบุรี!S28"&amp;"7"")+IMPORTRANGE(""https://docs.google.com/spreadsheets/d/1lufeA2cfFqM-elVq2hznhDzC6Pr7wkJ9ZG_sYNGCMCU/edit?usp=sharing"",""ลพบุรี!S287"")+IMPORTRANGE(""https://docs.google.com/spreadsheets/d/10oOiF7loTyfsTkbd4MpaIm0HQ9SwB7IYHdIUvt-U1Uc/edit?usp=sharing"""&amp;",""สระแก้ว!S287"")+IMPORTRANGE(""https://docs.google.com/spreadsheets/d/1xmPlrr1QbdSIKvl1dWUl9K4PjAfSL9oeMr_37QVzcxc/edit?usp=sharing"",""สระบุรี!S287"")+IMPORTRANGE(""https://docs.google.com/spreadsheets/d/1j51vR6CYVGhABJpv6tkstgok82RLpXieLzW1yOY5rHw/edi"&amp;"t?usp=sharing"",""สิงห์บุรี!S287"")+IMPORTRANGE(""https://docs.google.com/spreadsheets/d/1H1EalTWKUSzO4Z1-1CwzoDUaVffgrThEBe2sl74kKG0/edit?usp=sharing"",""สุพรรณบุรี!S287"")+IMPORTRANGE(""https://docs.google.com/spreadsheets/d/1BmIruG_sIrJLYao_Pdr7zVArWsf"&amp;"oBt2692TMi6x_854/edit?usp=sharing"",""อ่างทอง!S287"")"),0)</f>
        <v>0</v>
      </c>
      <c r="T287" s="136">
        <f t="shared" ca="1" si="201"/>
        <v>0</v>
      </c>
      <c r="U287" s="136">
        <f t="shared" ca="1" si="202"/>
        <v>0</v>
      </c>
    </row>
    <row r="288" spans="1:21" ht="18.75" x14ac:dyDescent="0.25">
      <c r="A288" s="211"/>
      <c r="B288" s="70"/>
      <c r="C288" s="70"/>
      <c r="D288" s="71" t="s">
        <v>23</v>
      </c>
      <c r="E288" s="70"/>
      <c r="F288" s="70"/>
      <c r="G288" s="72"/>
      <c r="H288" s="223" t="s">
        <v>14</v>
      </c>
      <c r="I288" s="221"/>
      <c r="J288" s="221"/>
      <c r="K288" s="222"/>
      <c r="L288" s="91">
        <f t="shared" ref="L288:N288" ca="1" si="209">L289+L290</f>
        <v>0</v>
      </c>
      <c r="M288" s="91">
        <f t="shared" ca="1" si="209"/>
        <v>0</v>
      </c>
      <c r="N288" s="91">
        <f t="shared" ca="1" si="209"/>
        <v>0</v>
      </c>
      <c r="O288" s="91">
        <f t="shared" ca="1" si="198"/>
        <v>0</v>
      </c>
      <c r="P288" s="91">
        <f t="shared" ca="1" si="199"/>
        <v>0</v>
      </c>
      <c r="Q288" s="134">
        <f t="shared" ref="Q288:S288" ca="1" si="210">Q289+Q290</f>
        <v>0</v>
      </c>
      <c r="R288" s="135">
        <f t="shared" ca="1" si="210"/>
        <v>0</v>
      </c>
      <c r="S288" s="135">
        <f t="shared" ca="1" si="210"/>
        <v>0</v>
      </c>
      <c r="T288" s="135">
        <f t="shared" ca="1" si="201"/>
        <v>0</v>
      </c>
      <c r="U288" s="135">
        <f t="shared" ca="1" si="202"/>
        <v>0</v>
      </c>
    </row>
    <row r="289" spans="1:21" ht="18.75" x14ac:dyDescent="0.25">
      <c r="A289" s="211"/>
      <c r="B289" s="70"/>
      <c r="C289" s="70"/>
      <c r="D289" s="70"/>
      <c r="E289" s="78" t="s">
        <v>20</v>
      </c>
      <c r="F289" s="70"/>
      <c r="G289" s="72"/>
      <c r="H289" s="220" t="s">
        <v>14</v>
      </c>
      <c r="I289" s="221"/>
      <c r="J289" s="221"/>
      <c r="K289" s="222"/>
      <c r="L289" s="91">
        <f ca="1">IFERROR(__xludf.DUMMYFUNCTION("IMPORTRANGE(""https://docs.google.com/spreadsheets/d/13wPX838HrBrQMCywv1BsuMkt4PEKTChp52zj44s2izQ/edit?usp=sharing"",""กาญจนบุรี!L289"")+IMPORTRANGE(""https://docs.google.com/spreadsheets/d/1ddFKvqj1W1NEiWytbGlB1zMx_ykJDVtmfEQ-6-lIUBA/edit?usp=sharing"","&amp;"""จันทบุรี!L289"")+IMPORTRANGE(""https://docs.google.com/spreadsheets/d/1T1PQvRODqOBZk8BRht_U031fIS1beLA0Ub2CEytj2q0/edit?usp=sharing"",""ฉะเชิงเทรา!L289"")+IMPORTRANGE(""https://docs.google.com/spreadsheets/d/11tr1B-Bhyr79v2bkwVh5h_fR-PStkgjlZtkrZpYurG0/"&amp;"edit?usp=sharing"",""ชลบุรี!L289"")+IMPORTRANGE(""https://docs.google.com/spreadsheets/d/1hh-FVnSX0vozXhGluamEcS54Dw9_zqW0N7qJUWgJ0Sw/edit?usp=sharing"",""ชัยนาท!L289"")+IMPORTRANGE(""https://docs.google.com/spreadsheets/d/1jkqa6GXxSacMcY1eN8AHjMNJ_7dDXMJ"&amp;"VRLDlaFSOdPM/edit?usp=sharing"",""ตราด!L289"")+IMPORTRANGE(""https://docs.google.com/spreadsheets/d/18hSgUJ3VwClqi_qtULmmW3cLr0oe3OKaSYoKzdpTsYQ/edit?usp=sharing"",""นครนายก!L289"")+IMPORTRANGE(""https://docs.google.com/spreadsheets/d/1YTZo6WM2dQ6Ix6FSdnL"&amp;"5P7uVnVKu40sxZu975tgG10E/edit?usp=sharing"",""นครปฐม!L289"")+IMPORTRANGE(""https://docs.google.com/spreadsheets/d/1OYoGg4WDg5RIzwGeB10padOxJF9E_Vljuvvct_M7RDo/edit?usp=sharing"",""ปทุมธานี!L289"")+IMPORTRANGE(""https://docs.google.com/spreadsheets/d/1GbCI"&amp;"E4D4wk9FUozzqk7SxfDMxDVBwVmI5zcaVUSzKAc/edit?usp=sharing"",""ประจวบคีรีขันธ์!L289"")+IMPORTRANGE(""https://docs.google.com/spreadsheets/d/1vVf6wykvW_lAyu7Yo9L4hUTqHqIeP_qcVuxCtosJEbg/edit?usp=sharing"",""ปราจีนบุรี!L289"")+IMPORTRANGE(""https://docs.googl"&amp;"e.com/spreadsheets/d/1BIDqLLg5jk3v59G8NlR8rk5xfQDKne0sAvZHSj7TI6I/edit?usp=sharing"",""พระนครศรีอยุธยา!L289"")+IMPORTRANGE(""https://docs.google.com/spreadsheets/d/1YXvxf8Yu6_rV4hTBrwMqAcAnv6DfhUxh5emyM3CJp_w/edit?usp=sharing"",""เพชรบุรี!L289"")+IMPORTRA"&amp;"NGE(""https://docs.google.com/spreadsheets/d/19KBlQQs7uwvsao6t2n-KvW3Ax8J8uRRfZPq1zPbXgKc/edit?usp=sharing"",""ระยอง!L289"")+IMPORTRANGE(""https://docs.google.com/spreadsheets/d/1jQ6P4QcrGM89YfqcC_PxOHGCMq5ezhucwJd8ci-NHng/edit?usp=sharing"",""ราชบุรี!L28"&amp;"9"")+IMPORTRANGE(""https://docs.google.com/spreadsheets/d/1lufeA2cfFqM-elVq2hznhDzC6Pr7wkJ9ZG_sYNGCMCU/edit?usp=sharing"",""ลพบุรี!L289"")+IMPORTRANGE(""https://docs.google.com/spreadsheets/d/10oOiF7loTyfsTkbd4MpaIm0HQ9SwB7IYHdIUvt-U1Uc/edit?usp=sharing"""&amp;",""สระแก้ว!L289"")+IMPORTRANGE(""https://docs.google.com/spreadsheets/d/1xmPlrr1QbdSIKvl1dWUl9K4PjAfSL9oeMr_37QVzcxc/edit?usp=sharing"",""สระบุรี!L289"")+IMPORTRANGE(""https://docs.google.com/spreadsheets/d/1j51vR6CYVGhABJpv6tkstgok82RLpXieLzW1yOY5rHw/edi"&amp;"t?usp=sharing"",""สิงห์บุรี!L289"")+IMPORTRANGE(""https://docs.google.com/spreadsheets/d/1H1EalTWKUSzO4Z1-1CwzoDUaVffgrThEBe2sl74kKG0/edit?usp=sharing"",""สุพรรณบุรี!L289"")+IMPORTRANGE(""https://docs.google.com/spreadsheets/d/1BmIruG_sIrJLYao_Pdr7zVArWsf"&amp;"oBt2692TMi6x_854/edit?usp=sharing"",""อ่างทอง!L289"")"),0)</f>
        <v>0</v>
      </c>
      <c r="M289" s="91">
        <f ca="1">IFERROR(__xludf.DUMMYFUNCTION("IMPORTRANGE(""https://docs.google.com/spreadsheets/d/13wPX838HrBrQMCywv1BsuMkt4PEKTChp52zj44s2izQ/edit?usp=sharing"",""กาญจนบุรี!M289"")+IMPORTRANGE(""https://docs.google.com/spreadsheets/d/1ddFKvqj1W1NEiWytbGlB1zMx_ykJDVtmfEQ-6-lIUBA/edit?usp=sharing"","&amp;"""จันทบุรี!M289"")+IMPORTRANGE(""https://docs.google.com/spreadsheets/d/1T1PQvRODqOBZk8BRht_U031fIS1beLA0Ub2CEytj2q0/edit?usp=sharing"",""ฉะเชิงเทรา!M289"")+IMPORTRANGE(""https://docs.google.com/spreadsheets/d/11tr1B-Bhyr79v2bkwVh5h_fR-PStkgjlZtkrZpYurG0/"&amp;"edit?usp=sharing"",""ชลบุรี!M289"")+IMPORTRANGE(""https://docs.google.com/spreadsheets/d/1hh-FVnSX0vozXhGluamEcS54Dw9_zqW0N7qJUWgJ0Sw/edit?usp=sharing"",""ชัยนาท!M289"")+IMPORTRANGE(""https://docs.google.com/spreadsheets/d/1jkqa6GXxSacMcY1eN8AHjMNJ_7dDXMJ"&amp;"VRLDlaFSOdPM/edit?usp=sharing"",""ตราด!M289"")+IMPORTRANGE(""https://docs.google.com/spreadsheets/d/18hSgUJ3VwClqi_qtULmmW3cLr0oe3OKaSYoKzdpTsYQ/edit?usp=sharing"",""นครนายก!M289"")+IMPORTRANGE(""https://docs.google.com/spreadsheets/d/1YTZo6WM2dQ6Ix6FSdnL"&amp;"5P7uVnVKu40sxZu975tgG10E/edit?usp=sharing"",""นครปฐม!M289"")+IMPORTRANGE(""https://docs.google.com/spreadsheets/d/1OYoGg4WDg5RIzwGeB10padOxJF9E_Vljuvvct_M7RDo/edit?usp=sharing"",""ปทุมธานี!M289"")+IMPORTRANGE(""https://docs.google.com/spreadsheets/d/1GbCI"&amp;"E4D4wk9FUozzqk7SxfDMxDVBwVmI5zcaVUSzKAc/edit?usp=sharing"",""ประจวบคีรีขันธ์!M289"")+IMPORTRANGE(""https://docs.google.com/spreadsheets/d/1vVf6wykvW_lAyu7Yo9L4hUTqHqIeP_qcVuxCtosJEbg/edit?usp=sharing"",""ปราจีนบุรี!M289"")+IMPORTRANGE(""https://docs.googl"&amp;"e.com/spreadsheets/d/1BIDqLLg5jk3v59G8NlR8rk5xfQDKne0sAvZHSj7TI6I/edit?usp=sharing"",""พระนครศรีอยุธยา!M289"")+IMPORTRANGE(""https://docs.google.com/spreadsheets/d/1YXvxf8Yu6_rV4hTBrwMqAcAnv6DfhUxh5emyM3CJp_w/edit?usp=sharing"",""เพชรบุรี!M289"")+IMPORTRA"&amp;"NGE(""https://docs.google.com/spreadsheets/d/19KBlQQs7uwvsao6t2n-KvW3Ax8J8uRRfZPq1zPbXgKc/edit?usp=sharing"",""ระยอง!M289"")+IMPORTRANGE(""https://docs.google.com/spreadsheets/d/1jQ6P4QcrGM89YfqcC_PxOHGCMq5ezhucwJd8ci-NHng/edit?usp=sharing"",""ราชบุรี!M28"&amp;"9"")+IMPORTRANGE(""https://docs.google.com/spreadsheets/d/1lufeA2cfFqM-elVq2hznhDzC6Pr7wkJ9ZG_sYNGCMCU/edit?usp=sharing"",""ลพบุรี!M289"")+IMPORTRANGE(""https://docs.google.com/spreadsheets/d/10oOiF7loTyfsTkbd4MpaIm0HQ9SwB7IYHdIUvt-U1Uc/edit?usp=sharing"""&amp;",""สระแก้ว!M289"")+IMPORTRANGE(""https://docs.google.com/spreadsheets/d/1xmPlrr1QbdSIKvl1dWUl9K4PjAfSL9oeMr_37QVzcxc/edit?usp=sharing"",""สระบุรี!M289"")+IMPORTRANGE(""https://docs.google.com/spreadsheets/d/1j51vR6CYVGhABJpv6tkstgok82RLpXieLzW1yOY5rHw/edi"&amp;"t?usp=sharing"",""สิงห์บุรี!M289"")+IMPORTRANGE(""https://docs.google.com/spreadsheets/d/1H1EalTWKUSzO4Z1-1CwzoDUaVffgrThEBe2sl74kKG0/edit?usp=sharing"",""สุพรรณบุรี!M289"")+IMPORTRANGE(""https://docs.google.com/spreadsheets/d/1BmIruG_sIrJLYao_Pdr7zVArWsf"&amp;"oBt2692TMi6x_854/edit?usp=sharing"",""อ่างทอง!M289"")"),0)</f>
        <v>0</v>
      </c>
      <c r="N289" s="91">
        <f ca="1">IFERROR(__xludf.DUMMYFUNCTION("IMPORTRANGE(""https://docs.google.com/spreadsheets/d/13wPX838HrBrQMCywv1BsuMkt4PEKTChp52zj44s2izQ/edit?usp=sharing"",""กาญจนบุรี!N289"")+IMPORTRANGE(""https://docs.google.com/spreadsheets/d/1ddFKvqj1W1NEiWytbGlB1zMx_ykJDVtmfEQ-6-lIUBA/edit?usp=sharing"","&amp;"""จันทบุรี!N289"")+IMPORTRANGE(""https://docs.google.com/spreadsheets/d/1T1PQvRODqOBZk8BRht_U031fIS1beLA0Ub2CEytj2q0/edit?usp=sharing"",""ฉะเชิงเทรา!N289"")+IMPORTRANGE(""https://docs.google.com/spreadsheets/d/11tr1B-Bhyr79v2bkwVh5h_fR-PStkgjlZtkrZpYurG0/"&amp;"edit?usp=sharing"",""ชลบุรี!N289"")+IMPORTRANGE(""https://docs.google.com/spreadsheets/d/1hh-FVnSX0vozXhGluamEcS54Dw9_zqW0N7qJUWgJ0Sw/edit?usp=sharing"",""ชัยนาท!N289"")+IMPORTRANGE(""https://docs.google.com/spreadsheets/d/1jkqa6GXxSacMcY1eN8AHjMNJ_7dDXMJ"&amp;"VRLDlaFSOdPM/edit?usp=sharing"",""ตราด!N289"")+IMPORTRANGE(""https://docs.google.com/spreadsheets/d/18hSgUJ3VwClqi_qtULmmW3cLr0oe3OKaSYoKzdpTsYQ/edit?usp=sharing"",""นครนายก!N289"")+IMPORTRANGE(""https://docs.google.com/spreadsheets/d/1YTZo6WM2dQ6Ix6FSdnL"&amp;"5P7uVnVKu40sxZu975tgG10E/edit?usp=sharing"",""นครปฐม!N289"")+IMPORTRANGE(""https://docs.google.com/spreadsheets/d/1OYoGg4WDg5RIzwGeB10padOxJF9E_Vljuvvct_M7RDo/edit?usp=sharing"",""ปทุมธานี!N289"")+IMPORTRANGE(""https://docs.google.com/spreadsheets/d/1GbCI"&amp;"E4D4wk9FUozzqk7SxfDMxDVBwVmI5zcaVUSzKAc/edit?usp=sharing"",""ประจวบคีรีขันธ์!N289"")+IMPORTRANGE(""https://docs.google.com/spreadsheets/d/1vVf6wykvW_lAyu7Yo9L4hUTqHqIeP_qcVuxCtosJEbg/edit?usp=sharing"",""ปราจีนบุรี!N289"")+IMPORTRANGE(""https://docs.googl"&amp;"e.com/spreadsheets/d/1BIDqLLg5jk3v59G8NlR8rk5xfQDKne0sAvZHSj7TI6I/edit?usp=sharing"",""พระนครศรีอยุธยา!N289"")+IMPORTRANGE(""https://docs.google.com/spreadsheets/d/1YXvxf8Yu6_rV4hTBrwMqAcAnv6DfhUxh5emyM3CJp_w/edit?usp=sharing"",""เพชรบุรี!N289"")+IMPORTRA"&amp;"NGE(""https://docs.google.com/spreadsheets/d/19KBlQQs7uwvsao6t2n-KvW3Ax8J8uRRfZPq1zPbXgKc/edit?usp=sharing"",""ระยอง!N289"")+IMPORTRANGE(""https://docs.google.com/spreadsheets/d/1jQ6P4QcrGM89YfqcC_PxOHGCMq5ezhucwJd8ci-NHng/edit?usp=sharing"",""ราชบุรี!N28"&amp;"9"")+IMPORTRANGE(""https://docs.google.com/spreadsheets/d/1lufeA2cfFqM-elVq2hznhDzC6Pr7wkJ9ZG_sYNGCMCU/edit?usp=sharing"",""ลพบุรี!N289"")+IMPORTRANGE(""https://docs.google.com/spreadsheets/d/10oOiF7loTyfsTkbd4MpaIm0HQ9SwB7IYHdIUvt-U1Uc/edit?usp=sharing"""&amp;",""สระแก้ว!N289"")+IMPORTRANGE(""https://docs.google.com/spreadsheets/d/1xmPlrr1QbdSIKvl1dWUl9K4PjAfSL9oeMr_37QVzcxc/edit?usp=sharing"",""สระบุรี!N289"")+IMPORTRANGE(""https://docs.google.com/spreadsheets/d/1j51vR6CYVGhABJpv6tkstgok82RLpXieLzW1yOY5rHw/edi"&amp;"t?usp=sharing"",""สิงห์บุรี!N289"")+IMPORTRANGE(""https://docs.google.com/spreadsheets/d/1H1EalTWKUSzO4Z1-1CwzoDUaVffgrThEBe2sl74kKG0/edit?usp=sharing"",""สุพรรณบุรี!N289"")+IMPORTRANGE(""https://docs.google.com/spreadsheets/d/1BmIruG_sIrJLYao_Pdr7zVArWsf"&amp;"oBt2692TMi6x_854/edit?usp=sharing"",""อ่างทอง!N289"")"),0)</f>
        <v>0</v>
      </c>
      <c r="O289" s="91">
        <f t="shared" ca="1" si="198"/>
        <v>0</v>
      </c>
      <c r="P289" s="91">
        <f t="shared" ca="1" si="199"/>
        <v>0</v>
      </c>
      <c r="Q289" s="79">
        <f ca="1">IFERROR(__xludf.DUMMYFUNCTION("IMPORTRANGE(""https://docs.google.com/spreadsheets/d/13wPX838HrBrQMCywv1BsuMkt4PEKTChp52zj44s2izQ/edit?usp=sharing"",""กาญจนบุรี!Q289"")+IMPORTRANGE(""https://docs.google.com/spreadsheets/d/1ddFKvqj1W1NEiWytbGlB1zMx_ykJDVtmfEQ-6-lIUBA/edit?usp=sharing"","&amp;"""จันทบุรี!Q289"")+IMPORTRANGE(""https://docs.google.com/spreadsheets/d/1T1PQvRODqOBZk8BRht_U031fIS1beLA0Ub2CEytj2q0/edit?usp=sharing"",""ฉะเชิงเทรา!Q289"")+IMPORTRANGE(""https://docs.google.com/spreadsheets/d/11tr1B-Bhyr79v2bkwVh5h_fR-PStkgjlZtkrZpYurG0/"&amp;"edit?usp=sharing"",""ชลบุรี!Q289"")+IMPORTRANGE(""https://docs.google.com/spreadsheets/d/1hh-FVnSX0vozXhGluamEcS54Dw9_zqW0N7qJUWgJ0Sw/edit?usp=sharing"",""ชัยนาท!Q289"")+IMPORTRANGE(""https://docs.google.com/spreadsheets/d/1jkqa6GXxSacMcY1eN8AHjMNJ_7dDXMJ"&amp;"VRLDlaFSOdPM/edit?usp=sharing"",""ตราด!Q289"")+IMPORTRANGE(""https://docs.google.com/spreadsheets/d/18hSgUJ3VwClqi_qtULmmW3cLr0oe3OKaSYoKzdpTsYQ/edit?usp=sharing"",""นครนายก!Q289"")+IMPORTRANGE(""https://docs.google.com/spreadsheets/d/1YTZo6WM2dQ6Ix6FSdnL"&amp;"5P7uVnVKu40sxZu975tgG10E/edit?usp=sharing"",""นครปฐม!Q289"")+IMPORTRANGE(""https://docs.google.com/spreadsheets/d/1OYoGg4WDg5RIzwGeB10padOxJF9E_Vljuvvct_M7RDo/edit?usp=sharing"",""ปทุมธานี!Q289"")+IMPORTRANGE(""https://docs.google.com/spreadsheets/d/1GbCI"&amp;"E4D4wk9FUozzqk7SxfDMxDVBwVmI5zcaVUSzKAc/edit?usp=sharing"",""ประจวบคีรีขันธ์!Q289"")+IMPORTRANGE(""https://docs.google.com/spreadsheets/d/1vVf6wykvW_lAyu7Yo9L4hUTqHqIeP_qcVuxCtosJEbg/edit?usp=sharing"",""ปราจีนบุรี!Q289"")+IMPORTRANGE(""https://docs.googl"&amp;"e.com/spreadsheets/d/1BIDqLLg5jk3v59G8NlR8rk5xfQDKne0sAvZHSj7TI6I/edit?usp=sharing"",""พระนครศรีอยุธยา!Q289"")+IMPORTRANGE(""https://docs.google.com/spreadsheets/d/1YXvxf8Yu6_rV4hTBrwMqAcAnv6DfhUxh5emyM3CJp_w/edit?usp=sharing"",""เพชรบุรี!Q289"")+IMPORTRA"&amp;"NGE(""https://docs.google.com/spreadsheets/d/19KBlQQs7uwvsao6t2n-KvW3Ax8J8uRRfZPq1zPbXgKc/edit?usp=sharing"",""ระยอง!Q289"")+IMPORTRANGE(""https://docs.google.com/spreadsheets/d/1jQ6P4QcrGM89YfqcC_PxOHGCMq5ezhucwJd8ci-NHng/edit?usp=sharing"",""ราชบุรี!Q28"&amp;"9"")+IMPORTRANGE(""https://docs.google.com/spreadsheets/d/1lufeA2cfFqM-elVq2hznhDzC6Pr7wkJ9ZG_sYNGCMCU/edit?usp=sharing"",""ลพบุรี!Q289"")+IMPORTRANGE(""https://docs.google.com/spreadsheets/d/10oOiF7loTyfsTkbd4MpaIm0HQ9SwB7IYHdIUvt-U1Uc/edit?usp=sharing"""&amp;",""สระแก้ว!Q289"")+IMPORTRANGE(""https://docs.google.com/spreadsheets/d/1xmPlrr1QbdSIKvl1dWUl9K4PjAfSL9oeMr_37QVzcxc/edit?usp=sharing"",""สระบุรี!Q289"")+IMPORTRANGE(""https://docs.google.com/spreadsheets/d/1j51vR6CYVGhABJpv6tkstgok82RLpXieLzW1yOY5rHw/edi"&amp;"t?usp=sharing"",""สิงห์บุรี!Q289"")+IMPORTRANGE(""https://docs.google.com/spreadsheets/d/1H1EalTWKUSzO4Z1-1CwzoDUaVffgrThEBe2sl74kKG0/edit?usp=sharing"",""สุพรรณบุรี!Q289"")+IMPORTRANGE(""https://docs.google.com/spreadsheets/d/1BmIruG_sIrJLYao_Pdr7zVArWsf"&amp;"oBt2692TMi6x_854/edit?usp=sharing"",""อ่างทอง!Q289"")"),0)</f>
        <v>0</v>
      </c>
      <c r="R289" s="80">
        <f ca="1">IFERROR(__xludf.DUMMYFUNCTION("IMPORTRANGE(""https://docs.google.com/spreadsheets/d/13wPX838HrBrQMCywv1BsuMkt4PEKTChp52zj44s2izQ/edit?usp=sharing"",""กาญจนบุรี!R289"")+IMPORTRANGE(""https://docs.google.com/spreadsheets/d/1ddFKvqj1W1NEiWytbGlB1zMx_ykJDVtmfEQ-6-lIUBA/edit?usp=sharing"","&amp;"""จันทบุรี!R289"")+IMPORTRANGE(""https://docs.google.com/spreadsheets/d/1T1PQvRODqOBZk8BRht_U031fIS1beLA0Ub2CEytj2q0/edit?usp=sharing"",""ฉะเชิงเทรา!R289"")+IMPORTRANGE(""https://docs.google.com/spreadsheets/d/11tr1B-Bhyr79v2bkwVh5h_fR-PStkgjlZtkrZpYurG0/"&amp;"edit?usp=sharing"",""ชลบุรี!R289"")+IMPORTRANGE(""https://docs.google.com/spreadsheets/d/1hh-FVnSX0vozXhGluamEcS54Dw9_zqW0N7qJUWgJ0Sw/edit?usp=sharing"",""ชัยนาท!R289"")+IMPORTRANGE(""https://docs.google.com/spreadsheets/d/1jkqa6GXxSacMcY1eN8AHjMNJ_7dDXMJ"&amp;"VRLDlaFSOdPM/edit?usp=sharing"",""ตราด!R289"")+IMPORTRANGE(""https://docs.google.com/spreadsheets/d/18hSgUJ3VwClqi_qtULmmW3cLr0oe3OKaSYoKzdpTsYQ/edit?usp=sharing"",""นครนายก!R289"")+IMPORTRANGE(""https://docs.google.com/spreadsheets/d/1YTZo6WM2dQ6Ix6FSdnL"&amp;"5P7uVnVKu40sxZu975tgG10E/edit?usp=sharing"",""นครปฐม!R289"")+IMPORTRANGE(""https://docs.google.com/spreadsheets/d/1OYoGg4WDg5RIzwGeB10padOxJF9E_Vljuvvct_M7RDo/edit?usp=sharing"",""ปทุมธานี!R289"")+IMPORTRANGE(""https://docs.google.com/spreadsheets/d/1GbCI"&amp;"E4D4wk9FUozzqk7SxfDMxDVBwVmI5zcaVUSzKAc/edit?usp=sharing"",""ประจวบคีรีขันธ์!R289"")+IMPORTRANGE(""https://docs.google.com/spreadsheets/d/1vVf6wykvW_lAyu7Yo9L4hUTqHqIeP_qcVuxCtosJEbg/edit?usp=sharing"",""ปราจีนบุรี!R289"")+IMPORTRANGE(""https://docs.googl"&amp;"e.com/spreadsheets/d/1BIDqLLg5jk3v59G8NlR8rk5xfQDKne0sAvZHSj7TI6I/edit?usp=sharing"",""พระนครศรีอยุธยา!R289"")+IMPORTRANGE(""https://docs.google.com/spreadsheets/d/1YXvxf8Yu6_rV4hTBrwMqAcAnv6DfhUxh5emyM3CJp_w/edit?usp=sharing"",""เพชรบุรี!R289"")+IMPORTRA"&amp;"NGE(""https://docs.google.com/spreadsheets/d/19KBlQQs7uwvsao6t2n-KvW3Ax8J8uRRfZPq1zPbXgKc/edit?usp=sharing"",""ระยอง!R289"")+IMPORTRANGE(""https://docs.google.com/spreadsheets/d/1jQ6P4QcrGM89YfqcC_PxOHGCMq5ezhucwJd8ci-NHng/edit?usp=sharing"",""ราชบุรี!R28"&amp;"9"")+IMPORTRANGE(""https://docs.google.com/spreadsheets/d/1lufeA2cfFqM-elVq2hznhDzC6Pr7wkJ9ZG_sYNGCMCU/edit?usp=sharing"",""ลพบุรี!R289"")+IMPORTRANGE(""https://docs.google.com/spreadsheets/d/10oOiF7loTyfsTkbd4MpaIm0HQ9SwB7IYHdIUvt-U1Uc/edit?usp=sharing"""&amp;",""สระแก้ว!R289"")+IMPORTRANGE(""https://docs.google.com/spreadsheets/d/1xmPlrr1QbdSIKvl1dWUl9K4PjAfSL9oeMr_37QVzcxc/edit?usp=sharing"",""สระบุรี!R289"")+IMPORTRANGE(""https://docs.google.com/spreadsheets/d/1j51vR6CYVGhABJpv6tkstgok82RLpXieLzW1yOY5rHw/edi"&amp;"t?usp=sharing"",""สิงห์บุรี!R289"")+IMPORTRANGE(""https://docs.google.com/spreadsheets/d/1H1EalTWKUSzO4Z1-1CwzoDUaVffgrThEBe2sl74kKG0/edit?usp=sharing"",""สุพรรณบุรี!R289"")+IMPORTRANGE(""https://docs.google.com/spreadsheets/d/1BmIruG_sIrJLYao_Pdr7zVArWsf"&amp;"oBt2692TMi6x_854/edit?usp=sharing"",""อ่างทอง!R289"")"),0)</f>
        <v>0</v>
      </c>
      <c r="S289" s="80">
        <f ca="1">IFERROR(__xludf.DUMMYFUNCTION("IMPORTRANGE(""https://docs.google.com/spreadsheets/d/13wPX838HrBrQMCywv1BsuMkt4PEKTChp52zj44s2izQ/edit?usp=sharing"",""กาญจนบุรี!S289"")+IMPORTRANGE(""https://docs.google.com/spreadsheets/d/1ddFKvqj1W1NEiWytbGlB1zMx_ykJDVtmfEQ-6-lIUBA/edit?usp=sharing"","&amp;"""จันทบุรี!S289"")+IMPORTRANGE(""https://docs.google.com/spreadsheets/d/1T1PQvRODqOBZk8BRht_U031fIS1beLA0Ub2CEytj2q0/edit?usp=sharing"",""ฉะเชิงเทรา!S289"")+IMPORTRANGE(""https://docs.google.com/spreadsheets/d/11tr1B-Bhyr79v2bkwVh5h_fR-PStkgjlZtkrZpYurG0/"&amp;"edit?usp=sharing"",""ชลบุรี!S289"")+IMPORTRANGE(""https://docs.google.com/spreadsheets/d/1hh-FVnSX0vozXhGluamEcS54Dw9_zqW0N7qJUWgJ0Sw/edit?usp=sharing"",""ชัยนาท!S289"")+IMPORTRANGE(""https://docs.google.com/spreadsheets/d/1jkqa6GXxSacMcY1eN8AHjMNJ_7dDXMJ"&amp;"VRLDlaFSOdPM/edit?usp=sharing"",""ตราด!S289"")+IMPORTRANGE(""https://docs.google.com/spreadsheets/d/18hSgUJ3VwClqi_qtULmmW3cLr0oe3OKaSYoKzdpTsYQ/edit?usp=sharing"",""นครนายก!S289"")+IMPORTRANGE(""https://docs.google.com/spreadsheets/d/1YTZo6WM2dQ6Ix6FSdnL"&amp;"5P7uVnVKu40sxZu975tgG10E/edit?usp=sharing"",""นครปฐม!S289"")+IMPORTRANGE(""https://docs.google.com/spreadsheets/d/1OYoGg4WDg5RIzwGeB10padOxJF9E_Vljuvvct_M7RDo/edit?usp=sharing"",""ปทุมธานี!S289"")+IMPORTRANGE(""https://docs.google.com/spreadsheets/d/1GbCI"&amp;"E4D4wk9FUozzqk7SxfDMxDVBwVmI5zcaVUSzKAc/edit?usp=sharing"",""ประจวบคีรีขันธ์!S289"")+IMPORTRANGE(""https://docs.google.com/spreadsheets/d/1vVf6wykvW_lAyu7Yo9L4hUTqHqIeP_qcVuxCtosJEbg/edit?usp=sharing"",""ปราจีนบุรี!S289"")+IMPORTRANGE(""https://docs.googl"&amp;"e.com/spreadsheets/d/1BIDqLLg5jk3v59G8NlR8rk5xfQDKne0sAvZHSj7TI6I/edit?usp=sharing"",""พระนครศรีอยุธยา!S289"")+IMPORTRANGE(""https://docs.google.com/spreadsheets/d/1YXvxf8Yu6_rV4hTBrwMqAcAnv6DfhUxh5emyM3CJp_w/edit?usp=sharing"",""เพชรบุรี!S289"")+IMPORTRA"&amp;"NGE(""https://docs.google.com/spreadsheets/d/19KBlQQs7uwvsao6t2n-KvW3Ax8J8uRRfZPq1zPbXgKc/edit?usp=sharing"",""ระยอง!S289"")+IMPORTRANGE(""https://docs.google.com/spreadsheets/d/1jQ6P4QcrGM89YfqcC_PxOHGCMq5ezhucwJd8ci-NHng/edit?usp=sharing"",""ราชบุรี!S28"&amp;"9"")+IMPORTRANGE(""https://docs.google.com/spreadsheets/d/1lufeA2cfFqM-elVq2hznhDzC6Pr7wkJ9ZG_sYNGCMCU/edit?usp=sharing"",""ลพบุรี!S289"")+IMPORTRANGE(""https://docs.google.com/spreadsheets/d/10oOiF7loTyfsTkbd4MpaIm0HQ9SwB7IYHdIUvt-U1Uc/edit?usp=sharing"""&amp;",""สระแก้ว!S289"")+IMPORTRANGE(""https://docs.google.com/spreadsheets/d/1xmPlrr1QbdSIKvl1dWUl9K4PjAfSL9oeMr_37QVzcxc/edit?usp=sharing"",""สระบุรี!S289"")+IMPORTRANGE(""https://docs.google.com/spreadsheets/d/1j51vR6CYVGhABJpv6tkstgok82RLpXieLzW1yOY5rHw/edi"&amp;"t?usp=sharing"",""สิงห์บุรี!S289"")+IMPORTRANGE(""https://docs.google.com/spreadsheets/d/1H1EalTWKUSzO4Z1-1CwzoDUaVffgrThEBe2sl74kKG0/edit?usp=sharing"",""สุพรรณบุรี!S289"")+IMPORTRANGE(""https://docs.google.com/spreadsheets/d/1BmIruG_sIrJLYao_Pdr7zVArWsf"&amp;"oBt2692TMi6x_854/edit?usp=sharing"",""อ่างทอง!S289"")"),0)</f>
        <v>0</v>
      </c>
      <c r="T289" s="136">
        <f t="shared" ca="1" si="201"/>
        <v>0</v>
      </c>
      <c r="U289" s="136">
        <f t="shared" ca="1" si="202"/>
        <v>0</v>
      </c>
    </row>
    <row r="290" spans="1:21" ht="18.75" x14ac:dyDescent="0.25">
      <c r="A290" s="211"/>
      <c r="B290" s="70"/>
      <c r="C290" s="70"/>
      <c r="D290" s="70"/>
      <c r="E290" s="78" t="s">
        <v>21</v>
      </c>
      <c r="F290" s="70"/>
      <c r="G290" s="72"/>
      <c r="H290" s="223" t="s">
        <v>14</v>
      </c>
      <c r="I290" s="221"/>
      <c r="J290" s="221"/>
      <c r="K290" s="222"/>
      <c r="L290" s="91">
        <f ca="1">IFERROR(__xludf.DUMMYFUNCTION("IMPORTRANGE(""https://docs.google.com/spreadsheets/d/13wPX838HrBrQMCywv1BsuMkt4PEKTChp52zj44s2izQ/edit?usp=sharing"",""กาญจนบุรี!L290"")+IMPORTRANGE(""https://docs.google.com/spreadsheets/d/1ddFKvqj1W1NEiWytbGlB1zMx_ykJDVtmfEQ-6-lIUBA/edit?usp=sharing"","&amp;"""จันทบุรี!L290"")+IMPORTRANGE(""https://docs.google.com/spreadsheets/d/1T1PQvRODqOBZk8BRht_U031fIS1beLA0Ub2CEytj2q0/edit?usp=sharing"",""ฉะเชิงเทรา!L290"")+IMPORTRANGE(""https://docs.google.com/spreadsheets/d/11tr1B-Bhyr79v2bkwVh5h_fR-PStkgjlZtkrZpYurG0/"&amp;"edit?usp=sharing"",""ชลบุรี!L290"")+IMPORTRANGE(""https://docs.google.com/spreadsheets/d/1hh-FVnSX0vozXhGluamEcS54Dw9_zqW0N7qJUWgJ0Sw/edit?usp=sharing"",""ชัยนาท!L290"")+IMPORTRANGE(""https://docs.google.com/spreadsheets/d/1jkqa6GXxSacMcY1eN8AHjMNJ_7dDXMJ"&amp;"VRLDlaFSOdPM/edit?usp=sharing"",""ตราด!L290"")+IMPORTRANGE(""https://docs.google.com/spreadsheets/d/18hSgUJ3VwClqi_qtULmmW3cLr0oe3OKaSYoKzdpTsYQ/edit?usp=sharing"",""นครนายก!L290"")+IMPORTRANGE(""https://docs.google.com/spreadsheets/d/1YTZo6WM2dQ6Ix6FSdnL"&amp;"5P7uVnVKu40sxZu975tgG10E/edit?usp=sharing"",""นครปฐม!L290"")+IMPORTRANGE(""https://docs.google.com/spreadsheets/d/1OYoGg4WDg5RIzwGeB10padOxJF9E_Vljuvvct_M7RDo/edit?usp=sharing"",""ปทุมธานี!L290"")+IMPORTRANGE(""https://docs.google.com/spreadsheets/d/1GbCI"&amp;"E4D4wk9FUozzqk7SxfDMxDVBwVmI5zcaVUSzKAc/edit?usp=sharing"",""ประจวบคีรีขันธ์!L290"")+IMPORTRANGE(""https://docs.google.com/spreadsheets/d/1vVf6wykvW_lAyu7Yo9L4hUTqHqIeP_qcVuxCtosJEbg/edit?usp=sharing"",""ปราจีนบุรี!L290"")+IMPORTRANGE(""https://docs.googl"&amp;"e.com/spreadsheets/d/1BIDqLLg5jk3v59G8NlR8rk5xfQDKne0sAvZHSj7TI6I/edit?usp=sharing"",""พระนครศรีอยุธยา!L290"")+IMPORTRANGE(""https://docs.google.com/spreadsheets/d/1YXvxf8Yu6_rV4hTBrwMqAcAnv6DfhUxh5emyM3CJp_w/edit?usp=sharing"",""เพชรบุรี!L290"")+IMPORTRA"&amp;"NGE(""https://docs.google.com/spreadsheets/d/19KBlQQs7uwvsao6t2n-KvW3Ax8J8uRRfZPq1zPbXgKc/edit?usp=sharing"",""ระยอง!L290"")+IMPORTRANGE(""https://docs.google.com/spreadsheets/d/1jQ6P4QcrGM89YfqcC_PxOHGCMq5ezhucwJd8ci-NHng/edit?usp=sharing"",""ราชบุรี!L29"&amp;"0"")+IMPORTRANGE(""https://docs.google.com/spreadsheets/d/1lufeA2cfFqM-elVq2hznhDzC6Pr7wkJ9ZG_sYNGCMCU/edit?usp=sharing"",""ลพบุรี!L290"")+IMPORTRANGE(""https://docs.google.com/spreadsheets/d/10oOiF7loTyfsTkbd4MpaIm0HQ9SwB7IYHdIUvt-U1Uc/edit?usp=sharing"""&amp;",""สระแก้ว!L290"")+IMPORTRANGE(""https://docs.google.com/spreadsheets/d/1xmPlrr1QbdSIKvl1dWUl9K4PjAfSL9oeMr_37QVzcxc/edit?usp=sharing"",""สระบุรี!L290"")+IMPORTRANGE(""https://docs.google.com/spreadsheets/d/1j51vR6CYVGhABJpv6tkstgok82RLpXieLzW1yOY5rHw/edi"&amp;"t?usp=sharing"",""สิงห์บุรี!L290"")+IMPORTRANGE(""https://docs.google.com/spreadsheets/d/1H1EalTWKUSzO4Z1-1CwzoDUaVffgrThEBe2sl74kKG0/edit?usp=sharing"",""สุพรรณบุรี!L290"")+IMPORTRANGE(""https://docs.google.com/spreadsheets/d/1BmIruG_sIrJLYao_Pdr7zVArWsf"&amp;"oBt2692TMi6x_854/edit?usp=sharing"",""อ่างทอง!L290"")"),0)</f>
        <v>0</v>
      </c>
      <c r="M290" s="91">
        <f ca="1">IFERROR(__xludf.DUMMYFUNCTION("IMPORTRANGE(""https://docs.google.com/spreadsheets/d/13wPX838HrBrQMCywv1BsuMkt4PEKTChp52zj44s2izQ/edit?usp=sharing"",""กาญจนบุรี!M290"")+IMPORTRANGE(""https://docs.google.com/spreadsheets/d/1ddFKvqj1W1NEiWytbGlB1zMx_ykJDVtmfEQ-6-lIUBA/edit?usp=sharing"","&amp;"""จันทบุรี!M290"")+IMPORTRANGE(""https://docs.google.com/spreadsheets/d/1T1PQvRODqOBZk8BRht_U031fIS1beLA0Ub2CEytj2q0/edit?usp=sharing"",""ฉะเชิงเทรา!M290"")+IMPORTRANGE(""https://docs.google.com/spreadsheets/d/11tr1B-Bhyr79v2bkwVh5h_fR-PStkgjlZtkrZpYurG0/"&amp;"edit?usp=sharing"",""ชลบุรี!M290"")+IMPORTRANGE(""https://docs.google.com/spreadsheets/d/1hh-FVnSX0vozXhGluamEcS54Dw9_zqW0N7qJUWgJ0Sw/edit?usp=sharing"",""ชัยนาท!M290"")+IMPORTRANGE(""https://docs.google.com/spreadsheets/d/1jkqa6GXxSacMcY1eN8AHjMNJ_7dDXMJ"&amp;"VRLDlaFSOdPM/edit?usp=sharing"",""ตราด!M290"")+IMPORTRANGE(""https://docs.google.com/spreadsheets/d/18hSgUJ3VwClqi_qtULmmW3cLr0oe3OKaSYoKzdpTsYQ/edit?usp=sharing"",""นครนายก!M290"")+IMPORTRANGE(""https://docs.google.com/spreadsheets/d/1YTZo6WM2dQ6Ix6FSdnL"&amp;"5P7uVnVKu40sxZu975tgG10E/edit?usp=sharing"",""นครปฐม!M290"")+IMPORTRANGE(""https://docs.google.com/spreadsheets/d/1OYoGg4WDg5RIzwGeB10padOxJF9E_Vljuvvct_M7RDo/edit?usp=sharing"",""ปทุมธานี!M290"")+IMPORTRANGE(""https://docs.google.com/spreadsheets/d/1GbCI"&amp;"E4D4wk9FUozzqk7SxfDMxDVBwVmI5zcaVUSzKAc/edit?usp=sharing"",""ประจวบคีรีขันธ์!M290"")+IMPORTRANGE(""https://docs.google.com/spreadsheets/d/1vVf6wykvW_lAyu7Yo9L4hUTqHqIeP_qcVuxCtosJEbg/edit?usp=sharing"",""ปราจีนบุรี!M290"")+IMPORTRANGE(""https://docs.googl"&amp;"e.com/spreadsheets/d/1BIDqLLg5jk3v59G8NlR8rk5xfQDKne0sAvZHSj7TI6I/edit?usp=sharing"",""พระนครศรีอยุธยา!M290"")+IMPORTRANGE(""https://docs.google.com/spreadsheets/d/1YXvxf8Yu6_rV4hTBrwMqAcAnv6DfhUxh5emyM3CJp_w/edit?usp=sharing"",""เพชรบุรี!M290"")+IMPORTRA"&amp;"NGE(""https://docs.google.com/spreadsheets/d/19KBlQQs7uwvsao6t2n-KvW3Ax8J8uRRfZPq1zPbXgKc/edit?usp=sharing"",""ระยอง!M290"")+IMPORTRANGE(""https://docs.google.com/spreadsheets/d/1jQ6P4QcrGM89YfqcC_PxOHGCMq5ezhucwJd8ci-NHng/edit?usp=sharing"",""ราชบุรี!M29"&amp;"0"")+IMPORTRANGE(""https://docs.google.com/spreadsheets/d/1lufeA2cfFqM-elVq2hznhDzC6Pr7wkJ9ZG_sYNGCMCU/edit?usp=sharing"",""ลพบุรี!M290"")+IMPORTRANGE(""https://docs.google.com/spreadsheets/d/10oOiF7loTyfsTkbd4MpaIm0HQ9SwB7IYHdIUvt-U1Uc/edit?usp=sharing"""&amp;",""สระแก้ว!M290"")+IMPORTRANGE(""https://docs.google.com/spreadsheets/d/1xmPlrr1QbdSIKvl1dWUl9K4PjAfSL9oeMr_37QVzcxc/edit?usp=sharing"",""สระบุรี!M290"")+IMPORTRANGE(""https://docs.google.com/spreadsheets/d/1j51vR6CYVGhABJpv6tkstgok82RLpXieLzW1yOY5rHw/edi"&amp;"t?usp=sharing"",""สิงห์บุรี!M290"")+IMPORTRANGE(""https://docs.google.com/spreadsheets/d/1H1EalTWKUSzO4Z1-1CwzoDUaVffgrThEBe2sl74kKG0/edit?usp=sharing"",""สุพรรณบุรี!M290"")+IMPORTRANGE(""https://docs.google.com/spreadsheets/d/1BmIruG_sIrJLYao_Pdr7zVArWsf"&amp;"oBt2692TMi6x_854/edit?usp=sharing"",""อ่างทอง!M290"")"),0)</f>
        <v>0</v>
      </c>
      <c r="N290" s="91">
        <f ca="1">IFERROR(__xludf.DUMMYFUNCTION("IMPORTRANGE(""https://docs.google.com/spreadsheets/d/13wPX838HrBrQMCywv1BsuMkt4PEKTChp52zj44s2izQ/edit?usp=sharing"",""กาญจนบุรี!N290"")+IMPORTRANGE(""https://docs.google.com/spreadsheets/d/1ddFKvqj1W1NEiWytbGlB1zMx_ykJDVtmfEQ-6-lIUBA/edit?usp=sharing"","&amp;"""จันทบุรี!N290"")+IMPORTRANGE(""https://docs.google.com/spreadsheets/d/1T1PQvRODqOBZk8BRht_U031fIS1beLA0Ub2CEytj2q0/edit?usp=sharing"",""ฉะเชิงเทรา!N290"")+IMPORTRANGE(""https://docs.google.com/spreadsheets/d/11tr1B-Bhyr79v2bkwVh5h_fR-PStkgjlZtkrZpYurG0/"&amp;"edit?usp=sharing"",""ชลบุรี!N290"")+IMPORTRANGE(""https://docs.google.com/spreadsheets/d/1hh-FVnSX0vozXhGluamEcS54Dw9_zqW0N7qJUWgJ0Sw/edit?usp=sharing"",""ชัยนาท!N290"")+IMPORTRANGE(""https://docs.google.com/spreadsheets/d/1jkqa6GXxSacMcY1eN8AHjMNJ_7dDXMJ"&amp;"VRLDlaFSOdPM/edit?usp=sharing"",""ตราด!N290"")+IMPORTRANGE(""https://docs.google.com/spreadsheets/d/18hSgUJ3VwClqi_qtULmmW3cLr0oe3OKaSYoKzdpTsYQ/edit?usp=sharing"",""นครนายก!N290"")+IMPORTRANGE(""https://docs.google.com/spreadsheets/d/1YTZo6WM2dQ6Ix6FSdnL"&amp;"5P7uVnVKu40sxZu975tgG10E/edit?usp=sharing"",""นครปฐม!N290"")+IMPORTRANGE(""https://docs.google.com/spreadsheets/d/1OYoGg4WDg5RIzwGeB10padOxJF9E_Vljuvvct_M7RDo/edit?usp=sharing"",""ปทุมธานี!N290"")+IMPORTRANGE(""https://docs.google.com/spreadsheets/d/1GbCI"&amp;"E4D4wk9FUozzqk7SxfDMxDVBwVmI5zcaVUSzKAc/edit?usp=sharing"",""ประจวบคีรีขันธ์!N290"")+IMPORTRANGE(""https://docs.google.com/spreadsheets/d/1vVf6wykvW_lAyu7Yo9L4hUTqHqIeP_qcVuxCtosJEbg/edit?usp=sharing"",""ปราจีนบุรี!N290"")+IMPORTRANGE(""https://docs.googl"&amp;"e.com/spreadsheets/d/1BIDqLLg5jk3v59G8NlR8rk5xfQDKne0sAvZHSj7TI6I/edit?usp=sharing"",""พระนครศรีอยุธยา!N290"")+IMPORTRANGE(""https://docs.google.com/spreadsheets/d/1YXvxf8Yu6_rV4hTBrwMqAcAnv6DfhUxh5emyM3CJp_w/edit?usp=sharing"",""เพชรบุรี!N290"")+IMPORTRA"&amp;"NGE(""https://docs.google.com/spreadsheets/d/19KBlQQs7uwvsao6t2n-KvW3Ax8J8uRRfZPq1zPbXgKc/edit?usp=sharing"",""ระยอง!N290"")+IMPORTRANGE(""https://docs.google.com/spreadsheets/d/1jQ6P4QcrGM89YfqcC_PxOHGCMq5ezhucwJd8ci-NHng/edit?usp=sharing"",""ราชบุรี!N29"&amp;"0"")+IMPORTRANGE(""https://docs.google.com/spreadsheets/d/1lufeA2cfFqM-elVq2hznhDzC6Pr7wkJ9ZG_sYNGCMCU/edit?usp=sharing"",""ลพบุรี!N290"")+IMPORTRANGE(""https://docs.google.com/spreadsheets/d/10oOiF7loTyfsTkbd4MpaIm0HQ9SwB7IYHdIUvt-U1Uc/edit?usp=sharing"""&amp;",""สระแก้ว!N290"")+IMPORTRANGE(""https://docs.google.com/spreadsheets/d/1xmPlrr1QbdSIKvl1dWUl9K4PjAfSL9oeMr_37QVzcxc/edit?usp=sharing"",""สระบุรี!N290"")+IMPORTRANGE(""https://docs.google.com/spreadsheets/d/1j51vR6CYVGhABJpv6tkstgok82RLpXieLzW1yOY5rHw/edi"&amp;"t?usp=sharing"",""สิงห์บุรี!N290"")+IMPORTRANGE(""https://docs.google.com/spreadsheets/d/1H1EalTWKUSzO4Z1-1CwzoDUaVffgrThEBe2sl74kKG0/edit?usp=sharing"",""สุพรรณบุรี!N290"")+IMPORTRANGE(""https://docs.google.com/spreadsheets/d/1BmIruG_sIrJLYao_Pdr7zVArWsf"&amp;"oBt2692TMi6x_854/edit?usp=sharing"",""อ่างทอง!N290"")"),0)</f>
        <v>0</v>
      </c>
      <c r="O290" s="91">
        <f t="shared" ca="1" si="198"/>
        <v>0</v>
      </c>
      <c r="P290" s="91">
        <f t="shared" ca="1" si="199"/>
        <v>0</v>
      </c>
      <c r="Q290" s="76">
        <f ca="1">IFERROR(__xludf.DUMMYFUNCTION("IMPORTRANGE(""https://docs.google.com/spreadsheets/d/13wPX838HrBrQMCywv1BsuMkt4PEKTChp52zj44s2izQ/edit?usp=sharing"",""กาญจนบุรี!Q290"")+IMPORTRANGE(""https://docs.google.com/spreadsheets/d/1ddFKvqj1W1NEiWytbGlB1zMx_ykJDVtmfEQ-6-lIUBA/edit?usp=sharing"","&amp;"""จันทบุรี!Q290"")+IMPORTRANGE(""https://docs.google.com/spreadsheets/d/1T1PQvRODqOBZk8BRht_U031fIS1beLA0Ub2CEytj2q0/edit?usp=sharing"",""ฉะเชิงเทรา!Q290"")+IMPORTRANGE(""https://docs.google.com/spreadsheets/d/11tr1B-Bhyr79v2bkwVh5h_fR-PStkgjlZtkrZpYurG0/"&amp;"edit?usp=sharing"",""ชลบุรี!Q290"")+IMPORTRANGE(""https://docs.google.com/spreadsheets/d/1hh-FVnSX0vozXhGluamEcS54Dw9_zqW0N7qJUWgJ0Sw/edit?usp=sharing"",""ชัยนาท!Q290"")+IMPORTRANGE(""https://docs.google.com/spreadsheets/d/1jkqa6GXxSacMcY1eN8AHjMNJ_7dDXMJ"&amp;"VRLDlaFSOdPM/edit?usp=sharing"",""ตราด!Q290"")+IMPORTRANGE(""https://docs.google.com/spreadsheets/d/18hSgUJ3VwClqi_qtULmmW3cLr0oe3OKaSYoKzdpTsYQ/edit?usp=sharing"",""นครนายก!Q290"")+IMPORTRANGE(""https://docs.google.com/spreadsheets/d/1YTZo6WM2dQ6Ix6FSdnL"&amp;"5P7uVnVKu40sxZu975tgG10E/edit?usp=sharing"",""นครปฐม!Q290"")+IMPORTRANGE(""https://docs.google.com/spreadsheets/d/1OYoGg4WDg5RIzwGeB10padOxJF9E_Vljuvvct_M7RDo/edit?usp=sharing"",""ปทุมธานี!Q290"")+IMPORTRANGE(""https://docs.google.com/spreadsheets/d/1GbCI"&amp;"E4D4wk9FUozzqk7SxfDMxDVBwVmI5zcaVUSzKAc/edit?usp=sharing"",""ประจวบคีรีขันธ์!Q290"")+IMPORTRANGE(""https://docs.google.com/spreadsheets/d/1vVf6wykvW_lAyu7Yo9L4hUTqHqIeP_qcVuxCtosJEbg/edit?usp=sharing"",""ปราจีนบุรี!Q290"")+IMPORTRANGE(""https://docs.googl"&amp;"e.com/spreadsheets/d/1BIDqLLg5jk3v59G8NlR8rk5xfQDKne0sAvZHSj7TI6I/edit?usp=sharing"",""พระนครศรีอยุธยา!Q290"")+IMPORTRANGE(""https://docs.google.com/spreadsheets/d/1YXvxf8Yu6_rV4hTBrwMqAcAnv6DfhUxh5emyM3CJp_w/edit?usp=sharing"",""เพชรบุรี!Q290"")+IMPORTRA"&amp;"NGE(""https://docs.google.com/spreadsheets/d/19KBlQQs7uwvsao6t2n-KvW3Ax8J8uRRfZPq1zPbXgKc/edit?usp=sharing"",""ระยอง!Q290"")+IMPORTRANGE(""https://docs.google.com/spreadsheets/d/1jQ6P4QcrGM89YfqcC_PxOHGCMq5ezhucwJd8ci-NHng/edit?usp=sharing"",""ราชบุรี!Q29"&amp;"0"")+IMPORTRANGE(""https://docs.google.com/spreadsheets/d/1lufeA2cfFqM-elVq2hznhDzC6Pr7wkJ9ZG_sYNGCMCU/edit?usp=sharing"",""ลพบุรี!Q290"")+IMPORTRANGE(""https://docs.google.com/spreadsheets/d/10oOiF7loTyfsTkbd4MpaIm0HQ9SwB7IYHdIUvt-U1Uc/edit?usp=sharing"""&amp;",""สระแก้ว!Q290"")+IMPORTRANGE(""https://docs.google.com/spreadsheets/d/1xmPlrr1QbdSIKvl1dWUl9K4PjAfSL9oeMr_37QVzcxc/edit?usp=sharing"",""สระบุรี!Q290"")+IMPORTRANGE(""https://docs.google.com/spreadsheets/d/1j51vR6CYVGhABJpv6tkstgok82RLpXieLzW1yOY5rHw/edi"&amp;"t?usp=sharing"",""สิงห์บุรี!Q290"")+IMPORTRANGE(""https://docs.google.com/spreadsheets/d/1H1EalTWKUSzO4Z1-1CwzoDUaVffgrThEBe2sl74kKG0/edit?usp=sharing"",""สุพรรณบุรี!Q290"")+IMPORTRANGE(""https://docs.google.com/spreadsheets/d/1BmIruG_sIrJLYao_Pdr7zVArWsf"&amp;"oBt2692TMi6x_854/edit?usp=sharing"",""อ่างทอง!Q290"")"),0)</f>
        <v>0</v>
      </c>
      <c r="R290" s="77">
        <f ca="1">IFERROR(__xludf.DUMMYFUNCTION("IMPORTRANGE(""https://docs.google.com/spreadsheets/d/13wPX838HrBrQMCywv1BsuMkt4PEKTChp52zj44s2izQ/edit?usp=sharing"",""กาญจนบุรี!R290"")+IMPORTRANGE(""https://docs.google.com/spreadsheets/d/1ddFKvqj1W1NEiWytbGlB1zMx_ykJDVtmfEQ-6-lIUBA/edit?usp=sharing"","&amp;"""จันทบุรี!R290"")+IMPORTRANGE(""https://docs.google.com/spreadsheets/d/1T1PQvRODqOBZk8BRht_U031fIS1beLA0Ub2CEytj2q0/edit?usp=sharing"",""ฉะเชิงเทรา!R290"")+IMPORTRANGE(""https://docs.google.com/spreadsheets/d/11tr1B-Bhyr79v2bkwVh5h_fR-PStkgjlZtkrZpYurG0/"&amp;"edit?usp=sharing"",""ชลบุรี!R290"")+IMPORTRANGE(""https://docs.google.com/spreadsheets/d/1hh-FVnSX0vozXhGluamEcS54Dw9_zqW0N7qJUWgJ0Sw/edit?usp=sharing"",""ชัยนาท!R290"")+IMPORTRANGE(""https://docs.google.com/spreadsheets/d/1jkqa6GXxSacMcY1eN8AHjMNJ_7dDXMJ"&amp;"VRLDlaFSOdPM/edit?usp=sharing"",""ตราด!R290"")+IMPORTRANGE(""https://docs.google.com/spreadsheets/d/18hSgUJ3VwClqi_qtULmmW3cLr0oe3OKaSYoKzdpTsYQ/edit?usp=sharing"",""นครนายก!R290"")+IMPORTRANGE(""https://docs.google.com/spreadsheets/d/1YTZo6WM2dQ6Ix6FSdnL"&amp;"5P7uVnVKu40sxZu975tgG10E/edit?usp=sharing"",""นครปฐม!R290"")+IMPORTRANGE(""https://docs.google.com/spreadsheets/d/1OYoGg4WDg5RIzwGeB10padOxJF9E_Vljuvvct_M7RDo/edit?usp=sharing"",""ปทุมธานี!R290"")+IMPORTRANGE(""https://docs.google.com/spreadsheets/d/1GbCI"&amp;"E4D4wk9FUozzqk7SxfDMxDVBwVmI5zcaVUSzKAc/edit?usp=sharing"",""ประจวบคีรีขันธ์!R290"")+IMPORTRANGE(""https://docs.google.com/spreadsheets/d/1vVf6wykvW_lAyu7Yo9L4hUTqHqIeP_qcVuxCtosJEbg/edit?usp=sharing"",""ปราจีนบุรี!R290"")+IMPORTRANGE(""https://docs.googl"&amp;"e.com/spreadsheets/d/1BIDqLLg5jk3v59G8NlR8rk5xfQDKne0sAvZHSj7TI6I/edit?usp=sharing"",""พระนครศรีอยุธยา!R290"")+IMPORTRANGE(""https://docs.google.com/spreadsheets/d/1YXvxf8Yu6_rV4hTBrwMqAcAnv6DfhUxh5emyM3CJp_w/edit?usp=sharing"",""เพชรบุรี!R290"")+IMPORTRA"&amp;"NGE(""https://docs.google.com/spreadsheets/d/19KBlQQs7uwvsao6t2n-KvW3Ax8J8uRRfZPq1zPbXgKc/edit?usp=sharing"",""ระยอง!R290"")+IMPORTRANGE(""https://docs.google.com/spreadsheets/d/1jQ6P4QcrGM89YfqcC_PxOHGCMq5ezhucwJd8ci-NHng/edit?usp=sharing"",""ราชบุรี!R29"&amp;"0"")+IMPORTRANGE(""https://docs.google.com/spreadsheets/d/1lufeA2cfFqM-elVq2hznhDzC6Pr7wkJ9ZG_sYNGCMCU/edit?usp=sharing"",""ลพบุรี!R290"")+IMPORTRANGE(""https://docs.google.com/spreadsheets/d/10oOiF7loTyfsTkbd4MpaIm0HQ9SwB7IYHdIUvt-U1Uc/edit?usp=sharing"""&amp;",""สระแก้ว!R290"")+IMPORTRANGE(""https://docs.google.com/spreadsheets/d/1xmPlrr1QbdSIKvl1dWUl9K4PjAfSL9oeMr_37QVzcxc/edit?usp=sharing"",""สระบุรี!R290"")+IMPORTRANGE(""https://docs.google.com/spreadsheets/d/1j51vR6CYVGhABJpv6tkstgok82RLpXieLzW1yOY5rHw/edi"&amp;"t?usp=sharing"",""สิงห์บุรี!R290"")+IMPORTRANGE(""https://docs.google.com/spreadsheets/d/1H1EalTWKUSzO4Z1-1CwzoDUaVffgrThEBe2sl74kKG0/edit?usp=sharing"",""สุพรรณบุรี!R290"")+IMPORTRANGE(""https://docs.google.com/spreadsheets/d/1BmIruG_sIrJLYao_Pdr7zVArWsf"&amp;"oBt2692TMi6x_854/edit?usp=sharing"",""อ่างทอง!R290"")"),0)</f>
        <v>0</v>
      </c>
      <c r="S290" s="77">
        <f ca="1">IFERROR(__xludf.DUMMYFUNCTION("IMPORTRANGE(""https://docs.google.com/spreadsheets/d/13wPX838HrBrQMCywv1BsuMkt4PEKTChp52zj44s2izQ/edit?usp=sharing"",""กาญจนบุรี!S290"")+IMPORTRANGE(""https://docs.google.com/spreadsheets/d/1ddFKvqj1W1NEiWytbGlB1zMx_ykJDVtmfEQ-6-lIUBA/edit?usp=sharing"","&amp;"""จันทบุรี!S290"")+IMPORTRANGE(""https://docs.google.com/spreadsheets/d/1T1PQvRODqOBZk8BRht_U031fIS1beLA0Ub2CEytj2q0/edit?usp=sharing"",""ฉะเชิงเทรา!S290"")+IMPORTRANGE(""https://docs.google.com/spreadsheets/d/11tr1B-Bhyr79v2bkwVh5h_fR-PStkgjlZtkrZpYurG0/"&amp;"edit?usp=sharing"",""ชลบุรี!S290"")+IMPORTRANGE(""https://docs.google.com/spreadsheets/d/1hh-FVnSX0vozXhGluamEcS54Dw9_zqW0N7qJUWgJ0Sw/edit?usp=sharing"",""ชัยนาท!S290"")+IMPORTRANGE(""https://docs.google.com/spreadsheets/d/1jkqa6GXxSacMcY1eN8AHjMNJ_7dDXMJ"&amp;"VRLDlaFSOdPM/edit?usp=sharing"",""ตราด!S290"")+IMPORTRANGE(""https://docs.google.com/spreadsheets/d/18hSgUJ3VwClqi_qtULmmW3cLr0oe3OKaSYoKzdpTsYQ/edit?usp=sharing"",""นครนายก!S290"")+IMPORTRANGE(""https://docs.google.com/spreadsheets/d/1YTZo6WM2dQ6Ix6FSdnL"&amp;"5P7uVnVKu40sxZu975tgG10E/edit?usp=sharing"",""นครปฐม!S290"")+IMPORTRANGE(""https://docs.google.com/spreadsheets/d/1OYoGg4WDg5RIzwGeB10padOxJF9E_Vljuvvct_M7RDo/edit?usp=sharing"",""ปทุมธานี!S290"")+IMPORTRANGE(""https://docs.google.com/spreadsheets/d/1GbCI"&amp;"E4D4wk9FUozzqk7SxfDMxDVBwVmI5zcaVUSzKAc/edit?usp=sharing"",""ประจวบคีรีขันธ์!S290"")+IMPORTRANGE(""https://docs.google.com/spreadsheets/d/1vVf6wykvW_lAyu7Yo9L4hUTqHqIeP_qcVuxCtosJEbg/edit?usp=sharing"",""ปราจีนบุรี!S290"")+IMPORTRANGE(""https://docs.googl"&amp;"e.com/spreadsheets/d/1BIDqLLg5jk3v59G8NlR8rk5xfQDKne0sAvZHSj7TI6I/edit?usp=sharing"",""พระนครศรีอยุธยา!S290"")+IMPORTRANGE(""https://docs.google.com/spreadsheets/d/1YXvxf8Yu6_rV4hTBrwMqAcAnv6DfhUxh5emyM3CJp_w/edit?usp=sharing"",""เพชรบุรี!S290"")+IMPORTRA"&amp;"NGE(""https://docs.google.com/spreadsheets/d/19KBlQQs7uwvsao6t2n-KvW3Ax8J8uRRfZPq1zPbXgKc/edit?usp=sharing"",""ระยอง!S290"")+IMPORTRANGE(""https://docs.google.com/spreadsheets/d/1jQ6P4QcrGM89YfqcC_PxOHGCMq5ezhucwJd8ci-NHng/edit?usp=sharing"",""ราชบุรี!S29"&amp;"0"")+IMPORTRANGE(""https://docs.google.com/spreadsheets/d/1lufeA2cfFqM-elVq2hznhDzC6Pr7wkJ9ZG_sYNGCMCU/edit?usp=sharing"",""ลพบุรี!S290"")+IMPORTRANGE(""https://docs.google.com/spreadsheets/d/10oOiF7loTyfsTkbd4MpaIm0HQ9SwB7IYHdIUvt-U1Uc/edit?usp=sharing"""&amp;",""สระแก้ว!S290"")+IMPORTRANGE(""https://docs.google.com/spreadsheets/d/1xmPlrr1QbdSIKvl1dWUl9K4PjAfSL9oeMr_37QVzcxc/edit?usp=sharing"",""สระบุรี!S290"")+IMPORTRANGE(""https://docs.google.com/spreadsheets/d/1j51vR6CYVGhABJpv6tkstgok82RLpXieLzW1yOY5rHw/edi"&amp;"t?usp=sharing"",""สิงห์บุรี!S290"")+IMPORTRANGE(""https://docs.google.com/spreadsheets/d/1H1EalTWKUSzO4Z1-1CwzoDUaVffgrThEBe2sl74kKG0/edit?usp=sharing"",""สุพรรณบุรี!S290"")+IMPORTRANGE(""https://docs.google.com/spreadsheets/d/1BmIruG_sIrJLYao_Pdr7zVArWsf"&amp;"oBt2692TMi6x_854/edit?usp=sharing"",""อ่างทอง!S290"")"),0)</f>
        <v>0</v>
      </c>
      <c r="T290" s="135">
        <f t="shared" ca="1" si="201"/>
        <v>0</v>
      </c>
      <c r="U290" s="135">
        <f t="shared" ca="1" si="202"/>
        <v>0</v>
      </c>
    </row>
    <row r="291" spans="1:21" ht="19.5" x14ac:dyDescent="0.3">
      <c r="A291" s="224"/>
      <c r="B291" s="225"/>
      <c r="C291" s="212" t="s">
        <v>18</v>
      </c>
      <c r="D291" s="226" t="s">
        <v>38</v>
      </c>
      <c r="E291" s="227"/>
      <c r="F291" s="227"/>
      <c r="G291" s="228"/>
      <c r="H291" s="229"/>
      <c r="I291" s="221"/>
      <c r="J291" s="221"/>
      <c r="K291" s="222"/>
      <c r="L291" s="222"/>
      <c r="M291" s="222"/>
      <c r="N291" s="222"/>
      <c r="O291" s="222"/>
      <c r="P291" s="222"/>
      <c r="Q291" s="230"/>
      <c r="R291" s="231"/>
      <c r="S291" s="231"/>
      <c r="T291" s="231"/>
      <c r="U291" s="231"/>
    </row>
    <row r="292" spans="1:21" ht="18.75" x14ac:dyDescent="0.25">
      <c r="A292" s="224"/>
      <c r="B292" s="225"/>
      <c r="C292" s="225"/>
      <c r="D292" s="238" t="s">
        <v>120</v>
      </c>
      <c r="E292" s="225"/>
      <c r="F292" s="233"/>
      <c r="G292" s="229"/>
      <c r="H292" s="244" t="s">
        <v>46</v>
      </c>
      <c r="I292" s="241">
        <f ca="1">IFERROR(__xludf.DUMMYFUNCTION("IMPORTRANGE(""https://docs.google.com/spreadsheets/d/13wPX838HrBrQMCywv1BsuMkt4PEKTChp52zj44s2izQ/edit?usp=sharing"",""กาญจนบุรี!I292"")+IMPORTRANGE(""https://docs.google.com/spreadsheets/d/1ddFKvqj1W1NEiWytbGlB1zMx_ykJDVtmfEQ-6-lIUBA/edit?usp=sharing"","&amp;"""จันทบุรี!I292"")+IMPORTRANGE(""https://docs.google.com/spreadsheets/d/1T1PQvRODqOBZk8BRht_U031fIS1beLA0Ub2CEytj2q0/edit?usp=sharing"",""ฉะเชิงเทรา!I292"")+IMPORTRANGE(""https://docs.google.com/spreadsheets/d/11tr1B-Bhyr79v2bkwVh5h_fR-PStkgjlZtkrZpYurG0/"&amp;"edit?usp=sharing"",""ชลบุรี!I292"")+IMPORTRANGE(""https://docs.google.com/spreadsheets/d/1hh-FVnSX0vozXhGluamEcS54Dw9_zqW0N7qJUWgJ0Sw/edit?usp=sharing"",""ชัยนาท!I292"")+IMPORTRANGE(""https://docs.google.com/spreadsheets/d/1jkqa6GXxSacMcY1eN8AHjMNJ_7dDXMJ"&amp;"VRLDlaFSOdPM/edit?usp=sharing"",""ตราด!I292"")+IMPORTRANGE(""https://docs.google.com/spreadsheets/d/18hSgUJ3VwClqi_qtULmmW3cLr0oe3OKaSYoKzdpTsYQ/edit?usp=sharing"",""นครนายก!I292"")+IMPORTRANGE(""https://docs.google.com/spreadsheets/d/1YTZo6WM2dQ6Ix6FSdnL"&amp;"5P7uVnVKu40sxZu975tgG10E/edit?usp=sharing"",""นครปฐม!I292"")+IMPORTRANGE(""https://docs.google.com/spreadsheets/d/1OYoGg4WDg5RIzwGeB10padOxJF9E_Vljuvvct_M7RDo/edit?usp=sharing"",""ปทุมธานี!I292"")+IMPORTRANGE(""https://docs.google.com/spreadsheets/d/1GbCI"&amp;"E4D4wk9FUozzqk7SxfDMxDVBwVmI5zcaVUSzKAc/edit?usp=sharing"",""ประจวบคีรีขันธ์!I292"")+IMPORTRANGE(""https://docs.google.com/spreadsheets/d/1vVf6wykvW_lAyu7Yo9L4hUTqHqIeP_qcVuxCtosJEbg/edit?usp=sharing"",""ปราจีนบุรี!I292"")+IMPORTRANGE(""https://docs.googl"&amp;"e.com/spreadsheets/d/1BIDqLLg5jk3v59G8NlR8rk5xfQDKne0sAvZHSj7TI6I/edit?usp=sharing"",""พระนครศรีอยุธยา!I292"")+IMPORTRANGE(""https://docs.google.com/spreadsheets/d/1YXvxf8Yu6_rV4hTBrwMqAcAnv6DfhUxh5emyM3CJp_w/edit?usp=sharing"",""เพชรบุรี!I292"")+IMPORTRA"&amp;"NGE(""https://docs.google.com/spreadsheets/d/19KBlQQs7uwvsao6t2n-KvW3Ax8J8uRRfZPq1zPbXgKc/edit?usp=sharing"",""ระยอง!I292"")+IMPORTRANGE(""https://docs.google.com/spreadsheets/d/1jQ6P4QcrGM89YfqcC_PxOHGCMq5ezhucwJd8ci-NHng/edit?usp=sharing"",""ราชบุรี!I29"&amp;"2"")+IMPORTRANGE(""https://docs.google.com/spreadsheets/d/1lufeA2cfFqM-elVq2hznhDzC6Pr7wkJ9ZG_sYNGCMCU/edit?usp=sharing"",""ลพบุรี!I292"")+IMPORTRANGE(""https://docs.google.com/spreadsheets/d/10oOiF7loTyfsTkbd4MpaIm0HQ9SwB7IYHdIUvt-U1Uc/edit?usp=sharing"""&amp;",""สระแก้ว!I292"")+IMPORTRANGE(""https://docs.google.com/spreadsheets/d/1xmPlrr1QbdSIKvl1dWUl9K4PjAfSL9oeMr_37QVzcxc/edit?usp=sharing"",""สระบุรี!I292"")+IMPORTRANGE(""https://docs.google.com/spreadsheets/d/1j51vR6CYVGhABJpv6tkstgok82RLpXieLzW1yOY5rHw/edi"&amp;"t?usp=sharing"",""สิงห์บุรี!I292"")+IMPORTRANGE(""https://docs.google.com/spreadsheets/d/1H1EalTWKUSzO4Z1-1CwzoDUaVffgrThEBe2sl74kKG0/edit?usp=sharing"",""สุพรรณบุรี!I292"")+IMPORTRANGE(""https://docs.google.com/spreadsheets/d/1BmIruG_sIrJLYao_Pdr7zVArWsf"&amp;"oBt2692TMi6x_854/edit?usp=sharing"",""อ่างทอง!I292"")"),100)</f>
        <v>100</v>
      </c>
      <c r="J292" s="241">
        <f ca="1">IFERROR(__xludf.DUMMYFUNCTION("IMPORTRANGE(""https://docs.google.com/spreadsheets/d/13wPX838HrBrQMCywv1BsuMkt4PEKTChp52zj44s2izQ/edit?usp=sharing"",""กาญจนบุรี!J292"")+IMPORTRANGE(""https://docs.google.com/spreadsheets/d/1ddFKvqj1W1NEiWytbGlB1zMx_ykJDVtmfEQ-6-lIUBA/edit?usp=sharing"","&amp;"""จันทบุรี!J292"")+IMPORTRANGE(""https://docs.google.com/spreadsheets/d/1T1PQvRODqOBZk8BRht_U031fIS1beLA0Ub2CEytj2q0/edit?usp=sharing"",""ฉะเชิงเทรา!J292"")+IMPORTRANGE(""https://docs.google.com/spreadsheets/d/11tr1B-Bhyr79v2bkwVh5h_fR-PStkgjlZtkrZpYurG0/"&amp;"edit?usp=sharing"",""ชลบุรี!J292"")+IMPORTRANGE(""https://docs.google.com/spreadsheets/d/1hh-FVnSX0vozXhGluamEcS54Dw9_zqW0N7qJUWgJ0Sw/edit?usp=sharing"",""ชัยนาท!J292"")+IMPORTRANGE(""https://docs.google.com/spreadsheets/d/1jkqa6GXxSacMcY1eN8AHjMNJ_7dDXMJ"&amp;"VRLDlaFSOdPM/edit?usp=sharing"",""ตราด!J292"")+IMPORTRANGE(""https://docs.google.com/spreadsheets/d/18hSgUJ3VwClqi_qtULmmW3cLr0oe3OKaSYoKzdpTsYQ/edit?usp=sharing"",""นครนายก!J292"")+IMPORTRANGE(""https://docs.google.com/spreadsheets/d/1YTZo6WM2dQ6Ix6FSdnL"&amp;"5P7uVnVKu40sxZu975tgG10E/edit?usp=sharing"",""นครปฐม!J292"")+IMPORTRANGE(""https://docs.google.com/spreadsheets/d/1OYoGg4WDg5RIzwGeB10padOxJF9E_Vljuvvct_M7RDo/edit?usp=sharing"",""ปทุมธานี!J292"")+IMPORTRANGE(""https://docs.google.com/spreadsheets/d/1GbCI"&amp;"E4D4wk9FUozzqk7SxfDMxDVBwVmI5zcaVUSzKAc/edit?usp=sharing"",""ประจวบคีรีขันธ์!J292"")+IMPORTRANGE(""https://docs.google.com/spreadsheets/d/1vVf6wykvW_lAyu7Yo9L4hUTqHqIeP_qcVuxCtosJEbg/edit?usp=sharing"",""ปราจีนบุรี!J292"")+IMPORTRANGE(""https://docs.googl"&amp;"e.com/spreadsheets/d/1BIDqLLg5jk3v59G8NlR8rk5xfQDKne0sAvZHSj7TI6I/edit?usp=sharing"",""พระนครศรีอยุธยา!J292"")+IMPORTRANGE(""https://docs.google.com/spreadsheets/d/1YXvxf8Yu6_rV4hTBrwMqAcAnv6DfhUxh5emyM3CJp_w/edit?usp=sharing"",""เพชรบุรี!J292"")+IMPORTRA"&amp;"NGE(""https://docs.google.com/spreadsheets/d/19KBlQQs7uwvsao6t2n-KvW3Ax8J8uRRfZPq1zPbXgKc/edit?usp=sharing"",""ระยอง!J292"")+IMPORTRANGE(""https://docs.google.com/spreadsheets/d/1jQ6P4QcrGM89YfqcC_PxOHGCMq5ezhucwJd8ci-NHng/edit?usp=sharing"",""ราชบุรี!J29"&amp;"2"")+IMPORTRANGE(""https://docs.google.com/spreadsheets/d/1lufeA2cfFqM-elVq2hznhDzC6Pr7wkJ9ZG_sYNGCMCU/edit?usp=sharing"",""ลพบุรี!J292"")+IMPORTRANGE(""https://docs.google.com/spreadsheets/d/10oOiF7loTyfsTkbd4MpaIm0HQ9SwB7IYHdIUvt-U1Uc/edit?usp=sharing"""&amp;",""สระแก้ว!J292"")+IMPORTRANGE(""https://docs.google.com/spreadsheets/d/1xmPlrr1QbdSIKvl1dWUl9K4PjAfSL9oeMr_37QVzcxc/edit?usp=sharing"",""สระบุรี!J292"")+IMPORTRANGE(""https://docs.google.com/spreadsheets/d/1j51vR6CYVGhABJpv6tkstgok82RLpXieLzW1yOY5rHw/edi"&amp;"t?usp=sharing"",""สิงห์บุรี!J292"")+IMPORTRANGE(""https://docs.google.com/spreadsheets/d/1H1EalTWKUSzO4Z1-1CwzoDUaVffgrThEBe2sl74kKG0/edit?usp=sharing"",""สุพรรณบุรี!J292"")+IMPORTRANGE(""https://docs.google.com/spreadsheets/d/1BmIruG_sIrJLYao_Pdr7zVArWsf"&amp;"oBt2692TMi6x_854/edit?usp=sharing"",""อ่างทอง!J292"")"),100)</f>
        <v>100</v>
      </c>
      <c r="K292" s="242">
        <f t="shared" ref="K292:K293" ca="1" si="211">IF(I292&gt;0,J292*100/I292,0)</f>
        <v>100</v>
      </c>
      <c r="L292" s="222"/>
      <c r="M292" s="222"/>
      <c r="N292" s="222"/>
      <c r="O292" s="222"/>
      <c r="P292" s="222"/>
      <c r="Q292" s="230"/>
      <c r="R292" s="231"/>
      <c r="S292" s="231"/>
      <c r="T292" s="231"/>
      <c r="U292" s="231"/>
    </row>
    <row r="293" spans="1:21" ht="19.5" x14ac:dyDescent="0.3">
      <c r="A293" s="224"/>
      <c r="B293" s="225"/>
      <c r="C293" s="225"/>
      <c r="D293" s="238" t="s">
        <v>121</v>
      </c>
      <c r="E293" s="225"/>
      <c r="F293" s="233"/>
      <c r="G293" s="229"/>
      <c r="H293" s="234" t="s">
        <v>35</v>
      </c>
      <c r="I293" s="235">
        <f ca="1">IFERROR(__xludf.DUMMYFUNCTION("IMPORTRANGE(""https://docs.google.com/spreadsheets/d/13wPX838HrBrQMCywv1BsuMkt4PEKTChp52zj44s2izQ/edit?usp=sharing"",""กาญจนบุรี!I293"")+IMPORTRANGE(""https://docs.google.com/spreadsheets/d/1ddFKvqj1W1NEiWytbGlB1zMx_ykJDVtmfEQ-6-lIUBA/edit?usp=sharing"","&amp;"""จันทบุรี!I293"")+IMPORTRANGE(""https://docs.google.com/spreadsheets/d/1T1PQvRODqOBZk8BRht_U031fIS1beLA0Ub2CEytj2q0/edit?usp=sharing"",""ฉะเชิงเทรา!I293"")+IMPORTRANGE(""https://docs.google.com/spreadsheets/d/11tr1B-Bhyr79v2bkwVh5h_fR-PStkgjlZtkrZpYurG0/"&amp;"edit?usp=sharing"",""ชลบุรี!I293"")+IMPORTRANGE(""https://docs.google.com/spreadsheets/d/1hh-FVnSX0vozXhGluamEcS54Dw9_zqW0N7qJUWgJ0Sw/edit?usp=sharing"",""ชัยนาท!I293"")+IMPORTRANGE(""https://docs.google.com/spreadsheets/d/1jkqa6GXxSacMcY1eN8AHjMNJ_7dDXMJ"&amp;"VRLDlaFSOdPM/edit?usp=sharing"",""ตราด!I293"")+IMPORTRANGE(""https://docs.google.com/spreadsheets/d/18hSgUJ3VwClqi_qtULmmW3cLr0oe3OKaSYoKzdpTsYQ/edit?usp=sharing"",""นครนายก!I293"")+IMPORTRANGE(""https://docs.google.com/spreadsheets/d/1YTZo6WM2dQ6Ix6FSdnL"&amp;"5P7uVnVKu40sxZu975tgG10E/edit?usp=sharing"",""นครปฐม!I293"")+IMPORTRANGE(""https://docs.google.com/spreadsheets/d/1OYoGg4WDg5RIzwGeB10padOxJF9E_Vljuvvct_M7RDo/edit?usp=sharing"",""ปทุมธานี!I293"")+IMPORTRANGE(""https://docs.google.com/spreadsheets/d/1GbCI"&amp;"E4D4wk9FUozzqk7SxfDMxDVBwVmI5zcaVUSzKAc/edit?usp=sharing"",""ประจวบคีรีขันธ์!I293"")+IMPORTRANGE(""https://docs.google.com/spreadsheets/d/1vVf6wykvW_lAyu7Yo9L4hUTqHqIeP_qcVuxCtosJEbg/edit?usp=sharing"",""ปราจีนบุรี!I293"")+IMPORTRANGE(""https://docs.googl"&amp;"e.com/spreadsheets/d/1BIDqLLg5jk3v59G8NlR8rk5xfQDKne0sAvZHSj7TI6I/edit?usp=sharing"",""พระนครศรีอยุธยา!I293"")+IMPORTRANGE(""https://docs.google.com/spreadsheets/d/1YXvxf8Yu6_rV4hTBrwMqAcAnv6DfhUxh5emyM3CJp_w/edit?usp=sharing"",""เพชรบุรี!I293"")+IMPORTRA"&amp;"NGE(""https://docs.google.com/spreadsheets/d/19KBlQQs7uwvsao6t2n-KvW3Ax8J8uRRfZPq1zPbXgKc/edit?usp=sharing"",""ระยอง!I293"")+IMPORTRANGE(""https://docs.google.com/spreadsheets/d/1jQ6P4QcrGM89YfqcC_PxOHGCMq5ezhucwJd8ci-NHng/edit?usp=sharing"",""ราชบุรี!I29"&amp;"3"")+IMPORTRANGE(""https://docs.google.com/spreadsheets/d/1lufeA2cfFqM-elVq2hznhDzC6Pr7wkJ9ZG_sYNGCMCU/edit?usp=sharing"",""ลพบุรี!I293"")+IMPORTRANGE(""https://docs.google.com/spreadsheets/d/10oOiF7loTyfsTkbd4MpaIm0HQ9SwB7IYHdIUvt-U1Uc/edit?usp=sharing"""&amp;",""สระแก้ว!I293"")+IMPORTRANGE(""https://docs.google.com/spreadsheets/d/1xmPlrr1QbdSIKvl1dWUl9K4PjAfSL9oeMr_37QVzcxc/edit?usp=sharing"",""สระบุรี!I293"")+IMPORTRANGE(""https://docs.google.com/spreadsheets/d/1j51vR6CYVGhABJpv6tkstgok82RLpXieLzW1yOY5rHw/edi"&amp;"t?usp=sharing"",""สิงห์บุรี!I293"")+IMPORTRANGE(""https://docs.google.com/spreadsheets/d/1H1EalTWKUSzO4Z1-1CwzoDUaVffgrThEBe2sl74kKG0/edit?usp=sharing"",""สุพรรณบุรี!I293"")+IMPORTRANGE(""https://docs.google.com/spreadsheets/d/1BmIruG_sIrJLYao_Pdr7zVArWsf"&amp;"oBt2692TMi6x_854/edit?usp=sharing"",""อ่างทอง!I293"")"),10)</f>
        <v>10</v>
      </c>
      <c r="J293" s="235">
        <f ca="1">IFERROR(__xludf.DUMMYFUNCTION("IMPORTRANGE(""https://docs.google.com/spreadsheets/d/13wPX838HrBrQMCywv1BsuMkt4PEKTChp52zj44s2izQ/edit?usp=sharing"",""กาญจนบุรี!J293"")+IMPORTRANGE(""https://docs.google.com/spreadsheets/d/1ddFKvqj1W1NEiWytbGlB1zMx_ykJDVtmfEQ-6-lIUBA/edit?usp=sharing"","&amp;"""จันทบุรี!J293"")+IMPORTRANGE(""https://docs.google.com/spreadsheets/d/1T1PQvRODqOBZk8BRht_U031fIS1beLA0Ub2CEytj2q0/edit?usp=sharing"",""ฉะเชิงเทรา!J293"")+IMPORTRANGE(""https://docs.google.com/spreadsheets/d/11tr1B-Bhyr79v2bkwVh5h_fR-PStkgjlZtkrZpYurG0/"&amp;"edit?usp=sharing"",""ชลบุรี!J293"")+IMPORTRANGE(""https://docs.google.com/spreadsheets/d/1hh-FVnSX0vozXhGluamEcS54Dw9_zqW0N7qJUWgJ0Sw/edit?usp=sharing"",""ชัยนาท!J293"")+IMPORTRANGE(""https://docs.google.com/spreadsheets/d/1jkqa6GXxSacMcY1eN8AHjMNJ_7dDXMJ"&amp;"VRLDlaFSOdPM/edit?usp=sharing"",""ตราด!J293"")+IMPORTRANGE(""https://docs.google.com/spreadsheets/d/18hSgUJ3VwClqi_qtULmmW3cLr0oe3OKaSYoKzdpTsYQ/edit?usp=sharing"",""นครนายก!J293"")+IMPORTRANGE(""https://docs.google.com/spreadsheets/d/1YTZo6WM2dQ6Ix6FSdnL"&amp;"5P7uVnVKu40sxZu975tgG10E/edit?usp=sharing"",""นครปฐม!J293"")+IMPORTRANGE(""https://docs.google.com/spreadsheets/d/1OYoGg4WDg5RIzwGeB10padOxJF9E_Vljuvvct_M7RDo/edit?usp=sharing"",""ปทุมธานี!J293"")+IMPORTRANGE(""https://docs.google.com/spreadsheets/d/1GbCI"&amp;"E4D4wk9FUozzqk7SxfDMxDVBwVmI5zcaVUSzKAc/edit?usp=sharing"",""ประจวบคีรีขันธ์!J293"")+IMPORTRANGE(""https://docs.google.com/spreadsheets/d/1vVf6wykvW_lAyu7Yo9L4hUTqHqIeP_qcVuxCtosJEbg/edit?usp=sharing"",""ปราจีนบุรี!J293"")+IMPORTRANGE(""https://docs.googl"&amp;"e.com/spreadsheets/d/1BIDqLLg5jk3v59G8NlR8rk5xfQDKne0sAvZHSj7TI6I/edit?usp=sharing"",""พระนครศรีอยุธยา!J293"")+IMPORTRANGE(""https://docs.google.com/spreadsheets/d/1YXvxf8Yu6_rV4hTBrwMqAcAnv6DfhUxh5emyM3CJp_w/edit?usp=sharing"",""เพชรบุรี!J293"")+IMPORTRA"&amp;"NGE(""https://docs.google.com/spreadsheets/d/19KBlQQs7uwvsao6t2n-KvW3Ax8J8uRRfZPq1zPbXgKc/edit?usp=sharing"",""ระยอง!J293"")+IMPORTRANGE(""https://docs.google.com/spreadsheets/d/1jQ6P4QcrGM89YfqcC_PxOHGCMq5ezhucwJd8ci-NHng/edit?usp=sharing"",""ราชบุรี!J29"&amp;"3"")+IMPORTRANGE(""https://docs.google.com/spreadsheets/d/1lufeA2cfFqM-elVq2hznhDzC6Pr7wkJ9ZG_sYNGCMCU/edit?usp=sharing"",""ลพบุรี!J293"")+IMPORTRANGE(""https://docs.google.com/spreadsheets/d/10oOiF7loTyfsTkbd4MpaIm0HQ9SwB7IYHdIUvt-U1Uc/edit?usp=sharing"""&amp;",""สระแก้ว!J293"")+IMPORTRANGE(""https://docs.google.com/spreadsheets/d/1xmPlrr1QbdSIKvl1dWUl9K4PjAfSL9oeMr_37QVzcxc/edit?usp=sharing"",""สระบุรี!J293"")+IMPORTRANGE(""https://docs.google.com/spreadsheets/d/1j51vR6CYVGhABJpv6tkstgok82RLpXieLzW1yOY5rHw/edi"&amp;"t?usp=sharing"",""สิงห์บุรี!J293"")+IMPORTRANGE(""https://docs.google.com/spreadsheets/d/1H1EalTWKUSzO4Z1-1CwzoDUaVffgrThEBe2sl74kKG0/edit?usp=sharing"",""สุพรรณบุรี!J293"")+IMPORTRANGE(""https://docs.google.com/spreadsheets/d/1BmIruG_sIrJLYao_Pdr7zVArWsf"&amp;"oBt2692TMi6x_854/edit?usp=sharing"",""อ่างทอง!J293"")"),10)</f>
        <v>10</v>
      </c>
      <c r="K293" s="236">
        <f t="shared" ca="1" si="211"/>
        <v>100</v>
      </c>
      <c r="L293" s="222"/>
      <c r="M293" s="222"/>
      <c r="N293" s="222"/>
      <c r="O293" s="222"/>
      <c r="P293" s="222"/>
      <c r="Q293" s="230"/>
      <c r="R293" s="231"/>
      <c r="S293" s="231"/>
      <c r="T293" s="231"/>
      <c r="U293" s="231"/>
    </row>
    <row r="294" spans="1:21" ht="19.5" x14ac:dyDescent="0.3">
      <c r="A294" s="224"/>
      <c r="B294" s="225"/>
      <c r="C294" s="225"/>
      <c r="D294" s="233"/>
      <c r="E294" s="475" t="s">
        <v>122</v>
      </c>
      <c r="F294" s="233"/>
      <c r="G294" s="229"/>
      <c r="H294" s="229"/>
      <c r="I294" s="221"/>
      <c r="J294" s="74"/>
      <c r="K294" s="222"/>
      <c r="L294" s="222"/>
      <c r="M294" s="222"/>
      <c r="N294" s="222"/>
      <c r="O294" s="222"/>
      <c r="P294" s="222"/>
      <c r="Q294" s="230"/>
      <c r="R294" s="231"/>
      <c r="S294" s="231"/>
      <c r="T294" s="231"/>
      <c r="U294" s="231"/>
    </row>
    <row r="295" spans="1:21" ht="19.5" x14ac:dyDescent="0.3">
      <c r="A295" s="224"/>
      <c r="B295" s="225"/>
      <c r="C295" s="225"/>
      <c r="D295" s="233"/>
      <c r="E295" s="238" t="s">
        <v>123</v>
      </c>
      <c r="F295" s="233"/>
      <c r="G295" s="229"/>
      <c r="H295" s="239" t="s">
        <v>35</v>
      </c>
      <c r="I295" s="243">
        <f ca="1">IFERROR(__xludf.DUMMYFUNCTION("IMPORTRANGE(""https://docs.google.com/spreadsheets/d/13wPX838HrBrQMCywv1BsuMkt4PEKTChp52zj44s2izQ/edit?usp=sharing"",""กาญจนบุรี!I295"")+IMPORTRANGE(""https://docs.google.com/spreadsheets/d/1ddFKvqj1W1NEiWytbGlB1zMx_ykJDVtmfEQ-6-lIUBA/edit?usp=sharing"","&amp;"""จันทบุรี!I295"")+IMPORTRANGE(""https://docs.google.com/spreadsheets/d/1T1PQvRODqOBZk8BRht_U031fIS1beLA0Ub2CEytj2q0/edit?usp=sharing"",""ฉะเชิงเทรา!I295"")+IMPORTRANGE(""https://docs.google.com/spreadsheets/d/11tr1B-Bhyr79v2bkwVh5h_fR-PStkgjlZtkrZpYurG0/"&amp;"edit?usp=sharing"",""ชลบุรี!I295"")+IMPORTRANGE(""https://docs.google.com/spreadsheets/d/1hh-FVnSX0vozXhGluamEcS54Dw9_zqW0N7qJUWgJ0Sw/edit?usp=sharing"",""ชัยนาท!I295"")+IMPORTRANGE(""https://docs.google.com/spreadsheets/d/1jkqa6GXxSacMcY1eN8AHjMNJ_7dDXMJ"&amp;"VRLDlaFSOdPM/edit?usp=sharing"",""ตราด!I295"")+IMPORTRANGE(""https://docs.google.com/spreadsheets/d/18hSgUJ3VwClqi_qtULmmW3cLr0oe3OKaSYoKzdpTsYQ/edit?usp=sharing"",""นครนายก!I295"")+IMPORTRANGE(""https://docs.google.com/spreadsheets/d/1YTZo6WM2dQ6Ix6FSdnL"&amp;"5P7uVnVKu40sxZu975tgG10E/edit?usp=sharing"",""นครปฐม!I295"")+IMPORTRANGE(""https://docs.google.com/spreadsheets/d/1OYoGg4WDg5RIzwGeB10padOxJF9E_Vljuvvct_M7RDo/edit?usp=sharing"",""ปทุมธานี!I295"")+IMPORTRANGE(""https://docs.google.com/spreadsheets/d/1GbCI"&amp;"E4D4wk9FUozzqk7SxfDMxDVBwVmI5zcaVUSzKAc/edit?usp=sharing"",""ประจวบคีรีขันธ์!I295"")+IMPORTRANGE(""https://docs.google.com/spreadsheets/d/1vVf6wykvW_lAyu7Yo9L4hUTqHqIeP_qcVuxCtosJEbg/edit?usp=sharing"",""ปราจีนบุรี!I295"")+IMPORTRANGE(""https://docs.googl"&amp;"e.com/spreadsheets/d/1BIDqLLg5jk3v59G8NlR8rk5xfQDKne0sAvZHSj7TI6I/edit?usp=sharing"",""พระนครศรีอยุธยา!I295"")+IMPORTRANGE(""https://docs.google.com/spreadsheets/d/1YXvxf8Yu6_rV4hTBrwMqAcAnv6DfhUxh5emyM3CJp_w/edit?usp=sharing"",""เพชรบุรี!I295"")+IMPORTRA"&amp;"NGE(""https://docs.google.com/spreadsheets/d/19KBlQQs7uwvsao6t2n-KvW3Ax8J8uRRfZPq1zPbXgKc/edit?usp=sharing"",""ระยอง!I295"")+IMPORTRANGE(""https://docs.google.com/spreadsheets/d/1jQ6P4QcrGM89YfqcC_PxOHGCMq5ezhucwJd8ci-NHng/edit?usp=sharing"",""ราชบุรี!I29"&amp;"5"")+IMPORTRANGE(""https://docs.google.com/spreadsheets/d/1lufeA2cfFqM-elVq2hznhDzC6Pr7wkJ9ZG_sYNGCMCU/edit?usp=sharing"",""ลพบุรี!I295"")+IMPORTRANGE(""https://docs.google.com/spreadsheets/d/10oOiF7loTyfsTkbd4MpaIm0HQ9SwB7IYHdIUvt-U1Uc/edit?usp=sharing"""&amp;",""สระแก้ว!I295"")+IMPORTRANGE(""https://docs.google.com/spreadsheets/d/1xmPlrr1QbdSIKvl1dWUl9K4PjAfSL9oeMr_37QVzcxc/edit?usp=sharing"",""สระบุรี!I295"")+IMPORTRANGE(""https://docs.google.com/spreadsheets/d/1j51vR6CYVGhABJpv6tkstgok82RLpXieLzW1yOY5rHw/edi"&amp;"t?usp=sharing"",""สิงห์บุรี!I295"")+IMPORTRANGE(""https://docs.google.com/spreadsheets/d/1H1EalTWKUSzO4Z1-1CwzoDUaVffgrThEBe2sl74kKG0/edit?usp=sharing"",""สุพรรณบุรี!I295"")+IMPORTRANGE(""https://docs.google.com/spreadsheets/d/1BmIruG_sIrJLYao_Pdr7zVArWsf"&amp;"oBt2692TMi6x_854/edit?usp=sharing"",""อ่างทอง!I295"")"),10)</f>
        <v>10</v>
      </c>
      <c r="J295" s="241">
        <f ca="1">IFERROR(__xludf.DUMMYFUNCTION("IMPORTRANGE(""https://docs.google.com/spreadsheets/d/13wPX838HrBrQMCywv1BsuMkt4PEKTChp52zj44s2izQ/edit?usp=sharing"",""กาญจนบุรี!J295"")+IMPORTRANGE(""https://docs.google.com/spreadsheets/d/1ddFKvqj1W1NEiWytbGlB1zMx_ykJDVtmfEQ-6-lIUBA/edit?usp=sharing"","&amp;"""จันทบุรี!J295"")+IMPORTRANGE(""https://docs.google.com/spreadsheets/d/1T1PQvRODqOBZk8BRht_U031fIS1beLA0Ub2CEytj2q0/edit?usp=sharing"",""ฉะเชิงเทรา!J295"")+IMPORTRANGE(""https://docs.google.com/spreadsheets/d/11tr1B-Bhyr79v2bkwVh5h_fR-PStkgjlZtkrZpYurG0/"&amp;"edit?usp=sharing"",""ชลบุรี!J295"")+IMPORTRANGE(""https://docs.google.com/spreadsheets/d/1hh-FVnSX0vozXhGluamEcS54Dw9_zqW0N7qJUWgJ0Sw/edit?usp=sharing"",""ชัยนาท!J295"")+IMPORTRANGE(""https://docs.google.com/spreadsheets/d/1jkqa6GXxSacMcY1eN8AHjMNJ_7dDXMJ"&amp;"VRLDlaFSOdPM/edit?usp=sharing"",""ตราด!J295"")+IMPORTRANGE(""https://docs.google.com/spreadsheets/d/18hSgUJ3VwClqi_qtULmmW3cLr0oe3OKaSYoKzdpTsYQ/edit?usp=sharing"",""นครนายก!J295"")+IMPORTRANGE(""https://docs.google.com/spreadsheets/d/1YTZo6WM2dQ6Ix6FSdnL"&amp;"5P7uVnVKu40sxZu975tgG10E/edit?usp=sharing"",""นครปฐม!J295"")+IMPORTRANGE(""https://docs.google.com/spreadsheets/d/1OYoGg4WDg5RIzwGeB10padOxJF9E_Vljuvvct_M7RDo/edit?usp=sharing"",""ปทุมธานี!J295"")+IMPORTRANGE(""https://docs.google.com/spreadsheets/d/1GbCI"&amp;"E4D4wk9FUozzqk7SxfDMxDVBwVmI5zcaVUSzKAc/edit?usp=sharing"",""ประจวบคีรีขันธ์!J295"")+IMPORTRANGE(""https://docs.google.com/spreadsheets/d/1vVf6wykvW_lAyu7Yo9L4hUTqHqIeP_qcVuxCtosJEbg/edit?usp=sharing"",""ปราจีนบุรี!J295"")+IMPORTRANGE(""https://docs.googl"&amp;"e.com/spreadsheets/d/1BIDqLLg5jk3v59G8NlR8rk5xfQDKne0sAvZHSj7TI6I/edit?usp=sharing"",""พระนครศรีอยุธยา!J295"")+IMPORTRANGE(""https://docs.google.com/spreadsheets/d/1YXvxf8Yu6_rV4hTBrwMqAcAnv6DfhUxh5emyM3CJp_w/edit?usp=sharing"",""เพชรบุรี!J295"")+IMPORTRA"&amp;"NGE(""https://docs.google.com/spreadsheets/d/19KBlQQs7uwvsao6t2n-KvW3Ax8J8uRRfZPq1zPbXgKc/edit?usp=sharing"",""ระยอง!J295"")+IMPORTRANGE(""https://docs.google.com/spreadsheets/d/1jQ6P4QcrGM89YfqcC_PxOHGCMq5ezhucwJd8ci-NHng/edit?usp=sharing"",""ราชบุรี!J29"&amp;"5"")+IMPORTRANGE(""https://docs.google.com/spreadsheets/d/1lufeA2cfFqM-elVq2hznhDzC6Pr7wkJ9ZG_sYNGCMCU/edit?usp=sharing"",""ลพบุรี!J295"")+IMPORTRANGE(""https://docs.google.com/spreadsheets/d/10oOiF7loTyfsTkbd4MpaIm0HQ9SwB7IYHdIUvt-U1Uc/edit?usp=sharing"""&amp;",""สระแก้ว!J295"")+IMPORTRANGE(""https://docs.google.com/spreadsheets/d/1xmPlrr1QbdSIKvl1dWUl9K4PjAfSL9oeMr_37QVzcxc/edit?usp=sharing"",""สระบุรี!J295"")+IMPORTRANGE(""https://docs.google.com/spreadsheets/d/1j51vR6CYVGhABJpv6tkstgok82RLpXieLzW1yOY5rHw/edi"&amp;"t?usp=sharing"",""สิงห์บุรี!J295"")+IMPORTRANGE(""https://docs.google.com/spreadsheets/d/1H1EalTWKUSzO4Z1-1CwzoDUaVffgrThEBe2sl74kKG0/edit?usp=sharing"",""สุพรรณบุรี!J295"")+IMPORTRANGE(""https://docs.google.com/spreadsheets/d/1BmIruG_sIrJLYao_Pdr7zVArWsf"&amp;"oBt2692TMi6x_854/edit?usp=sharing"",""อ่างทอง!J295"")"),10)</f>
        <v>10</v>
      </c>
      <c r="K295" s="242">
        <f t="shared" ref="K295:K296" ca="1" si="212">IF(I295&gt;0,J295*100/I295,0)</f>
        <v>100</v>
      </c>
      <c r="L295" s="222"/>
      <c r="M295" s="222"/>
      <c r="N295" s="222"/>
      <c r="O295" s="222"/>
      <c r="P295" s="222"/>
      <c r="Q295" s="230"/>
      <c r="R295" s="231"/>
      <c r="S295" s="231"/>
      <c r="T295" s="231"/>
      <c r="U295" s="231"/>
    </row>
    <row r="296" spans="1:21" ht="19.5" x14ac:dyDescent="0.3">
      <c r="A296" s="224"/>
      <c r="B296" s="225"/>
      <c r="C296" s="225"/>
      <c r="D296" s="233"/>
      <c r="E296" s="238" t="s">
        <v>124</v>
      </c>
      <c r="F296" s="233"/>
      <c r="G296" s="229"/>
      <c r="H296" s="239" t="s">
        <v>35</v>
      </c>
      <c r="I296" s="243">
        <f ca="1">IFERROR(__xludf.DUMMYFUNCTION("IMPORTRANGE(""https://docs.google.com/spreadsheets/d/13wPX838HrBrQMCywv1BsuMkt4PEKTChp52zj44s2izQ/edit?usp=sharing"",""กาญจนบุรี!I296"")+IMPORTRANGE(""https://docs.google.com/spreadsheets/d/1ddFKvqj1W1NEiWytbGlB1zMx_ykJDVtmfEQ-6-lIUBA/edit?usp=sharing"","&amp;"""จันทบุรี!I296"")+IMPORTRANGE(""https://docs.google.com/spreadsheets/d/1T1PQvRODqOBZk8BRht_U031fIS1beLA0Ub2CEytj2q0/edit?usp=sharing"",""ฉะเชิงเทรา!I296"")+IMPORTRANGE(""https://docs.google.com/spreadsheets/d/11tr1B-Bhyr79v2bkwVh5h_fR-PStkgjlZtkrZpYurG0/"&amp;"edit?usp=sharing"",""ชลบุรี!I296"")+IMPORTRANGE(""https://docs.google.com/spreadsheets/d/1hh-FVnSX0vozXhGluamEcS54Dw9_zqW0N7qJUWgJ0Sw/edit?usp=sharing"",""ชัยนาท!I296"")+IMPORTRANGE(""https://docs.google.com/spreadsheets/d/1jkqa6GXxSacMcY1eN8AHjMNJ_7dDXMJ"&amp;"VRLDlaFSOdPM/edit?usp=sharing"",""ตราด!I296"")+IMPORTRANGE(""https://docs.google.com/spreadsheets/d/18hSgUJ3VwClqi_qtULmmW3cLr0oe3OKaSYoKzdpTsYQ/edit?usp=sharing"",""นครนายก!I296"")+IMPORTRANGE(""https://docs.google.com/spreadsheets/d/1YTZo6WM2dQ6Ix6FSdnL"&amp;"5P7uVnVKu40sxZu975tgG10E/edit?usp=sharing"",""นครปฐม!I296"")+IMPORTRANGE(""https://docs.google.com/spreadsheets/d/1OYoGg4WDg5RIzwGeB10padOxJF9E_Vljuvvct_M7RDo/edit?usp=sharing"",""ปทุมธานี!I296"")+IMPORTRANGE(""https://docs.google.com/spreadsheets/d/1GbCI"&amp;"E4D4wk9FUozzqk7SxfDMxDVBwVmI5zcaVUSzKAc/edit?usp=sharing"",""ประจวบคีรีขันธ์!I296"")+IMPORTRANGE(""https://docs.google.com/spreadsheets/d/1vVf6wykvW_lAyu7Yo9L4hUTqHqIeP_qcVuxCtosJEbg/edit?usp=sharing"",""ปราจีนบุรี!I296"")+IMPORTRANGE(""https://docs.googl"&amp;"e.com/spreadsheets/d/1BIDqLLg5jk3v59G8NlR8rk5xfQDKne0sAvZHSj7TI6I/edit?usp=sharing"",""พระนครศรีอยุธยา!I296"")+IMPORTRANGE(""https://docs.google.com/spreadsheets/d/1YXvxf8Yu6_rV4hTBrwMqAcAnv6DfhUxh5emyM3CJp_w/edit?usp=sharing"",""เพชรบุรี!I296"")+IMPORTRA"&amp;"NGE(""https://docs.google.com/spreadsheets/d/19KBlQQs7uwvsao6t2n-KvW3Ax8J8uRRfZPq1zPbXgKc/edit?usp=sharing"",""ระยอง!I296"")+IMPORTRANGE(""https://docs.google.com/spreadsheets/d/1jQ6P4QcrGM89YfqcC_PxOHGCMq5ezhucwJd8ci-NHng/edit?usp=sharing"",""ราชบุรี!I29"&amp;"6"")+IMPORTRANGE(""https://docs.google.com/spreadsheets/d/1lufeA2cfFqM-elVq2hznhDzC6Pr7wkJ9ZG_sYNGCMCU/edit?usp=sharing"",""ลพบุรี!I296"")+IMPORTRANGE(""https://docs.google.com/spreadsheets/d/10oOiF7loTyfsTkbd4MpaIm0HQ9SwB7IYHdIUvt-U1Uc/edit?usp=sharing"""&amp;",""สระแก้ว!I296"")+IMPORTRANGE(""https://docs.google.com/spreadsheets/d/1xmPlrr1QbdSIKvl1dWUl9K4PjAfSL9oeMr_37QVzcxc/edit?usp=sharing"",""สระบุรี!I296"")+IMPORTRANGE(""https://docs.google.com/spreadsheets/d/1j51vR6CYVGhABJpv6tkstgok82RLpXieLzW1yOY5rHw/edi"&amp;"t?usp=sharing"",""สิงห์บุรี!I296"")+IMPORTRANGE(""https://docs.google.com/spreadsheets/d/1H1EalTWKUSzO4Z1-1CwzoDUaVffgrThEBe2sl74kKG0/edit?usp=sharing"",""สุพรรณบุรี!I296"")+IMPORTRANGE(""https://docs.google.com/spreadsheets/d/1BmIruG_sIrJLYao_Pdr7zVArWsf"&amp;"oBt2692TMi6x_854/edit?usp=sharing"",""อ่างทอง!I296"")"),10)</f>
        <v>10</v>
      </c>
      <c r="J296" s="241">
        <f ca="1">IFERROR(__xludf.DUMMYFUNCTION("IMPORTRANGE(""https://docs.google.com/spreadsheets/d/13wPX838HrBrQMCywv1BsuMkt4PEKTChp52zj44s2izQ/edit?usp=sharing"",""กาญจนบุรี!J296"")+IMPORTRANGE(""https://docs.google.com/spreadsheets/d/1ddFKvqj1W1NEiWytbGlB1zMx_ykJDVtmfEQ-6-lIUBA/edit?usp=sharing"","&amp;"""จันทบุรี!J296"")+IMPORTRANGE(""https://docs.google.com/spreadsheets/d/1T1PQvRODqOBZk8BRht_U031fIS1beLA0Ub2CEytj2q0/edit?usp=sharing"",""ฉะเชิงเทรา!J296"")+IMPORTRANGE(""https://docs.google.com/spreadsheets/d/11tr1B-Bhyr79v2bkwVh5h_fR-PStkgjlZtkrZpYurG0/"&amp;"edit?usp=sharing"",""ชลบุรี!J296"")+IMPORTRANGE(""https://docs.google.com/spreadsheets/d/1hh-FVnSX0vozXhGluamEcS54Dw9_zqW0N7qJUWgJ0Sw/edit?usp=sharing"",""ชัยนาท!J296"")+IMPORTRANGE(""https://docs.google.com/spreadsheets/d/1jkqa6GXxSacMcY1eN8AHjMNJ_7dDXMJ"&amp;"VRLDlaFSOdPM/edit?usp=sharing"",""ตราด!J296"")+IMPORTRANGE(""https://docs.google.com/spreadsheets/d/18hSgUJ3VwClqi_qtULmmW3cLr0oe3OKaSYoKzdpTsYQ/edit?usp=sharing"",""นครนายก!J296"")+IMPORTRANGE(""https://docs.google.com/spreadsheets/d/1YTZo6WM2dQ6Ix6FSdnL"&amp;"5P7uVnVKu40sxZu975tgG10E/edit?usp=sharing"",""นครปฐม!J296"")+IMPORTRANGE(""https://docs.google.com/spreadsheets/d/1OYoGg4WDg5RIzwGeB10padOxJF9E_Vljuvvct_M7RDo/edit?usp=sharing"",""ปทุมธานี!J296"")+IMPORTRANGE(""https://docs.google.com/spreadsheets/d/1GbCI"&amp;"E4D4wk9FUozzqk7SxfDMxDVBwVmI5zcaVUSzKAc/edit?usp=sharing"",""ประจวบคีรีขันธ์!J296"")+IMPORTRANGE(""https://docs.google.com/spreadsheets/d/1vVf6wykvW_lAyu7Yo9L4hUTqHqIeP_qcVuxCtosJEbg/edit?usp=sharing"",""ปราจีนบุรี!J296"")+IMPORTRANGE(""https://docs.googl"&amp;"e.com/spreadsheets/d/1BIDqLLg5jk3v59G8NlR8rk5xfQDKne0sAvZHSj7TI6I/edit?usp=sharing"",""พระนครศรีอยุธยา!J296"")+IMPORTRANGE(""https://docs.google.com/spreadsheets/d/1YXvxf8Yu6_rV4hTBrwMqAcAnv6DfhUxh5emyM3CJp_w/edit?usp=sharing"",""เพชรบุรี!J296"")+IMPORTRA"&amp;"NGE(""https://docs.google.com/spreadsheets/d/19KBlQQs7uwvsao6t2n-KvW3Ax8J8uRRfZPq1zPbXgKc/edit?usp=sharing"",""ระยอง!J296"")+IMPORTRANGE(""https://docs.google.com/spreadsheets/d/1jQ6P4QcrGM89YfqcC_PxOHGCMq5ezhucwJd8ci-NHng/edit?usp=sharing"",""ราชบุรี!J29"&amp;"6"")+IMPORTRANGE(""https://docs.google.com/spreadsheets/d/1lufeA2cfFqM-elVq2hznhDzC6Pr7wkJ9ZG_sYNGCMCU/edit?usp=sharing"",""ลพบุรี!J296"")+IMPORTRANGE(""https://docs.google.com/spreadsheets/d/10oOiF7loTyfsTkbd4MpaIm0HQ9SwB7IYHdIUvt-U1Uc/edit?usp=sharing"""&amp;",""สระแก้ว!J296"")+IMPORTRANGE(""https://docs.google.com/spreadsheets/d/1xmPlrr1QbdSIKvl1dWUl9K4PjAfSL9oeMr_37QVzcxc/edit?usp=sharing"",""สระบุรี!J296"")+IMPORTRANGE(""https://docs.google.com/spreadsheets/d/1j51vR6CYVGhABJpv6tkstgok82RLpXieLzW1yOY5rHw/edi"&amp;"t?usp=sharing"",""สิงห์บุรี!J296"")+IMPORTRANGE(""https://docs.google.com/spreadsheets/d/1H1EalTWKUSzO4Z1-1CwzoDUaVffgrThEBe2sl74kKG0/edit?usp=sharing"",""สุพรรณบุรี!J296"")+IMPORTRANGE(""https://docs.google.com/spreadsheets/d/1BmIruG_sIrJLYao_Pdr7zVArWsf"&amp;"oBt2692TMi6x_854/edit?usp=sharing"",""อ่างทอง!J296"")"),10)</f>
        <v>10</v>
      </c>
      <c r="K296" s="242">
        <f t="shared" ca="1" si="212"/>
        <v>100</v>
      </c>
      <c r="L296" s="222"/>
      <c r="M296" s="222"/>
      <c r="N296" s="222"/>
      <c r="O296" s="222"/>
      <c r="P296" s="222"/>
      <c r="Q296" s="230"/>
      <c r="R296" s="231"/>
      <c r="S296" s="231"/>
      <c r="T296" s="231"/>
      <c r="U296" s="231"/>
    </row>
    <row r="297" spans="1:21" ht="19.5" x14ac:dyDescent="0.3">
      <c r="A297" s="476"/>
      <c r="B297" s="477"/>
      <c r="C297" s="477"/>
      <c r="D297" s="24"/>
      <c r="E297" s="25"/>
      <c r="F297" s="24"/>
      <c r="G297" s="27"/>
      <c r="H297" s="27"/>
      <c r="I297" s="29"/>
      <c r="J297" s="29"/>
      <c r="K297" s="30"/>
      <c r="L297" s="30"/>
      <c r="M297" s="30"/>
      <c r="N297" s="30"/>
      <c r="O297" s="30"/>
      <c r="P297" s="30"/>
      <c r="Q297" s="32"/>
      <c r="R297" s="33"/>
      <c r="S297" s="33"/>
      <c r="T297" s="33"/>
      <c r="U297" s="33"/>
    </row>
    <row r="298" spans="1:21" ht="18.75" x14ac:dyDescent="0.25">
      <c r="A298" s="476"/>
      <c r="B298" s="477"/>
      <c r="C298" s="477"/>
      <c r="D298" s="24"/>
      <c r="E298" s="34"/>
      <c r="F298" s="24"/>
      <c r="G298" s="27"/>
      <c r="H298" s="35"/>
      <c r="I298" s="478"/>
      <c r="J298" s="478"/>
      <c r="K298" s="36"/>
      <c r="L298" s="30"/>
      <c r="M298" s="30"/>
      <c r="N298" s="30"/>
      <c r="O298" s="30"/>
      <c r="P298" s="30"/>
      <c r="Q298" s="32"/>
      <c r="R298" s="33"/>
      <c r="S298" s="33"/>
      <c r="T298" s="33"/>
      <c r="U298" s="33"/>
    </row>
    <row r="299" spans="1:21" ht="18.75" x14ac:dyDescent="0.25">
      <c r="A299" s="479"/>
      <c r="B299" s="480"/>
      <c r="C299" s="480"/>
      <c r="D299" s="481"/>
      <c r="E299" s="482"/>
      <c r="F299" s="481"/>
      <c r="G299" s="483"/>
      <c r="H299" s="484"/>
      <c r="I299" s="485"/>
      <c r="J299" s="485"/>
      <c r="K299" s="486"/>
      <c r="L299" s="487"/>
      <c r="M299" s="487"/>
      <c r="N299" s="487"/>
      <c r="O299" s="487"/>
      <c r="P299" s="487"/>
      <c r="Q299" s="21"/>
      <c r="R299" s="22"/>
      <c r="S299" s="22"/>
      <c r="T299" s="22"/>
      <c r="U299" s="22"/>
    </row>
    <row r="300" spans="1:21" ht="19.5" x14ac:dyDescent="0.3">
      <c r="A300" s="488" t="s">
        <v>125</v>
      </c>
      <c r="B300" s="489"/>
      <c r="C300" s="489"/>
      <c r="D300" s="489"/>
      <c r="E300" s="490"/>
      <c r="F300" s="490"/>
      <c r="G300" s="490"/>
      <c r="H300" s="490"/>
      <c r="I300" s="491"/>
      <c r="J300" s="491"/>
      <c r="K300" s="492"/>
      <c r="L300" s="492"/>
      <c r="M300" s="492"/>
      <c r="N300" s="492"/>
      <c r="O300" s="492"/>
      <c r="P300" s="493"/>
      <c r="Q300" s="494"/>
      <c r="R300" s="495"/>
      <c r="S300" s="495"/>
      <c r="T300" s="495"/>
      <c r="U300" s="496"/>
    </row>
    <row r="301" spans="1:21" ht="19.5" x14ac:dyDescent="0.3">
      <c r="A301" s="497" t="s">
        <v>126</v>
      </c>
      <c r="B301" s="498"/>
      <c r="C301" s="498"/>
      <c r="D301" s="499"/>
      <c r="E301" s="499"/>
      <c r="F301" s="499"/>
      <c r="G301" s="500"/>
      <c r="H301" s="500"/>
      <c r="I301" s="501"/>
      <c r="J301" s="501"/>
      <c r="K301" s="502"/>
      <c r="L301" s="502"/>
      <c r="M301" s="502"/>
      <c r="N301" s="502"/>
      <c r="O301" s="502"/>
      <c r="P301" s="502"/>
      <c r="Q301" s="503"/>
      <c r="R301" s="504"/>
      <c r="S301" s="504"/>
      <c r="T301" s="504"/>
      <c r="U301" s="504"/>
    </row>
    <row r="302" spans="1:21" ht="19.5" x14ac:dyDescent="0.3">
      <c r="A302" s="505"/>
      <c r="B302" s="506" t="s">
        <v>127</v>
      </c>
      <c r="C302" s="507"/>
      <c r="D302" s="507"/>
      <c r="E302" s="507"/>
      <c r="F302" s="507"/>
      <c r="G302" s="508"/>
      <c r="H302" s="509" t="s">
        <v>35</v>
      </c>
      <c r="I302" s="510">
        <f t="shared" ref="I302:J302" ca="1" si="213">I314</f>
        <v>355</v>
      </c>
      <c r="J302" s="510">
        <f t="shared" ca="1" si="213"/>
        <v>240</v>
      </c>
      <c r="K302" s="511">
        <f ca="1">IF(I302&gt;0,J302*100/I302,0)</f>
        <v>67.605633802816897</v>
      </c>
      <c r="L302" s="512"/>
      <c r="M302" s="512"/>
      <c r="N302" s="512"/>
      <c r="O302" s="512"/>
      <c r="P302" s="512"/>
      <c r="Q302" s="513"/>
      <c r="R302" s="514"/>
      <c r="S302" s="514"/>
      <c r="T302" s="514"/>
      <c r="U302" s="514"/>
    </row>
    <row r="303" spans="1:21" ht="19.5" x14ac:dyDescent="0.3">
      <c r="A303" s="211"/>
      <c r="B303" s="70"/>
      <c r="C303" s="212" t="s">
        <v>18</v>
      </c>
      <c r="D303" s="213" t="s">
        <v>19</v>
      </c>
      <c r="E303" s="70"/>
      <c r="F303" s="70"/>
      <c r="G303" s="72"/>
      <c r="H303" s="214" t="s">
        <v>14</v>
      </c>
      <c r="I303" s="74"/>
      <c r="J303" s="74"/>
      <c r="K303" s="75"/>
      <c r="L303" s="215">
        <f t="shared" ref="L303:N303" ca="1" si="214">L304+L305</f>
        <v>1119100</v>
      </c>
      <c r="M303" s="215">
        <f t="shared" ca="1" si="214"/>
        <v>1119100</v>
      </c>
      <c r="N303" s="215">
        <f t="shared" ca="1" si="214"/>
        <v>829796.34</v>
      </c>
      <c r="O303" s="215">
        <f t="shared" ref="O303:O311" ca="1" si="215">IF(L303&gt;0,N303*100/L303,0)</f>
        <v>74.148542578858013</v>
      </c>
      <c r="P303" s="215">
        <f t="shared" ref="P303:P311" ca="1" si="216">IF(M303&gt;0,N303*100/M303,0)</f>
        <v>74.148542578858013</v>
      </c>
      <c r="Q303" s="216">
        <f t="shared" ref="Q303:S303" ca="1" si="217">Q304+Q305</f>
        <v>2884993.65</v>
      </c>
      <c r="R303" s="217">
        <f t="shared" ca="1" si="217"/>
        <v>2884989</v>
      </c>
      <c r="S303" s="217">
        <f t="shared" ca="1" si="217"/>
        <v>158201.5</v>
      </c>
      <c r="T303" s="217">
        <f t="shared" ref="T303:T311" ca="1" si="218">IF(Q303&gt;0,S303*100/Q303,0)</f>
        <v>5.4835995912850626</v>
      </c>
      <c r="U303" s="217">
        <f t="shared" ref="U303:U311" ca="1" si="219">IF(R303&gt;0,S303*100/R303,0)</f>
        <v>5.4836084297028513</v>
      </c>
    </row>
    <row r="304" spans="1:21" ht="18.75" x14ac:dyDescent="0.25">
      <c r="A304" s="211"/>
      <c r="B304" s="70"/>
      <c r="C304" s="70"/>
      <c r="D304" s="70"/>
      <c r="E304" s="78" t="s">
        <v>20</v>
      </c>
      <c r="F304" s="70"/>
      <c r="G304" s="72"/>
      <c r="H304" s="218" t="s">
        <v>14</v>
      </c>
      <c r="I304" s="74"/>
      <c r="J304" s="74"/>
      <c r="K304" s="75"/>
      <c r="L304" s="91">
        <f t="shared" ref="L304:N304" ca="1" si="220">L307+L310</f>
        <v>0</v>
      </c>
      <c r="M304" s="91">
        <f t="shared" ca="1" si="220"/>
        <v>0</v>
      </c>
      <c r="N304" s="91">
        <f t="shared" ca="1" si="220"/>
        <v>0</v>
      </c>
      <c r="O304" s="91">
        <f t="shared" ca="1" si="215"/>
        <v>0</v>
      </c>
      <c r="P304" s="91">
        <f t="shared" ca="1" si="216"/>
        <v>0</v>
      </c>
      <c r="Q304" s="219">
        <f t="shared" ref="Q304:S304" ca="1" si="221">Q307+Q310</f>
        <v>0</v>
      </c>
      <c r="R304" s="136">
        <f t="shared" ca="1" si="221"/>
        <v>0</v>
      </c>
      <c r="S304" s="136">
        <f t="shared" ca="1" si="221"/>
        <v>0</v>
      </c>
      <c r="T304" s="136">
        <f t="shared" ca="1" si="218"/>
        <v>0</v>
      </c>
      <c r="U304" s="136">
        <f t="shared" ca="1" si="219"/>
        <v>0</v>
      </c>
    </row>
    <row r="305" spans="1:21" ht="18.75" x14ac:dyDescent="0.25">
      <c r="A305" s="211"/>
      <c r="B305" s="70"/>
      <c r="C305" s="70"/>
      <c r="D305" s="70"/>
      <c r="E305" s="78" t="s">
        <v>21</v>
      </c>
      <c r="F305" s="70"/>
      <c r="G305" s="72"/>
      <c r="H305" s="218" t="s">
        <v>14</v>
      </c>
      <c r="I305" s="74"/>
      <c r="J305" s="74"/>
      <c r="K305" s="75"/>
      <c r="L305" s="91">
        <f t="shared" ref="L305:N305" ca="1" si="222">L308+L311</f>
        <v>1119100</v>
      </c>
      <c r="M305" s="91">
        <f t="shared" ca="1" si="222"/>
        <v>1119100</v>
      </c>
      <c r="N305" s="91">
        <f t="shared" ca="1" si="222"/>
        <v>829796.34</v>
      </c>
      <c r="O305" s="91">
        <f t="shared" ca="1" si="215"/>
        <v>74.148542578858013</v>
      </c>
      <c r="P305" s="91">
        <f t="shared" ca="1" si="216"/>
        <v>74.148542578858013</v>
      </c>
      <c r="Q305" s="134">
        <f t="shared" ref="Q305:S305" ca="1" si="223">Q308+Q311</f>
        <v>2884993.65</v>
      </c>
      <c r="R305" s="135">
        <f t="shared" ca="1" si="223"/>
        <v>2884989</v>
      </c>
      <c r="S305" s="135">
        <f t="shared" ca="1" si="223"/>
        <v>158201.5</v>
      </c>
      <c r="T305" s="135">
        <f t="shared" ca="1" si="218"/>
        <v>5.4835995912850626</v>
      </c>
      <c r="U305" s="135">
        <f t="shared" ca="1" si="219"/>
        <v>5.4836084297028513</v>
      </c>
    </row>
    <row r="306" spans="1:21" ht="18.75" x14ac:dyDescent="0.25">
      <c r="A306" s="211"/>
      <c r="B306" s="70"/>
      <c r="C306" s="70"/>
      <c r="D306" s="71" t="s">
        <v>22</v>
      </c>
      <c r="E306" s="70"/>
      <c r="F306" s="70"/>
      <c r="G306" s="72"/>
      <c r="H306" s="220" t="s">
        <v>14</v>
      </c>
      <c r="I306" s="221"/>
      <c r="J306" s="221"/>
      <c r="K306" s="222"/>
      <c r="L306" s="91">
        <f t="shared" ref="L306:N306" ca="1" si="224">L307+L308</f>
        <v>1119100</v>
      </c>
      <c r="M306" s="91">
        <f t="shared" ca="1" si="224"/>
        <v>1119100</v>
      </c>
      <c r="N306" s="91">
        <f t="shared" ca="1" si="224"/>
        <v>829796.34</v>
      </c>
      <c r="O306" s="91">
        <f t="shared" ca="1" si="215"/>
        <v>74.148542578858013</v>
      </c>
      <c r="P306" s="91">
        <f t="shared" ca="1" si="216"/>
        <v>74.148542578858013</v>
      </c>
      <c r="Q306" s="134">
        <f t="shared" ref="Q306:S306" ca="1" si="225">Q307+Q308</f>
        <v>2884993.65</v>
      </c>
      <c r="R306" s="135">
        <f t="shared" ca="1" si="225"/>
        <v>2884989</v>
      </c>
      <c r="S306" s="135">
        <f t="shared" ca="1" si="225"/>
        <v>158201.5</v>
      </c>
      <c r="T306" s="135">
        <f t="shared" ca="1" si="218"/>
        <v>5.4835995912850626</v>
      </c>
      <c r="U306" s="135">
        <f t="shared" ca="1" si="219"/>
        <v>5.4836084297028513</v>
      </c>
    </row>
    <row r="307" spans="1:21" ht="18.75" x14ac:dyDescent="0.25">
      <c r="A307" s="211"/>
      <c r="B307" s="70"/>
      <c r="C307" s="70"/>
      <c r="D307" s="70"/>
      <c r="E307" s="78" t="s">
        <v>36</v>
      </c>
      <c r="F307" s="70"/>
      <c r="G307" s="72"/>
      <c r="H307" s="220" t="s">
        <v>14</v>
      </c>
      <c r="I307" s="221"/>
      <c r="J307" s="221"/>
      <c r="K307" s="222"/>
      <c r="L307" s="91">
        <f ca="1">IFERROR(__xludf.DUMMYFUNCTION("IMPORTRANGE(""https://docs.google.com/spreadsheets/d/13wPX838HrBrQMCywv1BsuMkt4PEKTChp52zj44s2izQ/edit?usp=sharing"",""กาญจนบุรี!L307"")+IMPORTRANGE(""https://docs.google.com/spreadsheets/d/1ddFKvqj1W1NEiWytbGlB1zMx_ykJDVtmfEQ-6-lIUBA/edit?usp=sharing"","&amp;"""จันทบุรี!L307"")+IMPORTRANGE(""https://docs.google.com/spreadsheets/d/1T1PQvRODqOBZk8BRht_U031fIS1beLA0Ub2CEytj2q0/edit?usp=sharing"",""ฉะเชิงเทรา!L307"")+IMPORTRANGE(""https://docs.google.com/spreadsheets/d/11tr1B-Bhyr79v2bkwVh5h_fR-PStkgjlZtkrZpYurG0/"&amp;"edit?usp=sharing"",""ชลบุรี!L307"")+IMPORTRANGE(""https://docs.google.com/spreadsheets/d/1hh-FVnSX0vozXhGluamEcS54Dw9_zqW0N7qJUWgJ0Sw/edit?usp=sharing"",""ชัยนาท!L307"")+IMPORTRANGE(""https://docs.google.com/spreadsheets/d/1jkqa6GXxSacMcY1eN8AHjMNJ_7dDXMJ"&amp;"VRLDlaFSOdPM/edit?usp=sharing"",""ตราด!L307"")+IMPORTRANGE(""https://docs.google.com/spreadsheets/d/18hSgUJ3VwClqi_qtULmmW3cLr0oe3OKaSYoKzdpTsYQ/edit?usp=sharing"",""นครนายก!L307"")+IMPORTRANGE(""https://docs.google.com/spreadsheets/d/1YTZo6WM2dQ6Ix6FSdnL"&amp;"5P7uVnVKu40sxZu975tgG10E/edit?usp=sharing"",""นครปฐม!L307"")+IMPORTRANGE(""https://docs.google.com/spreadsheets/d/1OYoGg4WDg5RIzwGeB10padOxJF9E_Vljuvvct_M7RDo/edit?usp=sharing"",""ปทุมธานี!L307"")+IMPORTRANGE(""https://docs.google.com/spreadsheets/d/1GbCI"&amp;"E4D4wk9FUozzqk7SxfDMxDVBwVmI5zcaVUSzKAc/edit?usp=sharing"",""ประจวบคีรีขันธ์!L307"")+IMPORTRANGE(""https://docs.google.com/spreadsheets/d/1vVf6wykvW_lAyu7Yo9L4hUTqHqIeP_qcVuxCtosJEbg/edit?usp=sharing"",""ปราจีนบุรี!L307"")+IMPORTRANGE(""https://docs.googl"&amp;"e.com/spreadsheets/d/1BIDqLLg5jk3v59G8NlR8rk5xfQDKne0sAvZHSj7TI6I/edit?usp=sharing"",""พระนครศรีอยุธยา!L307"")+IMPORTRANGE(""https://docs.google.com/spreadsheets/d/1YXvxf8Yu6_rV4hTBrwMqAcAnv6DfhUxh5emyM3CJp_w/edit?usp=sharing"",""เพชรบุรี!L307"")+IMPORTRA"&amp;"NGE(""https://docs.google.com/spreadsheets/d/19KBlQQs7uwvsao6t2n-KvW3Ax8J8uRRfZPq1zPbXgKc/edit?usp=sharing"",""ระยอง!L307"")+IMPORTRANGE(""https://docs.google.com/spreadsheets/d/1jQ6P4QcrGM89YfqcC_PxOHGCMq5ezhucwJd8ci-NHng/edit?usp=sharing"",""ราชบุรี!L30"&amp;"7"")+IMPORTRANGE(""https://docs.google.com/spreadsheets/d/1lufeA2cfFqM-elVq2hznhDzC6Pr7wkJ9ZG_sYNGCMCU/edit?usp=sharing"",""ลพบุรี!L307"")+IMPORTRANGE(""https://docs.google.com/spreadsheets/d/10oOiF7loTyfsTkbd4MpaIm0HQ9SwB7IYHdIUvt-U1Uc/edit?usp=sharing"""&amp;",""สระแก้ว!L307"")+IMPORTRANGE(""https://docs.google.com/spreadsheets/d/1xmPlrr1QbdSIKvl1dWUl9K4PjAfSL9oeMr_37QVzcxc/edit?usp=sharing"",""สระบุรี!L307"")+IMPORTRANGE(""https://docs.google.com/spreadsheets/d/1j51vR6CYVGhABJpv6tkstgok82RLpXieLzW1yOY5rHw/edi"&amp;"t?usp=sharing"",""สิงห์บุรี!L307"")+IMPORTRANGE(""https://docs.google.com/spreadsheets/d/1H1EalTWKUSzO4Z1-1CwzoDUaVffgrThEBe2sl74kKG0/edit?usp=sharing"",""สุพรรณบุรี!L307"")+IMPORTRANGE(""https://docs.google.com/spreadsheets/d/1BmIruG_sIrJLYao_Pdr7zVArWsf"&amp;"oBt2692TMi6x_854/edit?usp=sharing"",""อ่างทอง!L307"")"),0)</f>
        <v>0</v>
      </c>
      <c r="M307" s="91">
        <f ca="1">IFERROR(__xludf.DUMMYFUNCTION("IMPORTRANGE(""https://docs.google.com/spreadsheets/d/13wPX838HrBrQMCywv1BsuMkt4PEKTChp52zj44s2izQ/edit?usp=sharing"",""กาญจนบุรี!M307"")+IMPORTRANGE(""https://docs.google.com/spreadsheets/d/1ddFKvqj1W1NEiWytbGlB1zMx_ykJDVtmfEQ-6-lIUBA/edit?usp=sharing"","&amp;"""จันทบุรี!M307"")+IMPORTRANGE(""https://docs.google.com/spreadsheets/d/1T1PQvRODqOBZk8BRht_U031fIS1beLA0Ub2CEytj2q0/edit?usp=sharing"",""ฉะเชิงเทรา!M307"")+IMPORTRANGE(""https://docs.google.com/spreadsheets/d/11tr1B-Bhyr79v2bkwVh5h_fR-PStkgjlZtkrZpYurG0/"&amp;"edit?usp=sharing"",""ชลบุรี!M307"")+IMPORTRANGE(""https://docs.google.com/spreadsheets/d/1hh-FVnSX0vozXhGluamEcS54Dw9_zqW0N7qJUWgJ0Sw/edit?usp=sharing"",""ชัยนาท!M307"")+IMPORTRANGE(""https://docs.google.com/spreadsheets/d/1jkqa6GXxSacMcY1eN8AHjMNJ_7dDXMJ"&amp;"VRLDlaFSOdPM/edit?usp=sharing"",""ตราด!M307"")+IMPORTRANGE(""https://docs.google.com/spreadsheets/d/18hSgUJ3VwClqi_qtULmmW3cLr0oe3OKaSYoKzdpTsYQ/edit?usp=sharing"",""นครนายก!M307"")+IMPORTRANGE(""https://docs.google.com/spreadsheets/d/1YTZo6WM2dQ6Ix6FSdnL"&amp;"5P7uVnVKu40sxZu975tgG10E/edit?usp=sharing"",""นครปฐม!M307"")+IMPORTRANGE(""https://docs.google.com/spreadsheets/d/1OYoGg4WDg5RIzwGeB10padOxJF9E_Vljuvvct_M7RDo/edit?usp=sharing"",""ปทุมธานี!M307"")+IMPORTRANGE(""https://docs.google.com/spreadsheets/d/1GbCI"&amp;"E4D4wk9FUozzqk7SxfDMxDVBwVmI5zcaVUSzKAc/edit?usp=sharing"",""ประจวบคีรีขันธ์!M307"")+IMPORTRANGE(""https://docs.google.com/spreadsheets/d/1vVf6wykvW_lAyu7Yo9L4hUTqHqIeP_qcVuxCtosJEbg/edit?usp=sharing"",""ปราจีนบุรี!M307"")+IMPORTRANGE(""https://docs.googl"&amp;"e.com/spreadsheets/d/1BIDqLLg5jk3v59G8NlR8rk5xfQDKne0sAvZHSj7TI6I/edit?usp=sharing"",""พระนครศรีอยุธยา!M307"")+IMPORTRANGE(""https://docs.google.com/spreadsheets/d/1YXvxf8Yu6_rV4hTBrwMqAcAnv6DfhUxh5emyM3CJp_w/edit?usp=sharing"",""เพชรบุรี!M307"")+IMPORTRA"&amp;"NGE(""https://docs.google.com/spreadsheets/d/19KBlQQs7uwvsao6t2n-KvW3Ax8J8uRRfZPq1zPbXgKc/edit?usp=sharing"",""ระยอง!M307"")+IMPORTRANGE(""https://docs.google.com/spreadsheets/d/1jQ6P4QcrGM89YfqcC_PxOHGCMq5ezhucwJd8ci-NHng/edit?usp=sharing"",""ราชบุรี!M30"&amp;"7"")+IMPORTRANGE(""https://docs.google.com/spreadsheets/d/1lufeA2cfFqM-elVq2hznhDzC6Pr7wkJ9ZG_sYNGCMCU/edit?usp=sharing"",""ลพบุรี!M307"")+IMPORTRANGE(""https://docs.google.com/spreadsheets/d/10oOiF7loTyfsTkbd4MpaIm0HQ9SwB7IYHdIUvt-U1Uc/edit?usp=sharing"""&amp;",""สระแก้ว!M307"")+IMPORTRANGE(""https://docs.google.com/spreadsheets/d/1xmPlrr1QbdSIKvl1dWUl9K4PjAfSL9oeMr_37QVzcxc/edit?usp=sharing"",""สระบุรี!M307"")+IMPORTRANGE(""https://docs.google.com/spreadsheets/d/1j51vR6CYVGhABJpv6tkstgok82RLpXieLzW1yOY5rHw/edi"&amp;"t?usp=sharing"",""สิงห์บุรี!M307"")+IMPORTRANGE(""https://docs.google.com/spreadsheets/d/1H1EalTWKUSzO4Z1-1CwzoDUaVffgrThEBe2sl74kKG0/edit?usp=sharing"",""สุพรรณบุรี!M307"")+IMPORTRANGE(""https://docs.google.com/spreadsheets/d/1BmIruG_sIrJLYao_Pdr7zVArWsf"&amp;"oBt2692TMi6x_854/edit?usp=sharing"",""อ่างทอง!M307"")"),0)</f>
        <v>0</v>
      </c>
      <c r="N307" s="91">
        <f ca="1">IFERROR(__xludf.DUMMYFUNCTION("IMPORTRANGE(""https://docs.google.com/spreadsheets/d/13wPX838HrBrQMCywv1BsuMkt4PEKTChp52zj44s2izQ/edit?usp=sharing"",""กาญจนบุรี!N307"")+IMPORTRANGE(""https://docs.google.com/spreadsheets/d/1ddFKvqj1W1NEiWytbGlB1zMx_ykJDVtmfEQ-6-lIUBA/edit?usp=sharing"","&amp;"""จันทบุรี!N307"")+IMPORTRANGE(""https://docs.google.com/spreadsheets/d/1T1PQvRODqOBZk8BRht_U031fIS1beLA0Ub2CEytj2q0/edit?usp=sharing"",""ฉะเชิงเทรา!N307"")+IMPORTRANGE(""https://docs.google.com/spreadsheets/d/11tr1B-Bhyr79v2bkwVh5h_fR-PStkgjlZtkrZpYurG0/"&amp;"edit?usp=sharing"",""ชลบุรี!N307"")+IMPORTRANGE(""https://docs.google.com/spreadsheets/d/1hh-FVnSX0vozXhGluamEcS54Dw9_zqW0N7qJUWgJ0Sw/edit?usp=sharing"",""ชัยนาท!N307"")+IMPORTRANGE(""https://docs.google.com/spreadsheets/d/1jkqa6GXxSacMcY1eN8AHjMNJ_7dDXMJ"&amp;"VRLDlaFSOdPM/edit?usp=sharing"",""ตราด!N307"")+IMPORTRANGE(""https://docs.google.com/spreadsheets/d/18hSgUJ3VwClqi_qtULmmW3cLr0oe3OKaSYoKzdpTsYQ/edit?usp=sharing"",""นครนายก!N307"")+IMPORTRANGE(""https://docs.google.com/spreadsheets/d/1YTZo6WM2dQ6Ix6FSdnL"&amp;"5P7uVnVKu40sxZu975tgG10E/edit?usp=sharing"",""นครปฐม!N307"")+IMPORTRANGE(""https://docs.google.com/spreadsheets/d/1OYoGg4WDg5RIzwGeB10padOxJF9E_Vljuvvct_M7RDo/edit?usp=sharing"",""ปทุมธานี!N307"")+IMPORTRANGE(""https://docs.google.com/spreadsheets/d/1GbCI"&amp;"E4D4wk9FUozzqk7SxfDMxDVBwVmI5zcaVUSzKAc/edit?usp=sharing"",""ประจวบคีรีขันธ์!N307"")+IMPORTRANGE(""https://docs.google.com/spreadsheets/d/1vVf6wykvW_lAyu7Yo9L4hUTqHqIeP_qcVuxCtosJEbg/edit?usp=sharing"",""ปราจีนบุรี!N307"")+IMPORTRANGE(""https://docs.googl"&amp;"e.com/spreadsheets/d/1BIDqLLg5jk3v59G8NlR8rk5xfQDKne0sAvZHSj7TI6I/edit?usp=sharing"",""พระนครศรีอยุธยา!N307"")+IMPORTRANGE(""https://docs.google.com/spreadsheets/d/1YXvxf8Yu6_rV4hTBrwMqAcAnv6DfhUxh5emyM3CJp_w/edit?usp=sharing"",""เพชรบุรี!N307"")+IMPORTRA"&amp;"NGE(""https://docs.google.com/spreadsheets/d/19KBlQQs7uwvsao6t2n-KvW3Ax8J8uRRfZPq1zPbXgKc/edit?usp=sharing"",""ระยอง!N307"")+IMPORTRANGE(""https://docs.google.com/spreadsheets/d/1jQ6P4QcrGM89YfqcC_PxOHGCMq5ezhucwJd8ci-NHng/edit?usp=sharing"",""ราชบุรี!N30"&amp;"7"")+IMPORTRANGE(""https://docs.google.com/spreadsheets/d/1lufeA2cfFqM-elVq2hznhDzC6Pr7wkJ9ZG_sYNGCMCU/edit?usp=sharing"",""ลพบุรี!N307"")+IMPORTRANGE(""https://docs.google.com/spreadsheets/d/10oOiF7loTyfsTkbd4MpaIm0HQ9SwB7IYHdIUvt-U1Uc/edit?usp=sharing"""&amp;",""สระแก้ว!N307"")+IMPORTRANGE(""https://docs.google.com/spreadsheets/d/1xmPlrr1QbdSIKvl1dWUl9K4PjAfSL9oeMr_37QVzcxc/edit?usp=sharing"",""สระบุรี!N307"")+IMPORTRANGE(""https://docs.google.com/spreadsheets/d/1j51vR6CYVGhABJpv6tkstgok82RLpXieLzW1yOY5rHw/edi"&amp;"t?usp=sharing"",""สิงห์บุรี!N307"")+IMPORTRANGE(""https://docs.google.com/spreadsheets/d/1H1EalTWKUSzO4Z1-1CwzoDUaVffgrThEBe2sl74kKG0/edit?usp=sharing"",""สุพรรณบุรี!N307"")+IMPORTRANGE(""https://docs.google.com/spreadsheets/d/1BmIruG_sIrJLYao_Pdr7zVArWsf"&amp;"oBt2692TMi6x_854/edit?usp=sharing"",""อ่างทอง!N307"")"),0)</f>
        <v>0</v>
      </c>
      <c r="O307" s="91">
        <f t="shared" ca="1" si="215"/>
        <v>0</v>
      </c>
      <c r="P307" s="91">
        <f t="shared" ca="1" si="216"/>
        <v>0</v>
      </c>
      <c r="Q307" s="79">
        <f ca="1">IFERROR(__xludf.DUMMYFUNCTION("IMPORTRANGE(""https://docs.google.com/spreadsheets/d/13wPX838HrBrQMCywv1BsuMkt4PEKTChp52zj44s2izQ/edit?usp=sharing"",""กาญจนบุรี!Q307"")+IMPORTRANGE(""https://docs.google.com/spreadsheets/d/1ddFKvqj1W1NEiWytbGlB1zMx_ykJDVtmfEQ-6-lIUBA/edit?usp=sharing"","&amp;"""จันทบุรี!Q307"")+IMPORTRANGE(""https://docs.google.com/spreadsheets/d/1T1PQvRODqOBZk8BRht_U031fIS1beLA0Ub2CEytj2q0/edit?usp=sharing"",""ฉะเชิงเทรา!Q307"")+IMPORTRANGE(""https://docs.google.com/spreadsheets/d/11tr1B-Bhyr79v2bkwVh5h_fR-PStkgjlZtkrZpYurG0/"&amp;"edit?usp=sharing"",""ชลบุรี!Q307"")+IMPORTRANGE(""https://docs.google.com/spreadsheets/d/1hh-FVnSX0vozXhGluamEcS54Dw9_zqW0N7qJUWgJ0Sw/edit?usp=sharing"",""ชัยนาท!Q307"")+IMPORTRANGE(""https://docs.google.com/spreadsheets/d/1jkqa6GXxSacMcY1eN8AHjMNJ_7dDXMJ"&amp;"VRLDlaFSOdPM/edit?usp=sharing"",""ตราด!Q307"")+IMPORTRANGE(""https://docs.google.com/spreadsheets/d/18hSgUJ3VwClqi_qtULmmW3cLr0oe3OKaSYoKzdpTsYQ/edit?usp=sharing"",""นครนายก!Q307"")+IMPORTRANGE(""https://docs.google.com/spreadsheets/d/1YTZo6WM2dQ6Ix6FSdnL"&amp;"5P7uVnVKu40sxZu975tgG10E/edit?usp=sharing"",""นครปฐม!Q307"")+IMPORTRANGE(""https://docs.google.com/spreadsheets/d/1OYoGg4WDg5RIzwGeB10padOxJF9E_Vljuvvct_M7RDo/edit?usp=sharing"",""ปทุมธานี!Q307"")+IMPORTRANGE(""https://docs.google.com/spreadsheets/d/1GbCI"&amp;"E4D4wk9FUozzqk7SxfDMxDVBwVmI5zcaVUSzKAc/edit?usp=sharing"",""ประจวบคีรีขันธ์!Q307"")+IMPORTRANGE(""https://docs.google.com/spreadsheets/d/1vVf6wykvW_lAyu7Yo9L4hUTqHqIeP_qcVuxCtosJEbg/edit?usp=sharing"",""ปราจีนบุรี!Q307"")+IMPORTRANGE(""https://docs.googl"&amp;"e.com/spreadsheets/d/1BIDqLLg5jk3v59G8NlR8rk5xfQDKne0sAvZHSj7TI6I/edit?usp=sharing"",""พระนครศรีอยุธยา!Q307"")+IMPORTRANGE(""https://docs.google.com/spreadsheets/d/1YXvxf8Yu6_rV4hTBrwMqAcAnv6DfhUxh5emyM3CJp_w/edit?usp=sharing"",""เพชรบุรี!Q307"")+IMPORTRA"&amp;"NGE(""https://docs.google.com/spreadsheets/d/19KBlQQs7uwvsao6t2n-KvW3Ax8J8uRRfZPq1zPbXgKc/edit?usp=sharing"",""ระยอง!Q307"")+IMPORTRANGE(""https://docs.google.com/spreadsheets/d/1jQ6P4QcrGM89YfqcC_PxOHGCMq5ezhucwJd8ci-NHng/edit?usp=sharing"",""ราชบุรี!Q30"&amp;"7"")+IMPORTRANGE(""https://docs.google.com/spreadsheets/d/1lufeA2cfFqM-elVq2hznhDzC6Pr7wkJ9ZG_sYNGCMCU/edit?usp=sharing"",""ลพบุรี!Q307"")+IMPORTRANGE(""https://docs.google.com/spreadsheets/d/10oOiF7loTyfsTkbd4MpaIm0HQ9SwB7IYHdIUvt-U1Uc/edit?usp=sharing"""&amp;",""สระแก้ว!Q307"")+IMPORTRANGE(""https://docs.google.com/spreadsheets/d/1xmPlrr1QbdSIKvl1dWUl9K4PjAfSL9oeMr_37QVzcxc/edit?usp=sharing"",""สระบุรี!Q307"")+IMPORTRANGE(""https://docs.google.com/spreadsheets/d/1j51vR6CYVGhABJpv6tkstgok82RLpXieLzW1yOY5rHw/edi"&amp;"t?usp=sharing"",""สิงห์บุรี!Q307"")+IMPORTRANGE(""https://docs.google.com/spreadsheets/d/1H1EalTWKUSzO4Z1-1CwzoDUaVffgrThEBe2sl74kKG0/edit?usp=sharing"",""สุพรรณบุรี!Q307"")+IMPORTRANGE(""https://docs.google.com/spreadsheets/d/1BmIruG_sIrJLYao_Pdr7zVArWsf"&amp;"oBt2692TMi6x_854/edit?usp=sharing"",""อ่างทอง!Q307"")"),0)</f>
        <v>0</v>
      </c>
      <c r="R307" s="80">
        <f ca="1">IFERROR(__xludf.DUMMYFUNCTION("IMPORTRANGE(""https://docs.google.com/spreadsheets/d/13wPX838HrBrQMCywv1BsuMkt4PEKTChp52zj44s2izQ/edit?usp=sharing"",""กาญจนบุรี!R307"")+IMPORTRANGE(""https://docs.google.com/spreadsheets/d/1ddFKvqj1W1NEiWytbGlB1zMx_ykJDVtmfEQ-6-lIUBA/edit?usp=sharing"","&amp;"""จันทบุรี!R307"")+IMPORTRANGE(""https://docs.google.com/spreadsheets/d/1T1PQvRODqOBZk8BRht_U031fIS1beLA0Ub2CEytj2q0/edit?usp=sharing"",""ฉะเชิงเทรา!R307"")+IMPORTRANGE(""https://docs.google.com/spreadsheets/d/11tr1B-Bhyr79v2bkwVh5h_fR-PStkgjlZtkrZpYurG0/"&amp;"edit?usp=sharing"",""ชลบุรี!R307"")+IMPORTRANGE(""https://docs.google.com/spreadsheets/d/1hh-FVnSX0vozXhGluamEcS54Dw9_zqW0N7qJUWgJ0Sw/edit?usp=sharing"",""ชัยนาท!R307"")+IMPORTRANGE(""https://docs.google.com/spreadsheets/d/1jkqa6GXxSacMcY1eN8AHjMNJ_7dDXMJ"&amp;"VRLDlaFSOdPM/edit?usp=sharing"",""ตราด!R307"")+IMPORTRANGE(""https://docs.google.com/spreadsheets/d/18hSgUJ3VwClqi_qtULmmW3cLr0oe3OKaSYoKzdpTsYQ/edit?usp=sharing"",""นครนายก!R307"")+IMPORTRANGE(""https://docs.google.com/spreadsheets/d/1YTZo6WM2dQ6Ix6FSdnL"&amp;"5P7uVnVKu40sxZu975tgG10E/edit?usp=sharing"",""นครปฐม!R307"")+IMPORTRANGE(""https://docs.google.com/spreadsheets/d/1OYoGg4WDg5RIzwGeB10padOxJF9E_Vljuvvct_M7RDo/edit?usp=sharing"",""ปทุมธานี!R307"")+IMPORTRANGE(""https://docs.google.com/spreadsheets/d/1GbCI"&amp;"E4D4wk9FUozzqk7SxfDMxDVBwVmI5zcaVUSzKAc/edit?usp=sharing"",""ประจวบคีรีขันธ์!R307"")+IMPORTRANGE(""https://docs.google.com/spreadsheets/d/1vVf6wykvW_lAyu7Yo9L4hUTqHqIeP_qcVuxCtosJEbg/edit?usp=sharing"",""ปราจีนบุรี!R307"")+IMPORTRANGE(""https://docs.googl"&amp;"e.com/spreadsheets/d/1BIDqLLg5jk3v59G8NlR8rk5xfQDKne0sAvZHSj7TI6I/edit?usp=sharing"",""พระนครศรีอยุธยา!R307"")+IMPORTRANGE(""https://docs.google.com/spreadsheets/d/1YXvxf8Yu6_rV4hTBrwMqAcAnv6DfhUxh5emyM3CJp_w/edit?usp=sharing"",""เพชรบุรี!R307"")+IMPORTRA"&amp;"NGE(""https://docs.google.com/spreadsheets/d/19KBlQQs7uwvsao6t2n-KvW3Ax8J8uRRfZPq1zPbXgKc/edit?usp=sharing"",""ระยอง!R307"")+IMPORTRANGE(""https://docs.google.com/spreadsheets/d/1jQ6P4QcrGM89YfqcC_PxOHGCMq5ezhucwJd8ci-NHng/edit?usp=sharing"",""ราชบุรี!R30"&amp;"7"")+IMPORTRANGE(""https://docs.google.com/spreadsheets/d/1lufeA2cfFqM-elVq2hznhDzC6Pr7wkJ9ZG_sYNGCMCU/edit?usp=sharing"",""ลพบุรี!R307"")+IMPORTRANGE(""https://docs.google.com/spreadsheets/d/10oOiF7loTyfsTkbd4MpaIm0HQ9SwB7IYHdIUvt-U1Uc/edit?usp=sharing"""&amp;",""สระแก้ว!R307"")+IMPORTRANGE(""https://docs.google.com/spreadsheets/d/1xmPlrr1QbdSIKvl1dWUl9K4PjAfSL9oeMr_37QVzcxc/edit?usp=sharing"",""สระบุรี!R307"")+IMPORTRANGE(""https://docs.google.com/spreadsheets/d/1j51vR6CYVGhABJpv6tkstgok82RLpXieLzW1yOY5rHw/edi"&amp;"t?usp=sharing"",""สิงห์บุรี!R307"")+IMPORTRANGE(""https://docs.google.com/spreadsheets/d/1H1EalTWKUSzO4Z1-1CwzoDUaVffgrThEBe2sl74kKG0/edit?usp=sharing"",""สุพรรณบุรี!R307"")+IMPORTRANGE(""https://docs.google.com/spreadsheets/d/1BmIruG_sIrJLYao_Pdr7zVArWsf"&amp;"oBt2692TMi6x_854/edit?usp=sharing"",""อ่างทอง!R307"")"),0)</f>
        <v>0</v>
      </c>
      <c r="S307" s="80">
        <f ca="1">IFERROR(__xludf.DUMMYFUNCTION("IMPORTRANGE(""https://docs.google.com/spreadsheets/d/13wPX838HrBrQMCywv1BsuMkt4PEKTChp52zj44s2izQ/edit?usp=sharing"",""กาญจนบุรี!S307"")+IMPORTRANGE(""https://docs.google.com/spreadsheets/d/1ddFKvqj1W1NEiWytbGlB1zMx_ykJDVtmfEQ-6-lIUBA/edit?usp=sharing"","&amp;"""จันทบุรี!S307"")+IMPORTRANGE(""https://docs.google.com/spreadsheets/d/1T1PQvRODqOBZk8BRht_U031fIS1beLA0Ub2CEytj2q0/edit?usp=sharing"",""ฉะเชิงเทรา!S307"")+IMPORTRANGE(""https://docs.google.com/spreadsheets/d/11tr1B-Bhyr79v2bkwVh5h_fR-PStkgjlZtkrZpYurG0/"&amp;"edit?usp=sharing"",""ชลบุรี!S307"")+IMPORTRANGE(""https://docs.google.com/spreadsheets/d/1hh-FVnSX0vozXhGluamEcS54Dw9_zqW0N7qJUWgJ0Sw/edit?usp=sharing"",""ชัยนาท!S307"")+IMPORTRANGE(""https://docs.google.com/spreadsheets/d/1jkqa6GXxSacMcY1eN8AHjMNJ_7dDXMJ"&amp;"VRLDlaFSOdPM/edit?usp=sharing"",""ตราด!S307"")+IMPORTRANGE(""https://docs.google.com/spreadsheets/d/18hSgUJ3VwClqi_qtULmmW3cLr0oe3OKaSYoKzdpTsYQ/edit?usp=sharing"",""นครนายก!S307"")+IMPORTRANGE(""https://docs.google.com/spreadsheets/d/1YTZo6WM2dQ6Ix6FSdnL"&amp;"5P7uVnVKu40sxZu975tgG10E/edit?usp=sharing"",""นครปฐม!S307"")+IMPORTRANGE(""https://docs.google.com/spreadsheets/d/1OYoGg4WDg5RIzwGeB10padOxJF9E_Vljuvvct_M7RDo/edit?usp=sharing"",""ปทุมธานี!S307"")+IMPORTRANGE(""https://docs.google.com/spreadsheets/d/1GbCI"&amp;"E4D4wk9FUozzqk7SxfDMxDVBwVmI5zcaVUSzKAc/edit?usp=sharing"",""ประจวบคีรีขันธ์!S307"")+IMPORTRANGE(""https://docs.google.com/spreadsheets/d/1vVf6wykvW_lAyu7Yo9L4hUTqHqIeP_qcVuxCtosJEbg/edit?usp=sharing"",""ปราจีนบุรี!S307"")+IMPORTRANGE(""https://docs.googl"&amp;"e.com/spreadsheets/d/1BIDqLLg5jk3v59G8NlR8rk5xfQDKne0sAvZHSj7TI6I/edit?usp=sharing"",""พระนครศรีอยุธยา!S307"")+IMPORTRANGE(""https://docs.google.com/spreadsheets/d/1YXvxf8Yu6_rV4hTBrwMqAcAnv6DfhUxh5emyM3CJp_w/edit?usp=sharing"",""เพชรบุรี!S307"")+IMPORTRA"&amp;"NGE(""https://docs.google.com/spreadsheets/d/19KBlQQs7uwvsao6t2n-KvW3Ax8J8uRRfZPq1zPbXgKc/edit?usp=sharing"",""ระยอง!S307"")+IMPORTRANGE(""https://docs.google.com/spreadsheets/d/1jQ6P4QcrGM89YfqcC_PxOHGCMq5ezhucwJd8ci-NHng/edit?usp=sharing"",""ราชบุรี!S30"&amp;"7"")+IMPORTRANGE(""https://docs.google.com/spreadsheets/d/1lufeA2cfFqM-elVq2hznhDzC6Pr7wkJ9ZG_sYNGCMCU/edit?usp=sharing"",""ลพบุรี!S307"")+IMPORTRANGE(""https://docs.google.com/spreadsheets/d/10oOiF7loTyfsTkbd4MpaIm0HQ9SwB7IYHdIUvt-U1Uc/edit?usp=sharing"""&amp;",""สระแก้ว!S307"")+IMPORTRANGE(""https://docs.google.com/spreadsheets/d/1xmPlrr1QbdSIKvl1dWUl9K4PjAfSL9oeMr_37QVzcxc/edit?usp=sharing"",""สระบุรี!S307"")+IMPORTRANGE(""https://docs.google.com/spreadsheets/d/1j51vR6CYVGhABJpv6tkstgok82RLpXieLzW1yOY5rHw/edi"&amp;"t?usp=sharing"",""สิงห์บุรี!S307"")+IMPORTRANGE(""https://docs.google.com/spreadsheets/d/1H1EalTWKUSzO4Z1-1CwzoDUaVffgrThEBe2sl74kKG0/edit?usp=sharing"",""สุพรรณบุรี!S307"")+IMPORTRANGE(""https://docs.google.com/spreadsheets/d/1BmIruG_sIrJLYao_Pdr7zVArWsf"&amp;"oBt2692TMi6x_854/edit?usp=sharing"",""อ่างทอง!S307"")"),0)</f>
        <v>0</v>
      </c>
      <c r="T307" s="136">
        <f t="shared" ca="1" si="218"/>
        <v>0</v>
      </c>
      <c r="U307" s="136">
        <f t="shared" ca="1" si="219"/>
        <v>0</v>
      </c>
    </row>
    <row r="308" spans="1:21" ht="18.75" x14ac:dyDescent="0.25">
      <c r="A308" s="211"/>
      <c r="B308" s="70"/>
      <c r="C308" s="70"/>
      <c r="D308" s="70"/>
      <c r="E308" s="78" t="s">
        <v>37</v>
      </c>
      <c r="F308" s="70"/>
      <c r="G308" s="72"/>
      <c r="H308" s="220" t="s">
        <v>14</v>
      </c>
      <c r="I308" s="221"/>
      <c r="J308" s="221"/>
      <c r="K308" s="222"/>
      <c r="L308" s="91">
        <f ca="1">IFERROR(__xludf.DUMMYFUNCTION("IMPORTRANGE(""https://docs.google.com/spreadsheets/d/13wPX838HrBrQMCywv1BsuMkt4PEKTChp52zj44s2izQ/edit?usp=sharing"",""กาญจนบุรี!L308"")+IMPORTRANGE(""https://docs.google.com/spreadsheets/d/1ddFKvqj1W1NEiWytbGlB1zMx_ykJDVtmfEQ-6-lIUBA/edit?usp=sharing"","&amp;"""จันทบุรี!L308"")+IMPORTRANGE(""https://docs.google.com/spreadsheets/d/1T1PQvRODqOBZk8BRht_U031fIS1beLA0Ub2CEytj2q0/edit?usp=sharing"",""ฉะเชิงเทรา!L308"")+IMPORTRANGE(""https://docs.google.com/spreadsheets/d/11tr1B-Bhyr79v2bkwVh5h_fR-PStkgjlZtkrZpYurG0/"&amp;"edit?usp=sharing"",""ชลบุรี!L308"")+IMPORTRANGE(""https://docs.google.com/spreadsheets/d/1hh-FVnSX0vozXhGluamEcS54Dw9_zqW0N7qJUWgJ0Sw/edit?usp=sharing"",""ชัยนาท!L308"")+IMPORTRANGE(""https://docs.google.com/spreadsheets/d/1jkqa6GXxSacMcY1eN8AHjMNJ_7dDXMJ"&amp;"VRLDlaFSOdPM/edit?usp=sharing"",""ตราด!L308"")+IMPORTRANGE(""https://docs.google.com/spreadsheets/d/18hSgUJ3VwClqi_qtULmmW3cLr0oe3OKaSYoKzdpTsYQ/edit?usp=sharing"",""นครนายก!L308"")+IMPORTRANGE(""https://docs.google.com/spreadsheets/d/1YTZo6WM2dQ6Ix6FSdnL"&amp;"5P7uVnVKu40sxZu975tgG10E/edit?usp=sharing"",""นครปฐม!L308"")+IMPORTRANGE(""https://docs.google.com/spreadsheets/d/1OYoGg4WDg5RIzwGeB10padOxJF9E_Vljuvvct_M7RDo/edit?usp=sharing"",""ปทุมธานี!L308"")+IMPORTRANGE(""https://docs.google.com/spreadsheets/d/1GbCI"&amp;"E4D4wk9FUozzqk7SxfDMxDVBwVmI5zcaVUSzKAc/edit?usp=sharing"",""ประจวบคีรีขันธ์!L308"")+IMPORTRANGE(""https://docs.google.com/spreadsheets/d/1vVf6wykvW_lAyu7Yo9L4hUTqHqIeP_qcVuxCtosJEbg/edit?usp=sharing"",""ปราจีนบุรี!L308"")+IMPORTRANGE(""https://docs.googl"&amp;"e.com/spreadsheets/d/1BIDqLLg5jk3v59G8NlR8rk5xfQDKne0sAvZHSj7TI6I/edit?usp=sharing"",""พระนครศรีอยุธยา!L308"")+IMPORTRANGE(""https://docs.google.com/spreadsheets/d/1YXvxf8Yu6_rV4hTBrwMqAcAnv6DfhUxh5emyM3CJp_w/edit?usp=sharing"",""เพชรบุรี!L308"")+IMPORTRA"&amp;"NGE(""https://docs.google.com/spreadsheets/d/19KBlQQs7uwvsao6t2n-KvW3Ax8J8uRRfZPq1zPbXgKc/edit?usp=sharing"",""ระยอง!L308"")+IMPORTRANGE(""https://docs.google.com/spreadsheets/d/1jQ6P4QcrGM89YfqcC_PxOHGCMq5ezhucwJd8ci-NHng/edit?usp=sharing"",""ราชบุรี!L30"&amp;"8"")+IMPORTRANGE(""https://docs.google.com/spreadsheets/d/1lufeA2cfFqM-elVq2hznhDzC6Pr7wkJ9ZG_sYNGCMCU/edit?usp=sharing"",""ลพบุรี!L308"")+IMPORTRANGE(""https://docs.google.com/spreadsheets/d/10oOiF7loTyfsTkbd4MpaIm0HQ9SwB7IYHdIUvt-U1Uc/edit?usp=sharing"""&amp;",""สระแก้ว!L308"")+IMPORTRANGE(""https://docs.google.com/spreadsheets/d/1xmPlrr1QbdSIKvl1dWUl9K4PjAfSL9oeMr_37QVzcxc/edit?usp=sharing"",""สระบุรี!L308"")+IMPORTRANGE(""https://docs.google.com/spreadsheets/d/1j51vR6CYVGhABJpv6tkstgok82RLpXieLzW1yOY5rHw/edi"&amp;"t?usp=sharing"",""สิงห์บุรี!L308"")+IMPORTRANGE(""https://docs.google.com/spreadsheets/d/1H1EalTWKUSzO4Z1-1CwzoDUaVffgrThEBe2sl74kKG0/edit?usp=sharing"",""สุพรรณบุรี!L308"")+IMPORTRANGE(""https://docs.google.com/spreadsheets/d/1BmIruG_sIrJLYao_Pdr7zVArWsf"&amp;"oBt2692TMi6x_854/edit?usp=sharing"",""อ่างทอง!L308"")"),1119100)</f>
        <v>1119100</v>
      </c>
      <c r="M308" s="91">
        <f ca="1">IFERROR(__xludf.DUMMYFUNCTION("IMPORTRANGE(""https://docs.google.com/spreadsheets/d/13wPX838HrBrQMCywv1BsuMkt4PEKTChp52zj44s2izQ/edit?usp=sharing"",""กาญจนบุรี!M308"")+IMPORTRANGE(""https://docs.google.com/spreadsheets/d/1ddFKvqj1W1NEiWytbGlB1zMx_ykJDVtmfEQ-6-lIUBA/edit?usp=sharing"","&amp;"""จันทบุรี!M308"")+IMPORTRANGE(""https://docs.google.com/spreadsheets/d/1T1PQvRODqOBZk8BRht_U031fIS1beLA0Ub2CEytj2q0/edit?usp=sharing"",""ฉะเชิงเทรา!M308"")+IMPORTRANGE(""https://docs.google.com/spreadsheets/d/11tr1B-Bhyr79v2bkwVh5h_fR-PStkgjlZtkrZpYurG0/"&amp;"edit?usp=sharing"",""ชลบุรี!M308"")+IMPORTRANGE(""https://docs.google.com/spreadsheets/d/1hh-FVnSX0vozXhGluamEcS54Dw9_zqW0N7qJUWgJ0Sw/edit?usp=sharing"",""ชัยนาท!M308"")+IMPORTRANGE(""https://docs.google.com/spreadsheets/d/1jkqa6GXxSacMcY1eN8AHjMNJ_7dDXMJ"&amp;"VRLDlaFSOdPM/edit?usp=sharing"",""ตราด!M308"")+IMPORTRANGE(""https://docs.google.com/spreadsheets/d/18hSgUJ3VwClqi_qtULmmW3cLr0oe3OKaSYoKzdpTsYQ/edit?usp=sharing"",""นครนายก!M308"")+IMPORTRANGE(""https://docs.google.com/spreadsheets/d/1YTZo6WM2dQ6Ix6FSdnL"&amp;"5P7uVnVKu40sxZu975tgG10E/edit?usp=sharing"",""นครปฐม!M308"")+IMPORTRANGE(""https://docs.google.com/spreadsheets/d/1OYoGg4WDg5RIzwGeB10padOxJF9E_Vljuvvct_M7RDo/edit?usp=sharing"",""ปทุมธานี!M308"")+IMPORTRANGE(""https://docs.google.com/spreadsheets/d/1GbCI"&amp;"E4D4wk9FUozzqk7SxfDMxDVBwVmI5zcaVUSzKAc/edit?usp=sharing"",""ประจวบคีรีขันธ์!M308"")+IMPORTRANGE(""https://docs.google.com/spreadsheets/d/1vVf6wykvW_lAyu7Yo9L4hUTqHqIeP_qcVuxCtosJEbg/edit?usp=sharing"",""ปราจีนบุรี!M308"")+IMPORTRANGE(""https://docs.googl"&amp;"e.com/spreadsheets/d/1BIDqLLg5jk3v59G8NlR8rk5xfQDKne0sAvZHSj7TI6I/edit?usp=sharing"",""พระนครศรีอยุธยา!M308"")+IMPORTRANGE(""https://docs.google.com/spreadsheets/d/1YXvxf8Yu6_rV4hTBrwMqAcAnv6DfhUxh5emyM3CJp_w/edit?usp=sharing"",""เพชรบุรี!M308"")+IMPORTRA"&amp;"NGE(""https://docs.google.com/spreadsheets/d/19KBlQQs7uwvsao6t2n-KvW3Ax8J8uRRfZPq1zPbXgKc/edit?usp=sharing"",""ระยอง!M308"")+IMPORTRANGE(""https://docs.google.com/spreadsheets/d/1jQ6P4QcrGM89YfqcC_PxOHGCMq5ezhucwJd8ci-NHng/edit?usp=sharing"",""ราชบุรี!M30"&amp;"8"")+IMPORTRANGE(""https://docs.google.com/spreadsheets/d/1lufeA2cfFqM-elVq2hznhDzC6Pr7wkJ9ZG_sYNGCMCU/edit?usp=sharing"",""ลพบุรี!M308"")+IMPORTRANGE(""https://docs.google.com/spreadsheets/d/10oOiF7loTyfsTkbd4MpaIm0HQ9SwB7IYHdIUvt-U1Uc/edit?usp=sharing"""&amp;",""สระแก้ว!M308"")+IMPORTRANGE(""https://docs.google.com/spreadsheets/d/1xmPlrr1QbdSIKvl1dWUl9K4PjAfSL9oeMr_37QVzcxc/edit?usp=sharing"",""สระบุรี!M308"")+IMPORTRANGE(""https://docs.google.com/spreadsheets/d/1j51vR6CYVGhABJpv6tkstgok82RLpXieLzW1yOY5rHw/edi"&amp;"t?usp=sharing"",""สิงห์บุรี!M308"")+IMPORTRANGE(""https://docs.google.com/spreadsheets/d/1H1EalTWKUSzO4Z1-1CwzoDUaVffgrThEBe2sl74kKG0/edit?usp=sharing"",""สุพรรณบุรี!M308"")+IMPORTRANGE(""https://docs.google.com/spreadsheets/d/1BmIruG_sIrJLYao_Pdr7zVArWsf"&amp;"oBt2692TMi6x_854/edit?usp=sharing"",""อ่างทอง!M308"")"),1119100)</f>
        <v>1119100</v>
      </c>
      <c r="N308" s="91">
        <f ca="1">IFERROR(__xludf.DUMMYFUNCTION("IMPORTRANGE(""https://docs.google.com/spreadsheets/d/13wPX838HrBrQMCywv1BsuMkt4PEKTChp52zj44s2izQ/edit?usp=sharing"",""กาญจนบุรี!N308"")+IMPORTRANGE(""https://docs.google.com/spreadsheets/d/1ddFKvqj1W1NEiWytbGlB1zMx_ykJDVtmfEQ-6-lIUBA/edit?usp=sharing"","&amp;"""จันทบุรี!N308"")+IMPORTRANGE(""https://docs.google.com/spreadsheets/d/1T1PQvRODqOBZk8BRht_U031fIS1beLA0Ub2CEytj2q0/edit?usp=sharing"",""ฉะเชิงเทรา!N308"")+IMPORTRANGE(""https://docs.google.com/spreadsheets/d/11tr1B-Bhyr79v2bkwVh5h_fR-PStkgjlZtkrZpYurG0/"&amp;"edit?usp=sharing"",""ชลบุรี!N308"")+IMPORTRANGE(""https://docs.google.com/spreadsheets/d/1hh-FVnSX0vozXhGluamEcS54Dw9_zqW0N7qJUWgJ0Sw/edit?usp=sharing"",""ชัยนาท!N308"")+IMPORTRANGE(""https://docs.google.com/spreadsheets/d/1jkqa6GXxSacMcY1eN8AHjMNJ_7dDXMJ"&amp;"VRLDlaFSOdPM/edit?usp=sharing"",""ตราด!N308"")+IMPORTRANGE(""https://docs.google.com/spreadsheets/d/18hSgUJ3VwClqi_qtULmmW3cLr0oe3OKaSYoKzdpTsYQ/edit?usp=sharing"",""นครนายก!N308"")+IMPORTRANGE(""https://docs.google.com/spreadsheets/d/1YTZo6WM2dQ6Ix6FSdnL"&amp;"5P7uVnVKu40sxZu975tgG10E/edit?usp=sharing"",""นครปฐม!N308"")+IMPORTRANGE(""https://docs.google.com/spreadsheets/d/1OYoGg4WDg5RIzwGeB10padOxJF9E_Vljuvvct_M7RDo/edit?usp=sharing"",""ปทุมธานี!N308"")+IMPORTRANGE(""https://docs.google.com/spreadsheets/d/1GbCI"&amp;"E4D4wk9FUozzqk7SxfDMxDVBwVmI5zcaVUSzKAc/edit?usp=sharing"",""ประจวบคีรีขันธ์!N308"")+IMPORTRANGE(""https://docs.google.com/spreadsheets/d/1vVf6wykvW_lAyu7Yo9L4hUTqHqIeP_qcVuxCtosJEbg/edit?usp=sharing"",""ปราจีนบุรี!N308"")+IMPORTRANGE(""https://docs.googl"&amp;"e.com/spreadsheets/d/1BIDqLLg5jk3v59G8NlR8rk5xfQDKne0sAvZHSj7TI6I/edit?usp=sharing"",""พระนครศรีอยุธยา!N308"")+IMPORTRANGE(""https://docs.google.com/spreadsheets/d/1YXvxf8Yu6_rV4hTBrwMqAcAnv6DfhUxh5emyM3CJp_w/edit?usp=sharing"",""เพชรบุรี!N308"")+IMPORTRA"&amp;"NGE(""https://docs.google.com/spreadsheets/d/19KBlQQs7uwvsao6t2n-KvW3Ax8J8uRRfZPq1zPbXgKc/edit?usp=sharing"",""ระยอง!N308"")+IMPORTRANGE(""https://docs.google.com/spreadsheets/d/1jQ6P4QcrGM89YfqcC_PxOHGCMq5ezhucwJd8ci-NHng/edit?usp=sharing"",""ราชบุรี!N30"&amp;"8"")+IMPORTRANGE(""https://docs.google.com/spreadsheets/d/1lufeA2cfFqM-elVq2hznhDzC6Pr7wkJ9ZG_sYNGCMCU/edit?usp=sharing"",""ลพบุรี!N308"")+IMPORTRANGE(""https://docs.google.com/spreadsheets/d/10oOiF7loTyfsTkbd4MpaIm0HQ9SwB7IYHdIUvt-U1Uc/edit?usp=sharing"""&amp;",""สระแก้ว!N308"")+IMPORTRANGE(""https://docs.google.com/spreadsheets/d/1xmPlrr1QbdSIKvl1dWUl9K4PjAfSL9oeMr_37QVzcxc/edit?usp=sharing"",""สระบุรี!N308"")+IMPORTRANGE(""https://docs.google.com/spreadsheets/d/1j51vR6CYVGhABJpv6tkstgok82RLpXieLzW1yOY5rHw/edi"&amp;"t?usp=sharing"",""สิงห์บุรี!N308"")+IMPORTRANGE(""https://docs.google.com/spreadsheets/d/1H1EalTWKUSzO4Z1-1CwzoDUaVffgrThEBe2sl74kKG0/edit?usp=sharing"",""สุพรรณบุรี!N308"")+IMPORTRANGE(""https://docs.google.com/spreadsheets/d/1BmIruG_sIrJLYao_Pdr7zVArWsf"&amp;"oBt2692TMi6x_854/edit?usp=sharing"",""อ่างทอง!N308"")"),829796.34)</f>
        <v>829796.34</v>
      </c>
      <c r="O308" s="91">
        <f t="shared" ca="1" si="215"/>
        <v>74.148542578858013</v>
      </c>
      <c r="P308" s="91">
        <f t="shared" ca="1" si="216"/>
        <v>74.148542578858013</v>
      </c>
      <c r="Q308" s="134">
        <f ca="1">IFERROR(__xludf.DUMMYFUNCTION("IMPORTRANGE(""https://docs.google.com/spreadsheets/d/13wPX838HrBrQMCywv1BsuMkt4PEKTChp52zj44s2izQ/edit?usp=sharing"",""กาญจนบุรี!Q308"")+IMPORTRANGE(""https://docs.google.com/spreadsheets/d/1ddFKvqj1W1NEiWytbGlB1zMx_ykJDVtmfEQ-6-lIUBA/edit?usp=sharing"","&amp;"""จันทบุรี!Q308"")+IMPORTRANGE(""https://docs.google.com/spreadsheets/d/1T1PQvRODqOBZk8BRht_U031fIS1beLA0Ub2CEytj2q0/edit?usp=sharing"",""ฉะเชิงเทรา!Q308"")+IMPORTRANGE(""https://docs.google.com/spreadsheets/d/11tr1B-Bhyr79v2bkwVh5h_fR-PStkgjlZtkrZpYurG0/"&amp;"edit?usp=sharing"",""ชลบุรี!Q308"")+IMPORTRANGE(""https://docs.google.com/spreadsheets/d/1hh-FVnSX0vozXhGluamEcS54Dw9_zqW0N7qJUWgJ0Sw/edit?usp=sharing"",""ชัยนาท!Q308"")+IMPORTRANGE(""https://docs.google.com/spreadsheets/d/1jkqa6GXxSacMcY1eN8AHjMNJ_7dDXMJ"&amp;"VRLDlaFSOdPM/edit?usp=sharing"",""ตราด!Q308"")+IMPORTRANGE(""https://docs.google.com/spreadsheets/d/18hSgUJ3VwClqi_qtULmmW3cLr0oe3OKaSYoKzdpTsYQ/edit?usp=sharing"",""นครนายก!Q308"")+IMPORTRANGE(""https://docs.google.com/spreadsheets/d/1YTZo6WM2dQ6Ix6FSdnL"&amp;"5P7uVnVKu40sxZu975tgG10E/edit?usp=sharing"",""นครปฐม!Q308"")+IMPORTRANGE(""https://docs.google.com/spreadsheets/d/1OYoGg4WDg5RIzwGeB10padOxJF9E_Vljuvvct_M7RDo/edit?usp=sharing"",""ปทุมธานี!Q308"")+IMPORTRANGE(""https://docs.google.com/spreadsheets/d/1GbCI"&amp;"E4D4wk9FUozzqk7SxfDMxDVBwVmI5zcaVUSzKAc/edit?usp=sharing"",""ประจวบคีรีขันธ์!Q308"")+IMPORTRANGE(""https://docs.google.com/spreadsheets/d/1vVf6wykvW_lAyu7Yo9L4hUTqHqIeP_qcVuxCtosJEbg/edit?usp=sharing"",""ปราจีนบุรี!Q308"")+IMPORTRANGE(""https://docs.googl"&amp;"e.com/spreadsheets/d/1BIDqLLg5jk3v59G8NlR8rk5xfQDKne0sAvZHSj7TI6I/edit?usp=sharing"",""พระนครศรีอยุธยา!Q308"")+IMPORTRANGE(""https://docs.google.com/spreadsheets/d/1YXvxf8Yu6_rV4hTBrwMqAcAnv6DfhUxh5emyM3CJp_w/edit?usp=sharing"",""เพชรบุรี!Q308"")+IMPORTRA"&amp;"NGE(""https://docs.google.com/spreadsheets/d/19KBlQQs7uwvsao6t2n-KvW3Ax8J8uRRfZPq1zPbXgKc/edit?usp=sharing"",""ระยอง!Q308"")+IMPORTRANGE(""https://docs.google.com/spreadsheets/d/1jQ6P4QcrGM89YfqcC_PxOHGCMq5ezhucwJd8ci-NHng/edit?usp=sharing"",""ราชบุรี!Q30"&amp;"8"")+IMPORTRANGE(""https://docs.google.com/spreadsheets/d/1lufeA2cfFqM-elVq2hznhDzC6Pr7wkJ9ZG_sYNGCMCU/edit?usp=sharing"",""ลพบุรี!Q308"")+IMPORTRANGE(""https://docs.google.com/spreadsheets/d/10oOiF7loTyfsTkbd4MpaIm0HQ9SwB7IYHdIUvt-U1Uc/edit?usp=sharing"""&amp;",""สระแก้ว!Q308"")+IMPORTRANGE(""https://docs.google.com/spreadsheets/d/1xmPlrr1QbdSIKvl1dWUl9K4PjAfSL9oeMr_37QVzcxc/edit?usp=sharing"",""สระบุรี!Q308"")+IMPORTRANGE(""https://docs.google.com/spreadsheets/d/1j51vR6CYVGhABJpv6tkstgok82RLpXieLzW1yOY5rHw/edi"&amp;"t?usp=sharing"",""สิงห์บุรี!Q308"")+IMPORTRANGE(""https://docs.google.com/spreadsheets/d/1H1EalTWKUSzO4Z1-1CwzoDUaVffgrThEBe2sl74kKG0/edit?usp=sharing"",""สุพรรณบุรี!Q308"")+IMPORTRANGE(""https://docs.google.com/spreadsheets/d/1BmIruG_sIrJLYao_Pdr7zVArWsf"&amp;"oBt2692TMi6x_854/edit?usp=sharing"",""อ่างทอง!Q308"")"),2884993.65)</f>
        <v>2884993.65</v>
      </c>
      <c r="R308" s="135">
        <f ca="1">IFERROR(__xludf.DUMMYFUNCTION("IMPORTRANGE(""https://docs.google.com/spreadsheets/d/13wPX838HrBrQMCywv1BsuMkt4PEKTChp52zj44s2izQ/edit?usp=sharing"",""กาญจนบุรี!R308"")+IMPORTRANGE(""https://docs.google.com/spreadsheets/d/1ddFKvqj1W1NEiWytbGlB1zMx_ykJDVtmfEQ-6-lIUBA/edit?usp=sharing"","&amp;"""จันทบุรี!R308"")+IMPORTRANGE(""https://docs.google.com/spreadsheets/d/1T1PQvRODqOBZk8BRht_U031fIS1beLA0Ub2CEytj2q0/edit?usp=sharing"",""ฉะเชิงเทรา!R308"")+IMPORTRANGE(""https://docs.google.com/spreadsheets/d/11tr1B-Bhyr79v2bkwVh5h_fR-PStkgjlZtkrZpYurG0/"&amp;"edit?usp=sharing"",""ชลบุรี!R308"")+IMPORTRANGE(""https://docs.google.com/spreadsheets/d/1hh-FVnSX0vozXhGluamEcS54Dw9_zqW0N7qJUWgJ0Sw/edit?usp=sharing"",""ชัยนาท!R308"")+IMPORTRANGE(""https://docs.google.com/spreadsheets/d/1jkqa6GXxSacMcY1eN8AHjMNJ_7dDXMJ"&amp;"VRLDlaFSOdPM/edit?usp=sharing"",""ตราด!R308"")+IMPORTRANGE(""https://docs.google.com/spreadsheets/d/18hSgUJ3VwClqi_qtULmmW3cLr0oe3OKaSYoKzdpTsYQ/edit?usp=sharing"",""นครนายก!R308"")+IMPORTRANGE(""https://docs.google.com/spreadsheets/d/1YTZo6WM2dQ6Ix6FSdnL"&amp;"5P7uVnVKu40sxZu975tgG10E/edit?usp=sharing"",""นครปฐม!R308"")+IMPORTRANGE(""https://docs.google.com/spreadsheets/d/1OYoGg4WDg5RIzwGeB10padOxJF9E_Vljuvvct_M7RDo/edit?usp=sharing"",""ปทุมธานี!R308"")+IMPORTRANGE(""https://docs.google.com/spreadsheets/d/1GbCI"&amp;"E4D4wk9FUozzqk7SxfDMxDVBwVmI5zcaVUSzKAc/edit?usp=sharing"",""ประจวบคีรีขันธ์!R308"")+IMPORTRANGE(""https://docs.google.com/spreadsheets/d/1vVf6wykvW_lAyu7Yo9L4hUTqHqIeP_qcVuxCtosJEbg/edit?usp=sharing"",""ปราจีนบุรี!R308"")+IMPORTRANGE(""https://docs.googl"&amp;"e.com/spreadsheets/d/1BIDqLLg5jk3v59G8NlR8rk5xfQDKne0sAvZHSj7TI6I/edit?usp=sharing"",""พระนครศรีอยุธยา!R308"")+IMPORTRANGE(""https://docs.google.com/spreadsheets/d/1YXvxf8Yu6_rV4hTBrwMqAcAnv6DfhUxh5emyM3CJp_w/edit?usp=sharing"",""เพชรบุรี!R308"")+IMPORTRA"&amp;"NGE(""https://docs.google.com/spreadsheets/d/19KBlQQs7uwvsao6t2n-KvW3Ax8J8uRRfZPq1zPbXgKc/edit?usp=sharing"",""ระยอง!R308"")+IMPORTRANGE(""https://docs.google.com/spreadsheets/d/1jQ6P4QcrGM89YfqcC_PxOHGCMq5ezhucwJd8ci-NHng/edit?usp=sharing"",""ราชบุรี!R30"&amp;"8"")+IMPORTRANGE(""https://docs.google.com/spreadsheets/d/1lufeA2cfFqM-elVq2hznhDzC6Pr7wkJ9ZG_sYNGCMCU/edit?usp=sharing"",""ลพบุรี!R308"")+IMPORTRANGE(""https://docs.google.com/spreadsheets/d/10oOiF7loTyfsTkbd4MpaIm0HQ9SwB7IYHdIUvt-U1Uc/edit?usp=sharing"""&amp;",""สระแก้ว!R308"")+IMPORTRANGE(""https://docs.google.com/spreadsheets/d/1xmPlrr1QbdSIKvl1dWUl9K4PjAfSL9oeMr_37QVzcxc/edit?usp=sharing"",""สระบุรี!R308"")+IMPORTRANGE(""https://docs.google.com/spreadsheets/d/1j51vR6CYVGhABJpv6tkstgok82RLpXieLzW1yOY5rHw/edi"&amp;"t?usp=sharing"",""สิงห์บุรี!R308"")+IMPORTRANGE(""https://docs.google.com/spreadsheets/d/1H1EalTWKUSzO4Z1-1CwzoDUaVffgrThEBe2sl74kKG0/edit?usp=sharing"",""สุพรรณบุรี!R308"")+IMPORTRANGE(""https://docs.google.com/spreadsheets/d/1BmIruG_sIrJLYao_Pdr7zVArWsf"&amp;"oBt2692TMi6x_854/edit?usp=sharing"",""อ่างทอง!R308"")"),2884989)</f>
        <v>2884989</v>
      </c>
      <c r="S308" s="135">
        <f ca="1">IFERROR(__xludf.DUMMYFUNCTION("IMPORTRANGE(""https://docs.google.com/spreadsheets/d/13wPX838HrBrQMCywv1BsuMkt4PEKTChp52zj44s2izQ/edit?usp=sharing"",""กาญจนบุรี!S308"")+IMPORTRANGE(""https://docs.google.com/spreadsheets/d/1ddFKvqj1W1NEiWytbGlB1zMx_ykJDVtmfEQ-6-lIUBA/edit?usp=sharing"","&amp;"""จันทบุรี!S308"")+IMPORTRANGE(""https://docs.google.com/spreadsheets/d/1T1PQvRODqOBZk8BRht_U031fIS1beLA0Ub2CEytj2q0/edit?usp=sharing"",""ฉะเชิงเทรา!S308"")+IMPORTRANGE(""https://docs.google.com/spreadsheets/d/11tr1B-Bhyr79v2bkwVh5h_fR-PStkgjlZtkrZpYurG0/"&amp;"edit?usp=sharing"",""ชลบุรี!S308"")+IMPORTRANGE(""https://docs.google.com/spreadsheets/d/1hh-FVnSX0vozXhGluamEcS54Dw9_zqW0N7qJUWgJ0Sw/edit?usp=sharing"",""ชัยนาท!S308"")+IMPORTRANGE(""https://docs.google.com/spreadsheets/d/1jkqa6GXxSacMcY1eN8AHjMNJ_7dDXMJ"&amp;"VRLDlaFSOdPM/edit?usp=sharing"",""ตราด!S308"")+IMPORTRANGE(""https://docs.google.com/spreadsheets/d/18hSgUJ3VwClqi_qtULmmW3cLr0oe3OKaSYoKzdpTsYQ/edit?usp=sharing"",""นครนายก!S308"")+IMPORTRANGE(""https://docs.google.com/spreadsheets/d/1YTZo6WM2dQ6Ix6FSdnL"&amp;"5P7uVnVKu40sxZu975tgG10E/edit?usp=sharing"",""นครปฐม!S308"")+IMPORTRANGE(""https://docs.google.com/spreadsheets/d/1OYoGg4WDg5RIzwGeB10padOxJF9E_Vljuvvct_M7RDo/edit?usp=sharing"",""ปทุมธานี!S308"")+IMPORTRANGE(""https://docs.google.com/spreadsheets/d/1GbCI"&amp;"E4D4wk9FUozzqk7SxfDMxDVBwVmI5zcaVUSzKAc/edit?usp=sharing"",""ประจวบคีรีขันธ์!S308"")+IMPORTRANGE(""https://docs.google.com/spreadsheets/d/1vVf6wykvW_lAyu7Yo9L4hUTqHqIeP_qcVuxCtosJEbg/edit?usp=sharing"",""ปราจีนบุรี!S308"")+IMPORTRANGE(""https://docs.googl"&amp;"e.com/spreadsheets/d/1BIDqLLg5jk3v59G8NlR8rk5xfQDKne0sAvZHSj7TI6I/edit?usp=sharing"",""พระนครศรีอยุธยา!S308"")+IMPORTRANGE(""https://docs.google.com/spreadsheets/d/1YXvxf8Yu6_rV4hTBrwMqAcAnv6DfhUxh5emyM3CJp_w/edit?usp=sharing"",""เพชรบุรี!S308"")+IMPORTRA"&amp;"NGE(""https://docs.google.com/spreadsheets/d/19KBlQQs7uwvsao6t2n-KvW3Ax8J8uRRfZPq1zPbXgKc/edit?usp=sharing"",""ระยอง!S308"")+IMPORTRANGE(""https://docs.google.com/spreadsheets/d/1jQ6P4QcrGM89YfqcC_PxOHGCMq5ezhucwJd8ci-NHng/edit?usp=sharing"",""ราชบุรี!S30"&amp;"8"")+IMPORTRANGE(""https://docs.google.com/spreadsheets/d/1lufeA2cfFqM-elVq2hznhDzC6Pr7wkJ9ZG_sYNGCMCU/edit?usp=sharing"",""ลพบุรี!S308"")+IMPORTRANGE(""https://docs.google.com/spreadsheets/d/10oOiF7loTyfsTkbd4MpaIm0HQ9SwB7IYHdIUvt-U1Uc/edit?usp=sharing"""&amp;",""สระแก้ว!S308"")+IMPORTRANGE(""https://docs.google.com/spreadsheets/d/1xmPlrr1QbdSIKvl1dWUl9K4PjAfSL9oeMr_37QVzcxc/edit?usp=sharing"",""สระบุรี!S308"")+IMPORTRANGE(""https://docs.google.com/spreadsheets/d/1j51vR6CYVGhABJpv6tkstgok82RLpXieLzW1yOY5rHw/edi"&amp;"t?usp=sharing"",""สิงห์บุรี!S308"")+IMPORTRANGE(""https://docs.google.com/spreadsheets/d/1H1EalTWKUSzO4Z1-1CwzoDUaVffgrThEBe2sl74kKG0/edit?usp=sharing"",""สุพรรณบุรี!S308"")+IMPORTRANGE(""https://docs.google.com/spreadsheets/d/1BmIruG_sIrJLYao_Pdr7zVArWsf"&amp;"oBt2692TMi6x_854/edit?usp=sharing"",""อ่างทอง!S308"")"),158201.5)</f>
        <v>158201.5</v>
      </c>
      <c r="T308" s="135">
        <f t="shared" ca="1" si="218"/>
        <v>5.4835995912850626</v>
      </c>
      <c r="U308" s="135">
        <f t="shared" ca="1" si="219"/>
        <v>5.4836084297028513</v>
      </c>
    </row>
    <row r="309" spans="1:21" ht="18.75" x14ac:dyDescent="0.25">
      <c r="A309" s="211"/>
      <c r="B309" s="70"/>
      <c r="C309" s="70"/>
      <c r="D309" s="71" t="s">
        <v>23</v>
      </c>
      <c r="E309" s="70"/>
      <c r="F309" s="70"/>
      <c r="G309" s="72"/>
      <c r="H309" s="223" t="s">
        <v>14</v>
      </c>
      <c r="I309" s="221"/>
      <c r="J309" s="221"/>
      <c r="K309" s="222"/>
      <c r="L309" s="91">
        <f t="shared" ref="L309:N309" ca="1" si="226">L310+L311</f>
        <v>0</v>
      </c>
      <c r="M309" s="91">
        <f t="shared" ca="1" si="226"/>
        <v>0</v>
      </c>
      <c r="N309" s="91">
        <f t="shared" ca="1" si="226"/>
        <v>0</v>
      </c>
      <c r="O309" s="91">
        <f t="shared" ca="1" si="215"/>
        <v>0</v>
      </c>
      <c r="P309" s="91">
        <f t="shared" ca="1" si="216"/>
        <v>0</v>
      </c>
      <c r="Q309" s="134">
        <f t="shared" ref="Q309:S309" ca="1" si="227">Q310+Q311</f>
        <v>0</v>
      </c>
      <c r="R309" s="135">
        <f t="shared" ca="1" si="227"/>
        <v>0</v>
      </c>
      <c r="S309" s="135">
        <f t="shared" ca="1" si="227"/>
        <v>0</v>
      </c>
      <c r="T309" s="135">
        <f t="shared" ca="1" si="218"/>
        <v>0</v>
      </c>
      <c r="U309" s="135">
        <f t="shared" ca="1" si="219"/>
        <v>0</v>
      </c>
    </row>
    <row r="310" spans="1:21" ht="18.75" x14ac:dyDescent="0.25">
      <c r="A310" s="211"/>
      <c r="B310" s="70"/>
      <c r="C310" s="70"/>
      <c r="D310" s="70"/>
      <c r="E310" s="78" t="s">
        <v>20</v>
      </c>
      <c r="F310" s="70"/>
      <c r="G310" s="72"/>
      <c r="H310" s="220" t="s">
        <v>14</v>
      </c>
      <c r="I310" s="221"/>
      <c r="J310" s="221"/>
      <c r="K310" s="222"/>
      <c r="L310" s="91">
        <f ca="1">IFERROR(__xludf.DUMMYFUNCTION("IMPORTRANGE(""https://docs.google.com/spreadsheets/d/13wPX838HrBrQMCywv1BsuMkt4PEKTChp52zj44s2izQ/edit?usp=sharing"",""กาญจนบุรี!L310"")+IMPORTRANGE(""https://docs.google.com/spreadsheets/d/1ddFKvqj1W1NEiWytbGlB1zMx_ykJDVtmfEQ-6-lIUBA/edit?usp=sharing"","&amp;"""จันทบุรี!L310"")+IMPORTRANGE(""https://docs.google.com/spreadsheets/d/1T1PQvRODqOBZk8BRht_U031fIS1beLA0Ub2CEytj2q0/edit?usp=sharing"",""ฉะเชิงเทรา!L310"")+IMPORTRANGE(""https://docs.google.com/spreadsheets/d/11tr1B-Bhyr79v2bkwVh5h_fR-PStkgjlZtkrZpYurG0/"&amp;"edit?usp=sharing"",""ชลบุรี!L310"")+IMPORTRANGE(""https://docs.google.com/spreadsheets/d/1hh-FVnSX0vozXhGluamEcS54Dw9_zqW0N7qJUWgJ0Sw/edit?usp=sharing"",""ชัยนาท!L310"")+IMPORTRANGE(""https://docs.google.com/spreadsheets/d/1jkqa6GXxSacMcY1eN8AHjMNJ_7dDXMJ"&amp;"VRLDlaFSOdPM/edit?usp=sharing"",""ตราด!L310"")+IMPORTRANGE(""https://docs.google.com/spreadsheets/d/18hSgUJ3VwClqi_qtULmmW3cLr0oe3OKaSYoKzdpTsYQ/edit?usp=sharing"",""นครนายก!L310"")+IMPORTRANGE(""https://docs.google.com/spreadsheets/d/1YTZo6WM2dQ6Ix6FSdnL"&amp;"5P7uVnVKu40sxZu975tgG10E/edit?usp=sharing"",""นครปฐม!L310"")+IMPORTRANGE(""https://docs.google.com/spreadsheets/d/1OYoGg4WDg5RIzwGeB10padOxJF9E_Vljuvvct_M7RDo/edit?usp=sharing"",""ปทุมธานี!L310"")+IMPORTRANGE(""https://docs.google.com/spreadsheets/d/1GbCI"&amp;"E4D4wk9FUozzqk7SxfDMxDVBwVmI5zcaVUSzKAc/edit?usp=sharing"",""ประจวบคีรีขันธ์!L310"")+IMPORTRANGE(""https://docs.google.com/spreadsheets/d/1vVf6wykvW_lAyu7Yo9L4hUTqHqIeP_qcVuxCtosJEbg/edit?usp=sharing"",""ปราจีนบุรี!L310"")+IMPORTRANGE(""https://docs.googl"&amp;"e.com/spreadsheets/d/1BIDqLLg5jk3v59G8NlR8rk5xfQDKne0sAvZHSj7TI6I/edit?usp=sharing"",""พระนครศรีอยุธยา!L310"")+IMPORTRANGE(""https://docs.google.com/spreadsheets/d/1YXvxf8Yu6_rV4hTBrwMqAcAnv6DfhUxh5emyM3CJp_w/edit?usp=sharing"",""เพชรบุรี!L310"")+IMPORTRA"&amp;"NGE(""https://docs.google.com/spreadsheets/d/19KBlQQs7uwvsao6t2n-KvW3Ax8J8uRRfZPq1zPbXgKc/edit?usp=sharing"",""ระยอง!L310"")+IMPORTRANGE(""https://docs.google.com/spreadsheets/d/1jQ6P4QcrGM89YfqcC_PxOHGCMq5ezhucwJd8ci-NHng/edit?usp=sharing"",""ราชบุรี!L31"&amp;"0"")+IMPORTRANGE(""https://docs.google.com/spreadsheets/d/1lufeA2cfFqM-elVq2hznhDzC6Pr7wkJ9ZG_sYNGCMCU/edit?usp=sharing"",""ลพบุรี!L310"")+IMPORTRANGE(""https://docs.google.com/spreadsheets/d/10oOiF7loTyfsTkbd4MpaIm0HQ9SwB7IYHdIUvt-U1Uc/edit?usp=sharing"""&amp;",""สระแก้ว!L310"")+IMPORTRANGE(""https://docs.google.com/spreadsheets/d/1xmPlrr1QbdSIKvl1dWUl9K4PjAfSL9oeMr_37QVzcxc/edit?usp=sharing"",""สระบุรี!L310"")+IMPORTRANGE(""https://docs.google.com/spreadsheets/d/1j51vR6CYVGhABJpv6tkstgok82RLpXieLzW1yOY5rHw/edi"&amp;"t?usp=sharing"",""สิงห์บุรี!L310"")+IMPORTRANGE(""https://docs.google.com/spreadsheets/d/1H1EalTWKUSzO4Z1-1CwzoDUaVffgrThEBe2sl74kKG0/edit?usp=sharing"",""สุพรรณบุรี!L310"")+IMPORTRANGE(""https://docs.google.com/spreadsheets/d/1BmIruG_sIrJLYao_Pdr7zVArWsf"&amp;"oBt2692TMi6x_854/edit?usp=sharing"",""อ่างทอง!L310"")"),0)</f>
        <v>0</v>
      </c>
      <c r="M310" s="91">
        <f ca="1">IFERROR(__xludf.DUMMYFUNCTION("IMPORTRANGE(""https://docs.google.com/spreadsheets/d/13wPX838HrBrQMCywv1BsuMkt4PEKTChp52zj44s2izQ/edit?usp=sharing"",""กาญจนบุรี!M310"")+IMPORTRANGE(""https://docs.google.com/spreadsheets/d/1ddFKvqj1W1NEiWytbGlB1zMx_ykJDVtmfEQ-6-lIUBA/edit?usp=sharing"","&amp;"""จันทบุรี!M310"")+IMPORTRANGE(""https://docs.google.com/spreadsheets/d/1T1PQvRODqOBZk8BRht_U031fIS1beLA0Ub2CEytj2q0/edit?usp=sharing"",""ฉะเชิงเทรา!M310"")+IMPORTRANGE(""https://docs.google.com/spreadsheets/d/11tr1B-Bhyr79v2bkwVh5h_fR-PStkgjlZtkrZpYurG0/"&amp;"edit?usp=sharing"",""ชลบุรี!M310"")+IMPORTRANGE(""https://docs.google.com/spreadsheets/d/1hh-FVnSX0vozXhGluamEcS54Dw9_zqW0N7qJUWgJ0Sw/edit?usp=sharing"",""ชัยนาท!M310"")+IMPORTRANGE(""https://docs.google.com/spreadsheets/d/1jkqa6GXxSacMcY1eN8AHjMNJ_7dDXMJ"&amp;"VRLDlaFSOdPM/edit?usp=sharing"",""ตราด!M310"")+IMPORTRANGE(""https://docs.google.com/spreadsheets/d/18hSgUJ3VwClqi_qtULmmW3cLr0oe3OKaSYoKzdpTsYQ/edit?usp=sharing"",""นครนายก!M310"")+IMPORTRANGE(""https://docs.google.com/spreadsheets/d/1YTZo6WM2dQ6Ix6FSdnL"&amp;"5P7uVnVKu40sxZu975tgG10E/edit?usp=sharing"",""นครปฐม!M310"")+IMPORTRANGE(""https://docs.google.com/spreadsheets/d/1OYoGg4WDg5RIzwGeB10padOxJF9E_Vljuvvct_M7RDo/edit?usp=sharing"",""ปทุมธานี!M310"")+IMPORTRANGE(""https://docs.google.com/spreadsheets/d/1GbCI"&amp;"E4D4wk9FUozzqk7SxfDMxDVBwVmI5zcaVUSzKAc/edit?usp=sharing"",""ประจวบคีรีขันธ์!M310"")+IMPORTRANGE(""https://docs.google.com/spreadsheets/d/1vVf6wykvW_lAyu7Yo9L4hUTqHqIeP_qcVuxCtosJEbg/edit?usp=sharing"",""ปราจีนบุรี!M310"")+IMPORTRANGE(""https://docs.googl"&amp;"e.com/spreadsheets/d/1BIDqLLg5jk3v59G8NlR8rk5xfQDKne0sAvZHSj7TI6I/edit?usp=sharing"",""พระนครศรีอยุธยา!M310"")+IMPORTRANGE(""https://docs.google.com/spreadsheets/d/1YXvxf8Yu6_rV4hTBrwMqAcAnv6DfhUxh5emyM3CJp_w/edit?usp=sharing"",""เพชรบุรี!M310"")+IMPORTRA"&amp;"NGE(""https://docs.google.com/spreadsheets/d/19KBlQQs7uwvsao6t2n-KvW3Ax8J8uRRfZPq1zPbXgKc/edit?usp=sharing"",""ระยอง!M310"")+IMPORTRANGE(""https://docs.google.com/spreadsheets/d/1jQ6P4QcrGM89YfqcC_PxOHGCMq5ezhucwJd8ci-NHng/edit?usp=sharing"",""ราชบุรี!M31"&amp;"0"")+IMPORTRANGE(""https://docs.google.com/spreadsheets/d/1lufeA2cfFqM-elVq2hznhDzC6Pr7wkJ9ZG_sYNGCMCU/edit?usp=sharing"",""ลพบุรี!M310"")+IMPORTRANGE(""https://docs.google.com/spreadsheets/d/10oOiF7loTyfsTkbd4MpaIm0HQ9SwB7IYHdIUvt-U1Uc/edit?usp=sharing"""&amp;",""สระแก้ว!M310"")+IMPORTRANGE(""https://docs.google.com/spreadsheets/d/1xmPlrr1QbdSIKvl1dWUl9K4PjAfSL9oeMr_37QVzcxc/edit?usp=sharing"",""สระบุรี!M310"")+IMPORTRANGE(""https://docs.google.com/spreadsheets/d/1j51vR6CYVGhABJpv6tkstgok82RLpXieLzW1yOY5rHw/edi"&amp;"t?usp=sharing"",""สิงห์บุรี!M310"")+IMPORTRANGE(""https://docs.google.com/spreadsheets/d/1H1EalTWKUSzO4Z1-1CwzoDUaVffgrThEBe2sl74kKG0/edit?usp=sharing"",""สุพรรณบุรี!M310"")+IMPORTRANGE(""https://docs.google.com/spreadsheets/d/1BmIruG_sIrJLYao_Pdr7zVArWsf"&amp;"oBt2692TMi6x_854/edit?usp=sharing"",""อ่างทอง!M310"")"),0)</f>
        <v>0</v>
      </c>
      <c r="N310" s="91">
        <f ca="1">IFERROR(__xludf.DUMMYFUNCTION("IMPORTRANGE(""https://docs.google.com/spreadsheets/d/13wPX838HrBrQMCywv1BsuMkt4PEKTChp52zj44s2izQ/edit?usp=sharing"",""กาญจนบุรี!N310"")+IMPORTRANGE(""https://docs.google.com/spreadsheets/d/1ddFKvqj1W1NEiWytbGlB1zMx_ykJDVtmfEQ-6-lIUBA/edit?usp=sharing"","&amp;"""จันทบุรี!N310"")+IMPORTRANGE(""https://docs.google.com/spreadsheets/d/1T1PQvRODqOBZk8BRht_U031fIS1beLA0Ub2CEytj2q0/edit?usp=sharing"",""ฉะเชิงเทรา!N310"")+IMPORTRANGE(""https://docs.google.com/spreadsheets/d/11tr1B-Bhyr79v2bkwVh5h_fR-PStkgjlZtkrZpYurG0/"&amp;"edit?usp=sharing"",""ชลบุรี!N310"")+IMPORTRANGE(""https://docs.google.com/spreadsheets/d/1hh-FVnSX0vozXhGluamEcS54Dw9_zqW0N7qJUWgJ0Sw/edit?usp=sharing"",""ชัยนาท!N310"")+IMPORTRANGE(""https://docs.google.com/spreadsheets/d/1jkqa6GXxSacMcY1eN8AHjMNJ_7dDXMJ"&amp;"VRLDlaFSOdPM/edit?usp=sharing"",""ตราด!N310"")+IMPORTRANGE(""https://docs.google.com/spreadsheets/d/18hSgUJ3VwClqi_qtULmmW3cLr0oe3OKaSYoKzdpTsYQ/edit?usp=sharing"",""นครนายก!N310"")+IMPORTRANGE(""https://docs.google.com/spreadsheets/d/1YTZo6WM2dQ6Ix6FSdnL"&amp;"5P7uVnVKu40sxZu975tgG10E/edit?usp=sharing"",""นครปฐม!N310"")+IMPORTRANGE(""https://docs.google.com/spreadsheets/d/1OYoGg4WDg5RIzwGeB10padOxJF9E_Vljuvvct_M7RDo/edit?usp=sharing"",""ปทุมธานี!N310"")+IMPORTRANGE(""https://docs.google.com/spreadsheets/d/1GbCI"&amp;"E4D4wk9FUozzqk7SxfDMxDVBwVmI5zcaVUSzKAc/edit?usp=sharing"",""ประจวบคีรีขันธ์!N310"")+IMPORTRANGE(""https://docs.google.com/spreadsheets/d/1vVf6wykvW_lAyu7Yo9L4hUTqHqIeP_qcVuxCtosJEbg/edit?usp=sharing"",""ปราจีนบุรี!N310"")+IMPORTRANGE(""https://docs.googl"&amp;"e.com/spreadsheets/d/1BIDqLLg5jk3v59G8NlR8rk5xfQDKne0sAvZHSj7TI6I/edit?usp=sharing"",""พระนครศรีอยุธยา!N310"")+IMPORTRANGE(""https://docs.google.com/spreadsheets/d/1YXvxf8Yu6_rV4hTBrwMqAcAnv6DfhUxh5emyM3CJp_w/edit?usp=sharing"",""เพชรบุรี!N310"")+IMPORTRA"&amp;"NGE(""https://docs.google.com/spreadsheets/d/19KBlQQs7uwvsao6t2n-KvW3Ax8J8uRRfZPq1zPbXgKc/edit?usp=sharing"",""ระยอง!N310"")+IMPORTRANGE(""https://docs.google.com/spreadsheets/d/1jQ6P4QcrGM89YfqcC_PxOHGCMq5ezhucwJd8ci-NHng/edit?usp=sharing"",""ราชบุรี!N31"&amp;"0"")+IMPORTRANGE(""https://docs.google.com/spreadsheets/d/1lufeA2cfFqM-elVq2hznhDzC6Pr7wkJ9ZG_sYNGCMCU/edit?usp=sharing"",""ลพบุรี!N310"")+IMPORTRANGE(""https://docs.google.com/spreadsheets/d/10oOiF7loTyfsTkbd4MpaIm0HQ9SwB7IYHdIUvt-U1Uc/edit?usp=sharing"""&amp;",""สระแก้ว!N310"")+IMPORTRANGE(""https://docs.google.com/spreadsheets/d/1xmPlrr1QbdSIKvl1dWUl9K4PjAfSL9oeMr_37QVzcxc/edit?usp=sharing"",""สระบุรี!N310"")+IMPORTRANGE(""https://docs.google.com/spreadsheets/d/1j51vR6CYVGhABJpv6tkstgok82RLpXieLzW1yOY5rHw/edi"&amp;"t?usp=sharing"",""สิงห์บุรี!N310"")+IMPORTRANGE(""https://docs.google.com/spreadsheets/d/1H1EalTWKUSzO4Z1-1CwzoDUaVffgrThEBe2sl74kKG0/edit?usp=sharing"",""สุพรรณบุรี!N310"")+IMPORTRANGE(""https://docs.google.com/spreadsheets/d/1BmIruG_sIrJLYao_Pdr7zVArWsf"&amp;"oBt2692TMi6x_854/edit?usp=sharing"",""อ่างทอง!N310"")"),0)</f>
        <v>0</v>
      </c>
      <c r="O310" s="91">
        <f t="shared" ca="1" si="215"/>
        <v>0</v>
      </c>
      <c r="P310" s="91">
        <f t="shared" ca="1" si="216"/>
        <v>0</v>
      </c>
      <c r="Q310" s="79">
        <f ca="1">IFERROR(__xludf.DUMMYFUNCTION("IMPORTRANGE(""https://docs.google.com/spreadsheets/d/13wPX838HrBrQMCywv1BsuMkt4PEKTChp52zj44s2izQ/edit?usp=sharing"",""กาญจนบุรี!Q310"")+IMPORTRANGE(""https://docs.google.com/spreadsheets/d/1ddFKvqj1W1NEiWytbGlB1zMx_ykJDVtmfEQ-6-lIUBA/edit?usp=sharing"","&amp;"""จันทบุรี!Q310"")+IMPORTRANGE(""https://docs.google.com/spreadsheets/d/1T1PQvRODqOBZk8BRht_U031fIS1beLA0Ub2CEytj2q0/edit?usp=sharing"",""ฉะเชิงเทรา!Q310"")+IMPORTRANGE(""https://docs.google.com/spreadsheets/d/11tr1B-Bhyr79v2bkwVh5h_fR-PStkgjlZtkrZpYurG0/"&amp;"edit?usp=sharing"",""ชลบุรี!Q310"")+IMPORTRANGE(""https://docs.google.com/spreadsheets/d/1hh-FVnSX0vozXhGluamEcS54Dw9_zqW0N7qJUWgJ0Sw/edit?usp=sharing"",""ชัยนาท!Q310"")+IMPORTRANGE(""https://docs.google.com/spreadsheets/d/1jkqa6GXxSacMcY1eN8AHjMNJ_7dDXMJ"&amp;"VRLDlaFSOdPM/edit?usp=sharing"",""ตราด!Q310"")+IMPORTRANGE(""https://docs.google.com/spreadsheets/d/18hSgUJ3VwClqi_qtULmmW3cLr0oe3OKaSYoKzdpTsYQ/edit?usp=sharing"",""นครนายก!Q310"")+IMPORTRANGE(""https://docs.google.com/spreadsheets/d/1YTZo6WM2dQ6Ix6FSdnL"&amp;"5P7uVnVKu40sxZu975tgG10E/edit?usp=sharing"",""นครปฐม!Q310"")+IMPORTRANGE(""https://docs.google.com/spreadsheets/d/1OYoGg4WDg5RIzwGeB10padOxJF9E_Vljuvvct_M7RDo/edit?usp=sharing"",""ปทุมธานี!Q310"")+IMPORTRANGE(""https://docs.google.com/spreadsheets/d/1GbCI"&amp;"E4D4wk9FUozzqk7SxfDMxDVBwVmI5zcaVUSzKAc/edit?usp=sharing"",""ประจวบคีรีขันธ์!Q310"")+IMPORTRANGE(""https://docs.google.com/spreadsheets/d/1vVf6wykvW_lAyu7Yo9L4hUTqHqIeP_qcVuxCtosJEbg/edit?usp=sharing"",""ปราจีนบุรี!Q310"")+IMPORTRANGE(""https://docs.googl"&amp;"e.com/spreadsheets/d/1BIDqLLg5jk3v59G8NlR8rk5xfQDKne0sAvZHSj7TI6I/edit?usp=sharing"",""พระนครศรีอยุธยา!Q310"")+IMPORTRANGE(""https://docs.google.com/spreadsheets/d/1YXvxf8Yu6_rV4hTBrwMqAcAnv6DfhUxh5emyM3CJp_w/edit?usp=sharing"",""เพชรบุรี!Q310"")+IMPORTRA"&amp;"NGE(""https://docs.google.com/spreadsheets/d/19KBlQQs7uwvsao6t2n-KvW3Ax8J8uRRfZPq1zPbXgKc/edit?usp=sharing"",""ระยอง!Q310"")+IMPORTRANGE(""https://docs.google.com/spreadsheets/d/1jQ6P4QcrGM89YfqcC_PxOHGCMq5ezhucwJd8ci-NHng/edit?usp=sharing"",""ราชบุรี!Q31"&amp;"0"")+IMPORTRANGE(""https://docs.google.com/spreadsheets/d/1lufeA2cfFqM-elVq2hznhDzC6Pr7wkJ9ZG_sYNGCMCU/edit?usp=sharing"",""ลพบุรี!Q310"")+IMPORTRANGE(""https://docs.google.com/spreadsheets/d/10oOiF7loTyfsTkbd4MpaIm0HQ9SwB7IYHdIUvt-U1Uc/edit?usp=sharing"""&amp;",""สระแก้ว!Q310"")+IMPORTRANGE(""https://docs.google.com/spreadsheets/d/1xmPlrr1QbdSIKvl1dWUl9K4PjAfSL9oeMr_37QVzcxc/edit?usp=sharing"",""สระบุรี!Q310"")+IMPORTRANGE(""https://docs.google.com/spreadsheets/d/1j51vR6CYVGhABJpv6tkstgok82RLpXieLzW1yOY5rHw/edi"&amp;"t?usp=sharing"",""สิงห์บุรี!Q310"")+IMPORTRANGE(""https://docs.google.com/spreadsheets/d/1H1EalTWKUSzO4Z1-1CwzoDUaVffgrThEBe2sl74kKG0/edit?usp=sharing"",""สุพรรณบุรี!Q310"")+IMPORTRANGE(""https://docs.google.com/spreadsheets/d/1BmIruG_sIrJLYao_Pdr7zVArWsf"&amp;"oBt2692TMi6x_854/edit?usp=sharing"",""อ่างทอง!Q310"")"),0)</f>
        <v>0</v>
      </c>
      <c r="R310" s="80">
        <f ca="1">IFERROR(__xludf.DUMMYFUNCTION("IMPORTRANGE(""https://docs.google.com/spreadsheets/d/13wPX838HrBrQMCywv1BsuMkt4PEKTChp52zj44s2izQ/edit?usp=sharing"",""กาญจนบุรี!R310"")+IMPORTRANGE(""https://docs.google.com/spreadsheets/d/1ddFKvqj1W1NEiWytbGlB1zMx_ykJDVtmfEQ-6-lIUBA/edit?usp=sharing"","&amp;"""จันทบุรี!R310"")+IMPORTRANGE(""https://docs.google.com/spreadsheets/d/1T1PQvRODqOBZk8BRht_U031fIS1beLA0Ub2CEytj2q0/edit?usp=sharing"",""ฉะเชิงเทรา!R310"")+IMPORTRANGE(""https://docs.google.com/spreadsheets/d/11tr1B-Bhyr79v2bkwVh5h_fR-PStkgjlZtkrZpYurG0/"&amp;"edit?usp=sharing"",""ชลบุรี!R310"")+IMPORTRANGE(""https://docs.google.com/spreadsheets/d/1hh-FVnSX0vozXhGluamEcS54Dw9_zqW0N7qJUWgJ0Sw/edit?usp=sharing"",""ชัยนาท!R310"")+IMPORTRANGE(""https://docs.google.com/spreadsheets/d/1jkqa6GXxSacMcY1eN8AHjMNJ_7dDXMJ"&amp;"VRLDlaFSOdPM/edit?usp=sharing"",""ตราด!R310"")+IMPORTRANGE(""https://docs.google.com/spreadsheets/d/18hSgUJ3VwClqi_qtULmmW3cLr0oe3OKaSYoKzdpTsYQ/edit?usp=sharing"",""นครนายก!R310"")+IMPORTRANGE(""https://docs.google.com/spreadsheets/d/1YTZo6WM2dQ6Ix6FSdnL"&amp;"5P7uVnVKu40sxZu975tgG10E/edit?usp=sharing"",""นครปฐม!R310"")+IMPORTRANGE(""https://docs.google.com/spreadsheets/d/1OYoGg4WDg5RIzwGeB10padOxJF9E_Vljuvvct_M7RDo/edit?usp=sharing"",""ปทุมธานี!R310"")+IMPORTRANGE(""https://docs.google.com/spreadsheets/d/1GbCI"&amp;"E4D4wk9FUozzqk7SxfDMxDVBwVmI5zcaVUSzKAc/edit?usp=sharing"",""ประจวบคีรีขันธ์!R310"")+IMPORTRANGE(""https://docs.google.com/spreadsheets/d/1vVf6wykvW_lAyu7Yo9L4hUTqHqIeP_qcVuxCtosJEbg/edit?usp=sharing"",""ปราจีนบุรี!R310"")+IMPORTRANGE(""https://docs.googl"&amp;"e.com/spreadsheets/d/1BIDqLLg5jk3v59G8NlR8rk5xfQDKne0sAvZHSj7TI6I/edit?usp=sharing"",""พระนครศรีอยุธยา!R310"")+IMPORTRANGE(""https://docs.google.com/spreadsheets/d/1YXvxf8Yu6_rV4hTBrwMqAcAnv6DfhUxh5emyM3CJp_w/edit?usp=sharing"",""เพชรบุรี!R310"")+IMPORTRA"&amp;"NGE(""https://docs.google.com/spreadsheets/d/19KBlQQs7uwvsao6t2n-KvW3Ax8J8uRRfZPq1zPbXgKc/edit?usp=sharing"",""ระยอง!R310"")+IMPORTRANGE(""https://docs.google.com/spreadsheets/d/1jQ6P4QcrGM89YfqcC_PxOHGCMq5ezhucwJd8ci-NHng/edit?usp=sharing"",""ราชบุรี!R31"&amp;"0"")+IMPORTRANGE(""https://docs.google.com/spreadsheets/d/1lufeA2cfFqM-elVq2hznhDzC6Pr7wkJ9ZG_sYNGCMCU/edit?usp=sharing"",""ลพบุรี!R310"")+IMPORTRANGE(""https://docs.google.com/spreadsheets/d/10oOiF7loTyfsTkbd4MpaIm0HQ9SwB7IYHdIUvt-U1Uc/edit?usp=sharing"""&amp;",""สระแก้ว!R310"")+IMPORTRANGE(""https://docs.google.com/spreadsheets/d/1xmPlrr1QbdSIKvl1dWUl9K4PjAfSL9oeMr_37QVzcxc/edit?usp=sharing"",""สระบุรี!R310"")+IMPORTRANGE(""https://docs.google.com/spreadsheets/d/1j51vR6CYVGhABJpv6tkstgok82RLpXieLzW1yOY5rHw/edi"&amp;"t?usp=sharing"",""สิงห์บุรี!R310"")+IMPORTRANGE(""https://docs.google.com/spreadsheets/d/1H1EalTWKUSzO4Z1-1CwzoDUaVffgrThEBe2sl74kKG0/edit?usp=sharing"",""สุพรรณบุรี!R310"")+IMPORTRANGE(""https://docs.google.com/spreadsheets/d/1BmIruG_sIrJLYao_Pdr7zVArWsf"&amp;"oBt2692TMi6x_854/edit?usp=sharing"",""อ่างทอง!R310"")"),0)</f>
        <v>0</v>
      </c>
      <c r="S310" s="80">
        <f ca="1">IFERROR(__xludf.DUMMYFUNCTION("IMPORTRANGE(""https://docs.google.com/spreadsheets/d/13wPX838HrBrQMCywv1BsuMkt4PEKTChp52zj44s2izQ/edit?usp=sharing"",""กาญจนบุรี!S310"")+IMPORTRANGE(""https://docs.google.com/spreadsheets/d/1ddFKvqj1W1NEiWytbGlB1zMx_ykJDVtmfEQ-6-lIUBA/edit?usp=sharing"","&amp;"""จันทบุรี!S310"")+IMPORTRANGE(""https://docs.google.com/spreadsheets/d/1T1PQvRODqOBZk8BRht_U031fIS1beLA0Ub2CEytj2q0/edit?usp=sharing"",""ฉะเชิงเทรา!S310"")+IMPORTRANGE(""https://docs.google.com/spreadsheets/d/11tr1B-Bhyr79v2bkwVh5h_fR-PStkgjlZtkrZpYurG0/"&amp;"edit?usp=sharing"",""ชลบุรี!S310"")+IMPORTRANGE(""https://docs.google.com/spreadsheets/d/1hh-FVnSX0vozXhGluamEcS54Dw9_zqW0N7qJUWgJ0Sw/edit?usp=sharing"",""ชัยนาท!S310"")+IMPORTRANGE(""https://docs.google.com/spreadsheets/d/1jkqa6GXxSacMcY1eN8AHjMNJ_7dDXMJ"&amp;"VRLDlaFSOdPM/edit?usp=sharing"",""ตราด!S310"")+IMPORTRANGE(""https://docs.google.com/spreadsheets/d/18hSgUJ3VwClqi_qtULmmW3cLr0oe3OKaSYoKzdpTsYQ/edit?usp=sharing"",""นครนายก!S310"")+IMPORTRANGE(""https://docs.google.com/spreadsheets/d/1YTZo6WM2dQ6Ix6FSdnL"&amp;"5P7uVnVKu40sxZu975tgG10E/edit?usp=sharing"",""นครปฐม!S310"")+IMPORTRANGE(""https://docs.google.com/spreadsheets/d/1OYoGg4WDg5RIzwGeB10padOxJF9E_Vljuvvct_M7RDo/edit?usp=sharing"",""ปทุมธานี!S310"")+IMPORTRANGE(""https://docs.google.com/spreadsheets/d/1GbCI"&amp;"E4D4wk9FUozzqk7SxfDMxDVBwVmI5zcaVUSzKAc/edit?usp=sharing"",""ประจวบคีรีขันธ์!S310"")+IMPORTRANGE(""https://docs.google.com/spreadsheets/d/1vVf6wykvW_lAyu7Yo9L4hUTqHqIeP_qcVuxCtosJEbg/edit?usp=sharing"",""ปราจีนบุรี!S310"")+IMPORTRANGE(""https://docs.googl"&amp;"e.com/spreadsheets/d/1BIDqLLg5jk3v59G8NlR8rk5xfQDKne0sAvZHSj7TI6I/edit?usp=sharing"",""พระนครศรีอยุธยา!S310"")+IMPORTRANGE(""https://docs.google.com/spreadsheets/d/1YXvxf8Yu6_rV4hTBrwMqAcAnv6DfhUxh5emyM3CJp_w/edit?usp=sharing"",""เพชรบุรี!S310"")+IMPORTRA"&amp;"NGE(""https://docs.google.com/spreadsheets/d/19KBlQQs7uwvsao6t2n-KvW3Ax8J8uRRfZPq1zPbXgKc/edit?usp=sharing"",""ระยอง!S310"")+IMPORTRANGE(""https://docs.google.com/spreadsheets/d/1jQ6P4QcrGM89YfqcC_PxOHGCMq5ezhucwJd8ci-NHng/edit?usp=sharing"",""ราชบุรี!S31"&amp;"0"")+IMPORTRANGE(""https://docs.google.com/spreadsheets/d/1lufeA2cfFqM-elVq2hznhDzC6Pr7wkJ9ZG_sYNGCMCU/edit?usp=sharing"",""ลพบุรี!S310"")+IMPORTRANGE(""https://docs.google.com/spreadsheets/d/10oOiF7loTyfsTkbd4MpaIm0HQ9SwB7IYHdIUvt-U1Uc/edit?usp=sharing"""&amp;",""สระแก้ว!S310"")+IMPORTRANGE(""https://docs.google.com/spreadsheets/d/1xmPlrr1QbdSIKvl1dWUl9K4PjAfSL9oeMr_37QVzcxc/edit?usp=sharing"",""สระบุรี!S310"")+IMPORTRANGE(""https://docs.google.com/spreadsheets/d/1j51vR6CYVGhABJpv6tkstgok82RLpXieLzW1yOY5rHw/edi"&amp;"t?usp=sharing"",""สิงห์บุรี!S310"")+IMPORTRANGE(""https://docs.google.com/spreadsheets/d/1H1EalTWKUSzO4Z1-1CwzoDUaVffgrThEBe2sl74kKG0/edit?usp=sharing"",""สุพรรณบุรี!S310"")+IMPORTRANGE(""https://docs.google.com/spreadsheets/d/1BmIruG_sIrJLYao_Pdr7zVArWsf"&amp;"oBt2692TMi6x_854/edit?usp=sharing"",""อ่างทอง!S310"")"),0)</f>
        <v>0</v>
      </c>
      <c r="T310" s="136">
        <f t="shared" ca="1" si="218"/>
        <v>0</v>
      </c>
      <c r="U310" s="136">
        <f t="shared" ca="1" si="219"/>
        <v>0</v>
      </c>
    </row>
    <row r="311" spans="1:21" ht="18.75" x14ac:dyDescent="0.25">
      <c r="A311" s="211"/>
      <c r="B311" s="70"/>
      <c r="C311" s="70"/>
      <c r="D311" s="70"/>
      <c r="E311" s="78" t="s">
        <v>21</v>
      </c>
      <c r="F311" s="70"/>
      <c r="G311" s="72"/>
      <c r="H311" s="223" t="s">
        <v>14</v>
      </c>
      <c r="I311" s="221"/>
      <c r="J311" s="221"/>
      <c r="K311" s="222"/>
      <c r="L311" s="91">
        <f ca="1">IFERROR(__xludf.DUMMYFUNCTION("IMPORTRANGE(""https://docs.google.com/spreadsheets/d/13wPX838HrBrQMCywv1BsuMkt4PEKTChp52zj44s2izQ/edit?usp=sharing"",""กาญจนบุรี!L311"")+IMPORTRANGE(""https://docs.google.com/spreadsheets/d/1ddFKvqj1W1NEiWytbGlB1zMx_ykJDVtmfEQ-6-lIUBA/edit?usp=sharing"","&amp;"""จันทบุรี!L311"")+IMPORTRANGE(""https://docs.google.com/spreadsheets/d/1T1PQvRODqOBZk8BRht_U031fIS1beLA0Ub2CEytj2q0/edit?usp=sharing"",""ฉะเชิงเทรา!L311"")+IMPORTRANGE(""https://docs.google.com/spreadsheets/d/11tr1B-Bhyr79v2bkwVh5h_fR-PStkgjlZtkrZpYurG0/"&amp;"edit?usp=sharing"",""ชลบุรี!L311"")+IMPORTRANGE(""https://docs.google.com/spreadsheets/d/1hh-FVnSX0vozXhGluamEcS54Dw9_zqW0N7qJUWgJ0Sw/edit?usp=sharing"",""ชัยนาท!L311"")+IMPORTRANGE(""https://docs.google.com/spreadsheets/d/1jkqa6GXxSacMcY1eN8AHjMNJ_7dDXMJ"&amp;"VRLDlaFSOdPM/edit?usp=sharing"",""ตราด!L311"")+IMPORTRANGE(""https://docs.google.com/spreadsheets/d/18hSgUJ3VwClqi_qtULmmW3cLr0oe3OKaSYoKzdpTsYQ/edit?usp=sharing"",""นครนายก!L311"")+IMPORTRANGE(""https://docs.google.com/spreadsheets/d/1YTZo6WM2dQ6Ix6FSdnL"&amp;"5P7uVnVKu40sxZu975tgG10E/edit?usp=sharing"",""นครปฐม!L311"")+IMPORTRANGE(""https://docs.google.com/spreadsheets/d/1OYoGg4WDg5RIzwGeB10padOxJF9E_Vljuvvct_M7RDo/edit?usp=sharing"",""ปทุมธานี!L311"")+IMPORTRANGE(""https://docs.google.com/spreadsheets/d/1GbCI"&amp;"E4D4wk9FUozzqk7SxfDMxDVBwVmI5zcaVUSzKAc/edit?usp=sharing"",""ประจวบคีรีขันธ์!L311"")+IMPORTRANGE(""https://docs.google.com/spreadsheets/d/1vVf6wykvW_lAyu7Yo9L4hUTqHqIeP_qcVuxCtosJEbg/edit?usp=sharing"",""ปราจีนบุรี!L311"")+IMPORTRANGE(""https://docs.googl"&amp;"e.com/spreadsheets/d/1BIDqLLg5jk3v59G8NlR8rk5xfQDKne0sAvZHSj7TI6I/edit?usp=sharing"",""พระนครศรีอยุธยา!L311"")+IMPORTRANGE(""https://docs.google.com/spreadsheets/d/1YXvxf8Yu6_rV4hTBrwMqAcAnv6DfhUxh5emyM3CJp_w/edit?usp=sharing"",""เพชรบุรี!L311"")+IMPORTRA"&amp;"NGE(""https://docs.google.com/spreadsheets/d/19KBlQQs7uwvsao6t2n-KvW3Ax8J8uRRfZPq1zPbXgKc/edit?usp=sharing"",""ระยอง!L311"")+IMPORTRANGE(""https://docs.google.com/spreadsheets/d/1jQ6P4QcrGM89YfqcC_PxOHGCMq5ezhucwJd8ci-NHng/edit?usp=sharing"",""ราชบุรี!L31"&amp;"1"")+IMPORTRANGE(""https://docs.google.com/spreadsheets/d/1lufeA2cfFqM-elVq2hznhDzC6Pr7wkJ9ZG_sYNGCMCU/edit?usp=sharing"",""ลพบุรี!L311"")+IMPORTRANGE(""https://docs.google.com/spreadsheets/d/10oOiF7loTyfsTkbd4MpaIm0HQ9SwB7IYHdIUvt-U1Uc/edit?usp=sharing"""&amp;",""สระแก้ว!L311"")+IMPORTRANGE(""https://docs.google.com/spreadsheets/d/1xmPlrr1QbdSIKvl1dWUl9K4PjAfSL9oeMr_37QVzcxc/edit?usp=sharing"",""สระบุรี!L311"")+IMPORTRANGE(""https://docs.google.com/spreadsheets/d/1j51vR6CYVGhABJpv6tkstgok82RLpXieLzW1yOY5rHw/edi"&amp;"t?usp=sharing"",""สิงห์บุรี!L311"")+IMPORTRANGE(""https://docs.google.com/spreadsheets/d/1H1EalTWKUSzO4Z1-1CwzoDUaVffgrThEBe2sl74kKG0/edit?usp=sharing"",""สุพรรณบุรี!L311"")+IMPORTRANGE(""https://docs.google.com/spreadsheets/d/1BmIruG_sIrJLYao_Pdr7zVArWsf"&amp;"oBt2692TMi6x_854/edit?usp=sharing"",""อ่างทอง!L311"")"),0)</f>
        <v>0</v>
      </c>
      <c r="M311" s="91">
        <f ca="1">IFERROR(__xludf.DUMMYFUNCTION("IMPORTRANGE(""https://docs.google.com/spreadsheets/d/13wPX838HrBrQMCywv1BsuMkt4PEKTChp52zj44s2izQ/edit?usp=sharing"",""กาญจนบุรี!M311"")+IMPORTRANGE(""https://docs.google.com/spreadsheets/d/1ddFKvqj1W1NEiWytbGlB1zMx_ykJDVtmfEQ-6-lIUBA/edit?usp=sharing"","&amp;"""จันทบุรี!M311"")+IMPORTRANGE(""https://docs.google.com/spreadsheets/d/1T1PQvRODqOBZk8BRht_U031fIS1beLA0Ub2CEytj2q0/edit?usp=sharing"",""ฉะเชิงเทรา!M311"")+IMPORTRANGE(""https://docs.google.com/spreadsheets/d/11tr1B-Bhyr79v2bkwVh5h_fR-PStkgjlZtkrZpYurG0/"&amp;"edit?usp=sharing"",""ชลบุรี!M311"")+IMPORTRANGE(""https://docs.google.com/spreadsheets/d/1hh-FVnSX0vozXhGluamEcS54Dw9_zqW0N7qJUWgJ0Sw/edit?usp=sharing"",""ชัยนาท!M311"")+IMPORTRANGE(""https://docs.google.com/spreadsheets/d/1jkqa6GXxSacMcY1eN8AHjMNJ_7dDXMJ"&amp;"VRLDlaFSOdPM/edit?usp=sharing"",""ตราด!M311"")+IMPORTRANGE(""https://docs.google.com/spreadsheets/d/18hSgUJ3VwClqi_qtULmmW3cLr0oe3OKaSYoKzdpTsYQ/edit?usp=sharing"",""นครนายก!M311"")+IMPORTRANGE(""https://docs.google.com/spreadsheets/d/1YTZo6WM2dQ6Ix6FSdnL"&amp;"5P7uVnVKu40sxZu975tgG10E/edit?usp=sharing"",""นครปฐม!M311"")+IMPORTRANGE(""https://docs.google.com/spreadsheets/d/1OYoGg4WDg5RIzwGeB10padOxJF9E_Vljuvvct_M7RDo/edit?usp=sharing"",""ปทุมธานี!M311"")+IMPORTRANGE(""https://docs.google.com/spreadsheets/d/1GbCI"&amp;"E4D4wk9FUozzqk7SxfDMxDVBwVmI5zcaVUSzKAc/edit?usp=sharing"",""ประจวบคีรีขันธ์!M311"")+IMPORTRANGE(""https://docs.google.com/spreadsheets/d/1vVf6wykvW_lAyu7Yo9L4hUTqHqIeP_qcVuxCtosJEbg/edit?usp=sharing"",""ปราจีนบุรี!M311"")+IMPORTRANGE(""https://docs.googl"&amp;"e.com/spreadsheets/d/1BIDqLLg5jk3v59G8NlR8rk5xfQDKne0sAvZHSj7TI6I/edit?usp=sharing"",""พระนครศรีอยุธยา!M311"")+IMPORTRANGE(""https://docs.google.com/spreadsheets/d/1YXvxf8Yu6_rV4hTBrwMqAcAnv6DfhUxh5emyM3CJp_w/edit?usp=sharing"",""เพชรบุรี!M311"")+IMPORTRA"&amp;"NGE(""https://docs.google.com/spreadsheets/d/19KBlQQs7uwvsao6t2n-KvW3Ax8J8uRRfZPq1zPbXgKc/edit?usp=sharing"",""ระยอง!M311"")+IMPORTRANGE(""https://docs.google.com/spreadsheets/d/1jQ6P4QcrGM89YfqcC_PxOHGCMq5ezhucwJd8ci-NHng/edit?usp=sharing"",""ราชบุรี!M31"&amp;"1"")+IMPORTRANGE(""https://docs.google.com/spreadsheets/d/1lufeA2cfFqM-elVq2hznhDzC6Pr7wkJ9ZG_sYNGCMCU/edit?usp=sharing"",""ลพบุรี!M311"")+IMPORTRANGE(""https://docs.google.com/spreadsheets/d/10oOiF7loTyfsTkbd4MpaIm0HQ9SwB7IYHdIUvt-U1Uc/edit?usp=sharing"""&amp;",""สระแก้ว!M311"")+IMPORTRANGE(""https://docs.google.com/spreadsheets/d/1xmPlrr1QbdSIKvl1dWUl9K4PjAfSL9oeMr_37QVzcxc/edit?usp=sharing"",""สระบุรี!M311"")+IMPORTRANGE(""https://docs.google.com/spreadsheets/d/1j51vR6CYVGhABJpv6tkstgok82RLpXieLzW1yOY5rHw/edi"&amp;"t?usp=sharing"",""สิงห์บุรี!M311"")+IMPORTRANGE(""https://docs.google.com/spreadsheets/d/1H1EalTWKUSzO4Z1-1CwzoDUaVffgrThEBe2sl74kKG0/edit?usp=sharing"",""สุพรรณบุรี!M311"")+IMPORTRANGE(""https://docs.google.com/spreadsheets/d/1BmIruG_sIrJLYao_Pdr7zVArWsf"&amp;"oBt2692TMi6x_854/edit?usp=sharing"",""อ่างทอง!M311"")"),0)</f>
        <v>0</v>
      </c>
      <c r="N311" s="91">
        <f ca="1">IFERROR(__xludf.DUMMYFUNCTION("IMPORTRANGE(""https://docs.google.com/spreadsheets/d/13wPX838HrBrQMCywv1BsuMkt4PEKTChp52zj44s2izQ/edit?usp=sharing"",""กาญจนบุรี!N311"")+IMPORTRANGE(""https://docs.google.com/spreadsheets/d/1ddFKvqj1W1NEiWytbGlB1zMx_ykJDVtmfEQ-6-lIUBA/edit?usp=sharing"","&amp;"""จันทบุรี!N311"")+IMPORTRANGE(""https://docs.google.com/spreadsheets/d/1T1PQvRODqOBZk8BRht_U031fIS1beLA0Ub2CEytj2q0/edit?usp=sharing"",""ฉะเชิงเทรา!N311"")+IMPORTRANGE(""https://docs.google.com/spreadsheets/d/11tr1B-Bhyr79v2bkwVh5h_fR-PStkgjlZtkrZpYurG0/"&amp;"edit?usp=sharing"",""ชลบุรี!N311"")+IMPORTRANGE(""https://docs.google.com/spreadsheets/d/1hh-FVnSX0vozXhGluamEcS54Dw9_zqW0N7qJUWgJ0Sw/edit?usp=sharing"",""ชัยนาท!N311"")+IMPORTRANGE(""https://docs.google.com/spreadsheets/d/1jkqa6GXxSacMcY1eN8AHjMNJ_7dDXMJ"&amp;"VRLDlaFSOdPM/edit?usp=sharing"",""ตราด!N311"")+IMPORTRANGE(""https://docs.google.com/spreadsheets/d/18hSgUJ3VwClqi_qtULmmW3cLr0oe3OKaSYoKzdpTsYQ/edit?usp=sharing"",""นครนายก!N311"")+IMPORTRANGE(""https://docs.google.com/spreadsheets/d/1YTZo6WM2dQ6Ix6FSdnL"&amp;"5P7uVnVKu40sxZu975tgG10E/edit?usp=sharing"",""นครปฐม!N311"")+IMPORTRANGE(""https://docs.google.com/spreadsheets/d/1OYoGg4WDg5RIzwGeB10padOxJF9E_Vljuvvct_M7RDo/edit?usp=sharing"",""ปทุมธานี!N311"")+IMPORTRANGE(""https://docs.google.com/spreadsheets/d/1GbCI"&amp;"E4D4wk9FUozzqk7SxfDMxDVBwVmI5zcaVUSzKAc/edit?usp=sharing"",""ประจวบคีรีขันธ์!N311"")+IMPORTRANGE(""https://docs.google.com/spreadsheets/d/1vVf6wykvW_lAyu7Yo9L4hUTqHqIeP_qcVuxCtosJEbg/edit?usp=sharing"",""ปราจีนบุรี!N311"")+IMPORTRANGE(""https://docs.googl"&amp;"e.com/spreadsheets/d/1BIDqLLg5jk3v59G8NlR8rk5xfQDKne0sAvZHSj7TI6I/edit?usp=sharing"",""พระนครศรีอยุธยา!N311"")+IMPORTRANGE(""https://docs.google.com/spreadsheets/d/1YXvxf8Yu6_rV4hTBrwMqAcAnv6DfhUxh5emyM3CJp_w/edit?usp=sharing"",""เพชรบุรี!N311"")+IMPORTRA"&amp;"NGE(""https://docs.google.com/spreadsheets/d/19KBlQQs7uwvsao6t2n-KvW3Ax8J8uRRfZPq1zPbXgKc/edit?usp=sharing"",""ระยอง!N311"")+IMPORTRANGE(""https://docs.google.com/spreadsheets/d/1jQ6P4QcrGM89YfqcC_PxOHGCMq5ezhucwJd8ci-NHng/edit?usp=sharing"",""ราชบุรี!N31"&amp;"1"")+IMPORTRANGE(""https://docs.google.com/spreadsheets/d/1lufeA2cfFqM-elVq2hznhDzC6Pr7wkJ9ZG_sYNGCMCU/edit?usp=sharing"",""ลพบุรี!N311"")+IMPORTRANGE(""https://docs.google.com/spreadsheets/d/10oOiF7loTyfsTkbd4MpaIm0HQ9SwB7IYHdIUvt-U1Uc/edit?usp=sharing"""&amp;",""สระแก้ว!N311"")+IMPORTRANGE(""https://docs.google.com/spreadsheets/d/1xmPlrr1QbdSIKvl1dWUl9K4PjAfSL9oeMr_37QVzcxc/edit?usp=sharing"",""สระบุรี!N311"")+IMPORTRANGE(""https://docs.google.com/spreadsheets/d/1j51vR6CYVGhABJpv6tkstgok82RLpXieLzW1yOY5rHw/edi"&amp;"t?usp=sharing"",""สิงห์บุรี!N311"")+IMPORTRANGE(""https://docs.google.com/spreadsheets/d/1H1EalTWKUSzO4Z1-1CwzoDUaVffgrThEBe2sl74kKG0/edit?usp=sharing"",""สุพรรณบุรี!N311"")+IMPORTRANGE(""https://docs.google.com/spreadsheets/d/1BmIruG_sIrJLYao_Pdr7zVArWsf"&amp;"oBt2692TMi6x_854/edit?usp=sharing"",""อ่างทอง!N311"")"),0)</f>
        <v>0</v>
      </c>
      <c r="O311" s="91">
        <f t="shared" ca="1" si="215"/>
        <v>0</v>
      </c>
      <c r="P311" s="91">
        <f t="shared" ca="1" si="216"/>
        <v>0</v>
      </c>
      <c r="Q311" s="76">
        <f ca="1">IFERROR(__xludf.DUMMYFUNCTION("IMPORTRANGE(""https://docs.google.com/spreadsheets/d/13wPX838HrBrQMCywv1BsuMkt4PEKTChp52zj44s2izQ/edit?usp=sharing"",""กาญจนบุรี!Q311"")+IMPORTRANGE(""https://docs.google.com/spreadsheets/d/1ddFKvqj1W1NEiWytbGlB1zMx_ykJDVtmfEQ-6-lIUBA/edit?usp=sharing"","&amp;"""จันทบุรี!Q311"")+IMPORTRANGE(""https://docs.google.com/spreadsheets/d/1T1PQvRODqOBZk8BRht_U031fIS1beLA0Ub2CEytj2q0/edit?usp=sharing"",""ฉะเชิงเทรา!Q311"")+IMPORTRANGE(""https://docs.google.com/spreadsheets/d/11tr1B-Bhyr79v2bkwVh5h_fR-PStkgjlZtkrZpYurG0/"&amp;"edit?usp=sharing"",""ชลบุรี!Q311"")+IMPORTRANGE(""https://docs.google.com/spreadsheets/d/1hh-FVnSX0vozXhGluamEcS54Dw9_zqW0N7qJUWgJ0Sw/edit?usp=sharing"",""ชัยนาท!Q311"")+IMPORTRANGE(""https://docs.google.com/spreadsheets/d/1jkqa6GXxSacMcY1eN8AHjMNJ_7dDXMJ"&amp;"VRLDlaFSOdPM/edit?usp=sharing"",""ตราด!Q311"")+IMPORTRANGE(""https://docs.google.com/spreadsheets/d/18hSgUJ3VwClqi_qtULmmW3cLr0oe3OKaSYoKzdpTsYQ/edit?usp=sharing"",""นครนายก!Q311"")+IMPORTRANGE(""https://docs.google.com/spreadsheets/d/1YTZo6WM2dQ6Ix6FSdnL"&amp;"5P7uVnVKu40sxZu975tgG10E/edit?usp=sharing"",""นครปฐม!Q311"")+IMPORTRANGE(""https://docs.google.com/spreadsheets/d/1OYoGg4WDg5RIzwGeB10padOxJF9E_Vljuvvct_M7RDo/edit?usp=sharing"",""ปทุมธานี!Q311"")+IMPORTRANGE(""https://docs.google.com/spreadsheets/d/1GbCI"&amp;"E4D4wk9FUozzqk7SxfDMxDVBwVmI5zcaVUSzKAc/edit?usp=sharing"",""ประจวบคีรีขันธ์!Q311"")+IMPORTRANGE(""https://docs.google.com/spreadsheets/d/1vVf6wykvW_lAyu7Yo9L4hUTqHqIeP_qcVuxCtosJEbg/edit?usp=sharing"",""ปราจีนบุรี!Q311"")+IMPORTRANGE(""https://docs.googl"&amp;"e.com/spreadsheets/d/1BIDqLLg5jk3v59G8NlR8rk5xfQDKne0sAvZHSj7TI6I/edit?usp=sharing"",""พระนครศรีอยุธยา!Q311"")+IMPORTRANGE(""https://docs.google.com/spreadsheets/d/1YXvxf8Yu6_rV4hTBrwMqAcAnv6DfhUxh5emyM3CJp_w/edit?usp=sharing"",""เพชรบุรี!Q311"")+IMPORTRA"&amp;"NGE(""https://docs.google.com/spreadsheets/d/19KBlQQs7uwvsao6t2n-KvW3Ax8J8uRRfZPq1zPbXgKc/edit?usp=sharing"",""ระยอง!Q311"")+IMPORTRANGE(""https://docs.google.com/spreadsheets/d/1jQ6P4QcrGM89YfqcC_PxOHGCMq5ezhucwJd8ci-NHng/edit?usp=sharing"",""ราชบุรี!Q31"&amp;"1"")+IMPORTRANGE(""https://docs.google.com/spreadsheets/d/1lufeA2cfFqM-elVq2hznhDzC6Pr7wkJ9ZG_sYNGCMCU/edit?usp=sharing"",""ลพบุรี!Q311"")+IMPORTRANGE(""https://docs.google.com/spreadsheets/d/10oOiF7loTyfsTkbd4MpaIm0HQ9SwB7IYHdIUvt-U1Uc/edit?usp=sharing"""&amp;",""สระแก้ว!Q311"")+IMPORTRANGE(""https://docs.google.com/spreadsheets/d/1xmPlrr1QbdSIKvl1dWUl9K4PjAfSL9oeMr_37QVzcxc/edit?usp=sharing"",""สระบุรี!Q311"")+IMPORTRANGE(""https://docs.google.com/spreadsheets/d/1j51vR6CYVGhABJpv6tkstgok82RLpXieLzW1yOY5rHw/edi"&amp;"t?usp=sharing"",""สิงห์บุรี!Q311"")+IMPORTRANGE(""https://docs.google.com/spreadsheets/d/1H1EalTWKUSzO4Z1-1CwzoDUaVffgrThEBe2sl74kKG0/edit?usp=sharing"",""สุพรรณบุรี!Q311"")+IMPORTRANGE(""https://docs.google.com/spreadsheets/d/1BmIruG_sIrJLYao_Pdr7zVArWsf"&amp;"oBt2692TMi6x_854/edit?usp=sharing"",""อ่างทอง!Q311"")"),0)</f>
        <v>0</v>
      </c>
      <c r="R311" s="77">
        <f ca="1">IFERROR(__xludf.DUMMYFUNCTION("IMPORTRANGE(""https://docs.google.com/spreadsheets/d/13wPX838HrBrQMCywv1BsuMkt4PEKTChp52zj44s2izQ/edit?usp=sharing"",""กาญจนบุรี!R311"")+IMPORTRANGE(""https://docs.google.com/spreadsheets/d/1ddFKvqj1W1NEiWytbGlB1zMx_ykJDVtmfEQ-6-lIUBA/edit?usp=sharing"","&amp;"""จันทบุรี!R311"")+IMPORTRANGE(""https://docs.google.com/spreadsheets/d/1T1PQvRODqOBZk8BRht_U031fIS1beLA0Ub2CEytj2q0/edit?usp=sharing"",""ฉะเชิงเทรา!R311"")+IMPORTRANGE(""https://docs.google.com/spreadsheets/d/11tr1B-Bhyr79v2bkwVh5h_fR-PStkgjlZtkrZpYurG0/"&amp;"edit?usp=sharing"",""ชลบุรี!R311"")+IMPORTRANGE(""https://docs.google.com/spreadsheets/d/1hh-FVnSX0vozXhGluamEcS54Dw9_zqW0N7qJUWgJ0Sw/edit?usp=sharing"",""ชัยนาท!R311"")+IMPORTRANGE(""https://docs.google.com/spreadsheets/d/1jkqa6GXxSacMcY1eN8AHjMNJ_7dDXMJ"&amp;"VRLDlaFSOdPM/edit?usp=sharing"",""ตราด!R311"")+IMPORTRANGE(""https://docs.google.com/spreadsheets/d/18hSgUJ3VwClqi_qtULmmW3cLr0oe3OKaSYoKzdpTsYQ/edit?usp=sharing"",""นครนายก!R311"")+IMPORTRANGE(""https://docs.google.com/spreadsheets/d/1YTZo6WM2dQ6Ix6FSdnL"&amp;"5P7uVnVKu40sxZu975tgG10E/edit?usp=sharing"",""นครปฐม!R311"")+IMPORTRANGE(""https://docs.google.com/spreadsheets/d/1OYoGg4WDg5RIzwGeB10padOxJF9E_Vljuvvct_M7RDo/edit?usp=sharing"",""ปทุมธานี!R311"")+IMPORTRANGE(""https://docs.google.com/spreadsheets/d/1GbCI"&amp;"E4D4wk9FUozzqk7SxfDMxDVBwVmI5zcaVUSzKAc/edit?usp=sharing"",""ประจวบคีรีขันธ์!R311"")+IMPORTRANGE(""https://docs.google.com/spreadsheets/d/1vVf6wykvW_lAyu7Yo9L4hUTqHqIeP_qcVuxCtosJEbg/edit?usp=sharing"",""ปราจีนบุรี!R311"")+IMPORTRANGE(""https://docs.googl"&amp;"e.com/spreadsheets/d/1BIDqLLg5jk3v59G8NlR8rk5xfQDKne0sAvZHSj7TI6I/edit?usp=sharing"",""พระนครศรีอยุธยา!R311"")+IMPORTRANGE(""https://docs.google.com/spreadsheets/d/1YXvxf8Yu6_rV4hTBrwMqAcAnv6DfhUxh5emyM3CJp_w/edit?usp=sharing"",""เพชรบุรี!R311"")+IMPORTRA"&amp;"NGE(""https://docs.google.com/spreadsheets/d/19KBlQQs7uwvsao6t2n-KvW3Ax8J8uRRfZPq1zPbXgKc/edit?usp=sharing"",""ระยอง!R311"")+IMPORTRANGE(""https://docs.google.com/spreadsheets/d/1jQ6P4QcrGM89YfqcC_PxOHGCMq5ezhucwJd8ci-NHng/edit?usp=sharing"",""ราชบุรี!R31"&amp;"1"")+IMPORTRANGE(""https://docs.google.com/spreadsheets/d/1lufeA2cfFqM-elVq2hznhDzC6Pr7wkJ9ZG_sYNGCMCU/edit?usp=sharing"",""ลพบุรี!R311"")+IMPORTRANGE(""https://docs.google.com/spreadsheets/d/10oOiF7loTyfsTkbd4MpaIm0HQ9SwB7IYHdIUvt-U1Uc/edit?usp=sharing"""&amp;",""สระแก้ว!R311"")+IMPORTRANGE(""https://docs.google.com/spreadsheets/d/1xmPlrr1QbdSIKvl1dWUl9K4PjAfSL9oeMr_37QVzcxc/edit?usp=sharing"",""สระบุรี!R311"")+IMPORTRANGE(""https://docs.google.com/spreadsheets/d/1j51vR6CYVGhABJpv6tkstgok82RLpXieLzW1yOY5rHw/edi"&amp;"t?usp=sharing"",""สิงห์บุรี!R311"")+IMPORTRANGE(""https://docs.google.com/spreadsheets/d/1H1EalTWKUSzO4Z1-1CwzoDUaVffgrThEBe2sl74kKG0/edit?usp=sharing"",""สุพรรณบุรี!R311"")+IMPORTRANGE(""https://docs.google.com/spreadsheets/d/1BmIruG_sIrJLYao_Pdr7zVArWsf"&amp;"oBt2692TMi6x_854/edit?usp=sharing"",""อ่างทอง!R311"")"),0)</f>
        <v>0</v>
      </c>
      <c r="S311" s="77">
        <f ca="1">IFERROR(__xludf.DUMMYFUNCTION("IMPORTRANGE(""https://docs.google.com/spreadsheets/d/13wPX838HrBrQMCywv1BsuMkt4PEKTChp52zj44s2izQ/edit?usp=sharing"",""กาญจนบุรี!S311"")+IMPORTRANGE(""https://docs.google.com/spreadsheets/d/1ddFKvqj1W1NEiWytbGlB1zMx_ykJDVtmfEQ-6-lIUBA/edit?usp=sharing"","&amp;"""จันทบุรี!S311"")+IMPORTRANGE(""https://docs.google.com/spreadsheets/d/1T1PQvRODqOBZk8BRht_U031fIS1beLA0Ub2CEytj2q0/edit?usp=sharing"",""ฉะเชิงเทรา!S311"")+IMPORTRANGE(""https://docs.google.com/spreadsheets/d/11tr1B-Bhyr79v2bkwVh5h_fR-PStkgjlZtkrZpYurG0/"&amp;"edit?usp=sharing"",""ชลบุรี!S311"")+IMPORTRANGE(""https://docs.google.com/spreadsheets/d/1hh-FVnSX0vozXhGluamEcS54Dw9_zqW0N7qJUWgJ0Sw/edit?usp=sharing"",""ชัยนาท!S311"")+IMPORTRANGE(""https://docs.google.com/spreadsheets/d/1jkqa6GXxSacMcY1eN8AHjMNJ_7dDXMJ"&amp;"VRLDlaFSOdPM/edit?usp=sharing"",""ตราด!S311"")+IMPORTRANGE(""https://docs.google.com/spreadsheets/d/18hSgUJ3VwClqi_qtULmmW3cLr0oe3OKaSYoKzdpTsYQ/edit?usp=sharing"",""นครนายก!S311"")+IMPORTRANGE(""https://docs.google.com/spreadsheets/d/1YTZo6WM2dQ6Ix6FSdnL"&amp;"5P7uVnVKu40sxZu975tgG10E/edit?usp=sharing"",""นครปฐม!S311"")+IMPORTRANGE(""https://docs.google.com/spreadsheets/d/1OYoGg4WDg5RIzwGeB10padOxJF9E_Vljuvvct_M7RDo/edit?usp=sharing"",""ปทุมธานี!S311"")+IMPORTRANGE(""https://docs.google.com/spreadsheets/d/1GbCI"&amp;"E4D4wk9FUozzqk7SxfDMxDVBwVmI5zcaVUSzKAc/edit?usp=sharing"",""ประจวบคีรีขันธ์!S311"")+IMPORTRANGE(""https://docs.google.com/spreadsheets/d/1vVf6wykvW_lAyu7Yo9L4hUTqHqIeP_qcVuxCtosJEbg/edit?usp=sharing"",""ปราจีนบุรี!S311"")+IMPORTRANGE(""https://docs.googl"&amp;"e.com/spreadsheets/d/1BIDqLLg5jk3v59G8NlR8rk5xfQDKne0sAvZHSj7TI6I/edit?usp=sharing"",""พระนครศรีอยุธยา!S311"")+IMPORTRANGE(""https://docs.google.com/spreadsheets/d/1YXvxf8Yu6_rV4hTBrwMqAcAnv6DfhUxh5emyM3CJp_w/edit?usp=sharing"",""เพชรบุรี!S311"")+IMPORTRA"&amp;"NGE(""https://docs.google.com/spreadsheets/d/19KBlQQs7uwvsao6t2n-KvW3Ax8J8uRRfZPq1zPbXgKc/edit?usp=sharing"",""ระยอง!S311"")+IMPORTRANGE(""https://docs.google.com/spreadsheets/d/1jQ6P4QcrGM89YfqcC_PxOHGCMq5ezhucwJd8ci-NHng/edit?usp=sharing"",""ราชบุรี!S31"&amp;"1"")+IMPORTRANGE(""https://docs.google.com/spreadsheets/d/1lufeA2cfFqM-elVq2hznhDzC6Pr7wkJ9ZG_sYNGCMCU/edit?usp=sharing"",""ลพบุรี!S311"")+IMPORTRANGE(""https://docs.google.com/spreadsheets/d/10oOiF7loTyfsTkbd4MpaIm0HQ9SwB7IYHdIUvt-U1Uc/edit?usp=sharing"""&amp;",""สระแก้ว!S311"")+IMPORTRANGE(""https://docs.google.com/spreadsheets/d/1xmPlrr1QbdSIKvl1dWUl9K4PjAfSL9oeMr_37QVzcxc/edit?usp=sharing"",""สระบุรี!S311"")+IMPORTRANGE(""https://docs.google.com/spreadsheets/d/1j51vR6CYVGhABJpv6tkstgok82RLpXieLzW1yOY5rHw/edi"&amp;"t?usp=sharing"",""สิงห์บุรี!S311"")+IMPORTRANGE(""https://docs.google.com/spreadsheets/d/1H1EalTWKUSzO4Z1-1CwzoDUaVffgrThEBe2sl74kKG0/edit?usp=sharing"",""สุพรรณบุรี!S311"")+IMPORTRANGE(""https://docs.google.com/spreadsheets/d/1BmIruG_sIrJLYao_Pdr7zVArWsf"&amp;"oBt2692TMi6x_854/edit?usp=sharing"",""อ่างทอง!S311"")"),0)</f>
        <v>0</v>
      </c>
      <c r="T311" s="135">
        <f t="shared" ca="1" si="218"/>
        <v>0</v>
      </c>
      <c r="U311" s="135">
        <f t="shared" ca="1" si="219"/>
        <v>0</v>
      </c>
    </row>
    <row r="312" spans="1:21" ht="19.5" x14ac:dyDescent="0.3">
      <c r="A312" s="224"/>
      <c r="B312" s="225"/>
      <c r="C312" s="212" t="s">
        <v>18</v>
      </c>
      <c r="D312" s="226" t="s">
        <v>38</v>
      </c>
      <c r="E312" s="227"/>
      <c r="F312" s="227"/>
      <c r="G312" s="228"/>
      <c r="H312" s="229"/>
      <c r="I312" s="74"/>
      <c r="J312" s="74"/>
      <c r="K312" s="75"/>
      <c r="L312" s="75"/>
      <c r="M312" s="75"/>
      <c r="N312" s="75"/>
      <c r="O312" s="75"/>
      <c r="P312" s="75"/>
      <c r="Q312" s="89"/>
      <c r="R312" s="90"/>
      <c r="S312" s="90"/>
      <c r="T312" s="90"/>
      <c r="U312" s="90"/>
    </row>
    <row r="313" spans="1:21" ht="18.75" x14ac:dyDescent="0.25">
      <c r="A313" s="224"/>
      <c r="B313" s="225"/>
      <c r="C313" s="225"/>
      <c r="D313" s="238" t="s">
        <v>128</v>
      </c>
      <c r="E313" s="233"/>
      <c r="F313" s="233"/>
      <c r="G313" s="229"/>
      <c r="H313" s="229"/>
      <c r="I313" s="74"/>
      <c r="J313" s="241">
        <f ca="1">IFERROR(__xludf.DUMMYFUNCTION("IMPORTRANGE(""https://docs.google.com/spreadsheets/d/13wPX838HrBrQMCywv1BsuMkt4PEKTChp52zj44s2izQ/edit?usp=sharing"",""กาญจนบุรี!J313"")+IMPORTRANGE(""https://docs.google.com/spreadsheets/d/1ddFKvqj1W1NEiWytbGlB1zMx_ykJDVtmfEQ-6-lIUBA/edit?usp=sharing"","&amp;"""จันทบุรี!J313"")+IMPORTRANGE(""https://docs.google.com/spreadsheets/d/1T1PQvRODqOBZk8BRht_U031fIS1beLA0Ub2CEytj2q0/edit?usp=sharing"",""ฉะเชิงเทรา!J313"")+IMPORTRANGE(""https://docs.google.com/spreadsheets/d/11tr1B-Bhyr79v2bkwVh5h_fR-PStkgjlZtkrZpYurG0/"&amp;"edit?usp=sharing"",""ชลบุรี!J313"")+IMPORTRANGE(""https://docs.google.com/spreadsheets/d/1hh-FVnSX0vozXhGluamEcS54Dw9_zqW0N7qJUWgJ0Sw/edit?usp=sharing"",""ชัยนาท!J313"")+IMPORTRANGE(""https://docs.google.com/spreadsheets/d/1jkqa6GXxSacMcY1eN8AHjMNJ_7dDXMJ"&amp;"VRLDlaFSOdPM/edit?usp=sharing"",""ตราด!J313"")+IMPORTRANGE(""https://docs.google.com/spreadsheets/d/18hSgUJ3VwClqi_qtULmmW3cLr0oe3OKaSYoKzdpTsYQ/edit?usp=sharing"",""นครนายก!J313"")+IMPORTRANGE(""https://docs.google.com/spreadsheets/d/1YTZo6WM2dQ6Ix6FSdnL"&amp;"5P7uVnVKu40sxZu975tgG10E/edit?usp=sharing"",""นครปฐม!J313"")+IMPORTRANGE(""https://docs.google.com/spreadsheets/d/1OYoGg4WDg5RIzwGeB10padOxJF9E_Vljuvvct_M7RDo/edit?usp=sharing"",""ปทุมธานี!J313"")+IMPORTRANGE(""https://docs.google.com/spreadsheets/d/1GbCI"&amp;"E4D4wk9FUozzqk7SxfDMxDVBwVmI5zcaVUSzKAc/edit?usp=sharing"",""ประจวบคีรีขันธ์!J313"")+IMPORTRANGE(""https://docs.google.com/spreadsheets/d/1vVf6wykvW_lAyu7Yo9L4hUTqHqIeP_qcVuxCtosJEbg/edit?usp=sharing"",""ปราจีนบุรี!J313"")+IMPORTRANGE(""https://docs.googl"&amp;"e.com/spreadsheets/d/1BIDqLLg5jk3v59G8NlR8rk5xfQDKne0sAvZHSj7TI6I/edit?usp=sharing"",""พระนครศรีอยุธยา!J313"")+IMPORTRANGE(""https://docs.google.com/spreadsheets/d/1YXvxf8Yu6_rV4hTBrwMqAcAnv6DfhUxh5emyM3CJp_w/edit?usp=sharing"",""เพชรบุรี!J313"")+IMPORTRA"&amp;"NGE(""https://docs.google.com/spreadsheets/d/19KBlQQs7uwvsao6t2n-KvW3Ax8J8uRRfZPq1zPbXgKc/edit?usp=sharing"",""ระยอง!J313"")+IMPORTRANGE(""https://docs.google.com/spreadsheets/d/1jQ6P4QcrGM89YfqcC_PxOHGCMq5ezhucwJd8ci-NHng/edit?usp=sharing"",""ราชบุรี!J31"&amp;"3"")+IMPORTRANGE(""https://docs.google.com/spreadsheets/d/1lufeA2cfFqM-elVq2hznhDzC6Pr7wkJ9ZG_sYNGCMCU/edit?usp=sharing"",""ลพบุรี!J313"")+IMPORTRANGE(""https://docs.google.com/spreadsheets/d/10oOiF7loTyfsTkbd4MpaIm0HQ9SwB7IYHdIUvt-U1Uc/edit?usp=sharing"""&amp;",""สระแก้ว!J313"")+IMPORTRANGE(""https://docs.google.com/spreadsheets/d/1xmPlrr1QbdSIKvl1dWUl9K4PjAfSL9oeMr_37QVzcxc/edit?usp=sharing"",""สระบุรี!J313"")+IMPORTRANGE(""https://docs.google.com/spreadsheets/d/1j51vR6CYVGhABJpv6tkstgok82RLpXieLzW1yOY5rHw/edi"&amp;"t?usp=sharing"",""สิงห์บุรี!J313"")+IMPORTRANGE(""https://docs.google.com/spreadsheets/d/1H1EalTWKUSzO4Z1-1CwzoDUaVffgrThEBe2sl74kKG0/edit?usp=sharing"",""สุพรรณบุรี!J313"")+IMPORTRANGE(""https://docs.google.com/spreadsheets/d/1BmIruG_sIrJLYao_Pdr7zVArWsf"&amp;"oBt2692TMi6x_854/edit?usp=sharing"",""อ่างทอง!J313"")"),0)</f>
        <v>0</v>
      </c>
      <c r="K313" s="75"/>
      <c r="L313" s="75"/>
      <c r="M313" s="75"/>
      <c r="N313" s="75"/>
      <c r="O313" s="75"/>
      <c r="P313" s="75"/>
      <c r="Q313" s="32"/>
      <c r="R313" s="33"/>
      <c r="S313" s="33"/>
      <c r="T313" s="33"/>
      <c r="U313" s="33"/>
    </row>
    <row r="314" spans="1:21" ht="18.75" x14ac:dyDescent="0.25">
      <c r="A314" s="224"/>
      <c r="B314" s="225"/>
      <c r="C314" s="225"/>
      <c r="D314" s="238" t="s">
        <v>121</v>
      </c>
      <c r="E314" s="233"/>
      <c r="F314" s="233"/>
      <c r="G314" s="229"/>
      <c r="H314" s="239" t="s">
        <v>35</v>
      </c>
      <c r="I314" s="241">
        <f ca="1">IFERROR(__xludf.DUMMYFUNCTION("IMPORTRANGE(""https://docs.google.com/spreadsheets/d/13wPX838HrBrQMCywv1BsuMkt4PEKTChp52zj44s2izQ/edit?usp=sharing"",""กาญจนบุรี!I314"")+IMPORTRANGE(""https://docs.google.com/spreadsheets/d/1ddFKvqj1W1NEiWytbGlB1zMx_ykJDVtmfEQ-6-lIUBA/edit?usp=sharing"","&amp;"""จันทบุรี!I314"")+IMPORTRANGE(""https://docs.google.com/spreadsheets/d/1T1PQvRODqOBZk8BRht_U031fIS1beLA0Ub2CEytj2q0/edit?usp=sharing"",""ฉะเชิงเทรา!I314"")+IMPORTRANGE(""https://docs.google.com/spreadsheets/d/11tr1B-Bhyr79v2bkwVh5h_fR-PStkgjlZtkrZpYurG0/"&amp;"edit?usp=sharing"",""ชลบุรี!I314"")+IMPORTRANGE(""https://docs.google.com/spreadsheets/d/1hh-FVnSX0vozXhGluamEcS54Dw9_zqW0N7qJUWgJ0Sw/edit?usp=sharing"",""ชัยนาท!I314"")+IMPORTRANGE(""https://docs.google.com/spreadsheets/d/1jkqa6GXxSacMcY1eN8AHjMNJ_7dDXMJ"&amp;"VRLDlaFSOdPM/edit?usp=sharing"",""ตราด!I314"")+IMPORTRANGE(""https://docs.google.com/spreadsheets/d/18hSgUJ3VwClqi_qtULmmW3cLr0oe3OKaSYoKzdpTsYQ/edit?usp=sharing"",""นครนายก!I314"")+IMPORTRANGE(""https://docs.google.com/spreadsheets/d/1YTZo6WM2dQ6Ix6FSdnL"&amp;"5P7uVnVKu40sxZu975tgG10E/edit?usp=sharing"",""นครปฐม!I314"")+IMPORTRANGE(""https://docs.google.com/spreadsheets/d/1OYoGg4WDg5RIzwGeB10padOxJF9E_Vljuvvct_M7RDo/edit?usp=sharing"",""ปทุมธานี!I314"")+IMPORTRANGE(""https://docs.google.com/spreadsheets/d/1GbCI"&amp;"E4D4wk9FUozzqk7SxfDMxDVBwVmI5zcaVUSzKAc/edit?usp=sharing"",""ประจวบคีรีขันธ์!I314"")+IMPORTRANGE(""https://docs.google.com/spreadsheets/d/1vVf6wykvW_lAyu7Yo9L4hUTqHqIeP_qcVuxCtosJEbg/edit?usp=sharing"",""ปราจีนบุรี!I314"")+IMPORTRANGE(""https://docs.googl"&amp;"e.com/spreadsheets/d/1BIDqLLg5jk3v59G8NlR8rk5xfQDKne0sAvZHSj7TI6I/edit?usp=sharing"",""พระนครศรีอยุธยา!I314"")+IMPORTRANGE(""https://docs.google.com/spreadsheets/d/1YXvxf8Yu6_rV4hTBrwMqAcAnv6DfhUxh5emyM3CJp_w/edit?usp=sharing"",""เพชรบุรี!I314"")+IMPORTRA"&amp;"NGE(""https://docs.google.com/spreadsheets/d/19KBlQQs7uwvsao6t2n-KvW3Ax8J8uRRfZPq1zPbXgKc/edit?usp=sharing"",""ระยอง!I314"")+IMPORTRANGE(""https://docs.google.com/spreadsheets/d/1jQ6P4QcrGM89YfqcC_PxOHGCMq5ezhucwJd8ci-NHng/edit?usp=sharing"",""ราชบุรี!I31"&amp;"4"")+IMPORTRANGE(""https://docs.google.com/spreadsheets/d/1lufeA2cfFqM-elVq2hznhDzC6Pr7wkJ9ZG_sYNGCMCU/edit?usp=sharing"",""ลพบุรี!I314"")+IMPORTRANGE(""https://docs.google.com/spreadsheets/d/10oOiF7loTyfsTkbd4MpaIm0HQ9SwB7IYHdIUvt-U1Uc/edit?usp=sharing"""&amp;",""สระแก้ว!I314"")+IMPORTRANGE(""https://docs.google.com/spreadsheets/d/1xmPlrr1QbdSIKvl1dWUl9K4PjAfSL9oeMr_37QVzcxc/edit?usp=sharing"",""สระบุรี!I314"")+IMPORTRANGE(""https://docs.google.com/spreadsheets/d/1j51vR6CYVGhABJpv6tkstgok82RLpXieLzW1yOY5rHw/edi"&amp;"t?usp=sharing"",""สิงห์บุรี!I314"")+IMPORTRANGE(""https://docs.google.com/spreadsheets/d/1H1EalTWKUSzO4Z1-1CwzoDUaVffgrThEBe2sl74kKG0/edit?usp=sharing"",""สุพรรณบุรี!I314"")+IMPORTRANGE(""https://docs.google.com/spreadsheets/d/1BmIruG_sIrJLYao_Pdr7zVArWsf"&amp;"oBt2692TMi6x_854/edit?usp=sharing"",""อ่างทอง!I314"")"),355)</f>
        <v>355</v>
      </c>
      <c r="J314" s="241">
        <f ca="1">IFERROR(__xludf.DUMMYFUNCTION("IMPORTRANGE(""https://docs.google.com/spreadsheets/d/13wPX838HrBrQMCywv1BsuMkt4PEKTChp52zj44s2izQ/edit?usp=sharing"",""กาญจนบุรี!J314"")+IMPORTRANGE(""https://docs.google.com/spreadsheets/d/1ddFKvqj1W1NEiWytbGlB1zMx_ykJDVtmfEQ-6-lIUBA/edit?usp=sharing"","&amp;"""จันทบุรี!J314"")+IMPORTRANGE(""https://docs.google.com/spreadsheets/d/1T1PQvRODqOBZk8BRht_U031fIS1beLA0Ub2CEytj2q0/edit?usp=sharing"",""ฉะเชิงเทรา!J314"")+IMPORTRANGE(""https://docs.google.com/spreadsheets/d/11tr1B-Bhyr79v2bkwVh5h_fR-PStkgjlZtkrZpYurG0/"&amp;"edit?usp=sharing"",""ชลบุรี!J314"")+IMPORTRANGE(""https://docs.google.com/spreadsheets/d/1hh-FVnSX0vozXhGluamEcS54Dw9_zqW0N7qJUWgJ0Sw/edit?usp=sharing"",""ชัยนาท!J314"")+IMPORTRANGE(""https://docs.google.com/spreadsheets/d/1jkqa6GXxSacMcY1eN8AHjMNJ_7dDXMJ"&amp;"VRLDlaFSOdPM/edit?usp=sharing"",""ตราด!J314"")+IMPORTRANGE(""https://docs.google.com/spreadsheets/d/18hSgUJ3VwClqi_qtULmmW3cLr0oe3OKaSYoKzdpTsYQ/edit?usp=sharing"",""นครนายก!J314"")+IMPORTRANGE(""https://docs.google.com/spreadsheets/d/1YTZo6WM2dQ6Ix6FSdnL"&amp;"5P7uVnVKu40sxZu975tgG10E/edit?usp=sharing"",""นครปฐม!J314"")+IMPORTRANGE(""https://docs.google.com/spreadsheets/d/1OYoGg4WDg5RIzwGeB10padOxJF9E_Vljuvvct_M7RDo/edit?usp=sharing"",""ปทุมธานี!J314"")+IMPORTRANGE(""https://docs.google.com/spreadsheets/d/1GbCI"&amp;"E4D4wk9FUozzqk7SxfDMxDVBwVmI5zcaVUSzKAc/edit?usp=sharing"",""ประจวบคีรีขันธ์!J314"")+IMPORTRANGE(""https://docs.google.com/spreadsheets/d/1vVf6wykvW_lAyu7Yo9L4hUTqHqIeP_qcVuxCtosJEbg/edit?usp=sharing"",""ปราจีนบุรี!J314"")+IMPORTRANGE(""https://docs.googl"&amp;"e.com/spreadsheets/d/1BIDqLLg5jk3v59G8NlR8rk5xfQDKne0sAvZHSj7TI6I/edit?usp=sharing"",""พระนครศรีอยุธยา!J314"")+IMPORTRANGE(""https://docs.google.com/spreadsheets/d/1YXvxf8Yu6_rV4hTBrwMqAcAnv6DfhUxh5emyM3CJp_w/edit?usp=sharing"",""เพชรบุรี!J314"")+IMPORTRA"&amp;"NGE(""https://docs.google.com/spreadsheets/d/19KBlQQs7uwvsao6t2n-KvW3Ax8J8uRRfZPq1zPbXgKc/edit?usp=sharing"",""ระยอง!J314"")+IMPORTRANGE(""https://docs.google.com/spreadsheets/d/1jQ6P4QcrGM89YfqcC_PxOHGCMq5ezhucwJd8ci-NHng/edit?usp=sharing"",""ราชบุรี!J31"&amp;"4"")+IMPORTRANGE(""https://docs.google.com/spreadsheets/d/1lufeA2cfFqM-elVq2hznhDzC6Pr7wkJ9ZG_sYNGCMCU/edit?usp=sharing"",""ลพบุรี!J314"")+IMPORTRANGE(""https://docs.google.com/spreadsheets/d/10oOiF7loTyfsTkbd4MpaIm0HQ9SwB7IYHdIUvt-U1Uc/edit?usp=sharing"""&amp;",""สระแก้ว!J314"")+IMPORTRANGE(""https://docs.google.com/spreadsheets/d/1xmPlrr1QbdSIKvl1dWUl9K4PjAfSL9oeMr_37QVzcxc/edit?usp=sharing"",""สระบุรี!J314"")+IMPORTRANGE(""https://docs.google.com/spreadsheets/d/1j51vR6CYVGhABJpv6tkstgok82RLpXieLzW1yOY5rHw/edi"&amp;"t?usp=sharing"",""สิงห์บุรี!J314"")+IMPORTRANGE(""https://docs.google.com/spreadsheets/d/1H1EalTWKUSzO4Z1-1CwzoDUaVffgrThEBe2sl74kKG0/edit?usp=sharing"",""สุพรรณบุรี!J314"")+IMPORTRANGE(""https://docs.google.com/spreadsheets/d/1BmIruG_sIrJLYao_Pdr7zVArWsf"&amp;"oBt2692TMi6x_854/edit?usp=sharing"",""อ่างทอง!J314"")"),240)</f>
        <v>240</v>
      </c>
      <c r="K314" s="91">
        <f t="shared" ref="K314:K317" ca="1" si="228">IF(I314&gt;0,J314*100/I314,0)</f>
        <v>67.605633802816897</v>
      </c>
      <c r="L314" s="75"/>
      <c r="M314" s="75"/>
      <c r="N314" s="75"/>
      <c r="O314" s="75"/>
      <c r="P314" s="75"/>
      <c r="Q314" s="89"/>
      <c r="R314" s="90"/>
      <c r="S314" s="90"/>
      <c r="T314" s="90"/>
      <c r="U314" s="90"/>
    </row>
    <row r="315" spans="1:21" ht="18.75" x14ac:dyDescent="0.25">
      <c r="A315" s="224"/>
      <c r="B315" s="225"/>
      <c r="C315" s="225"/>
      <c r="D315" s="238" t="s">
        <v>129</v>
      </c>
      <c r="E315" s="233"/>
      <c r="F315" s="233"/>
      <c r="G315" s="229"/>
      <c r="H315" s="239" t="s">
        <v>35</v>
      </c>
      <c r="I315" s="241">
        <f ca="1">IFERROR(__xludf.DUMMYFUNCTION("IMPORTRANGE(""https://docs.google.com/spreadsheets/d/13wPX838HrBrQMCywv1BsuMkt4PEKTChp52zj44s2izQ/edit?usp=sharing"",""กาญจนบุรี!I315"")+IMPORTRANGE(""https://docs.google.com/spreadsheets/d/1ddFKvqj1W1NEiWytbGlB1zMx_ykJDVtmfEQ-6-lIUBA/edit?usp=sharing"","&amp;"""จันทบุรี!I315"")+IMPORTRANGE(""https://docs.google.com/spreadsheets/d/1T1PQvRODqOBZk8BRht_U031fIS1beLA0Ub2CEytj2q0/edit?usp=sharing"",""ฉะเชิงเทรา!I315"")+IMPORTRANGE(""https://docs.google.com/spreadsheets/d/11tr1B-Bhyr79v2bkwVh5h_fR-PStkgjlZtkrZpYurG0/"&amp;"edit?usp=sharing"",""ชลบุรี!I315"")+IMPORTRANGE(""https://docs.google.com/spreadsheets/d/1hh-FVnSX0vozXhGluamEcS54Dw9_zqW0N7qJUWgJ0Sw/edit?usp=sharing"",""ชัยนาท!I315"")+IMPORTRANGE(""https://docs.google.com/spreadsheets/d/1jkqa6GXxSacMcY1eN8AHjMNJ_7dDXMJ"&amp;"VRLDlaFSOdPM/edit?usp=sharing"",""ตราด!I315"")+IMPORTRANGE(""https://docs.google.com/spreadsheets/d/18hSgUJ3VwClqi_qtULmmW3cLr0oe3OKaSYoKzdpTsYQ/edit?usp=sharing"",""นครนายก!I315"")+IMPORTRANGE(""https://docs.google.com/spreadsheets/d/1YTZo6WM2dQ6Ix6FSdnL"&amp;"5P7uVnVKu40sxZu975tgG10E/edit?usp=sharing"",""นครปฐม!I315"")+IMPORTRANGE(""https://docs.google.com/spreadsheets/d/1OYoGg4WDg5RIzwGeB10padOxJF9E_Vljuvvct_M7RDo/edit?usp=sharing"",""ปทุมธานี!I315"")+IMPORTRANGE(""https://docs.google.com/spreadsheets/d/1GbCI"&amp;"E4D4wk9FUozzqk7SxfDMxDVBwVmI5zcaVUSzKAc/edit?usp=sharing"",""ประจวบคีรีขันธ์!I315"")+IMPORTRANGE(""https://docs.google.com/spreadsheets/d/1vVf6wykvW_lAyu7Yo9L4hUTqHqIeP_qcVuxCtosJEbg/edit?usp=sharing"",""ปราจีนบุรี!I315"")+IMPORTRANGE(""https://docs.googl"&amp;"e.com/spreadsheets/d/1BIDqLLg5jk3v59G8NlR8rk5xfQDKne0sAvZHSj7TI6I/edit?usp=sharing"",""พระนครศรีอยุธยา!I315"")+IMPORTRANGE(""https://docs.google.com/spreadsheets/d/1YXvxf8Yu6_rV4hTBrwMqAcAnv6DfhUxh5emyM3CJp_w/edit?usp=sharing"",""เพชรบุรี!I315"")+IMPORTRA"&amp;"NGE(""https://docs.google.com/spreadsheets/d/19KBlQQs7uwvsao6t2n-KvW3Ax8J8uRRfZPq1zPbXgKc/edit?usp=sharing"",""ระยอง!I315"")+IMPORTRANGE(""https://docs.google.com/spreadsheets/d/1jQ6P4QcrGM89YfqcC_PxOHGCMq5ezhucwJd8ci-NHng/edit?usp=sharing"",""ราชบุรี!I31"&amp;"5"")+IMPORTRANGE(""https://docs.google.com/spreadsheets/d/1lufeA2cfFqM-elVq2hznhDzC6Pr7wkJ9ZG_sYNGCMCU/edit?usp=sharing"",""ลพบุรี!I315"")+IMPORTRANGE(""https://docs.google.com/spreadsheets/d/10oOiF7loTyfsTkbd4MpaIm0HQ9SwB7IYHdIUvt-U1Uc/edit?usp=sharing"""&amp;",""สระแก้ว!I315"")+IMPORTRANGE(""https://docs.google.com/spreadsheets/d/1xmPlrr1QbdSIKvl1dWUl9K4PjAfSL9oeMr_37QVzcxc/edit?usp=sharing"",""สระบุรี!I315"")+IMPORTRANGE(""https://docs.google.com/spreadsheets/d/1j51vR6CYVGhABJpv6tkstgok82RLpXieLzW1yOY5rHw/edi"&amp;"t?usp=sharing"",""สิงห์บุรี!I315"")+IMPORTRANGE(""https://docs.google.com/spreadsheets/d/1H1EalTWKUSzO4Z1-1CwzoDUaVffgrThEBe2sl74kKG0/edit?usp=sharing"",""สุพรรณบุรี!I315"")+IMPORTRANGE(""https://docs.google.com/spreadsheets/d/1BmIruG_sIrJLYao_Pdr7zVArWsf"&amp;"oBt2692TMi6x_854/edit?usp=sharing"",""อ่างทอง!I315"")"),0)</f>
        <v>0</v>
      </c>
      <c r="J315" s="241">
        <f ca="1">IFERROR(__xludf.DUMMYFUNCTION("IMPORTRANGE(""https://docs.google.com/spreadsheets/d/13wPX838HrBrQMCywv1BsuMkt4PEKTChp52zj44s2izQ/edit?usp=sharing"",""กาญจนบุรี!J315"")+IMPORTRANGE(""https://docs.google.com/spreadsheets/d/1ddFKvqj1W1NEiWytbGlB1zMx_ykJDVtmfEQ-6-lIUBA/edit?usp=sharing"","&amp;"""จันทบุรี!J315"")+IMPORTRANGE(""https://docs.google.com/spreadsheets/d/1T1PQvRODqOBZk8BRht_U031fIS1beLA0Ub2CEytj2q0/edit?usp=sharing"",""ฉะเชิงเทรา!J315"")+IMPORTRANGE(""https://docs.google.com/spreadsheets/d/11tr1B-Bhyr79v2bkwVh5h_fR-PStkgjlZtkrZpYurG0/"&amp;"edit?usp=sharing"",""ชลบุรี!J315"")+IMPORTRANGE(""https://docs.google.com/spreadsheets/d/1hh-FVnSX0vozXhGluamEcS54Dw9_zqW0N7qJUWgJ0Sw/edit?usp=sharing"",""ชัยนาท!J315"")+IMPORTRANGE(""https://docs.google.com/spreadsheets/d/1jkqa6GXxSacMcY1eN8AHjMNJ_7dDXMJ"&amp;"VRLDlaFSOdPM/edit?usp=sharing"",""ตราด!J315"")+IMPORTRANGE(""https://docs.google.com/spreadsheets/d/18hSgUJ3VwClqi_qtULmmW3cLr0oe3OKaSYoKzdpTsYQ/edit?usp=sharing"",""นครนายก!J315"")+IMPORTRANGE(""https://docs.google.com/spreadsheets/d/1YTZo6WM2dQ6Ix6FSdnL"&amp;"5P7uVnVKu40sxZu975tgG10E/edit?usp=sharing"",""นครปฐม!J315"")+IMPORTRANGE(""https://docs.google.com/spreadsheets/d/1OYoGg4WDg5RIzwGeB10padOxJF9E_Vljuvvct_M7RDo/edit?usp=sharing"",""ปทุมธานี!J315"")+IMPORTRANGE(""https://docs.google.com/spreadsheets/d/1GbCI"&amp;"E4D4wk9FUozzqk7SxfDMxDVBwVmI5zcaVUSzKAc/edit?usp=sharing"",""ประจวบคีรีขันธ์!J315"")+IMPORTRANGE(""https://docs.google.com/spreadsheets/d/1vVf6wykvW_lAyu7Yo9L4hUTqHqIeP_qcVuxCtosJEbg/edit?usp=sharing"",""ปราจีนบุรี!J315"")+IMPORTRANGE(""https://docs.googl"&amp;"e.com/spreadsheets/d/1BIDqLLg5jk3v59G8NlR8rk5xfQDKne0sAvZHSj7TI6I/edit?usp=sharing"",""พระนครศรีอยุธยา!J315"")+IMPORTRANGE(""https://docs.google.com/spreadsheets/d/1YXvxf8Yu6_rV4hTBrwMqAcAnv6DfhUxh5emyM3CJp_w/edit?usp=sharing"",""เพชรบุรี!J315"")+IMPORTRA"&amp;"NGE(""https://docs.google.com/spreadsheets/d/19KBlQQs7uwvsao6t2n-KvW3Ax8J8uRRfZPq1zPbXgKc/edit?usp=sharing"",""ระยอง!J315"")+IMPORTRANGE(""https://docs.google.com/spreadsheets/d/1jQ6P4QcrGM89YfqcC_PxOHGCMq5ezhucwJd8ci-NHng/edit?usp=sharing"",""ราชบุรี!J31"&amp;"5"")+IMPORTRANGE(""https://docs.google.com/spreadsheets/d/1lufeA2cfFqM-elVq2hznhDzC6Pr7wkJ9ZG_sYNGCMCU/edit?usp=sharing"",""ลพบุรี!J315"")+IMPORTRANGE(""https://docs.google.com/spreadsheets/d/10oOiF7loTyfsTkbd4MpaIm0HQ9SwB7IYHdIUvt-U1Uc/edit?usp=sharing"""&amp;",""สระแก้ว!J315"")+IMPORTRANGE(""https://docs.google.com/spreadsheets/d/1xmPlrr1QbdSIKvl1dWUl9K4PjAfSL9oeMr_37QVzcxc/edit?usp=sharing"",""สระบุรี!J315"")+IMPORTRANGE(""https://docs.google.com/spreadsheets/d/1j51vR6CYVGhABJpv6tkstgok82RLpXieLzW1yOY5rHw/edi"&amp;"t?usp=sharing"",""สิงห์บุรี!J315"")+IMPORTRANGE(""https://docs.google.com/spreadsheets/d/1H1EalTWKUSzO4Z1-1CwzoDUaVffgrThEBe2sl74kKG0/edit?usp=sharing"",""สุพรรณบุรี!J315"")+IMPORTRANGE(""https://docs.google.com/spreadsheets/d/1BmIruG_sIrJLYao_Pdr7zVArWsf"&amp;"oBt2692TMi6x_854/edit?usp=sharing"",""อ่างทอง!J315"")"),0)</f>
        <v>0</v>
      </c>
      <c r="K315" s="91">
        <f t="shared" ca="1" si="228"/>
        <v>0</v>
      </c>
      <c r="L315" s="75"/>
      <c r="M315" s="75"/>
      <c r="N315" s="75"/>
      <c r="O315" s="75"/>
      <c r="P315" s="75"/>
      <c r="Q315" s="32"/>
      <c r="R315" s="33"/>
      <c r="S315" s="33"/>
      <c r="T315" s="33"/>
      <c r="U315" s="33"/>
    </row>
    <row r="316" spans="1:21" ht="18.75" x14ac:dyDescent="0.25">
      <c r="A316" s="224"/>
      <c r="B316" s="225"/>
      <c r="C316" s="225"/>
      <c r="D316" s="238" t="s">
        <v>50</v>
      </c>
      <c r="E316" s="233"/>
      <c r="F316" s="233"/>
      <c r="G316" s="229"/>
      <c r="H316" s="239" t="s">
        <v>35</v>
      </c>
      <c r="I316" s="241">
        <f ca="1">IFERROR(__xludf.DUMMYFUNCTION("IMPORTRANGE(""https://docs.google.com/spreadsheets/d/13wPX838HrBrQMCywv1BsuMkt4PEKTChp52zj44s2izQ/edit?usp=sharing"",""กาญจนบุรี!I316"")+IMPORTRANGE(""https://docs.google.com/spreadsheets/d/1ddFKvqj1W1NEiWytbGlB1zMx_ykJDVtmfEQ-6-lIUBA/edit?usp=sharing"","&amp;"""จันทบุรี!I316"")+IMPORTRANGE(""https://docs.google.com/spreadsheets/d/1T1PQvRODqOBZk8BRht_U031fIS1beLA0Ub2CEytj2q0/edit?usp=sharing"",""ฉะเชิงเทรา!I316"")+IMPORTRANGE(""https://docs.google.com/spreadsheets/d/11tr1B-Bhyr79v2bkwVh5h_fR-PStkgjlZtkrZpYurG0/"&amp;"edit?usp=sharing"",""ชลบุรี!I316"")+IMPORTRANGE(""https://docs.google.com/spreadsheets/d/1hh-FVnSX0vozXhGluamEcS54Dw9_zqW0N7qJUWgJ0Sw/edit?usp=sharing"",""ชัยนาท!I316"")+IMPORTRANGE(""https://docs.google.com/spreadsheets/d/1jkqa6GXxSacMcY1eN8AHjMNJ_7dDXMJ"&amp;"VRLDlaFSOdPM/edit?usp=sharing"",""ตราด!I316"")+IMPORTRANGE(""https://docs.google.com/spreadsheets/d/18hSgUJ3VwClqi_qtULmmW3cLr0oe3OKaSYoKzdpTsYQ/edit?usp=sharing"",""นครนายก!I316"")+IMPORTRANGE(""https://docs.google.com/spreadsheets/d/1YTZo6WM2dQ6Ix6FSdnL"&amp;"5P7uVnVKu40sxZu975tgG10E/edit?usp=sharing"",""นครปฐม!I316"")+IMPORTRANGE(""https://docs.google.com/spreadsheets/d/1OYoGg4WDg5RIzwGeB10padOxJF9E_Vljuvvct_M7RDo/edit?usp=sharing"",""ปทุมธานี!I316"")+IMPORTRANGE(""https://docs.google.com/spreadsheets/d/1GbCI"&amp;"E4D4wk9FUozzqk7SxfDMxDVBwVmI5zcaVUSzKAc/edit?usp=sharing"",""ประจวบคีรีขันธ์!I316"")+IMPORTRANGE(""https://docs.google.com/spreadsheets/d/1vVf6wykvW_lAyu7Yo9L4hUTqHqIeP_qcVuxCtosJEbg/edit?usp=sharing"",""ปราจีนบุรี!I316"")+IMPORTRANGE(""https://docs.googl"&amp;"e.com/spreadsheets/d/1BIDqLLg5jk3v59G8NlR8rk5xfQDKne0sAvZHSj7TI6I/edit?usp=sharing"",""พระนครศรีอยุธยา!I316"")+IMPORTRANGE(""https://docs.google.com/spreadsheets/d/1YXvxf8Yu6_rV4hTBrwMqAcAnv6DfhUxh5emyM3CJp_w/edit?usp=sharing"",""เพชรบุรี!I316"")+IMPORTRA"&amp;"NGE(""https://docs.google.com/spreadsheets/d/19KBlQQs7uwvsao6t2n-KvW3Ax8J8uRRfZPq1zPbXgKc/edit?usp=sharing"",""ระยอง!I316"")+IMPORTRANGE(""https://docs.google.com/spreadsheets/d/1jQ6P4QcrGM89YfqcC_PxOHGCMq5ezhucwJd8ci-NHng/edit?usp=sharing"",""ราชบุรี!I31"&amp;"6"")+IMPORTRANGE(""https://docs.google.com/spreadsheets/d/1lufeA2cfFqM-elVq2hznhDzC6Pr7wkJ9ZG_sYNGCMCU/edit?usp=sharing"",""ลพบุรี!I316"")+IMPORTRANGE(""https://docs.google.com/spreadsheets/d/10oOiF7loTyfsTkbd4MpaIm0HQ9SwB7IYHdIUvt-U1Uc/edit?usp=sharing"""&amp;",""สระแก้ว!I316"")+IMPORTRANGE(""https://docs.google.com/spreadsheets/d/1xmPlrr1QbdSIKvl1dWUl9K4PjAfSL9oeMr_37QVzcxc/edit?usp=sharing"",""สระบุรี!I316"")+IMPORTRANGE(""https://docs.google.com/spreadsheets/d/1j51vR6CYVGhABJpv6tkstgok82RLpXieLzW1yOY5rHw/edi"&amp;"t?usp=sharing"",""สิงห์บุรี!I316"")+IMPORTRANGE(""https://docs.google.com/spreadsheets/d/1H1EalTWKUSzO4Z1-1CwzoDUaVffgrThEBe2sl74kKG0/edit?usp=sharing"",""สุพรรณบุรี!I316"")+IMPORTRANGE(""https://docs.google.com/spreadsheets/d/1BmIruG_sIrJLYao_Pdr7zVArWsf"&amp;"oBt2692TMi6x_854/edit?usp=sharing"",""อ่างทอง!I316"")"),0)</f>
        <v>0</v>
      </c>
      <c r="J316" s="241">
        <f ca="1">IFERROR(__xludf.DUMMYFUNCTION("IMPORTRANGE(""https://docs.google.com/spreadsheets/d/13wPX838HrBrQMCywv1BsuMkt4PEKTChp52zj44s2izQ/edit?usp=sharing"",""กาญจนบุรี!J316"")+IMPORTRANGE(""https://docs.google.com/spreadsheets/d/1ddFKvqj1W1NEiWytbGlB1zMx_ykJDVtmfEQ-6-lIUBA/edit?usp=sharing"","&amp;"""จันทบุรี!J316"")+IMPORTRANGE(""https://docs.google.com/spreadsheets/d/1T1PQvRODqOBZk8BRht_U031fIS1beLA0Ub2CEytj2q0/edit?usp=sharing"",""ฉะเชิงเทรา!J316"")+IMPORTRANGE(""https://docs.google.com/spreadsheets/d/11tr1B-Bhyr79v2bkwVh5h_fR-PStkgjlZtkrZpYurG0/"&amp;"edit?usp=sharing"",""ชลบุรี!J316"")+IMPORTRANGE(""https://docs.google.com/spreadsheets/d/1hh-FVnSX0vozXhGluamEcS54Dw9_zqW0N7qJUWgJ0Sw/edit?usp=sharing"",""ชัยนาท!J316"")+IMPORTRANGE(""https://docs.google.com/spreadsheets/d/1jkqa6GXxSacMcY1eN8AHjMNJ_7dDXMJ"&amp;"VRLDlaFSOdPM/edit?usp=sharing"",""ตราด!J316"")+IMPORTRANGE(""https://docs.google.com/spreadsheets/d/18hSgUJ3VwClqi_qtULmmW3cLr0oe3OKaSYoKzdpTsYQ/edit?usp=sharing"",""นครนายก!J316"")+IMPORTRANGE(""https://docs.google.com/spreadsheets/d/1YTZo6WM2dQ6Ix6FSdnL"&amp;"5P7uVnVKu40sxZu975tgG10E/edit?usp=sharing"",""นครปฐม!J316"")+IMPORTRANGE(""https://docs.google.com/spreadsheets/d/1OYoGg4WDg5RIzwGeB10padOxJF9E_Vljuvvct_M7RDo/edit?usp=sharing"",""ปทุมธานี!J316"")+IMPORTRANGE(""https://docs.google.com/spreadsheets/d/1GbCI"&amp;"E4D4wk9FUozzqk7SxfDMxDVBwVmI5zcaVUSzKAc/edit?usp=sharing"",""ประจวบคีรีขันธ์!J316"")+IMPORTRANGE(""https://docs.google.com/spreadsheets/d/1vVf6wykvW_lAyu7Yo9L4hUTqHqIeP_qcVuxCtosJEbg/edit?usp=sharing"",""ปราจีนบุรี!J316"")+IMPORTRANGE(""https://docs.googl"&amp;"e.com/spreadsheets/d/1BIDqLLg5jk3v59G8NlR8rk5xfQDKne0sAvZHSj7TI6I/edit?usp=sharing"",""พระนครศรีอยุธยา!J316"")+IMPORTRANGE(""https://docs.google.com/spreadsheets/d/1YXvxf8Yu6_rV4hTBrwMqAcAnv6DfhUxh5emyM3CJp_w/edit?usp=sharing"",""เพชรบุรี!J316"")+IMPORTRA"&amp;"NGE(""https://docs.google.com/spreadsheets/d/19KBlQQs7uwvsao6t2n-KvW3Ax8J8uRRfZPq1zPbXgKc/edit?usp=sharing"",""ระยอง!J316"")+IMPORTRANGE(""https://docs.google.com/spreadsheets/d/1jQ6P4QcrGM89YfqcC_PxOHGCMq5ezhucwJd8ci-NHng/edit?usp=sharing"",""ราชบุรี!J31"&amp;"6"")+IMPORTRANGE(""https://docs.google.com/spreadsheets/d/1lufeA2cfFqM-elVq2hznhDzC6Pr7wkJ9ZG_sYNGCMCU/edit?usp=sharing"",""ลพบุรี!J316"")+IMPORTRANGE(""https://docs.google.com/spreadsheets/d/10oOiF7loTyfsTkbd4MpaIm0HQ9SwB7IYHdIUvt-U1Uc/edit?usp=sharing"""&amp;",""สระแก้ว!J316"")+IMPORTRANGE(""https://docs.google.com/spreadsheets/d/1xmPlrr1QbdSIKvl1dWUl9K4PjAfSL9oeMr_37QVzcxc/edit?usp=sharing"",""สระบุรี!J316"")+IMPORTRANGE(""https://docs.google.com/spreadsheets/d/1j51vR6CYVGhABJpv6tkstgok82RLpXieLzW1yOY5rHw/edi"&amp;"t?usp=sharing"",""สิงห์บุรี!J316"")+IMPORTRANGE(""https://docs.google.com/spreadsheets/d/1H1EalTWKUSzO4Z1-1CwzoDUaVffgrThEBe2sl74kKG0/edit?usp=sharing"",""สุพรรณบุรี!J316"")+IMPORTRANGE(""https://docs.google.com/spreadsheets/d/1BmIruG_sIrJLYao_Pdr7zVArWsf"&amp;"oBt2692TMi6x_854/edit?usp=sharing"",""อ่างทอง!J316"")"),0)</f>
        <v>0</v>
      </c>
      <c r="K316" s="91">
        <f t="shared" ca="1" si="228"/>
        <v>0</v>
      </c>
      <c r="L316" s="75"/>
      <c r="M316" s="75"/>
      <c r="N316" s="75"/>
      <c r="O316" s="75"/>
      <c r="P316" s="75"/>
      <c r="Q316" s="32"/>
      <c r="R316" s="33"/>
      <c r="S316" s="33"/>
      <c r="T316" s="33"/>
      <c r="U316" s="33"/>
    </row>
    <row r="317" spans="1:21" ht="18.75" x14ac:dyDescent="0.25">
      <c r="A317" s="368"/>
      <c r="B317" s="371"/>
      <c r="C317" s="371"/>
      <c r="D317" s="78" t="s">
        <v>130</v>
      </c>
      <c r="E317" s="70"/>
      <c r="F317" s="70"/>
      <c r="G317" s="72"/>
      <c r="H317" s="73" t="s">
        <v>35</v>
      </c>
      <c r="I317" s="241">
        <f ca="1">IFERROR(__xludf.DUMMYFUNCTION("IMPORTRANGE(""https://docs.google.com/spreadsheets/d/13wPX838HrBrQMCywv1BsuMkt4PEKTChp52zj44s2izQ/edit?usp=sharing"",""กาญจนบุรี!I317"")+IMPORTRANGE(""https://docs.google.com/spreadsheets/d/1ddFKvqj1W1NEiWytbGlB1zMx_ykJDVtmfEQ-6-lIUBA/edit?usp=sharing"","&amp;"""จันทบุรี!I317"")+IMPORTRANGE(""https://docs.google.com/spreadsheets/d/1T1PQvRODqOBZk8BRht_U031fIS1beLA0Ub2CEytj2q0/edit?usp=sharing"",""ฉะเชิงเทรา!I317"")+IMPORTRANGE(""https://docs.google.com/spreadsheets/d/11tr1B-Bhyr79v2bkwVh5h_fR-PStkgjlZtkrZpYurG0/"&amp;"edit?usp=sharing"",""ชลบุรี!I317"")+IMPORTRANGE(""https://docs.google.com/spreadsheets/d/1hh-FVnSX0vozXhGluamEcS54Dw9_zqW0N7qJUWgJ0Sw/edit?usp=sharing"",""ชัยนาท!I317"")+IMPORTRANGE(""https://docs.google.com/spreadsheets/d/1jkqa6GXxSacMcY1eN8AHjMNJ_7dDXMJ"&amp;"VRLDlaFSOdPM/edit?usp=sharing"",""ตราด!I317"")+IMPORTRANGE(""https://docs.google.com/spreadsheets/d/18hSgUJ3VwClqi_qtULmmW3cLr0oe3OKaSYoKzdpTsYQ/edit?usp=sharing"",""นครนายก!I317"")+IMPORTRANGE(""https://docs.google.com/spreadsheets/d/1YTZo6WM2dQ6Ix6FSdnL"&amp;"5P7uVnVKu40sxZu975tgG10E/edit?usp=sharing"",""นครปฐม!I317"")+IMPORTRANGE(""https://docs.google.com/spreadsheets/d/1OYoGg4WDg5RIzwGeB10padOxJF9E_Vljuvvct_M7RDo/edit?usp=sharing"",""ปทุมธานี!I317"")+IMPORTRANGE(""https://docs.google.com/spreadsheets/d/1GbCI"&amp;"E4D4wk9FUozzqk7SxfDMxDVBwVmI5zcaVUSzKAc/edit?usp=sharing"",""ประจวบคีรีขันธ์!I317"")+IMPORTRANGE(""https://docs.google.com/spreadsheets/d/1vVf6wykvW_lAyu7Yo9L4hUTqHqIeP_qcVuxCtosJEbg/edit?usp=sharing"",""ปราจีนบุรี!I317"")+IMPORTRANGE(""https://docs.googl"&amp;"e.com/spreadsheets/d/1BIDqLLg5jk3v59G8NlR8rk5xfQDKne0sAvZHSj7TI6I/edit?usp=sharing"",""พระนครศรีอยุธยา!I317"")+IMPORTRANGE(""https://docs.google.com/spreadsheets/d/1YXvxf8Yu6_rV4hTBrwMqAcAnv6DfhUxh5emyM3CJp_w/edit?usp=sharing"",""เพชรบุรี!I317"")+IMPORTRA"&amp;"NGE(""https://docs.google.com/spreadsheets/d/19KBlQQs7uwvsao6t2n-KvW3Ax8J8uRRfZPq1zPbXgKc/edit?usp=sharing"",""ระยอง!I317"")+IMPORTRANGE(""https://docs.google.com/spreadsheets/d/1jQ6P4QcrGM89YfqcC_PxOHGCMq5ezhucwJd8ci-NHng/edit?usp=sharing"",""ราชบุรี!I31"&amp;"7"")+IMPORTRANGE(""https://docs.google.com/spreadsheets/d/1lufeA2cfFqM-elVq2hznhDzC6Pr7wkJ9ZG_sYNGCMCU/edit?usp=sharing"",""ลพบุรี!I317"")+IMPORTRANGE(""https://docs.google.com/spreadsheets/d/10oOiF7loTyfsTkbd4MpaIm0HQ9SwB7IYHdIUvt-U1Uc/edit?usp=sharing"""&amp;",""สระแก้ว!I317"")+IMPORTRANGE(""https://docs.google.com/spreadsheets/d/1xmPlrr1QbdSIKvl1dWUl9K4PjAfSL9oeMr_37QVzcxc/edit?usp=sharing"",""สระบุรี!I317"")+IMPORTRANGE(""https://docs.google.com/spreadsheets/d/1j51vR6CYVGhABJpv6tkstgok82RLpXieLzW1yOY5rHw/edi"&amp;"t?usp=sharing"",""สิงห์บุรี!I317"")+IMPORTRANGE(""https://docs.google.com/spreadsheets/d/1H1EalTWKUSzO4Z1-1CwzoDUaVffgrThEBe2sl74kKG0/edit?usp=sharing"",""สุพรรณบุรี!I317"")+IMPORTRANGE(""https://docs.google.com/spreadsheets/d/1BmIruG_sIrJLYao_Pdr7zVArWsf"&amp;"oBt2692TMi6x_854/edit?usp=sharing"",""อ่างทอง!I317"")"),0)</f>
        <v>0</v>
      </c>
      <c r="J317" s="241">
        <f ca="1">IFERROR(__xludf.DUMMYFUNCTION("IMPORTRANGE(""https://docs.google.com/spreadsheets/d/13wPX838HrBrQMCywv1BsuMkt4PEKTChp52zj44s2izQ/edit?usp=sharing"",""กาญจนบุรี!J317"")+IMPORTRANGE(""https://docs.google.com/spreadsheets/d/1ddFKvqj1W1NEiWytbGlB1zMx_ykJDVtmfEQ-6-lIUBA/edit?usp=sharing"","&amp;"""จันทบุรี!J317"")+IMPORTRANGE(""https://docs.google.com/spreadsheets/d/1T1PQvRODqOBZk8BRht_U031fIS1beLA0Ub2CEytj2q0/edit?usp=sharing"",""ฉะเชิงเทรา!J317"")+IMPORTRANGE(""https://docs.google.com/spreadsheets/d/11tr1B-Bhyr79v2bkwVh5h_fR-PStkgjlZtkrZpYurG0/"&amp;"edit?usp=sharing"",""ชลบุรี!J317"")+IMPORTRANGE(""https://docs.google.com/spreadsheets/d/1hh-FVnSX0vozXhGluamEcS54Dw9_zqW0N7qJUWgJ0Sw/edit?usp=sharing"",""ชัยนาท!J317"")+IMPORTRANGE(""https://docs.google.com/spreadsheets/d/1jkqa6GXxSacMcY1eN8AHjMNJ_7dDXMJ"&amp;"VRLDlaFSOdPM/edit?usp=sharing"",""ตราด!J317"")+IMPORTRANGE(""https://docs.google.com/spreadsheets/d/18hSgUJ3VwClqi_qtULmmW3cLr0oe3OKaSYoKzdpTsYQ/edit?usp=sharing"",""นครนายก!J317"")+IMPORTRANGE(""https://docs.google.com/spreadsheets/d/1YTZo6WM2dQ6Ix6FSdnL"&amp;"5P7uVnVKu40sxZu975tgG10E/edit?usp=sharing"",""นครปฐม!J317"")+IMPORTRANGE(""https://docs.google.com/spreadsheets/d/1OYoGg4WDg5RIzwGeB10padOxJF9E_Vljuvvct_M7RDo/edit?usp=sharing"",""ปทุมธานี!J317"")+IMPORTRANGE(""https://docs.google.com/spreadsheets/d/1GbCI"&amp;"E4D4wk9FUozzqk7SxfDMxDVBwVmI5zcaVUSzKAc/edit?usp=sharing"",""ประจวบคีรีขันธ์!J317"")+IMPORTRANGE(""https://docs.google.com/spreadsheets/d/1vVf6wykvW_lAyu7Yo9L4hUTqHqIeP_qcVuxCtosJEbg/edit?usp=sharing"",""ปราจีนบุรี!J317"")+IMPORTRANGE(""https://docs.googl"&amp;"e.com/spreadsheets/d/1BIDqLLg5jk3v59G8NlR8rk5xfQDKne0sAvZHSj7TI6I/edit?usp=sharing"",""พระนครศรีอยุธยา!J317"")+IMPORTRANGE(""https://docs.google.com/spreadsheets/d/1YXvxf8Yu6_rV4hTBrwMqAcAnv6DfhUxh5emyM3CJp_w/edit?usp=sharing"",""เพชรบุรี!J317"")+IMPORTRA"&amp;"NGE(""https://docs.google.com/spreadsheets/d/19KBlQQs7uwvsao6t2n-KvW3Ax8J8uRRfZPq1zPbXgKc/edit?usp=sharing"",""ระยอง!J317"")+IMPORTRANGE(""https://docs.google.com/spreadsheets/d/1jQ6P4QcrGM89YfqcC_PxOHGCMq5ezhucwJd8ci-NHng/edit?usp=sharing"",""ราชบุรี!J31"&amp;"7"")+IMPORTRANGE(""https://docs.google.com/spreadsheets/d/1lufeA2cfFqM-elVq2hznhDzC6Pr7wkJ9ZG_sYNGCMCU/edit?usp=sharing"",""ลพบุรี!J317"")+IMPORTRANGE(""https://docs.google.com/spreadsheets/d/10oOiF7loTyfsTkbd4MpaIm0HQ9SwB7IYHdIUvt-U1Uc/edit?usp=sharing"""&amp;",""สระแก้ว!J317"")+IMPORTRANGE(""https://docs.google.com/spreadsheets/d/1xmPlrr1QbdSIKvl1dWUl9K4PjAfSL9oeMr_37QVzcxc/edit?usp=sharing"",""สระบุรี!J317"")+IMPORTRANGE(""https://docs.google.com/spreadsheets/d/1j51vR6CYVGhABJpv6tkstgok82RLpXieLzW1yOY5rHw/edi"&amp;"t?usp=sharing"",""สิงห์บุรี!J317"")+IMPORTRANGE(""https://docs.google.com/spreadsheets/d/1H1EalTWKUSzO4Z1-1CwzoDUaVffgrThEBe2sl74kKG0/edit?usp=sharing"",""สุพรรณบุรี!J317"")+IMPORTRANGE(""https://docs.google.com/spreadsheets/d/1BmIruG_sIrJLYao_Pdr7zVArWsf"&amp;"oBt2692TMi6x_854/edit?usp=sharing"",""อ่างทอง!J317"")"),0)</f>
        <v>0</v>
      </c>
      <c r="K317" s="91">
        <f t="shared" ca="1" si="228"/>
        <v>0</v>
      </c>
      <c r="L317" s="75"/>
      <c r="M317" s="75"/>
      <c r="N317" s="75"/>
      <c r="O317" s="75"/>
      <c r="P317" s="75"/>
      <c r="Q317" s="32"/>
      <c r="R317" s="33"/>
      <c r="S317" s="33"/>
      <c r="T317" s="33"/>
      <c r="U317" s="33"/>
    </row>
    <row r="318" spans="1:21" ht="19.5" x14ac:dyDescent="0.3">
      <c r="A318" s="497" t="s">
        <v>131</v>
      </c>
      <c r="B318" s="498"/>
      <c r="C318" s="498"/>
      <c r="D318" s="499"/>
      <c r="E318" s="498"/>
      <c r="F318" s="498"/>
      <c r="G318" s="498"/>
      <c r="H318" s="499"/>
      <c r="I318" s="501"/>
      <c r="J318" s="501"/>
      <c r="K318" s="502"/>
      <c r="L318" s="502"/>
      <c r="M318" s="502"/>
      <c r="N318" s="502"/>
      <c r="O318" s="502"/>
      <c r="P318" s="502"/>
      <c r="Q318" s="503"/>
      <c r="R318" s="504"/>
      <c r="S318" s="504"/>
      <c r="T318" s="504"/>
      <c r="U318" s="504"/>
    </row>
    <row r="319" spans="1:21" ht="19.5" x14ac:dyDescent="0.3">
      <c r="A319" s="515"/>
      <c r="B319" s="506" t="s">
        <v>132</v>
      </c>
      <c r="C319" s="516"/>
      <c r="D319" s="517"/>
      <c r="E319" s="507"/>
      <c r="F319" s="507"/>
      <c r="G319" s="508"/>
      <c r="H319" s="509" t="s">
        <v>133</v>
      </c>
      <c r="I319" s="510">
        <f t="shared" ref="I319:J319" ca="1" si="229">I330</f>
        <v>3</v>
      </c>
      <c r="J319" s="510">
        <f t="shared" ca="1" si="229"/>
        <v>3</v>
      </c>
      <c r="K319" s="511">
        <f ca="1">IF(I319&gt;0,J319*100/I319,0)</f>
        <v>100</v>
      </c>
      <c r="L319" s="512"/>
      <c r="M319" s="512"/>
      <c r="N319" s="512"/>
      <c r="O319" s="512"/>
      <c r="P319" s="512"/>
      <c r="Q319" s="513"/>
      <c r="R319" s="514"/>
      <c r="S319" s="514"/>
      <c r="T319" s="514"/>
      <c r="U319" s="514"/>
    </row>
    <row r="320" spans="1:21" ht="19.5" x14ac:dyDescent="0.3">
      <c r="A320" s="211"/>
      <c r="B320" s="70"/>
      <c r="C320" s="212" t="s">
        <v>18</v>
      </c>
      <c r="D320" s="213" t="s">
        <v>19</v>
      </c>
      <c r="E320" s="70"/>
      <c r="F320" s="70"/>
      <c r="G320" s="72"/>
      <c r="H320" s="214" t="s">
        <v>14</v>
      </c>
      <c r="I320" s="74"/>
      <c r="J320" s="74"/>
      <c r="K320" s="75"/>
      <c r="L320" s="215">
        <f t="shared" ref="L320:N320" ca="1" si="230">L321+L322</f>
        <v>90000</v>
      </c>
      <c r="M320" s="215">
        <f t="shared" ca="1" si="230"/>
        <v>90000</v>
      </c>
      <c r="N320" s="215">
        <f t="shared" ca="1" si="230"/>
        <v>32597</v>
      </c>
      <c r="O320" s="215">
        <f t="shared" ref="O320:O328" ca="1" si="231">IF(L320&gt;0,N320*100/L320,0)</f>
        <v>36.218888888888891</v>
      </c>
      <c r="P320" s="215">
        <f t="shared" ref="P320:P328" ca="1" si="232">IF(M320&gt;0,N320*100/M320,0)</f>
        <v>36.218888888888891</v>
      </c>
      <c r="Q320" s="216">
        <f t="shared" ref="Q320:S320" ca="1" si="233">Q321+Q322</f>
        <v>0</v>
      </c>
      <c r="R320" s="217">
        <f t="shared" ca="1" si="233"/>
        <v>0</v>
      </c>
      <c r="S320" s="217">
        <f t="shared" ca="1" si="233"/>
        <v>0</v>
      </c>
      <c r="T320" s="217">
        <f t="shared" ref="T320:T328" ca="1" si="234">IF(Q320&gt;0,S320*100/Q320,0)</f>
        <v>0</v>
      </c>
      <c r="U320" s="217">
        <f t="shared" ref="U320:U328" ca="1" si="235">IF(R320&gt;0,S320*100/R320,0)</f>
        <v>0</v>
      </c>
    </row>
    <row r="321" spans="1:21" ht="18.75" x14ac:dyDescent="0.25">
      <c r="A321" s="211"/>
      <c r="B321" s="70"/>
      <c r="C321" s="70"/>
      <c r="D321" s="70"/>
      <c r="E321" s="78" t="s">
        <v>20</v>
      </c>
      <c r="F321" s="70"/>
      <c r="G321" s="72"/>
      <c r="H321" s="218" t="s">
        <v>14</v>
      </c>
      <c r="I321" s="74"/>
      <c r="J321" s="74"/>
      <c r="K321" s="75"/>
      <c r="L321" s="91">
        <f t="shared" ref="L321:N321" ca="1" si="236">L324+L327</f>
        <v>0</v>
      </c>
      <c r="M321" s="91">
        <f t="shared" ca="1" si="236"/>
        <v>0</v>
      </c>
      <c r="N321" s="91">
        <f t="shared" ca="1" si="236"/>
        <v>0</v>
      </c>
      <c r="O321" s="91">
        <f t="shared" ca="1" si="231"/>
        <v>0</v>
      </c>
      <c r="P321" s="91">
        <f t="shared" ca="1" si="232"/>
        <v>0</v>
      </c>
      <c r="Q321" s="219">
        <f t="shared" ref="Q321:S321" ca="1" si="237">Q324+Q327</f>
        <v>0</v>
      </c>
      <c r="R321" s="136">
        <f t="shared" ca="1" si="237"/>
        <v>0</v>
      </c>
      <c r="S321" s="136">
        <f t="shared" ca="1" si="237"/>
        <v>0</v>
      </c>
      <c r="T321" s="136">
        <f t="shared" ca="1" si="234"/>
        <v>0</v>
      </c>
      <c r="U321" s="136">
        <f t="shared" ca="1" si="235"/>
        <v>0</v>
      </c>
    </row>
    <row r="322" spans="1:21" ht="18.75" x14ac:dyDescent="0.25">
      <c r="A322" s="211"/>
      <c r="B322" s="70"/>
      <c r="C322" s="70"/>
      <c r="D322" s="70"/>
      <c r="E322" s="78" t="s">
        <v>21</v>
      </c>
      <c r="F322" s="70"/>
      <c r="G322" s="72"/>
      <c r="H322" s="218" t="s">
        <v>14</v>
      </c>
      <c r="I322" s="74"/>
      <c r="J322" s="74"/>
      <c r="K322" s="75"/>
      <c r="L322" s="91">
        <f t="shared" ref="L322:N322" ca="1" si="238">L325+L328</f>
        <v>90000</v>
      </c>
      <c r="M322" s="91">
        <f t="shared" ca="1" si="238"/>
        <v>90000</v>
      </c>
      <c r="N322" s="91">
        <f t="shared" ca="1" si="238"/>
        <v>32597</v>
      </c>
      <c r="O322" s="91">
        <f t="shared" ca="1" si="231"/>
        <v>36.218888888888891</v>
      </c>
      <c r="P322" s="91">
        <f t="shared" ca="1" si="232"/>
        <v>36.218888888888891</v>
      </c>
      <c r="Q322" s="134">
        <f t="shared" ref="Q322:S322" ca="1" si="239">Q325+Q328</f>
        <v>0</v>
      </c>
      <c r="R322" s="135">
        <f t="shared" ca="1" si="239"/>
        <v>0</v>
      </c>
      <c r="S322" s="135">
        <f t="shared" ca="1" si="239"/>
        <v>0</v>
      </c>
      <c r="T322" s="135">
        <f t="shared" ca="1" si="234"/>
        <v>0</v>
      </c>
      <c r="U322" s="135">
        <f t="shared" ca="1" si="235"/>
        <v>0</v>
      </c>
    </row>
    <row r="323" spans="1:21" ht="18.75" x14ac:dyDescent="0.25">
      <c r="A323" s="211"/>
      <c r="B323" s="70"/>
      <c r="C323" s="70"/>
      <c r="D323" s="71" t="s">
        <v>22</v>
      </c>
      <c r="E323" s="70"/>
      <c r="F323" s="70"/>
      <c r="G323" s="72"/>
      <c r="H323" s="220" t="s">
        <v>14</v>
      </c>
      <c r="I323" s="221"/>
      <c r="J323" s="221"/>
      <c r="K323" s="222"/>
      <c r="L323" s="91">
        <f t="shared" ref="L323:N323" ca="1" si="240">L324+L325</f>
        <v>90000</v>
      </c>
      <c r="M323" s="91">
        <f t="shared" ca="1" si="240"/>
        <v>90000</v>
      </c>
      <c r="N323" s="91">
        <f t="shared" ca="1" si="240"/>
        <v>32597</v>
      </c>
      <c r="O323" s="91">
        <f t="shared" ca="1" si="231"/>
        <v>36.218888888888891</v>
      </c>
      <c r="P323" s="91">
        <f t="shared" ca="1" si="232"/>
        <v>36.218888888888891</v>
      </c>
      <c r="Q323" s="134">
        <f t="shared" ref="Q323:S323" ca="1" si="241">Q324+Q325</f>
        <v>0</v>
      </c>
      <c r="R323" s="135">
        <f t="shared" ca="1" si="241"/>
        <v>0</v>
      </c>
      <c r="S323" s="135">
        <f t="shared" ca="1" si="241"/>
        <v>0</v>
      </c>
      <c r="T323" s="135">
        <f t="shared" ca="1" si="234"/>
        <v>0</v>
      </c>
      <c r="U323" s="135">
        <f t="shared" ca="1" si="235"/>
        <v>0</v>
      </c>
    </row>
    <row r="324" spans="1:21" ht="18.75" x14ac:dyDescent="0.25">
      <c r="A324" s="211"/>
      <c r="B324" s="70"/>
      <c r="C324" s="70"/>
      <c r="D324" s="70"/>
      <c r="E324" s="78" t="s">
        <v>36</v>
      </c>
      <c r="F324" s="70"/>
      <c r="G324" s="72"/>
      <c r="H324" s="220" t="s">
        <v>14</v>
      </c>
      <c r="I324" s="221"/>
      <c r="J324" s="221"/>
      <c r="K324" s="222"/>
      <c r="L324" s="91">
        <f ca="1">IFERROR(__xludf.DUMMYFUNCTION("IMPORTRANGE(""https://docs.google.com/spreadsheets/d/13wPX838HrBrQMCywv1BsuMkt4PEKTChp52zj44s2izQ/edit?usp=sharing"",""กาญจนบุรี!L324"")+IMPORTRANGE(""https://docs.google.com/spreadsheets/d/1ddFKvqj1W1NEiWytbGlB1zMx_ykJDVtmfEQ-6-lIUBA/edit?usp=sharing"","&amp;"""จันทบุรี!L324"")+IMPORTRANGE(""https://docs.google.com/spreadsheets/d/1T1PQvRODqOBZk8BRht_U031fIS1beLA0Ub2CEytj2q0/edit?usp=sharing"",""ฉะเชิงเทรา!L324"")+IMPORTRANGE(""https://docs.google.com/spreadsheets/d/11tr1B-Bhyr79v2bkwVh5h_fR-PStkgjlZtkrZpYurG0/"&amp;"edit?usp=sharing"",""ชลบุรี!L324"")+IMPORTRANGE(""https://docs.google.com/spreadsheets/d/1hh-FVnSX0vozXhGluamEcS54Dw9_zqW0N7qJUWgJ0Sw/edit?usp=sharing"",""ชัยนาท!L324"")+IMPORTRANGE(""https://docs.google.com/spreadsheets/d/1jkqa6GXxSacMcY1eN8AHjMNJ_7dDXMJ"&amp;"VRLDlaFSOdPM/edit?usp=sharing"",""ตราด!L324"")+IMPORTRANGE(""https://docs.google.com/spreadsheets/d/18hSgUJ3VwClqi_qtULmmW3cLr0oe3OKaSYoKzdpTsYQ/edit?usp=sharing"",""นครนายก!L324"")+IMPORTRANGE(""https://docs.google.com/spreadsheets/d/1YTZo6WM2dQ6Ix6FSdnL"&amp;"5P7uVnVKu40sxZu975tgG10E/edit?usp=sharing"",""นครปฐม!L324"")+IMPORTRANGE(""https://docs.google.com/spreadsheets/d/1OYoGg4WDg5RIzwGeB10padOxJF9E_Vljuvvct_M7RDo/edit?usp=sharing"",""ปทุมธานี!L324"")+IMPORTRANGE(""https://docs.google.com/spreadsheets/d/1GbCI"&amp;"E4D4wk9FUozzqk7SxfDMxDVBwVmI5zcaVUSzKAc/edit?usp=sharing"",""ประจวบคีรีขันธ์!L324"")+IMPORTRANGE(""https://docs.google.com/spreadsheets/d/1vVf6wykvW_lAyu7Yo9L4hUTqHqIeP_qcVuxCtosJEbg/edit?usp=sharing"",""ปราจีนบุรี!L324"")+IMPORTRANGE(""https://docs.googl"&amp;"e.com/spreadsheets/d/1BIDqLLg5jk3v59G8NlR8rk5xfQDKne0sAvZHSj7TI6I/edit?usp=sharing"",""พระนครศรีอยุธยา!L324"")+IMPORTRANGE(""https://docs.google.com/spreadsheets/d/1YXvxf8Yu6_rV4hTBrwMqAcAnv6DfhUxh5emyM3CJp_w/edit?usp=sharing"",""เพชรบุรี!L324"")+IMPORTRA"&amp;"NGE(""https://docs.google.com/spreadsheets/d/19KBlQQs7uwvsao6t2n-KvW3Ax8J8uRRfZPq1zPbXgKc/edit?usp=sharing"",""ระยอง!L324"")+IMPORTRANGE(""https://docs.google.com/spreadsheets/d/1jQ6P4QcrGM89YfqcC_PxOHGCMq5ezhucwJd8ci-NHng/edit?usp=sharing"",""ราชบุรี!L32"&amp;"4"")+IMPORTRANGE(""https://docs.google.com/spreadsheets/d/1lufeA2cfFqM-elVq2hznhDzC6Pr7wkJ9ZG_sYNGCMCU/edit?usp=sharing"",""ลพบุรี!L324"")+IMPORTRANGE(""https://docs.google.com/spreadsheets/d/10oOiF7loTyfsTkbd4MpaIm0HQ9SwB7IYHdIUvt-U1Uc/edit?usp=sharing"""&amp;",""สระแก้ว!L324"")+IMPORTRANGE(""https://docs.google.com/spreadsheets/d/1xmPlrr1QbdSIKvl1dWUl9K4PjAfSL9oeMr_37QVzcxc/edit?usp=sharing"",""สระบุรี!L324"")+IMPORTRANGE(""https://docs.google.com/spreadsheets/d/1j51vR6CYVGhABJpv6tkstgok82RLpXieLzW1yOY5rHw/edi"&amp;"t?usp=sharing"",""สิงห์บุรี!L324"")+IMPORTRANGE(""https://docs.google.com/spreadsheets/d/1H1EalTWKUSzO4Z1-1CwzoDUaVffgrThEBe2sl74kKG0/edit?usp=sharing"",""สุพรรณบุรี!L324"")+IMPORTRANGE(""https://docs.google.com/spreadsheets/d/1BmIruG_sIrJLYao_Pdr7zVArWsf"&amp;"oBt2692TMi6x_854/edit?usp=sharing"",""อ่างทอง!L324"")"),0)</f>
        <v>0</v>
      </c>
      <c r="M324" s="91">
        <f ca="1">IFERROR(__xludf.DUMMYFUNCTION("IMPORTRANGE(""https://docs.google.com/spreadsheets/d/13wPX838HrBrQMCywv1BsuMkt4PEKTChp52zj44s2izQ/edit?usp=sharing"",""กาญจนบุรี!M324"")+IMPORTRANGE(""https://docs.google.com/spreadsheets/d/1ddFKvqj1W1NEiWytbGlB1zMx_ykJDVtmfEQ-6-lIUBA/edit?usp=sharing"","&amp;"""จันทบุรี!M324"")+IMPORTRANGE(""https://docs.google.com/spreadsheets/d/1T1PQvRODqOBZk8BRht_U031fIS1beLA0Ub2CEytj2q0/edit?usp=sharing"",""ฉะเชิงเทรา!M324"")+IMPORTRANGE(""https://docs.google.com/spreadsheets/d/11tr1B-Bhyr79v2bkwVh5h_fR-PStkgjlZtkrZpYurG0/"&amp;"edit?usp=sharing"",""ชลบุรี!M324"")+IMPORTRANGE(""https://docs.google.com/spreadsheets/d/1hh-FVnSX0vozXhGluamEcS54Dw9_zqW0N7qJUWgJ0Sw/edit?usp=sharing"",""ชัยนาท!M324"")+IMPORTRANGE(""https://docs.google.com/spreadsheets/d/1jkqa6GXxSacMcY1eN8AHjMNJ_7dDXMJ"&amp;"VRLDlaFSOdPM/edit?usp=sharing"",""ตราด!M324"")+IMPORTRANGE(""https://docs.google.com/spreadsheets/d/18hSgUJ3VwClqi_qtULmmW3cLr0oe3OKaSYoKzdpTsYQ/edit?usp=sharing"",""นครนายก!M324"")+IMPORTRANGE(""https://docs.google.com/spreadsheets/d/1YTZo6WM2dQ6Ix6FSdnL"&amp;"5P7uVnVKu40sxZu975tgG10E/edit?usp=sharing"",""นครปฐม!M324"")+IMPORTRANGE(""https://docs.google.com/spreadsheets/d/1OYoGg4WDg5RIzwGeB10padOxJF9E_Vljuvvct_M7RDo/edit?usp=sharing"",""ปทุมธานี!M324"")+IMPORTRANGE(""https://docs.google.com/spreadsheets/d/1GbCI"&amp;"E4D4wk9FUozzqk7SxfDMxDVBwVmI5zcaVUSzKAc/edit?usp=sharing"",""ประจวบคีรีขันธ์!M324"")+IMPORTRANGE(""https://docs.google.com/spreadsheets/d/1vVf6wykvW_lAyu7Yo9L4hUTqHqIeP_qcVuxCtosJEbg/edit?usp=sharing"",""ปราจีนบุรี!M324"")+IMPORTRANGE(""https://docs.googl"&amp;"e.com/spreadsheets/d/1BIDqLLg5jk3v59G8NlR8rk5xfQDKne0sAvZHSj7TI6I/edit?usp=sharing"",""พระนครศรีอยุธยา!M324"")+IMPORTRANGE(""https://docs.google.com/spreadsheets/d/1YXvxf8Yu6_rV4hTBrwMqAcAnv6DfhUxh5emyM3CJp_w/edit?usp=sharing"",""เพชรบุรี!M324"")+IMPORTRA"&amp;"NGE(""https://docs.google.com/spreadsheets/d/19KBlQQs7uwvsao6t2n-KvW3Ax8J8uRRfZPq1zPbXgKc/edit?usp=sharing"",""ระยอง!M324"")+IMPORTRANGE(""https://docs.google.com/spreadsheets/d/1jQ6P4QcrGM89YfqcC_PxOHGCMq5ezhucwJd8ci-NHng/edit?usp=sharing"",""ราชบุรี!M32"&amp;"4"")+IMPORTRANGE(""https://docs.google.com/spreadsheets/d/1lufeA2cfFqM-elVq2hznhDzC6Pr7wkJ9ZG_sYNGCMCU/edit?usp=sharing"",""ลพบุรี!M324"")+IMPORTRANGE(""https://docs.google.com/spreadsheets/d/10oOiF7loTyfsTkbd4MpaIm0HQ9SwB7IYHdIUvt-U1Uc/edit?usp=sharing"""&amp;",""สระแก้ว!M324"")+IMPORTRANGE(""https://docs.google.com/spreadsheets/d/1xmPlrr1QbdSIKvl1dWUl9K4PjAfSL9oeMr_37QVzcxc/edit?usp=sharing"",""สระบุรี!M324"")+IMPORTRANGE(""https://docs.google.com/spreadsheets/d/1j51vR6CYVGhABJpv6tkstgok82RLpXieLzW1yOY5rHw/edi"&amp;"t?usp=sharing"",""สิงห์บุรี!M324"")+IMPORTRANGE(""https://docs.google.com/spreadsheets/d/1H1EalTWKUSzO4Z1-1CwzoDUaVffgrThEBe2sl74kKG0/edit?usp=sharing"",""สุพรรณบุรี!M324"")+IMPORTRANGE(""https://docs.google.com/spreadsheets/d/1BmIruG_sIrJLYao_Pdr7zVArWsf"&amp;"oBt2692TMi6x_854/edit?usp=sharing"",""อ่างทอง!M324"")"),0)</f>
        <v>0</v>
      </c>
      <c r="N324" s="91">
        <f ca="1">IFERROR(__xludf.DUMMYFUNCTION("IMPORTRANGE(""https://docs.google.com/spreadsheets/d/13wPX838HrBrQMCywv1BsuMkt4PEKTChp52zj44s2izQ/edit?usp=sharing"",""กาญจนบุรี!N324"")+IMPORTRANGE(""https://docs.google.com/spreadsheets/d/1ddFKvqj1W1NEiWytbGlB1zMx_ykJDVtmfEQ-6-lIUBA/edit?usp=sharing"","&amp;"""จันทบุรี!N324"")+IMPORTRANGE(""https://docs.google.com/spreadsheets/d/1T1PQvRODqOBZk8BRht_U031fIS1beLA0Ub2CEytj2q0/edit?usp=sharing"",""ฉะเชิงเทรา!N324"")+IMPORTRANGE(""https://docs.google.com/spreadsheets/d/11tr1B-Bhyr79v2bkwVh5h_fR-PStkgjlZtkrZpYurG0/"&amp;"edit?usp=sharing"",""ชลบุรี!N324"")+IMPORTRANGE(""https://docs.google.com/spreadsheets/d/1hh-FVnSX0vozXhGluamEcS54Dw9_zqW0N7qJUWgJ0Sw/edit?usp=sharing"",""ชัยนาท!N324"")+IMPORTRANGE(""https://docs.google.com/spreadsheets/d/1jkqa6GXxSacMcY1eN8AHjMNJ_7dDXMJ"&amp;"VRLDlaFSOdPM/edit?usp=sharing"",""ตราด!N324"")+IMPORTRANGE(""https://docs.google.com/spreadsheets/d/18hSgUJ3VwClqi_qtULmmW3cLr0oe3OKaSYoKzdpTsYQ/edit?usp=sharing"",""นครนายก!N324"")+IMPORTRANGE(""https://docs.google.com/spreadsheets/d/1YTZo6WM2dQ6Ix6FSdnL"&amp;"5P7uVnVKu40sxZu975tgG10E/edit?usp=sharing"",""นครปฐม!N324"")+IMPORTRANGE(""https://docs.google.com/spreadsheets/d/1OYoGg4WDg5RIzwGeB10padOxJF9E_Vljuvvct_M7RDo/edit?usp=sharing"",""ปทุมธานี!N324"")+IMPORTRANGE(""https://docs.google.com/spreadsheets/d/1GbCI"&amp;"E4D4wk9FUozzqk7SxfDMxDVBwVmI5zcaVUSzKAc/edit?usp=sharing"",""ประจวบคีรีขันธ์!N324"")+IMPORTRANGE(""https://docs.google.com/spreadsheets/d/1vVf6wykvW_lAyu7Yo9L4hUTqHqIeP_qcVuxCtosJEbg/edit?usp=sharing"",""ปราจีนบุรี!N324"")+IMPORTRANGE(""https://docs.googl"&amp;"e.com/spreadsheets/d/1BIDqLLg5jk3v59G8NlR8rk5xfQDKne0sAvZHSj7TI6I/edit?usp=sharing"",""พระนครศรีอยุธยา!N324"")+IMPORTRANGE(""https://docs.google.com/spreadsheets/d/1YXvxf8Yu6_rV4hTBrwMqAcAnv6DfhUxh5emyM3CJp_w/edit?usp=sharing"",""เพชรบุรี!N324"")+IMPORTRA"&amp;"NGE(""https://docs.google.com/spreadsheets/d/19KBlQQs7uwvsao6t2n-KvW3Ax8J8uRRfZPq1zPbXgKc/edit?usp=sharing"",""ระยอง!N324"")+IMPORTRANGE(""https://docs.google.com/spreadsheets/d/1jQ6P4QcrGM89YfqcC_PxOHGCMq5ezhucwJd8ci-NHng/edit?usp=sharing"",""ราชบุรี!N32"&amp;"4"")+IMPORTRANGE(""https://docs.google.com/spreadsheets/d/1lufeA2cfFqM-elVq2hznhDzC6Pr7wkJ9ZG_sYNGCMCU/edit?usp=sharing"",""ลพบุรี!N324"")+IMPORTRANGE(""https://docs.google.com/spreadsheets/d/10oOiF7loTyfsTkbd4MpaIm0HQ9SwB7IYHdIUvt-U1Uc/edit?usp=sharing"""&amp;",""สระแก้ว!N324"")+IMPORTRANGE(""https://docs.google.com/spreadsheets/d/1xmPlrr1QbdSIKvl1dWUl9K4PjAfSL9oeMr_37QVzcxc/edit?usp=sharing"",""สระบุรี!N324"")+IMPORTRANGE(""https://docs.google.com/spreadsheets/d/1j51vR6CYVGhABJpv6tkstgok82RLpXieLzW1yOY5rHw/edi"&amp;"t?usp=sharing"",""สิงห์บุรี!N324"")+IMPORTRANGE(""https://docs.google.com/spreadsheets/d/1H1EalTWKUSzO4Z1-1CwzoDUaVffgrThEBe2sl74kKG0/edit?usp=sharing"",""สุพรรณบุรี!N324"")+IMPORTRANGE(""https://docs.google.com/spreadsheets/d/1BmIruG_sIrJLYao_Pdr7zVArWsf"&amp;"oBt2692TMi6x_854/edit?usp=sharing"",""อ่างทอง!N324"")"),0)</f>
        <v>0</v>
      </c>
      <c r="O324" s="91">
        <f t="shared" ca="1" si="231"/>
        <v>0</v>
      </c>
      <c r="P324" s="91">
        <f t="shared" ca="1" si="232"/>
        <v>0</v>
      </c>
      <c r="Q324" s="79">
        <f ca="1">IFERROR(__xludf.DUMMYFUNCTION("IMPORTRANGE(""https://docs.google.com/spreadsheets/d/13wPX838HrBrQMCywv1BsuMkt4PEKTChp52zj44s2izQ/edit?usp=sharing"",""กาญจนบุรี!Q324"")+IMPORTRANGE(""https://docs.google.com/spreadsheets/d/1ddFKvqj1W1NEiWytbGlB1zMx_ykJDVtmfEQ-6-lIUBA/edit?usp=sharing"","&amp;"""จันทบุรี!Q324"")+IMPORTRANGE(""https://docs.google.com/spreadsheets/d/1T1PQvRODqOBZk8BRht_U031fIS1beLA0Ub2CEytj2q0/edit?usp=sharing"",""ฉะเชิงเทรา!Q324"")+IMPORTRANGE(""https://docs.google.com/spreadsheets/d/11tr1B-Bhyr79v2bkwVh5h_fR-PStkgjlZtkrZpYurG0/"&amp;"edit?usp=sharing"",""ชลบุรี!Q324"")+IMPORTRANGE(""https://docs.google.com/spreadsheets/d/1hh-FVnSX0vozXhGluamEcS54Dw9_zqW0N7qJUWgJ0Sw/edit?usp=sharing"",""ชัยนาท!Q324"")+IMPORTRANGE(""https://docs.google.com/spreadsheets/d/1jkqa6GXxSacMcY1eN8AHjMNJ_7dDXMJ"&amp;"VRLDlaFSOdPM/edit?usp=sharing"",""ตราด!Q324"")+IMPORTRANGE(""https://docs.google.com/spreadsheets/d/18hSgUJ3VwClqi_qtULmmW3cLr0oe3OKaSYoKzdpTsYQ/edit?usp=sharing"",""นครนายก!Q324"")+IMPORTRANGE(""https://docs.google.com/spreadsheets/d/1YTZo6WM2dQ6Ix6FSdnL"&amp;"5P7uVnVKu40sxZu975tgG10E/edit?usp=sharing"",""นครปฐม!Q324"")+IMPORTRANGE(""https://docs.google.com/spreadsheets/d/1OYoGg4WDg5RIzwGeB10padOxJF9E_Vljuvvct_M7RDo/edit?usp=sharing"",""ปทุมธานี!Q324"")+IMPORTRANGE(""https://docs.google.com/spreadsheets/d/1GbCI"&amp;"E4D4wk9FUozzqk7SxfDMxDVBwVmI5zcaVUSzKAc/edit?usp=sharing"",""ประจวบคีรีขันธ์!Q324"")+IMPORTRANGE(""https://docs.google.com/spreadsheets/d/1vVf6wykvW_lAyu7Yo9L4hUTqHqIeP_qcVuxCtosJEbg/edit?usp=sharing"",""ปราจีนบุรี!Q324"")+IMPORTRANGE(""https://docs.googl"&amp;"e.com/spreadsheets/d/1BIDqLLg5jk3v59G8NlR8rk5xfQDKne0sAvZHSj7TI6I/edit?usp=sharing"",""พระนครศรีอยุธยา!Q324"")+IMPORTRANGE(""https://docs.google.com/spreadsheets/d/1YXvxf8Yu6_rV4hTBrwMqAcAnv6DfhUxh5emyM3CJp_w/edit?usp=sharing"",""เพชรบุรี!Q324"")+IMPORTRA"&amp;"NGE(""https://docs.google.com/spreadsheets/d/19KBlQQs7uwvsao6t2n-KvW3Ax8J8uRRfZPq1zPbXgKc/edit?usp=sharing"",""ระยอง!Q324"")+IMPORTRANGE(""https://docs.google.com/spreadsheets/d/1jQ6P4QcrGM89YfqcC_PxOHGCMq5ezhucwJd8ci-NHng/edit?usp=sharing"",""ราชบุรี!Q32"&amp;"4"")+IMPORTRANGE(""https://docs.google.com/spreadsheets/d/1lufeA2cfFqM-elVq2hznhDzC6Pr7wkJ9ZG_sYNGCMCU/edit?usp=sharing"",""ลพบุรี!Q324"")+IMPORTRANGE(""https://docs.google.com/spreadsheets/d/10oOiF7loTyfsTkbd4MpaIm0HQ9SwB7IYHdIUvt-U1Uc/edit?usp=sharing"""&amp;",""สระแก้ว!Q324"")+IMPORTRANGE(""https://docs.google.com/spreadsheets/d/1xmPlrr1QbdSIKvl1dWUl9K4PjAfSL9oeMr_37QVzcxc/edit?usp=sharing"",""สระบุรี!Q324"")+IMPORTRANGE(""https://docs.google.com/spreadsheets/d/1j51vR6CYVGhABJpv6tkstgok82RLpXieLzW1yOY5rHw/edi"&amp;"t?usp=sharing"",""สิงห์บุรี!Q324"")+IMPORTRANGE(""https://docs.google.com/spreadsheets/d/1H1EalTWKUSzO4Z1-1CwzoDUaVffgrThEBe2sl74kKG0/edit?usp=sharing"",""สุพรรณบุรี!Q324"")+IMPORTRANGE(""https://docs.google.com/spreadsheets/d/1BmIruG_sIrJLYao_Pdr7zVArWsf"&amp;"oBt2692TMi6x_854/edit?usp=sharing"",""อ่างทอง!Q324"")"),0)</f>
        <v>0</v>
      </c>
      <c r="R324" s="80">
        <f ca="1">IFERROR(__xludf.DUMMYFUNCTION("IMPORTRANGE(""https://docs.google.com/spreadsheets/d/13wPX838HrBrQMCywv1BsuMkt4PEKTChp52zj44s2izQ/edit?usp=sharing"",""กาญจนบุรี!R324"")+IMPORTRANGE(""https://docs.google.com/spreadsheets/d/1ddFKvqj1W1NEiWytbGlB1zMx_ykJDVtmfEQ-6-lIUBA/edit?usp=sharing"","&amp;"""จันทบุรี!R324"")+IMPORTRANGE(""https://docs.google.com/spreadsheets/d/1T1PQvRODqOBZk8BRht_U031fIS1beLA0Ub2CEytj2q0/edit?usp=sharing"",""ฉะเชิงเทรา!R324"")+IMPORTRANGE(""https://docs.google.com/spreadsheets/d/11tr1B-Bhyr79v2bkwVh5h_fR-PStkgjlZtkrZpYurG0/"&amp;"edit?usp=sharing"",""ชลบุรี!R324"")+IMPORTRANGE(""https://docs.google.com/spreadsheets/d/1hh-FVnSX0vozXhGluamEcS54Dw9_zqW0N7qJUWgJ0Sw/edit?usp=sharing"",""ชัยนาท!R324"")+IMPORTRANGE(""https://docs.google.com/spreadsheets/d/1jkqa6GXxSacMcY1eN8AHjMNJ_7dDXMJ"&amp;"VRLDlaFSOdPM/edit?usp=sharing"",""ตราด!R324"")+IMPORTRANGE(""https://docs.google.com/spreadsheets/d/18hSgUJ3VwClqi_qtULmmW3cLr0oe3OKaSYoKzdpTsYQ/edit?usp=sharing"",""นครนายก!R324"")+IMPORTRANGE(""https://docs.google.com/spreadsheets/d/1YTZo6WM2dQ6Ix6FSdnL"&amp;"5P7uVnVKu40sxZu975tgG10E/edit?usp=sharing"",""นครปฐม!R324"")+IMPORTRANGE(""https://docs.google.com/spreadsheets/d/1OYoGg4WDg5RIzwGeB10padOxJF9E_Vljuvvct_M7RDo/edit?usp=sharing"",""ปทุมธานี!R324"")+IMPORTRANGE(""https://docs.google.com/spreadsheets/d/1GbCI"&amp;"E4D4wk9FUozzqk7SxfDMxDVBwVmI5zcaVUSzKAc/edit?usp=sharing"",""ประจวบคีรีขันธ์!R324"")+IMPORTRANGE(""https://docs.google.com/spreadsheets/d/1vVf6wykvW_lAyu7Yo9L4hUTqHqIeP_qcVuxCtosJEbg/edit?usp=sharing"",""ปราจีนบุรี!R324"")+IMPORTRANGE(""https://docs.googl"&amp;"e.com/spreadsheets/d/1BIDqLLg5jk3v59G8NlR8rk5xfQDKne0sAvZHSj7TI6I/edit?usp=sharing"",""พระนครศรีอยุธยา!R324"")+IMPORTRANGE(""https://docs.google.com/spreadsheets/d/1YXvxf8Yu6_rV4hTBrwMqAcAnv6DfhUxh5emyM3CJp_w/edit?usp=sharing"",""เพชรบุรี!R324"")+IMPORTRA"&amp;"NGE(""https://docs.google.com/spreadsheets/d/19KBlQQs7uwvsao6t2n-KvW3Ax8J8uRRfZPq1zPbXgKc/edit?usp=sharing"",""ระยอง!R324"")+IMPORTRANGE(""https://docs.google.com/spreadsheets/d/1jQ6P4QcrGM89YfqcC_PxOHGCMq5ezhucwJd8ci-NHng/edit?usp=sharing"",""ราชบุรี!R32"&amp;"4"")+IMPORTRANGE(""https://docs.google.com/spreadsheets/d/1lufeA2cfFqM-elVq2hznhDzC6Pr7wkJ9ZG_sYNGCMCU/edit?usp=sharing"",""ลพบุรี!R324"")+IMPORTRANGE(""https://docs.google.com/spreadsheets/d/10oOiF7loTyfsTkbd4MpaIm0HQ9SwB7IYHdIUvt-U1Uc/edit?usp=sharing"""&amp;",""สระแก้ว!R324"")+IMPORTRANGE(""https://docs.google.com/spreadsheets/d/1xmPlrr1QbdSIKvl1dWUl9K4PjAfSL9oeMr_37QVzcxc/edit?usp=sharing"",""สระบุรี!R324"")+IMPORTRANGE(""https://docs.google.com/spreadsheets/d/1j51vR6CYVGhABJpv6tkstgok82RLpXieLzW1yOY5rHw/edi"&amp;"t?usp=sharing"",""สิงห์บุรี!R324"")+IMPORTRANGE(""https://docs.google.com/spreadsheets/d/1H1EalTWKUSzO4Z1-1CwzoDUaVffgrThEBe2sl74kKG0/edit?usp=sharing"",""สุพรรณบุรี!R324"")+IMPORTRANGE(""https://docs.google.com/spreadsheets/d/1BmIruG_sIrJLYao_Pdr7zVArWsf"&amp;"oBt2692TMi6x_854/edit?usp=sharing"",""อ่างทอง!R324"")"),0)</f>
        <v>0</v>
      </c>
      <c r="S324" s="80">
        <f ca="1">IFERROR(__xludf.DUMMYFUNCTION("IMPORTRANGE(""https://docs.google.com/spreadsheets/d/13wPX838HrBrQMCywv1BsuMkt4PEKTChp52zj44s2izQ/edit?usp=sharing"",""กาญจนบุรี!S324"")+IMPORTRANGE(""https://docs.google.com/spreadsheets/d/1ddFKvqj1W1NEiWytbGlB1zMx_ykJDVtmfEQ-6-lIUBA/edit?usp=sharing"","&amp;"""จันทบุรี!S324"")+IMPORTRANGE(""https://docs.google.com/spreadsheets/d/1T1PQvRODqOBZk8BRht_U031fIS1beLA0Ub2CEytj2q0/edit?usp=sharing"",""ฉะเชิงเทรา!S324"")+IMPORTRANGE(""https://docs.google.com/spreadsheets/d/11tr1B-Bhyr79v2bkwVh5h_fR-PStkgjlZtkrZpYurG0/"&amp;"edit?usp=sharing"",""ชลบุรี!S324"")+IMPORTRANGE(""https://docs.google.com/spreadsheets/d/1hh-FVnSX0vozXhGluamEcS54Dw9_zqW0N7qJUWgJ0Sw/edit?usp=sharing"",""ชัยนาท!S324"")+IMPORTRANGE(""https://docs.google.com/spreadsheets/d/1jkqa6GXxSacMcY1eN8AHjMNJ_7dDXMJ"&amp;"VRLDlaFSOdPM/edit?usp=sharing"",""ตราด!S324"")+IMPORTRANGE(""https://docs.google.com/spreadsheets/d/18hSgUJ3VwClqi_qtULmmW3cLr0oe3OKaSYoKzdpTsYQ/edit?usp=sharing"",""นครนายก!S324"")+IMPORTRANGE(""https://docs.google.com/spreadsheets/d/1YTZo6WM2dQ6Ix6FSdnL"&amp;"5P7uVnVKu40sxZu975tgG10E/edit?usp=sharing"",""นครปฐม!S324"")+IMPORTRANGE(""https://docs.google.com/spreadsheets/d/1OYoGg4WDg5RIzwGeB10padOxJF9E_Vljuvvct_M7RDo/edit?usp=sharing"",""ปทุมธานี!S324"")+IMPORTRANGE(""https://docs.google.com/spreadsheets/d/1GbCI"&amp;"E4D4wk9FUozzqk7SxfDMxDVBwVmI5zcaVUSzKAc/edit?usp=sharing"",""ประจวบคีรีขันธ์!S324"")+IMPORTRANGE(""https://docs.google.com/spreadsheets/d/1vVf6wykvW_lAyu7Yo9L4hUTqHqIeP_qcVuxCtosJEbg/edit?usp=sharing"",""ปราจีนบุรี!S324"")+IMPORTRANGE(""https://docs.googl"&amp;"e.com/spreadsheets/d/1BIDqLLg5jk3v59G8NlR8rk5xfQDKne0sAvZHSj7TI6I/edit?usp=sharing"",""พระนครศรีอยุธยา!S324"")+IMPORTRANGE(""https://docs.google.com/spreadsheets/d/1YXvxf8Yu6_rV4hTBrwMqAcAnv6DfhUxh5emyM3CJp_w/edit?usp=sharing"",""เพชรบุรี!S324"")+IMPORTRA"&amp;"NGE(""https://docs.google.com/spreadsheets/d/19KBlQQs7uwvsao6t2n-KvW3Ax8J8uRRfZPq1zPbXgKc/edit?usp=sharing"",""ระยอง!S324"")+IMPORTRANGE(""https://docs.google.com/spreadsheets/d/1jQ6P4QcrGM89YfqcC_PxOHGCMq5ezhucwJd8ci-NHng/edit?usp=sharing"",""ราชบุรี!S32"&amp;"4"")+IMPORTRANGE(""https://docs.google.com/spreadsheets/d/1lufeA2cfFqM-elVq2hznhDzC6Pr7wkJ9ZG_sYNGCMCU/edit?usp=sharing"",""ลพบุรี!S324"")+IMPORTRANGE(""https://docs.google.com/spreadsheets/d/10oOiF7loTyfsTkbd4MpaIm0HQ9SwB7IYHdIUvt-U1Uc/edit?usp=sharing"""&amp;",""สระแก้ว!S324"")+IMPORTRANGE(""https://docs.google.com/spreadsheets/d/1xmPlrr1QbdSIKvl1dWUl9K4PjAfSL9oeMr_37QVzcxc/edit?usp=sharing"",""สระบุรี!S324"")+IMPORTRANGE(""https://docs.google.com/spreadsheets/d/1j51vR6CYVGhABJpv6tkstgok82RLpXieLzW1yOY5rHw/edi"&amp;"t?usp=sharing"",""สิงห์บุรี!S324"")+IMPORTRANGE(""https://docs.google.com/spreadsheets/d/1H1EalTWKUSzO4Z1-1CwzoDUaVffgrThEBe2sl74kKG0/edit?usp=sharing"",""สุพรรณบุรี!S324"")+IMPORTRANGE(""https://docs.google.com/spreadsheets/d/1BmIruG_sIrJLYao_Pdr7zVArWsf"&amp;"oBt2692TMi6x_854/edit?usp=sharing"",""อ่างทอง!S324"")"),0)</f>
        <v>0</v>
      </c>
      <c r="T324" s="136">
        <f t="shared" ca="1" si="234"/>
        <v>0</v>
      </c>
      <c r="U324" s="136">
        <f t="shared" ca="1" si="235"/>
        <v>0</v>
      </c>
    </row>
    <row r="325" spans="1:21" ht="18.75" x14ac:dyDescent="0.25">
      <c r="A325" s="211"/>
      <c r="B325" s="70"/>
      <c r="C325" s="70"/>
      <c r="D325" s="70"/>
      <c r="E325" s="78" t="s">
        <v>37</v>
      </c>
      <c r="F325" s="70"/>
      <c r="G325" s="72"/>
      <c r="H325" s="220" t="s">
        <v>14</v>
      </c>
      <c r="I325" s="221"/>
      <c r="J325" s="221"/>
      <c r="K325" s="222"/>
      <c r="L325" s="91">
        <f ca="1">IFERROR(__xludf.DUMMYFUNCTION("IMPORTRANGE(""https://docs.google.com/spreadsheets/d/13wPX838HrBrQMCywv1BsuMkt4PEKTChp52zj44s2izQ/edit?usp=sharing"",""กาญจนบุรี!L325"")+IMPORTRANGE(""https://docs.google.com/spreadsheets/d/1ddFKvqj1W1NEiWytbGlB1zMx_ykJDVtmfEQ-6-lIUBA/edit?usp=sharing"","&amp;"""จันทบุรี!L325"")+IMPORTRANGE(""https://docs.google.com/spreadsheets/d/1T1PQvRODqOBZk8BRht_U031fIS1beLA0Ub2CEytj2q0/edit?usp=sharing"",""ฉะเชิงเทรา!L325"")+IMPORTRANGE(""https://docs.google.com/spreadsheets/d/11tr1B-Bhyr79v2bkwVh5h_fR-PStkgjlZtkrZpYurG0/"&amp;"edit?usp=sharing"",""ชลบุรี!L325"")+IMPORTRANGE(""https://docs.google.com/spreadsheets/d/1hh-FVnSX0vozXhGluamEcS54Dw9_zqW0N7qJUWgJ0Sw/edit?usp=sharing"",""ชัยนาท!L325"")+IMPORTRANGE(""https://docs.google.com/spreadsheets/d/1jkqa6GXxSacMcY1eN8AHjMNJ_7dDXMJ"&amp;"VRLDlaFSOdPM/edit?usp=sharing"",""ตราด!L325"")+IMPORTRANGE(""https://docs.google.com/spreadsheets/d/18hSgUJ3VwClqi_qtULmmW3cLr0oe3OKaSYoKzdpTsYQ/edit?usp=sharing"",""นครนายก!L325"")+IMPORTRANGE(""https://docs.google.com/spreadsheets/d/1YTZo6WM2dQ6Ix6FSdnL"&amp;"5P7uVnVKu40sxZu975tgG10E/edit?usp=sharing"",""นครปฐม!L325"")+IMPORTRANGE(""https://docs.google.com/spreadsheets/d/1OYoGg4WDg5RIzwGeB10padOxJF9E_Vljuvvct_M7RDo/edit?usp=sharing"",""ปทุมธานี!L325"")+IMPORTRANGE(""https://docs.google.com/spreadsheets/d/1GbCI"&amp;"E4D4wk9FUozzqk7SxfDMxDVBwVmI5zcaVUSzKAc/edit?usp=sharing"",""ประจวบคีรีขันธ์!L325"")+IMPORTRANGE(""https://docs.google.com/spreadsheets/d/1vVf6wykvW_lAyu7Yo9L4hUTqHqIeP_qcVuxCtosJEbg/edit?usp=sharing"",""ปราจีนบุรี!L325"")+IMPORTRANGE(""https://docs.googl"&amp;"e.com/spreadsheets/d/1BIDqLLg5jk3v59G8NlR8rk5xfQDKne0sAvZHSj7TI6I/edit?usp=sharing"",""พระนครศรีอยุธยา!L325"")+IMPORTRANGE(""https://docs.google.com/spreadsheets/d/1YXvxf8Yu6_rV4hTBrwMqAcAnv6DfhUxh5emyM3CJp_w/edit?usp=sharing"",""เพชรบุรี!L325"")+IMPORTRA"&amp;"NGE(""https://docs.google.com/spreadsheets/d/19KBlQQs7uwvsao6t2n-KvW3Ax8J8uRRfZPq1zPbXgKc/edit?usp=sharing"",""ระยอง!L325"")+IMPORTRANGE(""https://docs.google.com/spreadsheets/d/1jQ6P4QcrGM89YfqcC_PxOHGCMq5ezhucwJd8ci-NHng/edit?usp=sharing"",""ราชบุรี!L32"&amp;"5"")+IMPORTRANGE(""https://docs.google.com/spreadsheets/d/1lufeA2cfFqM-elVq2hznhDzC6Pr7wkJ9ZG_sYNGCMCU/edit?usp=sharing"",""ลพบุรี!L325"")+IMPORTRANGE(""https://docs.google.com/spreadsheets/d/10oOiF7loTyfsTkbd4MpaIm0HQ9SwB7IYHdIUvt-U1Uc/edit?usp=sharing"""&amp;",""สระแก้ว!L325"")+IMPORTRANGE(""https://docs.google.com/spreadsheets/d/1xmPlrr1QbdSIKvl1dWUl9K4PjAfSL9oeMr_37QVzcxc/edit?usp=sharing"",""สระบุรี!L325"")+IMPORTRANGE(""https://docs.google.com/spreadsheets/d/1j51vR6CYVGhABJpv6tkstgok82RLpXieLzW1yOY5rHw/edi"&amp;"t?usp=sharing"",""สิงห์บุรี!L325"")+IMPORTRANGE(""https://docs.google.com/spreadsheets/d/1H1EalTWKUSzO4Z1-1CwzoDUaVffgrThEBe2sl74kKG0/edit?usp=sharing"",""สุพรรณบุรี!L325"")+IMPORTRANGE(""https://docs.google.com/spreadsheets/d/1BmIruG_sIrJLYao_Pdr7zVArWsf"&amp;"oBt2692TMi6x_854/edit?usp=sharing"",""อ่างทอง!L325"")"),90000)</f>
        <v>90000</v>
      </c>
      <c r="M325" s="91">
        <f ca="1">IFERROR(__xludf.DUMMYFUNCTION("IMPORTRANGE(""https://docs.google.com/spreadsheets/d/13wPX838HrBrQMCywv1BsuMkt4PEKTChp52zj44s2izQ/edit?usp=sharing"",""กาญจนบุรี!M325"")+IMPORTRANGE(""https://docs.google.com/spreadsheets/d/1ddFKvqj1W1NEiWytbGlB1zMx_ykJDVtmfEQ-6-lIUBA/edit?usp=sharing"","&amp;"""จันทบุรี!M325"")+IMPORTRANGE(""https://docs.google.com/spreadsheets/d/1T1PQvRODqOBZk8BRht_U031fIS1beLA0Ub2CEytj2q0/edit?usp=sharing"",""ฉะเชิงเทรา!M325"")+IMPORTRANGE(""https://docs.google.com/spreadsheets/d/11tr1B-Bhyr79v2bkwVh5h_fR-PStkgjlZtkrZpYurG0/"&amp;"edit?usp=sharing"",""ชลบุรี!M325"")+IMPORTRANGE(""https://docs.google.com/spreadsheets/d/1hh-FVnSX0vozXhGluamEcS54Dw9_zqW0N7qJUWgJ0Sw/edit?usp=sharing"",""ชัยนาท!M325"")+IMPORTRANGE(""https://docs.google.com/spreadsheets/d/1jkqa6GXxSacMcY1eN8AHjMNJ_7dDXMJ"&amp;"VRLDlaFSOdPM/edit?usp=sharing"",""ตราด!M325"")+IMPORTRANGE(""https://docs.google.com/spreadsheets/d/18hSgUJ3VwClqi_qtULmmW3cLr0oe3OKaSYoKzdpTsYQ/edit?usp=sharing"",""นครนายก!M325"")+IMPORTRANGE(""https://docs.google.com/spreadsheets/d/1YTZo6WM2dQ6Ix6FSdnL"&amp;"5P7uVnVKu40sxZu975tgG10E/edit?usp=sharing"",""นครปฐม!M325"")+IMPORTRANGE(""https://docs.google.com/spreadsheets/d/1OYoGg4WDg5RIzwGeB10padOxJF9E_Vljuvvct_M7RDo/edit?usp=sharing"",""ปทุมธานี!M325"")+IMPORTRANGE(""https://docs.google.com/spreadsheets/d/1GbCI"&amp;"E4D4wk9FUozzqk7SxfDMxDVBwVmI5zcaVUSzKAc/edit?usp=sharing"",""ประจวบคีรีขันธ์!M325"")+IMPORTRANGE(""https://docs.google.com/spreadsheets/d/1vVf6wykvW_lAyu7Yo9L4hUTqHqIeP_qcVuxCtosJEbg/edit?usp=sharing"",""ปราจีนบุรี!M325"")+IMPORTRANGE(""https://docs.googl"&amp;"e.com/spreadsheets/d/1BIDqLLg5jk3v59G8NlR8rk5xfQDKne0sAvZHSj7TI6I/edit?usp=sharing"",""พระนครศรีอยุธยา!M325"")+IMPORTRANGE(""https://docs.google.com/spreadsheets/d/1YXvxf8Yu6_rV4hTBrwMqAcAnv6DfhUxh5emyM3CJp_w/edit?usp=sharing"",""เพชรบุรี!M325"")+IMPORTRA"&amp;"NGE(""https://docs.google.com/spreadsheets/d/19KBlQQs7uwvsao6t2n-KvW3Ax8J8uRRfZPq1zPbXgKc/edit?usp=sharing"",""ระยอง!M325"")+IMPORTRANGE(""https://docs.google.com/spreadsheets/d/1jQ6P4QcrGM89YfqcC_PxOHGCMq5ezhucwJd8ci-NHng/edit?usp=sharing"",""ราชบุรี!M32"&amp;"5"")+IMPORTRANGE(""https://docs.google.com/spreadsheets/d/1lufeA2cfFqM-elVq2hznhDzC6Pr7wkJ9ZG_sYNGCMCU/edit?usp=sharing"",""ลพบุรี!M325"")+IMPORTRANGE(""https://docs.google.com/spreadsheets/d/10oOiF7loTyfsTkbd4MpaIm0HQ9SwB7IYHdIUvt-U1Uc/edit?usp=sharing"""&amp;",""สระแก้ว!M325"")+IMPORTRANGE(""https://docs.google.com/spreadsheets/d/1xmPlrr1QbdSIKvl1dWUl9K4PjAfSL9oeMr_37QVzcxc/edit?usp=sharing"",""สระบุรี!M325"")+IMPORTRANGE(""https://docs.google.com/spreadsheets/d/1j51vR6CYVGhABJpv6tkstgok82RLpXieLzW1yOY5rHw/edi"&amp;"t?usp=sharing"",""สิงห์บุรี!M325"")+IMPORTRANGE(""https://docs.google.com/spreadsheets/d/1H1EalTWKUSzO4Z1-1CwzoDUaVffgrThEBe2sl74kKG0/edit?usp=sharing"",""สุพรรณบุรี!M325"")+IMPORTRANGE(""https://docs.google.com/spreadsheets/d/1BmIruG_sIrJLYao_Pdr7zVArWsf"&amp;"oBt2692TMi6x_854/edit?usp=sharing"",""อ่างทอง!M325"")"),90000)</f>
        <v>90000</v>
      </c>
      <c r="N325" s="91">
        <f ca="1">IFERROR(__xludf.DUMMYFUNCTION("IMPORTRANGE(""https://docs.google.com/spreadsheets/d/13wPX838HrBrQMCywv1BsuMkt4PEKTChp52zj44s2izQ/edit?usp=sharing"",""กาญจนบุรี!N325"")+IMPORTRANGE(""https://docs.google.com/spreadsheets/d/1ddFKvqj1W1NEiWytbGlB1zMx_ykJDVtmfEQ-6-lIUBA/edit?usp=sharing"","&amp;"""จันทบุรี!N325"")+IMPORTRANGE(""https://docs.google.com/spreadsheets/d/1T1PQvRODqOBZk8BRht_U031fIS1beLA0Ub2CEytj2q0/edit?usp=sharing"",""ฉะเชิงเทรา!N325"")+IMPORTRANGE(""https://docs.google.com/spreadsheets/d/11tr1B-Bhyr79v2bkwVh5h_fR-PStkgjlZtkrZpYurG0/"&amp;"edit?usp=sharing"",""ชลบุรี!N325"")+IMPORTRANGE(""https://docs.google.com/spreadsheets/d/1hh-FVnSX0vozXhGluamEcS54Dw9_zqW0N7qJUWgJ0Sw/edit?usp=sharing"",""ชัยนาท!N325"")+IMPORTRANGE(""https://docs.google.com/spreadsheets/d/1jkqa6GXxSacMcY1eN8AHjMNJ_7dDXMJ"&amp;"VRLDlaFSOdPM/edit?usp=sharing"",""ตราด!N325"")+IMPORTRANGE(""https://docs.google.com/spreadsheets/d/18hSgUJ3VwClqi_qtULmmW3cLr0oe3OKaSYoKzdpTsYQ/edit?usp=sharing"",""นครนายก!N325"")+IMPORTRANGE(""https://docs.google.com/spreadsheets/d/1YTZo6WM2dQ6Ix6FSdnL"&amp;"5P7uVnVKu40sxZu975tgG10E/edit?usp=sharing"",""นครปฐม!N325"")+IMPORTRANGE(""https://docs.google.com/spreadsheets/d/1OYoGg4WDg5RIzwGeB10padOxJF9E_Vljuvvct_M7RDo/edit?usp=sharing"",""ปทุมธานี!N325"")+IMPORTRANGE(""https://docs.google.com/spreadsheets/d/1GbCI"&amp;"E4D4wk9FUozzqk7SxfDMxDVBwVmI5zcaVUSzKAc/edit?usp=sharing"",""ประจวบคีรีขันธ์!N325"")+IMPORTRANGE(""https://docs.google.com/spreadsheets/d/1vVf6wykvW_lAyu7Yo9L4hUTqHqIeP_qcVuxCtosJEbg/edit?usp=sharing"",""ปราจีนบุรี!N325"")+IMPORTRANGE(""https://docs.googl"&amp;"e.com/spreadsheets/d/1BIDqLLg5jk3v59G8NlR8rk5xfQDKne0sAvZHSj7TI6I/edit?usp=sharing"",""พระนครศรีอยุธยา!N325"")+IMPORTRANGE(""https://docs.google.com/spreadsheets/d/1YXvxf8Yu6_rV4hTBrwMqAcAnv6DfhUxh5emyM3CJp_w/edit?usp=sharing"",""เพชรบุรี!N325"")+IMPORTRA"&amp;"NGE(""https://docs.google.com/spreadsheets/d/19KBlQQs7uwvsao6t2n-KvW3Ax8J8uRRfZPq1zPbXgKc/edit?usp=sharing"",""ระยอง!N325"")+IMPORTRANGE(""https://docs.google.com/spreadsheets/d/1jQ6P4QcrGM89YfqcC_PxOHGCMq5ezhucwJd8ci-NHng/edit?usp=sharing"",""ราชบุรี!N32"&amp;"5"")+IMPORTRANGE(""https://docs.google.com/spreadsheets/d/1lufeA2cfFqM-elVq2hznhDzC6Pr7wkJ9ZG_sYNGCMCU/edit?usp=sharing"",""ลพบุรี!N325"")+IMPORTRANGE(""https://docs.google.com/spreadsheets/d/10oOiF7loTyfsTkbd4MpaIm0HQ9SwB7IYHdIUvt-U1Uc/edit?usp=sharing"""&amp;",""สระแก้ว!N325"")+IMPORTRANGE(""https://docs.google.com/spreadsheets/d/1xmPlrr1QbdSIKvl1dWUl9K4PjAfSL9oeMr_37QVzcxc/edit?usp=sharing"",""สระบุรี!N325"")+IMPORTRANGE(""https://docs.google.com/spreadsheets/d/1j51vR6CYVGhABJpv6tkstgok82RLpXieLzW1yOY5rHw/edi"&amp;"t?usp=sharing"",""สิงห์บุรี!N325"")+IMPORTRANGE(""https://docs.google.com/spreadsheets/d/1H1EalTWKUSzO4Z1-1CwzoDUaVffgrThEBe2sl74kKG0/edit?usp=sharing"",""สุพรรณบุรี!N325"")+IMPORTRANGE(""https://docs.google.com/spreadsheets/d/1BmIruG_sIrJLYao_Pdr7zVArWsf"&amp;"oBt2692TMi6x_854/edit?usp=sharing"",""อ่างทอง!N325"")"),32597)</f>
        <v>32597</v>
      </c>
      <c r="O325" s="91">
        <f t="shared" ca="1" si="231"/>
        <v>36.218888888888891</v>
      </c>
      <c r="P325" s="91">
        <f t="shared" ca="1" si="232"/>
        <v>36.218888888888891</v>
      </c>
      <c r="Q325" s="76">
        <f ca="1">IFERROR(__xludf.DUMMYFUNCTION("IMPORTRANGE(""https://docs.google.com/spreadsheets/d/13wPX838HrBrQMCywv1BsuMkt4PEKTChp52zj44s2izQ/edit?usp=sharing"",""กาญจนบุรี!Q325"")+IMPORTRANGE(""https://docs.google.com/spreadsheets/d/1ddFKvqj1W1NEiWytbGlB1zMx_ykJDVtmfEQ-6-lIUBA/edit?usp=sharing"","&amp;"""จันทบุรี!Q325"")+IMPORTRANGE(""https://docs.google.com/spreadsheets/d/1T1PQvRODqOBZk8BRht_U031fIS1beLA0Ub2CEytj2q0/edit?usp=sharing"",""ฉะเชิงเทรา!Q325"")+IMPORTRANGE(""https://docs.google.com/spreadsheets/d/11tr1B-Bhyr79v2bkwVh5h_fR-PStkgjlZtkrZpYurG0/"&amp;"edit?usp=sharing"",""ชลบุรี!Q325"")+IMPORTRANGE(""https://docs.google.com/spreadsheets/d/1hh-FVnSX0vozXhGluamEcS54Dw9_zqW0N7qJUWgJ0Sw/edit?usp=sharing"",""ชัยนาท!Q325"")+IMPORTRANGE(""https://docs.google.com/spreadsheets/d/1jkqa6GXxSacMcY1eN8AHjMNJ_7dDXMJ"&amp;"VRLDlaFSOdPM/edit?usp=sharing"",""ตราด!Q325"")+IMPORTRANGE(""https://docs.google.com/spreadsheets/d/18hSgUJ3VwClqi_qtULmmW3cLr0oe3OKaSYoKzdpTsYQ/edit?usp=sharing"",""นครนายก!Q325"")+IMPORTRANGE(""https://docs.google.com/spreadsheets/d/1YTZo6WM2dQ6Ix6FSdnL"&amp;"5P7uVnVKu40sxZu975tgG10E/edit?usp=sharing"",""นครปฐม!Q325"")+IMPORTRANGE(""https://docs.google.com/spreadsheets/d/1OYoGg4WDg5RIzwGeB10padOxJF9E_Vljuvvct_M7RDo/edit?usp=sharing"",""ปทุมธานี!Q325"")+IMPORTRANGE(""https://docs.google.com/spreadsheets/d/1GbCI"&amp;"E4D4wk9FUozzqk7SxfDMxDVBwVmI5zcaVUSzKAc/edit?usp=sharing"",""ประจวบคีรีขันธ์!Q325"")+IMPORTRANGE(""https://docs.google.com/spreadsheets/d/1vVf6wykvW_lAyu7Yo9L4hUTqHqIeP_qcVuxCtosJEbg/edit?usp=sharing"",""ปราจีนบุรี!Q325"")+IMPORTRANGE(""https://docs.googl"&amp;"e.com/spreadsheets/d/1BIDqLLg5jk3v59G8NlR8rk5xfQDKne0sAvZHSj7TI6I/edit?usp=sharing"",""พระนครศรีอยุธยา!Q325"")+IMPORTRANGE(""https://docs.google.com/spreadsheets/d/1YXvxf8Yu6_rV4hTBrwMqAcAnv6DfhUxh5emyM3CJp_w/edit?usp=sharing"",""เพชรบุรี!Q325"")+IMPORTRA"&amp;"NGE(""https://docs.google.com/spreadsheets/d/19KBlQQs7uwvsao6t2n-KvW3Ax8J8uRRfZPq1zPbXgKc/edit?usp=sharing"",""ระยอง!Q325"")+IMPORTRANGE(""https://docs.google.com/spreadsheets/d/1jQ6P4QcrGM89YfqcC_PxOHGCMq5ezhucwJd8ci-NHng/edit?usp=sharing"",""ราชบุรี!Q32"&amp;"5"")+IMPORTRANGE(""https://docs.google.com/spreadsheets/d/1lufeA2cfFqM-elVq2hznhDzC6Pr7wkJ9ZG_sYNGCMCU/edit?usp=sharing"",""ลพบุรี!Q325"")+IMPORTRANGE(""https://docs.google.com/spreadsheets/d/10oOiF7loTyfsTkbd4MpaIm0HQ9SwB7IYHdIUvt-U1Uc/edit?usp=sharing"""&amp;",""สระแก้ว!Q325"")+IMPORTRANGE(""https://docs.google.com/spreadsheets/d/1xmPlrr1QbdSIKvl1dWUl9K4PjAfSL9oeMr_37QVzcxc/edit?usp=sharing"",""สระบุรี!Q325"")+IMPORTRANGE(""https://docs.google.com/spreadsheets/d/1j51vR6CYVGhABJpv6tkstgok82RLpXieLzW1yOY5rHw/edi"&amp;"t?usp=sharing"",""สิงห์บุรี!Q325"")+IMPORTRANGE(""https://docs.google.com/spreadsheets/d/1H1EalTWKUSzO4Z1-1CwzoDUaVffgrThEBe2sl74kKG0/edit?usp=sharing"",""สุพรรณบุรี!Q325"")+IMPORTRANGE(""https://docs.google.com/spreadsheets/d/1BmIruG_sIrJLYao_Pdr7zVArWsf"&amp;"oBt2692TMi6x_854/edit?usp=sharing"",""อ่างทอง!Q325"")"),0)</f>
        <v>0</v>
      </c>
      <c r="R325" s="77">
        <f ca="1">IFERROR(__xludf.DUMMYFUNCTION("IMPORTRANGE(""https://docs.google.com/spreadsheets/d/13wPX838HrBrQMCywv1BsuMkt4PEKTChp52zj44s2izQ/edit?usp=sharing"",""กาญจนบุรี!R325"")+IMPORTRANGE(""https://docs.google.com/spreadsheets/d/1ddFKvqj1W1NEiWytbGlB1zMx_ykJDVtmfEQ-6-lIUBA/edit?usp=sharing"","&amp;"""จันทบุรี!R325"")+IMPORTRANGE(""https://docs.google.com/spreadsheets/d/1T1PQvRODqOBZk8BRht_U031fIS1beLA0Ub2CEytj2q0/edit?usp=sharing"",""ฉะเชิงเทรา!R325"")+IMPORTRANGE(""https://docs.google.com/spreadsheets/d/11tr1B-Bhyr79v2bkwVh5h_fR-PStkgjlZtkrZpYurG0/"&amp;"edit?usp=sharing"",""ชลบุรี!R325"")+IMPORTRANGE(""https://docs.google.com/spreadsheets/d/1hh-FVnSX0vozXhGluamEcS54Dw9_zqW0N7qJUWgJ0Sw/edit?usp=sharing"",""ชัยนาท!R325"")+IMPORTRANGE(""https://docs.google.com/spreadsheets/d/1jkqa6GXxSacMcY1eN8AHjMNJ_7dDXMJ"&amp;"VRLDlaFSOdPM/edit?usp=sharing"",""ตราด!R325"")+IMPORTRANGE(""https://docs.google.com/spreadsheets/d/18hSgUJ3VwClqi_qtULmmW3cLr0oe3OKaSYoKzdpTsYQ/edit?usp=sharing"",""นครนายก!R325"")+IMPORTRANGE(""https://docs.google.com/spreadsheets/d/1YTZo6WM2dQ6Ix6FSdnL"&amp;"5P7uVnVKu40sxZu975tgG10E/edit?usp=sharing"",""นครปฐม!R325"")+IMPORTRANGE(""https://docs.google.com/spreadsheets/d/1OYoGg4WDg5RIzwGeB10padOxJF9E_Vljuvvct_M7RDo/edit?usp=sharing"",""ปทุมธานี!R325"")+IMPORTRANGE(""https://docs.google.com/spreadsheets/d/1GbCI"&amp;"E4D4wk9FUozzqk7SxfDMxDVBwVmI5zcaVUSzKAc/edit?usp=sharing"",""ประจวบคีรีขันธ์!R325"")+IMPORTRANGE(""https://docs.google.com/spreadsheets/d/1vVf6wykvW_lAyu7Yo9L4hUTqHqIeP_qcVuxCtosJEbg/edit?usp=sharing"",""ปราจีนบุรี!R325"")+IMPORTRANGE(""https://docs.googl"&amp;"e.com/spreadsheets/d/1BIDqLLg5jk3v59G8NlR8rk5xfQDKne0sAvZHSj7TI6I/edit?usp=sharing"",""พระนครศรีอยุธยา!R325"")+IMPORTRANGE(""https://docs.google.com/spreadsheets/d/1YXvxf8Yu6_rV4hTBrwMqAcAnv6DfhUxh5emyM3CJp_w/edit?usp=sharing"",""เพชรบุรี!R325"")+IMPORTRA"&amp;"NGE(""https://docs.google.com/spreadsheets/d/19KBlQQs7uwvsao6t2n-KvW3Ax8J8uRRfZPq1zPbXgKc/edit?usp=sharing"",""ระยอง!R325"")+IMPORTRANGE(""https://docs.google.com/spreadsheets/d/1jQ6P4QcrGM89YfqcC_PxOHGCMq5ezhucwJd8ci-NHng/edit?usp=sharing"",""ราชบุรี!R32"&amp;"5"")+IMPORTRANGE(""https://docs.google.com/spreadsheets/d/1lufeA2cfFqM-elVq2hznhDzC6Pr7wkJ9ZG_sYNGCMCU/edit?usp=sharing"",""ลพบุรี!R325"")+IMPORTRANGE(""https://docs.google.com/spreadsheets/d/10oOiF7loTyfsTkbd4MpaIm0HQ9SwB7IYHdIUvt-U1Uc/edit?usp=sharing"""&amp;",""สระแก้ว!R325"")+IMPORTRANGE(""https://docs.google.com/spreadsheets/d/1xmPlrr1QbdSIKvl1dWUl9K4PjAfSL9oeMr_37QVzcxc/edit?usp=sharing"",""สระบุรี!R325"")+IMPORTRANGE(""https://docs.google.com/spreadsheets/d/1j51vR6CYVGhABJpv6tkstgok82RLpXieLzW1yOY5rHw/edi"&amp;"t?usp=sharing"",""สิงห์บุรี!R325"")+IMPORTRANGE(""https://docs.google.com/spreadsheets/d/1H1EalTWKUSzO4Z1-1CwzoDUaVffgrThEBe2sl74kKG0/edit?usp=sharing"",""สุพรรณบุรี!R325"")+IMPORTRANGE(""https://docs.google.com/spreadsheets/d/1BmIruG_sIrJLYao_Pdr7zVArWsf"&amp;"oBt2692TMi6x_854/edit?usp=sharing"",""อ่างทอง!R325"")"),0)</f>
        <v>0</v>
      </c>
      <c r="S325" s="77">
        <f ca="1">IFERROR(__xludf.DUMMYFUNCTION("IMPORTRANGE(""https://docs.google.com/spreadsheets/d/13wPX838HrBrQMCywv1BsuMkt4PEKTChp52zj44s2izQ/edit?usp=sharing"",""กาญจนบุรี!S325"")+IMPORTRANGE(""https://docs.google.com/spreadsheets/d/1ddFKvqj1W1NEiWytbGlB1zMx_ykJDVtmfEQ-6-lIUBA/edit?usp=sharing"","&amp;"""จันทบุรี!S325"")+IMPORTRANGE(""https://docs.google.com/spreadsheets/d/1T1PQvRODqOBZk8BRht_U031fIS1beLA0Ub2CEytj2q0/edit?usp=sharing"",""ฉะเชิงเทรา!S325"")+IMPORTRANGE(""https://docs.google.com/spreadsheets/d/11tr1B-Bhyr79v2bkwVh5h_fR-PStkgjlZtkrZpYurG0/"&amp;"edit?usp=sharing"",""ชลบุรี!S325"")+IMPORTRANGE(""https://docs.google.com/spreadsheets/d/1hh-FVnSX0vozXhGluamEcS54Dw9_zqW0N7qJUWgJ0Sw/edit?usp=sharing"",""ชัยนาท!S325"")+IMPORTRANGE(""https://docs.google.com/spreadsheets/d/1jkqa6GXxSacMcY1eN8AHjMNJ_7dDXMJ"&amp;"VRLDlaFSOdPM/edit?usp=sharing"",""ตราด!S325"")+IMPORTRANGE(""https://docs.google.com/spreadsheets/d/18hSgUJ3VwClqi_qtULmmW3cLr0oe3OKaSYoKzdpTsYQ/edit?usp=sharing"",""นครนายก!S325"")+IMPORTRANGE(""https://docs.google.com/spreadsheets/d/1YTZo6WM2dQ6Ix6FSdnL"&amp;"5P7uVnVKu40sxZu975tgG10E/edit?usp=sharing"",""นครปฐม!S325"")+IMPORTRANGE(""https://docs.google.com/spreadsheets/d/1OYoGg4WDg5RIzwGeB10padOxJF9E_Vljuvvct_M7RDo/edit?usp=sharing"",""ปทุมธานี!S325"")+IMPORTRANGE(""https://docs.google.com/spreadsheets/d/1GbCI"&amp;"E4D4wk9FUozzqk7SxfDMxDVBwVmI5zcaVUSzKAc/edit?usp=sharing"",""ประจวบคีรีขันธ์!S325"")+IMPORTRANGE(""https://docs.google.com/spreadsheets/d/1vVf6wykvW_lAyu7Yo9L4hUTqHqIeP_qcVuxCtosJEbg/edit?usp=sharing"",""ปราจีนบุรี!S325"")+IMPORTRANGE(""https://docs.googl"&amp;"e.com/spreadsheets/d/1BIDqLLg5jk3v59G8NlR8rk5xfQDKne0sAvZHSj7TI6I/edit?usp=sharing"",""พระนครศรีอยุธยา!S325"")+IMPORTRANGE(""https://docs.google.com/spreadsheets/d/1YXvxf8Yu6_rV4hTBrwMqAcAnv6DfhUxh5emyM3CJp_w/edit?usp=sharing"",""เพชรบุรี!S325"")+IMPORTRA"&amp;"NGE(""https://docs.google.com/spreadsheets/d/19KBlQQs7uwvsao6t2n-KvW3Ax8J8uRRfZPq1zPbXgKc/edit?usp=sharing"",""ระยอง!S325"")+IMPORTRANGE(""https://docs.google.com/spreadsheets/d/1jQ6P4QcrGM89YfqcC_PxOHGCMq5ezhucwJd8ci-NHng/edit?usp=sharing"",""ราชบุรี!S32"&amp;"5"")+IMPORTRANGE(""https://docs.google.com/spreadsheets/d/1lufeA2cfFqM-elVq2hznhDzC6Pr7wkJ9ZG_sYNGCMCU/edit?usp=sharing"",""ลพบุรี!S325"")+IMPORTRANGE(""https://docs.google.com/spreadsheets/d/10oOiF7loTyfsTkbd4MpaIm0HQ9SwB7IYHdIUvt-U1Uc/edit?usp=sharing"""&amp;",""สระแก้ว!S325"")+IMPORTRANGE(""https://docs.google.com/spreadsheets/d/1xmPlrr1QbdSIKvl1dWUl9K4PjAfSL9oeMr_37QVzcxc/edit?usp=sharing"",""สระบุรี!S325"")+IMPORTRANGE(""https://docs.google.com/spreadsheets/d/1j51vR6CYVGhABJpv6tkstgok82RLpXieLzW1yOY5rHw/edi"&amp;"t?usp=sharing"",""สิงห์บุรี!S325"")+IMPORTRANGE(""https://docs.google.com/spreadsheets/d/1H1EalTWKUSzO4Z1-1CwzoDUaVffgrThEBe2sl74kKG0/edit?usp=sharing"",""สุพรรณบุรี!S325"")+IMPORTRANGE(""https://docs.google.com/spreadsheets/d/1BmIruG_sIrJLYao_Pdr7zVArWsf"&amp;"oBt2692TMi6x_854/edit?usp=sharing"",""อ่างทอง!S325"")"),0)</f>
        <v>0</v>
      </c>
      <c r="T325" s="135">
        <f t="shared" ca="1" si="234"/>
        <v>0</v>
      </c>
      <c r="U325" s="135">
        <f t="shared" ca="1" si="235"/>
        <v>0</v>
      </c>
    </row>
    <row r="326" spans="1:21" ht="18.75" x14ac:dyDescent="0.25">
      <c r="A326" s="211"/>
      <c r="B326" s="70"/>
      <c r="C326" s="70"/>
      <c r="D326" s="71" t="s">
        <v>23</v>
      </c>
      <c r="E326" s="70"/>
      <c r="F326" s="70"/>
      <c r="G326" s="72"/>
      <c r="H326" s="223" t="s">
        <v>14</v>
      </c>
      <c r="I326" s="221"/>
      <c r="J326" s="221"/>
      <c r="K326" s="222"/>
      <c r="L326" s="91">
        <f t="shared" ref="L326:N326" ca="1" si="242">L327+L328</f>
        <v>0</v>
      </c>
      <c r="M326" s="91">
        <f t="shared" ca="1" si="242"/>
        <v>0</v>
      </c>
      <c r="N326" s="91">
        <f t="shared" ca="1" si="242"/>
        <v>0</v>
      </c>
      <c r="O326" s="91">
        <f t="shared" ca="1" si="231"/>
        <v>0</v>
      </c>
      <c r="P326" s="91">
        <f t="shared" ca="1" si="232"/>
        <v>0</v>
      </c>
      <c r="Q326" s="134">
        <f t="shared" ref="Q326:S326" ca="1" si="243">Q327+Q328</f>
        <v>0</v>
      </c>
      <c r="R326" s="135">
        <f t="shared" ca="1" si="243"/>
        <v>0</v>
      </c>
      <c r="S326" s="135">
        <f t="shared" ca="1" si="243"/>
        <v>0</v>
      </c>
      <c r="T326" s="135">
        <f t="shared" ca="1" si="234"/>
        <v>0</v>
      </c>
      <c r="U326" s="135">
        <f t="shared" ca="1" si="235"/>
        <v>0</v>
      </c>
    </row>
    <row r="327" spans="1:21" ht="18.75" x14ac:dyDescent="0.25">
      <c r="A327" s="211"/>
      <c r="B327" s="70"/>
      <c r="C327" s="70"/>
      <c r="D327" s="70"/>
      <c r="E327" s="78" t="s">
        <v>20</v>
      </c>
      <c r="F327" s="70"/>
      <c r="G327" s="72"/>
      <c r="H327" s="220" t="s">
        <v>14</v>
      </c>
      <c r="I327" s="221"/>
      <c r="J327" s="221"/>
      <c r="K327" s="222"/>
      <c r="L327" s="91">
        <f ca="1">IFERROR(__xludf.DUMMYFUNCTION("IMPORTRANGE(""https://docs.google.com/spreadsheets/d/13wPX838HrBrQMCywv1BsuMkt4PEKTChp52zj44s2izQ/edit?usp=sharing"",""กาญจนบุรี!L327"")+IMPORTRANGE(""https://docs.google.com/spreadsheets/d/1ddFKvqj1W1NEiWytbGlB1zMx_ykJDVtmfEQ-6-lIUBA/edit?usp=sharing"","&amp;"""จันทบุรี!L327"")+IMPORTRANGE(""https://docs.google.com/spreadsheets/d/1T1PQvRODqOBZk8BRht_U031fIS1beLA0Ub2CEytj2q0/edit?usp=sharing"",""ฉะเชิงเทรา!L327"")+IMPORTRANGE(""https://docs.google.com/spreadsheets/d/11tr1B-Bhyr79v2bkwVh5h_fR-PStkgjlZtkrZpYurG0/"&amp;"edit?usp=sharing"",""ชลบุรี!L327"")+IMPORTRANGE(""https://docs.google.com/spreadsheets/d/1hh-FVnSX0vozXhGluamEcS54Dw9_zqW0N7qJUWgJ0Sw/edit?usp=sharing"",""ชัยนาท!L327"")+IMPORTRANGE(""https://docs.google.com/spreadsheets/d/1jkqa6GXxSacMcY1eN8AHjMNJ_7dDXMJ"&amp;"VRLDlaFSOdPM/edit?usp=sharing"",""ตราด!L327"")+IMPORTRANGE(""https://docs.google.com/spreadsheets/d/18hSgUJ3VwClqi_qtULmmW3cLr0oe3OKaSYoKzdpTsYQ/edit?usp=sharing"",""นครนายก!L327"")+IMPORTRANGE(""https://docs.google.com/spreadsheets/d/1YTZo6WM2dQ6Ix6FSdnL"&amp;"5P7uVnVKu40sxZu975tgG10E/edit?usp=sharing"",""นครปฐม!L327"")+IMPORTRANGE(""https://docs.google.com/spreadsheets/d/1OYoGg4WDg5RIzwGeB10padOxJF9E_Vljuvvct_M7RDo/edit?usp=sharing"",""ปทุมธานี!L327"")+IMPORTRANGE(""https://docs.google.com/spreadsheets/d/1GbCI"&amp;"E4D4wk9FUozzqk7SxfDMxDVBwVmI5zcaVUSzKAc/edit?usp=sharing"",""ประจวบคีรีขันธ์!L327"")+IMPORTRANGE(""https://docs.google.com/spreadsheets/d/1vVf6wykvW_lAyu7Yo9L4hUTqHqIeP_qcVuxCtosJEbg/edit?usp=sharing"",""ปราจีนบุรี!L327"")+IMPORTRANGE(""https://docs.googl"&amp;"e.com/spreadsheets/d/1BIDqLLg5jk3v59G8NlR8rk5xfQDKne0sAvZHSj7TI6I/edit?usp=sharing"",""พระนครศรีอยุธยา!L327"")+IMPORTRANGE(""https://docs.google.com/spreadsheets/d/1YXvxf8Yu6_rV4hTBrwMqAcAnv6DfhUxh5emyM3CJp_w/edit?usp=sharing"",""เพชรบุรี!L327"")+IMPORTRA"&amp;"NGE(""https://docs.google.com/spreadsheets/d/19KBlQQs7uwvsao6t2n-KvW3Ax8J8uRRfZPq1zPbXgKc/edit?usp=sharing"",""ระยอง!L327"")+IMPORTRANGE(""https://docs.google.com/spreadsheets/d/1jQ6P4QcrGM89YfqcC_PxOHGCMq5ezhucwJd8ci-NHng/edit?usp=sharing"",""ราชบุรี!L32"&amp;"7"")+IMPORTRANGE(""https://docs.google.com/spreadsheets/d/1lufeA2cfFqM-elVq2hznhDzC6Pr7wkJ9ZG_sYNGCMCU/edit?usp=sharing"",""ลพบุรี!L327"")+IMPORTRANGE(""https://docs.google.com/spreadsheets/d/10oOiF7loTyfsTkbd4MpaIm0HQ9SwB7IYHdIUvt-U1Uc/edit?usp=sharing"""&amp;",""สระแก้ว!L327"")+IMPORTRANGE(""https://docs.google.com/spreadsheets/d/1xmPlrr1QbdSIKvl1dWUl9K4PjAfSL9oeMr_37QVzcxc/edit?usp=sharing"",""สระบุรี!L327"")+IMPORTRANGE(""https://docs.google.com/spreadsheets/d/1j51vR6CYVGhABJpv6tkstgok82RLpXieLzW1yOY5rHw/edi"&amp;"t?usp=sharing"",""สิงห์บุรี!L327"")+IMPORTRANGE(""https://docs.google.com/spreadsheets/d/1H1EalTWKUSzO4Z1-1CwzoDUaVffgrThEBe2sl74kKG0/edit?usp=sharing"",""สุพรรณบุรี!L327"")+IMPORTRANGE(""https://docs.google.com/spreadsheets/d/1BmIruG_sIrJLYao_Pdr7zVArWsf"&amp;"oBt2692TMi6x_854/edit?usp=sharing"",""อ่างทอง!L327"")"),0)</f>
        <v>0</v>
      </c>
      <c r="M327" s="91">
        <f ca="1">IFERROR(__xludf.DUMMYFUNCTION("IMPORTRANGE(""https://docs.google.com/spreadsheets/d/13wPX838HrBrQMCywv1BsuMkt4PEKTChp52zj44s2izQ/edit?usp=sharing"",""กาญจนบุรี!M327"")+IMPORTRANGE(""https://docs.google.com/spreadsheets/d/1ddFKvqj1W1NEiWytbGlB1zMx_ykJDVtmfEQ-6-lIUBA/edit?usp=sharing"","&amp;"""จันทบุรี!M327"")+IMPORTRANGE(""https://docs.google.com/spreadsheets/d/1T1PQvRODqOBZk8BRht_U031fIS1beLA0Ub2CEytj2q0/edit?usp=sharing"",""ฉะเชิงเทรา!M327"")+IMPORTRANGE(""https://docs.google.com/spreadsheets/d/11tr1B-Bhyr79v2bkwVh5h_fR-PStkgjlZtkrZpYurG0/"&amp;"edit?usp=sharing"",""ชลบุรี!M327"")+IMPORTRANGE(""https://docs.google.com/spreadsheets/d/1hh-FVnSX0vozXhGluamEcS54Dw9_zqW0N7qJUWgJ0Sw/edit?usp=sharing"",""ชัยนาท!M327"")+IMPORTRANGE(""https://docs.google.com/spreadsheets/d/1jkqa6GXxSacMcY1eN8AHjMNJ_7dDXMJ"&amp;"VRLDlaFSOdPM/edit?usp=sharing"",""ตราด!M327"")+IMPORTRANGE(""https://docs.google.com/spreadsheets/d/18hSgUJ3VwClqi_qtULmmW3cLr0oe3OKaSYoKzdpTsYQ/edit?usp=sharing"",""นครนายก!M327"")+IMPORTRANGE(""https://docs.google.com/spreadsheets/d/1YTZo6WM2dQ6Ix6FSdnL"&amp;"5P7uVnVKu40sxZu975tgG10E/edit?usp=sharing"",""นครปฐม!M327"")+IMPORTRANGE(""https://docs.google.com/spreadsheets/d/1OYoGg4WDg5RIzwGeB10padOxJF9E_Vljuvvct_M7RDo/edit?usp=sharing"",""ปทุมธานี!M327"")+IMPORTRANGE(""https://docs.google.com/spreadsheets/d/1GbCI"&amp;"E4D4wk9FUozzqk7SxfDMxDVBwVmI5zcaVUSzKAc/edit?usp=sharing"",""ประจวบคีรีขันธ์!M327"")+IMPORTRANGE(""https://docs.google.com/spreadsheets/d/1vVf6wykvW_lAyu7Yo9L4hUTqHqIeP_qcVuxCtosJEbg/edit?usp=sharing"",""ปราจีนบุรี!M327"")+IMPORTRANGE(""https://docs.googl"&amp;"e.com/spreadsheets/d/1BIDqLLg5jk3v59G8NlR8rk5xfQDKne0sAvZHSj7TI6I/edit?usp=sharing"",""พระนครศรีอยุธยา!M327"")+IMPORTRANGE(""https://docs.google.com/spreadsheets/d/1YXvxf8Yu6_rV4hTBrwMqAcAnv6DfhUxh5emyM3CJp_w/edit?usp=sharing"",""เพชรบุรี!M327"")+IMPORTRA"&amp;"NGE(""https://docs.google.com/spreadsheets/d/19KBlQQs7uwvsao6t2n-KvW3Ax8J8uRRfZPq1zPbXgKc/edit?usp=sharing"",""ระยอง!M327"")+IMPORTRANGE(""https://docs.google.com/spreadsheets/d/1jQ6P4QcrGM89YfqcC_PxOHGCMq5ezhucwJd8ci-NHng/edit?usp=sharing"",""ราชบุรี!M32"&amp;"7"")+IMPORTRANGE(""https://docs.google.com/spreadsheets/d/1lufeA2cfFqM-elVq2hznhDzC6Pr7wkJ9ZG_sYNGCMCU/edit?usp=sharing"",""ลพบุรี!M327"")+IMPORTRANGE(""https://docs.google.com/spreadsheets/d/10oOiF7loTyfsTkbd4MpaIm0HQ9SwB7IYHdIUvt-U1Uc/edit?usp=sharing"""&amp;",""สระแก้ว!M327"")+IMPORTRANGE(""https://docs.google.com/spreadsheets/d/1xmPlrr1QbdSIKvl1dWUl9K4PjAfSL9oeMr_37QVzcxc/edit?usp=sharing"",""สระบุรี!M327"")+IMPORTRANGE(""https://docs.google.com/spreadsheets/d/1j51vR6CYVGhABJpv6tkstgok82RLpXieLzW1yOY5rHw/edi"&amp;"t?usp=sharing"",""สิงห์บุรี!M327"")+IMPORTRANGE(""https://docs.google.com/spreadsheets/d/1H1EalTWKUSzO4Z1-1CwzoDUaVffgrThEBe2sl74kKG0/edit?usp=sharing"",""สุพรรณบุรี!M327"")+IMPORTRANGE(""https://docs.google.com/spreadsheets/d/1BmIruG_sIrJLYao_Pdr7zVArWsf"&amp;"oBt2692TMi6x_854/edit?usp=sharing"",""อ่างทอง!M327"")"),0)</f>
        <v>0</v>
      </c>
      <c r="N327" s="91">
        <f ca="1">IFERROR(__xludf.DUMMYFUNCTION("IMPORTRANGE(""https://docs.google.com/spreadsheets/d/13wPX838HrBrQMCywv1BsuMkt4PEKTChp52zj44s2izQ/edit?usp=sharing"",""กาญจนบุรี!N327"")+IMPORTRANGE(""https://docs.google.com/spreadsheets/d/1ddFKvqj1W1NEiWytbGlB1zMx_ykJDVtmfEQ-6-lIUBA/edit?usp=sharing"","&amp;"""จันทบุรี!N327"")+IMPORTRANGE(""https://docs.google.com/spreadsheets/d/1T1PQvRODqOBZk8BRht_U031fIS1beLA0Ub2CEytj2q0/edit?usp=sharing"",""ฉะเชิงเทรา!N327"")+IMPORTRANGE(""https://docs.google.com/spreadsheets/d/11tr1B-Bhyr79v2bkwVh5h_fR-PStkgjlZtkrZpYurG0/"&amp;"edit?usp=sharing"",""ชลบุรี!N327"")+IMPORTRANGE(""https://docs.google.com/spreadsheets/d/1hh-FVnSX0vozXhGluamEcS54Dw9_zqW0N7qJUWgJ0Sw/edit?usp=sharing"",""ชัยนาท!N327"")+IMPORTRANGE(""https://docs.google.com/spreadsheets/d/1jkqa6GXxSacMcY1eN8AHjMNJ_7dDXMJ"&amp;"VRLDlaFSOdPM/edit?usp=sharing"",""ตราด!N327"")+IMPORTRANGE(""https://docs.google.com/spreadsheets/d/18hSgUJ3VwClqi_qtULmmW3cLr0oe3OKaSYoKzdpTsYQ/edit?usp=sharing"",""นครนายก!N327"")+IMPORTRANGE(""https://docs.google.com/spreadsheets/d/1YTZo6WM2dQ6Ix6FSdnL"&amp;"5P7uVnVKu40sxZu975tgG10E/edit?usp=sharing"",""นครปฐม!N327"")+IMPORTRANGE(""https://docs.google.com/spreadsheets/d/1OYoGg4WDg5RIzwGeB10padOxJF9E_Vljuvvct_M7RDo/edit?usp=sharing"",""ปทุมธานี!N327"")+IMPORTRANGE(""https://docs.google.com/spreadsheets/d/1GbCI"&amp;"E4D4wk9FUozzqk7SxfDMxDVBwVmI5zcaVUSzKAc/edit?usp=sharing"",""ประจวบคีรีขันธ์!N327"")+IMPORTRANGE(""https://docs.google.com/spreadsheets/d/1vVf6wykvW_lAyu7Yo9L4hUTqHqIeP_qcVuxCtosJEbg/edit?usp=sharing"",""ปราจีนบุรี!N327"")+IMPORTRANGE(""https://docs.googl"&amp;"e.com/spreadsheets/d/1BIDqLLg5jk3v59G8NlR8rk5xfQDKne0sAvZHSj7TI6I/edit?usp=sharing"",""พระนครศรีอยุธยา!N327"")+IMPORTRANGE(""https://docs.google.com/spreadsheets/d/1YXvxf8Yu6_rV4hTBrwMqAcAnv6DfhUxh5emyM3CJp_w/edit?usp=sharing"",""เพชรบุรี!N327"")+IMPORTRA"&amp;"NGE(""https://docs.google.com/spreadsheets/d/19KBlQQs7uwvsao6t2n-KvW3Ax8J8uRRfZPq1zPbXgKc/edit?usp=sharing"",""ระยอง!N327"")+IMPORTRANGE(""https://docs.google.com/spreadsheets/d/1jQ6P4QcrGM89YfqcC_PxOHGCMq5ezhucwJd8ci-NHng/edit?usp=sharing"",""ราชบุรี!N32"&amp;"7"")+IMPORTRANGE(""https://docs.google.com/spreadsheets/d/1lufeA2cfFqM-elVq2hznhDzC6Pr7wkJ9ZG_sYNGCMCU/edit?usp=sharing"",""ลพบุรี!N327"")+IMPORTRANGE(""https://docs.google.com/spreadsheets/d/10oOiF7loTyfsTkbd4MpaIm0HQ9SwB7IYHdIUvt-U1Uc/edit?usp=sharing"""&amp;",""สระแก้ว!N327"")+IMPORTRANGE(""https://docs.google.com/spreadsheets/d/1xmPlrr1QbdSIKvl1dWUl9K4PjAfSL9oeMr_37QVzcxc/edit?usp=sharing"",""สระบุรี!N327"")+IMPORTRANGE(""https://docs.google.com/spreadsheets/d/1j51vR6CYVGhABJpv6tkstgok82RLpXieLzW1yOY5rHw/edi"&amp;"t?usp=sharing"",""สิงห์บุรี!N327"")+IMPORTRANGE(""https://docs.google.com/spreadsheets/d/1H1EalTWKUSzO4Z1-1CwzoDUaVffgrThEBe2sl74kKG0/edit?usp=sharing"",""สุพรรณบุรี!N327"")+IMPORTRANGE(""https://docs.google.com/spreadsheets/d/1BmIruG_sIrJLYao_Pdr7zVArWsf"&amp;"oBt2692TMi6x_854/edit?usp=sharing"",""อ่างทอง!N327"")"),0)</f>
        <v>0</v>
      </c>
      <c r="O327" s="91">
        <f t="shared" ca="1" si="231"/>
        <v>0</v>
      </c>
      <c r="P327" s="91">
        <f t="shared" ca="1" si="232"/>
        <v>0</v>
      </c>
      <c r="Q327" s="79">
        <f ca="1">IFERROR(__xludf.DUMMYFUNCTION("IMPORTRANGE(""https://docs.google.com/spreadsheets/d/13wPX838HrBrQMCywv1BsuMkt4PEKTChp52zj44s2izQ/edit?usp=sharing"",""กาญจนบุรี!Q327"")+IMPORTRANGE(""https://docs.google.com/spreadsheets/d/1ddFKvqj1W1NEiWytbGlB1zMx_ykJDVtmfEQ-6-lIUBA/edit?usp=sharing"","&amp;"""จันทบุรี!Q327"")+IMPORTRANGE(""https://docs.google.com/spreadsheets/d/1T1PQvRODqOBZk8BRht_U031fIS1beLA0Ub2CEytj2q0/edit?usp=sharing"",""ฉะเชิงเทรา!Q327"")+IMPORTRANGE(""https://docs.google.com/spreadsheets/d/11tr1B-Bhyr79v2bkwVh5h_fR-PStkgjlZtkrZpYurG0/"&amp;"edit?usp=sharing"",""ชลบุรี!Q327"")+IMPORTRANGE(""https://docs.google.com/spreadsheets/d/1hh-FVnSX0vozXhGluamEcS54Dw9_zqW0N7qJUWgJ0Sw/edit?usp=sharing"",""ชัยนาท!Q327"")+IMPORTRANGE(""https://docs.google.com/spreadsheets/d/1jkqa6GXxSacMcY1eN8AHjMNJ_7dDXMJ"&amp;"VRLDlaFSOdPM/edit?usp=sharing"",""ตราด!Q327"")+IMPORTRANGE(""https://docs.google.com/spreadsheets/d/18hSgUJ3VwClqi_qtULmmW3cLr0oe3OKaSYoKzdpTsYQ/edit?usp=sharing"",""นครนายก!Q327"")+IMPORTRANGE(""https://docs.google.com/spreadsheets/d/1YTZo6WM2dQ6Ix6FSdnL"&amp;"5P7uVnVKu40sxZu975tgG10E/edit?usp=sharing"",""นครปฐม!Q327"")+IMPORTRANGE(""https://docs.google.com/spreadsheets/d/1OYoGg4WDg5RIzwGeB10padOxJF9E_Vljuvvct_M7RDo/edit?usp=sharing"",""ปทุมธานี!Q327"")+IMPORTRANGE(""https://docs.google.com/spreadsheets/d/1GbCI"&amp;"E4D4wk9FUozzqk7SxfDMxDVBwVmI5zcaVUSzKAc/edit?usp=sharing"",""ประจวบคีรีขันธ์!Q327"")+IMPORTRANGE(""https://docs.google.com/spreadsheets/d/1vVf6wykvW_lAyu7Yo9L4hUTqHqIeP_qcVuxCtosJEbg/edit?usp=sharing"",""ปราจีนบุรี!Q327"")+IMPORTRANGE(""https://docs.googl"&amp;"e.com/spreadsheets/d/1BIDqLLg5jk3v59G8NlR8rk5xfQDKne0sAvZHSj7TI6I/edit?usp=sharing"",""พระนครศรีอยุธยา!Q327"")+IMPORTRANGE(""https://docs.google.com/spreadsheets/d/1YXvxf8Yu6_rV4hTBrwMqAcAnv6DfhUxh5emyM3CJp_w/edit?usp=sharing"",""เพชรบุรี!Q327"")+IMPORTRA"&amp;"NGE(""https://docs.google.com/spreadsheets/d/19KBlQQs7uwvsao6t2n-KvW3Ax8J8uRRfZPq1zPbXgKc/edit?usp=sharing"",""ระยอง!Q327"")+IMPORTRANGE(""https://docs.google.com/spreadsheets/d/1jQ6P4QcrGM89YfqcC_PxOHGCMq5ezhucwJd8ci-NHng/edit?usp=sharing"",""ราชบุรี!Q32"&amp;"7"")+IMPORTRANGE(""https://docs.google.com/spreadsheets/d/1lufeA2cfFqM-elVq2hznhDzC6Pr7wkJ9ZG_sYNGCMCU/edit?usp=sharing"",""ลพบุรี!Q327"")+IMPORTRANGE(""https://docs.google.com/spreadsheets/d/10oOiF7loTyfsTkbd4MpaIm0HQ9SwB7IYHdIUvt-U1Uc/edit?usp=sharing"""&amp;",""สระแก้ว!Q327"")+IMPORTRANGE(""https://docs.google.com/spreadsheets/d/1xmPlrr1QbdSIKvl1dWUl9K4PjAfSL9oeMr_37QVzcxc/edit?usp=sharing"",""สระบุรี!Q327"")+IMPORTRANGE(""https://docs.google.com/spreadsheets/d/1j51vR6CYVGhABJpv6tkstgok82RLpXieLzW1yOY5rHw/edi"&amp;"t?usp=sharing"",""สิงห์บุรี!Q327"")+IMPORTRANGE(""https://docs.google.com/spreadsheets/d/1H1EalTWKUSzO4Z1-1CwzoDUaVffgrThEBe2sl74kKG0/edit?usp=sharing"",""สุพรรณบุรี!Q327"")+IMPORTRANGE(""https://docs.google.com/spreadsheets/d/1BmIruG_sIrJLYao_Pdr7zVArWsf"&amp;"oBt2692TMi6x_854/edit?usp=sharing"",""อ่างทอง!Q327"")"),0)</f>
        <v>0</v>
      </c>
      <c r="R327" s="80">
        <f ca="1">IFERROR(__xludf.DUMMYFUNCTION("IMPORTRANGE(""https://docs.google.com/spreadsheets/d/13wPX838HrBrQMCywv1BsuMkt4PEKTChp52zj44s2izQ/edit?usp=sharing"",""กาญจนบุรี!R327"")+IMPORTRANGE(""https://docs.google.com/spreadsheets/d/1ddFKvqj1W1NEiWytbGlB1zMx_ykJDVtmfEQ-6-lIUBA/edit?usp=sharing"","&amp;"""จันทบุรี!R327"")+IMPORTRANGE(""https://docs.google.com/spreadsheets/d/1T1PQvRODqOBZk8BRht_U031fIS1beLA0Ub2CEytj2q0/edit?usp=sharing"",""ฉะเชิงเทรา!R327"")+IMPORTRANGE(""https://docs.google.com/spreadsheets/d/11tr1B-Bhyr79v2bkwVh5h_fR-PStkgjlZtkrZpYurG0/"&amp;"edit?usp=sharing"",""ชลบุรี!R327"")+IMPORTRANGE(""https://docs.google.com/spreadsheets/d/1hh-FVnSX0vozXhGluamEcS54Dw9_zqW0N7qJUWgJ0Sw/edit?usp=sharing"",""ชัยนาท!R327"")+IMPORTRANGE(""https://docs.google.com/spreadsheets/d/1jkqa6GXxSacMcY1eN8AHjMNJ_7dDXMJ"&amp;"VRLDlaFSOdPM/edit?usp=sharing"",""ตราด!R327"")+IMPORTRANGE(""https://docs.google.com/spreadsheets/d/18hSgUJ3VwClqi_qtULmmW3cLr0oe3OKaSYoKzdpTsYQ/edit?usp=sharing"",""นครนายก!R327"")+IMPORTRANGE(""https://docs.google.com/spreadsheets/d/1YTZo6WM2dQ6Ix6FSdnL"&amp;"5P7uVnVKu40sxZu975tgG10E/edit?usp=sharing"",""นครปฐม!R327"")+IMPORTRANGE(""https://docs.google.com/spreadsheets/d/1OYoGg4WDg5RIzwGeB10padOxJF9E_Vljuvvct_M7RDo/edit?usp=sharing"",""ปทุมธานี!R327"")+IMPORTRANGE(""https://docs.google.com/spreadsheets/d/1GbCI"&amp;"E4D4wk9FUozzqk7SxfDMxDVBwVmI5zcaVUSzKAc/edit?usp=sharing"",""ประจวบคีรีขันธ์!R327"")+IMPORTRANGE(""https://docs.google.com/spreadsheets/d/1vVf6wykvW_lAyu7Yo9L4hUTqHqIeP_qcVuxCtosJEbg/edit?usp=sharing"",""ปราจีนบุรี!R327"")+IMPORTRANGE(""https://docs.googl"&amp;"e.com/spreadsheets/d/1BIDqLLg5jk3v59G8NlR8rk5xfQDKne0sAvZHSj7TI6I/edit?usp=sharing"",""พระนครศรีอยุธยา!R327"")+IMPORTRANGE(""https://docs.google.com/spreadsheets/d/1YXvxf8Yu6_rV4hTBrwMqAcAnv6DfhUxh5emyM3CJp_w/edit?usp=sharing"",""เพชรบุรี!R327"")+IMPORTRA"&amp;"NGE(""https://docs.google.com/spreadsheets/d/19KBlQQs7uwvsao6t2n-KvW3Ax8J8uRRfZPq1zPbXgKc/edit?usp=sharing"",""ระยอง!R327"")+IMPORTRANGE(""https://docs.google.com/spreadsheets/d/1jQ6P4QcrGM89YfqcC_PxOHGCMq5ezhucwJd8ci-NHng/edit?usp=sharing"",""ราชบุรี!R32"&amp;"7"")+IMPORTRANGE(""https://docs.google.com/spreadsheets/d/1lufeA2cfFqM-elVq2hznhDzC6Pr7wkJ9ZG_sYNGCMCU/edit?usp=sharing"",""ลพบุรี!R327"")+IMPORTRANGE(""https://docs.google.com/spreadsheets/d/10oOiF7loTyfsTkbd4MpaIm0HQ9SwB7IYHdIUvt-U1Uc/edit?usp=sharing"""&amp;",""สระแก้ว!R327"")+IMPORTRANGE(""https://docs.google.com/spreadsheets/d/1xmPlrr1QbdSIKvl1dWUl9K4PjAfSL9oeMr_37QVzcxc/edit?usp=sharing"",""สระบุรี!R327"")+IMPORTRANGE(""https://docs.google.com/spreadsheets/d/1j51vR6CYVGhABJpv6tkstgok82RLpXieLzW1yOY5rHw/edi"&amp;"t?usp=sharing"",""สิงห์บุรี!R327"")+IMPORTRANGE(""https://docs.google.com/spreadsheets/d/1H1EalTWKUSzO4Z1-1CwzoDUaVffgrThEBe2sl74kKG0/edit?usp=sharing"",""สุพรรณบุรี!R327"")+IMPORTRANGE(""https://docs.google.com/spreadsheets/d/1BmIruG_sIrJLYao_Pdr7zVArWsf"&amp;"oBt2692TMi6x_854/edit?usp=sharing"",""อ่างทอง!R327"")"),0)</f>
        <v>0</v>
      </c>
      <c r="S327" s="80">
        <f ca="1">IFERROR(__xludf.DUMMYFUNCTION("IMPORTRANGE(""https://docs.google.com/spreadsheets/d/13wPX838HrBrQMCywv1BsuMkt4PEKTChp52zj44s2izQ/edit?usp=sharing"",""กาญจนบุรี!S327"")+IMPORTRANGE(""https://docs.google.com/spreadsheets/d/1ddFKvqj1W1NEiWytbGlB1zMx_ykJDVtmfEQ-6-lIUBA/edit?usp=sharing"","&amp;"""จันทบุรี!S327"")+IMPORTRANGE(""https://docs.google.com/spreadsheets/d/1T1PQvRODqOBZk8BRht_U031fIS1beLA0Ub2CEytj2q0/edit?usp=sharing"",""ฉะเชิงเทรา!S327"")+IMPORTRANGE(""https://docs.google.com/spreadsheets/d/11tr1B-Bhyr79v2bkwVh5h_fR-PStkgjlZtkrZpYurG0/"&amp;"edit?usp=sharing"",""ชลบุรี!S327"")+IMPORTRANGE(""https://docs.google.com/spreadsheets/d/1hh-FVnSX0vozXhGluamEcS54Dw9_zqW0N7qJUWgJ0Sw/edit?usp=sharing"",""ชัยนาท!S327"")+IMPORTRANGE(""https://docs.google.com/spreadsheets/d/1jkqa6GXxSacMcY1eN8AHjMNJ_7dDXMJ"&amp;"VRLDlaFSOdPM/edit?usp=sharing"",""ตราด!S327"")+IMPORTRANGE(""https://docs.google.com/spreadsheets/d/18hSgUJ3VwClqi_qtULmmW3cLr0oe3OKaSYoKzdpTsYQ/edit?usp=sharing"",""นครนายก!S327"")+IMPORTRANGE(""https://docs.google.com/spreadsheets/d/1YTZo6WM2dQ6Ix6FSdnL"&amp;"5P7uVnVKu40sxZu975tgG10E/edit?usp=sharing"",""นครปฐม!S327"")+IMPORTRANGE(""https://docs.google.com/spreadsheets/d/1OYoGg4WDg5RIzwGeB10padOxJF9E_Vljuvvct_M7RDo/edit?usp=sharing"",""ปทุมธานี!S327"")+IMPORTRANGE(""https://docs.google.com/spreadsheets/d/1GbCI"&amp;"E4D4wk9FUozzqk7SxfDMxDVBwVmI5zcaVUSzKAc/edit?usp=sharing"",""ประจวบคีรีขันธ์!S327"")+IMPORTRANGE(""https://docs.google.com/spreadsheets/d/1vVf6wykvW_lAyu7Yo9L4hUTqHqIeP_qcVuxCtosJEbg/edit?usp=sharing"",""ปราจีนบุรี!S327"")+IMPORTRANGE(""https://docs.googl"&amp;"e.com/spreadsheets/d/1BIDqLLg5jk3v59G8NlR8rk5xfQDKne0sAvZHSj7TI6I/edit?usp=sharing"",""พระนครศรีอยุธยา!S327"")+IMPORTRANGE(""https://docs.google.com/spreadsheets/d/1YXvxf8Yu6_rV4hTBrwMqAcAnv6DfhUxh5emyM3CJp_w/edit?usp=sharing"",""เพชรบุรี!S327"")+IMPORTRA"&amp;"NGE(""https://docs.google.com/spreadsheets/d/19KBlQQs7uwvsao6t2n-KvW3Ax8J8uRRfZPq1zPbXgKc/edit?usp=sharing"",""ระยอง!S327"")+IMPORTRANGE(""https://docs.google.com/spreadsheets/d/1jQ6P4QcrGM89YfqcC_PxOHGCMq5ezhucwJd8ci-NHng/edit?usp=sharing"",""ราชบุรี!S32"&amp;"7"")+IMPORTRANGE(""https://docs.google.com/spreadsheets/d/1lufeA2cfFqM-elVq2hznhDzC6Pr7wkJ9ZG_sYNGCMCU/edit?usp=sharing"",""ลพบุรี!S327"")+IMPORTRANGE(""https://docs.google.com/spreadsheets/d/10oOiF7loTyfsTkbd4MpaIm0HQ9SwB7IYHdIUvt-U1Uc/edit?usp=sharing"""&amp;",""สระแก้ว!S327"")+IMPORTRANGE(""https://docs.google.com/spreadsheets/d/1xmPlrr1QbdSIKvl1dWUl9K4PjAfSL9oeMr_37QVzcxc/edit?usp=sharing"",""สระบุรี!S327"")+IMPORTRANGE(""https://docs.google.com/spreadsheets/d/1j51vR6CYVGhABJpv6tkstgok82RLpXieLzW1yOY5rHw/edi"&amp;"t?usp=sharing"",""สิงห์บุรี!S327"")+IMPORTRANGE(""https://docs.google.com/spreadsheets/d/1H1EalTWKUSzO4Z1-1CwzoDUaVffgrThEBe2sl74kKG0/edit?usp=sharing"",""สุพรรณบุรี!S327"")+IMPORTRANGE(""https://docs.google.com/spreadsheets/d/1BmIruG_sIrJLYao_Pdr7zVArWsf"&amp;"oBt2692TMi6x_854/edit?usp=sharing"",""อ่างทอง!S327"")"),0)</f>
        <v>0</v>
      </c>
      <c r="T327" s="136">
        <f t="shared" ca="1" si="234"/>
        <v>0</v>
      </c>
      <c r="U327" s="136">
        <f t="shared" ca="1" si="235"/>
        <v>0</v>
      </c>
    </row>
    <row r="328" spans="1:21" ht="18.75" x14ac:dyDescent="0.25">
      <c r="A328" s="211"/>
      <c r="B328" s="70"/>
      <c r="C328" s="70"/>
      <c r="D328" s="70"/>
      <c r="E328" s="78" t="s">
        <v>21</v>
      </c>
      <c r="F328" s="70"/>
      <c r="G328" s="72"/>
      <c r="H328" s="223" t="s">
        <v>14</v>
      </c>
      <c r="I328" s="221"/>
      <c r="J328" s="221"/>
      <c r="K328" s="222"/>
      <c r="L328" s="91">
        <f ca="1">IFERROR(__xludf.DUMMYFUNCTION("IMPORTRANGE(""https://docs.google.com/spreadsheets/d/13wPX838HrBrQMCywv1BsuMkt4PEKTChp52zj44s2izQ/edit?usp=sharing"",""กาญจนบุรี!L328"")+IMPORTRANGE(""https://docs.google.com/spreadsheets/d/1ddFKvqj1W1NEiWytbGlB1zMx_ykJDVtmfEQ-6-lIUBA/edit?usp=sharing"","&amp;"""จันทบุรี!L328"")+IMPORTRANGE(""https://docs.google.com/spreadsheets/d/1T1PQvRODqOBZk8BRht_U031fIS1beLA0Ub2CEytj2q0/edit?usp=sharing"",""ฉะเชิงเทรา!L328"")+IMPORTRANGE(""https://docs.google.com/spreadsheets/d/11tr1B-Bhyr79v2bkwVh5h_fR-PStkgjlZtkrZpYurG0/"&amp;"edit?usp=sharing"",""ชลบุรี!L328"")+IMPORTRANGE(""https://docs.google.com/spreadsheets/d/1hh-FVnSX0vozXhGluamEcS54Dw9_zqW0N7qJUWgJ0Sw/edit?usp=sharing"",""ชัยนาท!L328"")+IMPORTRANGE(""https://docs.google.com/spreadsheets/d/1jkqa6GXxSacMcY1eN8AHjMNJ_7dDXMJ"&amp;"VRLDlaFSOdPM/edit?usp=sharing"",""ตราด!L328"")+IMPORTRANGE(""https://docs.google.com/spreadsheets/d/18hSgUJ3VwClqi_qtULmmW3cLr0oe3OKaSYoKzdpTsYQ/edit?usp=sharing"",""นครนายก!L328"")+IMPORTRANGE(""https://docs.google.com/spreadsheets/d/1YTZo6WM2dQ6Ix6FSdnL"&amp;"5P7uVnVKu40sxZu975tgG10E/edit?usp=sharing"",""นครปฐม!L328"")+IMPORTRANGE(""https://docs.google.com/spreadsheets/d/1OYoGg4WDg5RIzwGeB10padOxJF9E_Vljuvvct_M7RDo/edit?usp=sharing"",""ปทุมธานี!L328"")+IMPORTRANGE(""https://docs.google.com/spreadsheets/d/1GbCI"&amp;"E4D4wk9FUozzqk7SxfDMxDVBwVmI5zcaVUSzKAc/edit?usp=sharing"",""ประจวบคีรีขันธ์!L328"")+IMPORTRANGE(""https://docs.google.com/spreadsheets/d/1vVf6wykvW_lAyu7Yo9L4hUTqHqIeP_qcVuxCtosJEbg/edit?usp=sharing"",""ปราจีนบุรี!L328"")+IMPORTRANGE(""https://docs.googl"&amp;"e.com/spreadsheets/d/1BIDqLLg5jk3v59G8NlR8rk5xfQDKne0sAvZHSj7TI6I/edit?usp=sharing"",""พระนครศรีอยุธยา!L328"")+IMPORTRANGE(""https://docs.google.com/spreadsheets/d/1YXvxf8Yu6_rV4hTBrwMqAcAnv6DfhUxh5emyM3CJp_w/edit?usp=sharing"",""เพชรบุรี!L328"")+IMPORTRA"&amp;"NGE(""https://docs.google.com/spreadsheets/d/19KBlQQs7uwvsao6t2n-KvW3Ax8J8uRRfZPq1zPbXgKc/edit?usp=sharing"",""ระยอง!L328"")+IMPORTRANGE(""https://docs.google.com/spreadsheets/d/1jQ6P4QcrGM89YfqcC_PxOHGCMq5ezhucwJd8ci-NHng/edit?usp=sharing"",""ราชบุรี!L32"&amp;"8"")+IMPORTRANGE(""https://docs.google.com/spreadsheets/d/1lufeA2cfFqM-elVq2hznhDzC6Pr7wkJ9ZG_sYNGCMCU/edit?usp=sharing"",""ลพบุรี!L328"")+IMPORTRANGE(""https://docs.google.com/spreadsheets/d/10oOiF7loTyfsTkbd4MpaIm0HQ9SwB7IYHdIUvt-U1Uc/edit?usp=sharing"""&amp;",""สระแก้ว!L328"")+IMPORTRANGE(""https://docs.google.com/spreadsheets/d/1xmPlrr1QbdSIKvl1dWUl9K4PjAfSL9oeMr_37QVzcxc/edit?usp=sharing"",""สระบุรี!L328"")+IMPORTRANGE(""https://docs.google.com/spreadsheets/d/1j51vR6CYVGhABJpv6tkstgok82RLpXieLzW1yOY5rHw/edi"&amp;"t?usp=sharing"",""สิงห์บุรี!L328"")+IMPORTRANGE(""https://docs.google.com/spreadsheets/d/1H1EalTWKUSzO4Z1-1CwzoDUaVffgrThEBe2sl74kKG0/edit?usp=sharing"",""สุพรรณบุรี!L328"")+IMPORTRANGE(""https://docs.google.com/spreadsheets/d/1BmIruG_sIrJLYao_Pdr7zVArWsf"&amp;"oBt2692TMi6x_854/edit?usp=sharing"",""อ่างทอง!L328"")"),0)</f>
        <v>0</v>
      </c>
      <c r="M328" s="91">
        <f ca="1">IFERROR(__xludf.DUMMYFUNCTION("IMPORTRANGE(""https://docs.google.com/spreadsheets/d/13wPX838HrBrQMCywv1BsuMkt4PEKTChp52zj44s2izQ/edit?usp=sharing"",""กาญจนบุรี!M328"")+IMPORTRANGE(""https://docs.google.com/spreadsheets/d/1ddFKvqj1W1NEiWytbGlB1zMx_ykJDVtmfEQ-6-lIUBA/edit?usp=sharing"","&amp;"""จันทบุรี!M328"")+IMPORTRANGE(""https://docs.google.com/spreadsheets/d/1T1PQvRODqOBZk8BRht_U031fIS1beLA0Ub2CEytj2q0/edit?usp=sharing"",""ฉะเชิงเทรา!M328"")+IMPORTRANGE(""https://docs.google.com/spreadsheets/d/11tr1B-Bhyr79v2bkwVh5h_fR-PStkgjlZtkrZpYurG0/"&amp;"edit?usp=sharing"",""ชลบุรี!M328"")+IMPORTRANGE(""https://docs.google.com/spreadsheets/d/1hh-FVnSX0vozXhGluamEcS54Dw9_zqW0N7qJUWgJ0Sw/edit?usp=sharing"",""ชัยนาท!M328"")+IMPORTRANGE(""https://docs.google.com/spreadsheets/d/1jkqa6GXxSacMcY1eN8AHjMNJ_7dDXMJ"&amp;"VRLDlaFSOdPM/edit?usp=sharing"",""ตราด!M328"")+IMPORTRANGE(""https://docs.google.com/spreadsheets/d/18hSgUJ3VwClqi_qtULmmW3cLr0oe3OKaSYoKzdpTsYQ/edit?usp=sharing"",""นครนายก!M328"")+IMPORTRANGE(""https://docs.google.com/spreadsheets/d/1YTZo6WM2dQ6Ix6FSdnL"&amp;"5P7uVnVKu40sxZu975tgG10E/edit?usp=sharing"",""นครปฐม!M328"")+IMPORTRANGE(""https://docs.google.com/spreadsheets/d/1OYoGg4WDg5RIzwGeB10padOxJF9E_Vljuvvct_M7RDo/edit?usp=sharing"",""ปทุมธานี!M328"")+IMPORTRANGE(""https://docs.google.com/spreadsheets/d/1GbCI"&amp;"E4D4wk9FUozzqk7SxfDMxDVBwVmI5zcaVUSzKAc/edit?usp=sharing"",""ประจวบคีรีขันธ์!M328"")+IMPORTRANGE(""https://docs.google.com/spreadsheets/d/1vVf6wykvW_lAyu7Yo9L4hUTqHqIeP_qcVuxCtosJEbg/edit?usp=sharing"",""ปราจีนบุรี!M328"")+IMPORTRANGE(""https://docs.googl"&amp;"e.com/spreadsheets/d/1BIDqLLg5jk3v59G8NlR8rk5xfQDKne0sAvZHSj7TI6I/edit?usp=sharing"",""พระนครศรีอยุธยา!M328"")+IMPORTRANGE(""https://docs.google.com/spreadsheets/d/1YXvxf8Yu6_rV4hTBrwMqAcAnv6DfhUxh5emyM3CJp_w/edit?usp=sharing"",""เพชรบุรี!M328"")+IMPORTRA"&amp;"NGE(""https://docs.google.com/spreadsheets/d/19KBlQQs7uwvsao6t2n-KvW3Ax8J8uRRfZPq1zPbXgKc/edit?usp=sharing"",""ระยอง!M328"")+IMPORTRANGE(""https://docs.google.com/spreadsheets/d/1jQ6P4QcrGM89YfqcC_PxOHGCMq5ezhucwJd8ci-NHng/edit?usp=sharing"",""ราชบุรี!M32"&amp;"8"")+IMPORTRANGE(""https://docs.google.com/spreadsheets/d/1lufeA2cfFqM-elVq2hznhDzC6Pr7wkJ9ZG_sYNGCMCU/edit?usp=sharing"",""ลพบุรี!M328"")+IMPORTRANGE(""https://docs.google.com/spreadsheets/d/10oOiF7loTyfsTkbd4MpaIm0HQ9SwB7IYHdIUvt-U1Uc/edit?usp=sharing"""&amp;",""สระแก้ว!M328"")+IMPORTRANGE(""https://docs.google.com/spreadsheets/d/1xmPlrr1QbdSIKvl1dWUl9K4PjAfSL9oeMr_37QVzcxc/edit?usp=sharing"",""สระบุรี!M328"")+IMPORTRANGE(""https://docs.google.com/spreadsheets/d/1j51vR6CYVGhABJpv6tkstgok82RLpXieLzW1yOY5rHw/edi"&amp;"t?usp=sharing"",""สิงห์บุรี!M328"")+IMPORTRANGE(""https://docs.google.com/spreadsheets/d/1H1EalTWKUSzO4Z1-1CwzoDUaVffgrThEBe2sl74kKG0/edit?usp=sharing"",""สุพรรณบุรี!M328"")+IMPORTRANGE(""https://docs.google.com/spreadsheets/d/1BmIruG_sIrJLYao_Pdr7zVArWsf"&amp;"oBt2692TMi6x_854/edit?usp=sharing"",""อ่างทอง!M328"")"),0)</f>
        <v>0</v>
      </c>
      <c r="N328" s="91">
        <f ca="1">IFERROR(__xludf.DUMMYFUNCTION("IMPORTRANGE(""https://docs.google.com/spreadsheets/d/13wPX838HrBrQMCywv1BsuMkt4PEKTChp52zj44s2izQ/edit?usp=sharing"",""กาญจนบุรี!N328"")+IMPORTRANGE(""https://docs.google.com/spreadsheets/d/1ddFKvqj1W1NEiWytbGlB1zMx_ykJDVtmfEQ-6-lIUBA/edit?usp=sharing"","&amp;"""จันทบุรี!N328"")+IMPORTRANGE(""https://docs.google.com/spreadsheets/d/1T1PQvRODqOBZk8BRht_U031fIS1beLA0Ub2CEytj2q0/edit?usp=sharing"",""ฉะเชิงเทรา!N328"")+IMPORTRANGE(""https://docs.google.com/spreadsheets/d/11tr1B-Bhyr79v2bkwVh5h_fR-PStkgjlZtkrZpYurG0/"&amp;"edit?usp=sharing"",""ชลบุรี!N328"")+IMPORTRANGE(""https://docs.google.com/spreadsheets/d/1hh-FVnSX0vozXhGluamEcS54Dw9_zqW0N7qJUWgJ0Sw/edit?usp=sharing"",""ชัยนาท!N328"")+IMPORTRANGE(""https://docs.google.com/spreadsheets/d/1jkqa6GXxSacMcY1eN8AHjMNJ_7dDXMJ"&amp;"VRLDlaFSOdPM/edit?usp=sharing"",""ตราด!N328"")+IMPORTRANGE(""https://docs.google.com/spreadsheets/d/18hSgUJ3VwClqi_qtULmmW3cLr0oe3OKaSYoKzdpTsYQ/edit?usp=sharing"",""นครนายก!N328"")+IMPORTRANGE(""https://docs.google.com/spreadsheets/d/1YTZo6WM2dQ6Ix6FSdnL"&amp;"5P7uVnVKu40sxZu975tgG10E/edit?usp=sharing"",""นครปฐม!N328"")+IMPORTRANGE(""https://docs.google.com/spreadsheets/d/1OYoGg4WDg5RIzwGeB10padOxJF9E_Vljuvvct_M7RDo/edit?usp=sharing"",""ปทุมธานี!N328"")+IMPORTRANGE(""https://docs.google.com/spreadsheets/d/1GbCI"&amp;"E4D4wk9FUozzqk7SxfDMxDVBwVmI5zcaVUSzKAc/edit?usp=sharing"",""ประจวบคีรีขันธ์!N328"")+IMPORTRANGE(""https://docs.google.com/spreadsheets/d/1vVf6wykvW_lAyu7Yo9L4hUTqHqIeP_qcVuxCtosJEbg/edit?usp=sharing"",""ปราจีนบุรี!N328"")+IMPORTRANGE(""https://docs.googl"&amp;"e.com/spreadsheets/d/1BIDqLLg5jk3v59G8NlR8rk5xfQDKne0sAvZHSj7TI6I/edit?usp=sharing"",""พระนครศรีอยุธยา!N328"")+IMPORTRANGE(""https://docs.google.com/spreadsheets/d/1YXvxf8Yu6_rV4hTBrwMqAcAnv6DfhUxh5emyM3CJp_w/edit?usp=sharing"",""เพชรบุรี!N328"")+IMPORTRA"&amp;"NGE(""https://docs.google.com/spreadsheets/d/19KBlQQs7uwvsao6t2n-KvW3Ax8J8uRRfZPq1zPbXgKc/edit?usp=sharing"",""ระยอง!N328"")+IMPORTRANGE(""https://docs.google.com/spreadsheets/d/1jQ6P4QcrGM89YfqcC_PxOHGCMq5ezhucwJd8ci-NHng/edit?usp=sharing"",""ราชบุรี!N32"&amp;"8"")+IMPORTRANGE(""https://docs.google.com/spreadsheets/d/1lufeA2cfFqM-elVq2hznhDzC6Pr7wkJ9ZG_sYNGCMCU/edit?usp=sharing"",""ลพบุรี!N328"")+IMPORTRANGE(""https://docs.google.com/spreadsheets/d/10oOiF7loTyfsTkbd4MpaIm0HQ9SwB7IYHdIUvt-U1Uc/edit?usp=sharing"""&amp;",""สระแก้ว!N328"")+IMPORTRANGE(""https://docs.google.com/spreadsheets/d/1xmPlrr1QbdSIKvl1dWUl9K4PjAfSL9oeMr_37QVzcxc/edit?usp=sharing"",""สระบุรี!N328"")+IMPORTRANGE(""https://docs.google.com/spreadsheets/d/1j51vR6CYVGhABJpv6tkstgok82RLpXieLzW1yOY5rHw/edi"&amp;"t?usp=sharing"",""สิงห์บุรี!N328"")+IMPORTRANGE(""https://docs.google.com/spreadsheets/d/1H1EalTWKUSzO4Z1-1CwzoDUaVffgrThEBe2sl74kKG0/edit?usp=sharing"",""สุพรรณบุรี!N328"")+IMPORTRANGE(""https://docs.google.com/spreadsheets/d/1BmIruG_sIrJLYao_Pdr7zVArWsf"&amp;"oBt2692TMi6x_854/edit?usp=sharing"",""อ่างทอง!N328"")"),0)</f>
        <v>0</v>
      </c>
      <c r="O328" s="91">
        <f t="shared" ca="1" si="231"/>
        <v>0</v>
      </c>
      <c r="P328" s="91">
        <f t="shared" ca="1" si="232"/>
        <v>0</v>
      </c>
      <c r="Q328" s="76">
        <f ca="1">IFERROR(__xludf.DUMMYFUNCTION("IMPORTRANGE(""https://docs.google.com/spreadsheets/d/13wPX838HrBrQMCywv1BsuMkt4PEKTChp52zj44s2izQ/edit?usp=sharing"",""กาญจนบุรี!Q328"")+IMPORTRANGE(""https://docs.google.com/spreadsheets/d/1ddFKvqj1W1NEiWytbGlB1zMx_ykJDVtmfEQ-6-lIUBA/edit?usp=sharing"","&amp;"""จันทบุรี!Q328"")+IMPORTRANGE(""https://docs.google.com/spreadsheets/d/1T1PQvRODqOBZk8BRht_U031fIS1beLA0Ub2CEytj2q0/edit?usp=sharing"",""ฉะเชิงเทรา!Q328"")+IMPORTRANGE(""https://docs.google.com/spreadsheets/d/11tr1B-Bhyr79v2bkwVh5h_fR-PStkgjlZtkrZpYurG0/"&amp;"edit?usp=sharing"",""ชลบุรี!Q328"")+IMPORTRANGE(""https://docs.google.com/spreadsheets/d/1hh-FVnSX0vozXhGluamEcS54Dw9_zqW0N7qJUWgJ0Sw/edit?usp=sharing"",""ชัยนาท!Q328"")+IMPORTRANGE(""https://docs.google.com/spreadsheets/d/1jkqa6GXxSacMcY1eN8AHjMNJ_7dDXMJ"&amp;"VRLDlaFSOdPM/edit?usp=sharing"",""ตราด!Q328"")+IMPORTRANGE(""https://docs.google.com/spreadsheets/d/18hSgUJ3VwClqi_qtULmmW3cLr0oe3OKaSYoKzdpTsYQ/edit?usp=sharing"",""นครนายก!Q328"")+IMPORTRANGE(""https://docs.google.com/spreadsheets/d/1YTZo6WM2dQ6Ix6FSdnL"&amp;"5P7uVnVKu40sxZu975tgG10E/edit?usp=sharing"",""นครปฐม!Q328"")+IMPORTRANGE(""https://docs.google.com/spreadsheets/d/1OYoGg4WDg5RIzwGeB10padOxJF9E_Vljuvvct_M7RDo/edit?usp=sharing"",""ปทุมธานี!Q328"")+IMPORTRANGE(""https://docs.google.com/spreadsheets/d/1GbCI"&amp;"E4D4wk9FUozzqk7SxfDMxDVBwVmI5zcaVUSzKAc/edit?usp=sharing"",""ประจวบคีรีขันธ์!Q328"")+IMPORTRANGE(""https://docs.google.com/spreadsheets/d/1vVf6wykvW_lAyu7Yo9L4hUTqHqIeP_qcVuxCtosJEbg/edit?usp=sharing"",""ปราจีนบุรี!Q328"")+IMPORTRANGE(""https://docs.googl"&amp;"e.com/spreadsheets/d/1BIDqLLg5jk3v59G8NlR8rk5xfQDKne0sAvZHSj7TI6I/edit?usp=sharing"",""พระนครศรีอยุธยา!Q328"")+IMPORTRANGE(""https://docs.google.com/spreadsheets/d/1YXvxf8Yu6_rV4hTBrwMqAcAnv6DfhUxh5emyM3CJp_w/edit?usp=sharing"",""เพชรบุรี!Q328"")+IMPORTRA"&amp;"NGE(""https://docs.google.com/spreadsheets/d/19KBlQQs7uwvsao6t2n-KvW3Ax8J8uRRfZPq1zPbXgKc/edit?usp=sharing"",""ระยอง!Q328"")+IMPORTRANGE(""https://docs.google.com/spreadsheets/d/1jQ6P4QcrGM89YfqcC_PxOHGCMq5ezhucwJd8ci-NHng/edit?usp=sharing"",""ราชบุรี!Q32"&amp;"8"")+IMPORTRANGE(""https://docs.google.com/spreadsheets/d/1lufeA2cfFqM-elVq2hznhDzC6Pr7wkJ9ZG_sYNGCMCU/edit?usp=sharing"",""ลพบุรี!Q328"")+IMPORTRANGE(""https://docs.google.com/spreadsheets/d/10oOiF7loTyfsTkbd4MpaIm0HQ9SwB7IYHdIUvt-U1Uc/edit?usp=sharing"""&amp;",""สระแก้ว!Q328"")+IMPORTRANGE(""https://docs.google.com/spreadsheets/d/1xmPlrr1QbdSIKvl1dWUl9K4PjAfSL9oeMr_37QVzcxc/edit?usp=sharing"",""สระบุรี!Q328"")+IMPORTRANGE(""https://docs.google.com/spreadsheets/d/1j51vR6CYVGhABJpv6tkstgok82RLpXieLzW1yOY5rHw/edi"&amp;"t?usp=sharing"",""สิงห์บุรี!Q328"")+IMPORTRANGE(""https://docs.google.com/spreadsheets/d/1H1EalTWKUSzO4Z1-1CwzoDUaVffgrThEBe2sl74kKG0/edit?usp=sharing"",""สุพรรณบุรี!Q328"")+IMPORTRANGE(""https://docs.google.com/spreadsheets/d/1BmIruG_sIrJLYao_Pdr7zVArWsf"&amp;"oBt2692TMi6x_854/edit?usp=sharing"",""อ่างทอง!Q328"")"),0)</f>
        <v>0</v>
      </c>
      <c r="R328" s="77">
        <f ca="1">IFERROR(__xludf.DUMMYFUNCTION("IMPORTRANGE(""https://docs.google.com/spreadsheets/d/13wPX838HrBrQMCywv1BsuMkt4PEKTChp52zj44s2izQ/edit?usp=sharing"",""กาญจนบุรี!R328"")+IMPORTRANGE(""https://docs.google.com/spreadsheets/d/1ddFKvqj1W1NEiWytbGlB1zMx_ykJDVtmfEQ-6-lIUBA/edit?usp=sharing"","&amp;"""จันทบุรี!R328"")+IMPORTRANGE(""https://docs.google.com/spreadsheets/d/1T1PQvRODqOBZk8BRht_U031fIS1beLA0Ub2CEytj2q0/edit?usp=sharing"",""ฉะเชิงเทรา!R328"")+IMPORTRANGE(""https://docs.google.com/spreadsheets/d/11tr1B-Bhyr79v2bkwVh5h_fR-PStkgjlZtkrZpYurG0/"&amp;"edit?usp=sharing"",""ชลบุรี!R328"")+IMPORTRANGE(""https://docs.google.com/spreadsheets/d/1hh-FVnSX0vozXhGluamEcS54Dw9_zqW0N7qJUWgJ0Sw/edit?usp=sharing"",""ชัยนาท!R328"")+IMPORTRANGE(""https://docs.google.com/spreadsheets/d/1jkqa6GXxSacMcY1eN8AHjMNJ_7dDXMJ"&amp;"VRLDlaFSOdPM/edit?usp=sharing"",""ตราด!R328"")+IMPORTRANGE(""https://docs.google.com/spreadsheets/d/18hSgUJ3VwClqi_qtULmmW3cLr0oe3OKaSYoKzdpTsYQ/edit?usp=sharing"",""นครนายก!R328"")+IMPORTRANGE(""https://docs.google.com/spreadsheets/d/1YTZo6WM2dQ6Ix6FSdnL"&amp;"5P7uVnVKu40sxZu975tgG10E/edit?usp=sharing"",""นครปฐม!R328"")+IMPORTRANGE(""https://docs.google.com/spreadsheets/d/1OYoGg4WDg5RIzwGeB10padOxJF9E_Vljuvvct_M7RDo/edit?usp=sharing"",""ปทุมธานี!R328"")+IMPORTRANGE(""https://docs.google.com/spreadsheets/d/1GbCI"&amp;"E4D4wk9FUozzqk7SxfDMxDVBwVmI5zcaVUSzKAc/edit?usp=sharing"",""ประจวบคีรีขันธ์!R328"")+IMPORTRANGE(""https://docs.google.com/spreadsheets/d/1vVf6wykvW_lAyu7Yo9L4hUTqHqIeP_qcVuxCtosJEbg/edit?usp=sharing"",""ปราจีนบุรี!R328"")+IMPORTRANGE(""https://docs.googl"&amp;"e.com/spreadsheets/d/1BIDqLLg5jk3v59G8NlR8rk5xfQDKne0sAvZHSj7TI6I/edit?usp=sharing"",""พระนครศรีอยุธยา!R328"")+IMPORTRANGE(""https://docs.google.com/spreadsheets/d/1YXvxf8Yu6_rV4hTBrwMqAcAnv6DfhUxh5emyM3CJp_w/edit?usp=sharing"",""เพชรบุรี!R328"")+IMPORTRA"&amp;"NGE(""https://docs.google.com/spreadsheets/d/19KBlQQs7uwvsao6t2n-KvW3Ax8J8uRRfZPq1zPbXgKc/edit?usp=sharing"",""ระยอง!R328"")+IMPORTRANGE(""https://docs.google.com/spreadsheets/d/1jQ6P4QcrGM89YfqcC_PxOHGCMq5ezhucwJd8ci-NHng/edit?usp=sharing"",""ราชบุรี!R32"&amp;"8"")+IMPORTRANGE(""https://docs.google.com/spreadsheets/d/1lufeA2cfFqM-elVq2hznhDzC6Pr7wkJ9ZG_sYNGCMCU/edit?usp=sharing"",""ลพบุรี!R328"")+IMPORTRANGE(""https://docs.google.com/spreadsheets/d/10oOiF7loTyfsTkbd4MpaIm0HQ9SwB7IYHdIUvt-U1Uc/edit?usp=sharing"""&amp;",""สระแก้ว!R328"")+IMPORTRANGE(""https://docs.google.com/spreadsheets/d/1xmPlrr1QbdSIKvl1dWUl9K4PjAfSL9oeMr_37QVzcxc/edit?usp=sharing"",""สระบุรี!R328"")+IMPORTRANGE(""https://docs.google.com/spreadsheets/d/1j51vR6CYVGhABJpv6tkstgok82RLpXieLzW1yOY5rHw/edi"&amp;"t?usp=sharing"",""สิงห์บุรี!R328"")+IMPORTRANGE(""https://docs.google.com/spreadsheets/d/1H1EalTWKUSzO4Z1-1CwzoDUaVffgrThEBe2sl74kKG0/edit?usp=sharing"",""สุพรรณบุรี!R328"")+IMPORTRANGE(""https://docs.google.com/spreadsheets/d/1BmIruG_sIrJLYao_Pdr7zVArWsf"&amp;"oBt2692TMi6x_854/edit?usp=sharing"",""อ่างทอง!R328"")"),0)</f>
        <v>0</v>
      </c>
      <c r="S328" s="77">
        <f ca="1">IFERROR(__xludf.DUMMYFUNCTION("IMPORTRANGE(""https://docs.google.com/spreadsheets/d/13wPX838HrBrQMCywv1BsuMkt4PEKTChp52zj44s2izQ/edit?usp=sharing"",""กาญจนบุรี!S328"")+IMPORTRANGE(""https://docs.google.com/spreadsheets/d/1ddFKvqj1W1NEiWytbGlB1zMx_ykJDVtmfEQ-6-lIUBA/edit?usp=sharing"","&amp;"""จันทบุรี!S328"")+IMPORTRANGE(""https://docs.google.com/spreadsheets/d/1T1PQvRODqOBZk8BRht_U031fIS1beLA0Ub2CEytj2q0/edit?usp=sharing"",""ฉะเชิงเทรา!S328"")+IMPORTRANGE(""https://docs.google.com/spreadsheets/d/11tr1B-Bhyr79v2bkwVh5h_fR-PStkgjlZtkrZpYurG0/"&amp;"edit?usp=sharing"",""ชลบุรี!S328"")+IMPORTRANGE(""https://docs.google.com/spreadsheets/d/1hh-FVnSX0vozXhGluamEcS54Dw9_zqW0N7qJUWgJ0Sw/edit?usp=sharing"",""ชัยนาท!S328"")+IMPORTRANGE(""https://docs.google.com/spreadsheets/d/1jkqa6GXxSacMcY1eN8AHjMNJ_7dDXMJ"&amp;"VRLDlaFSOdPM/edit?usp=sharing"",""ตราด!S328"")+IMPORTRANGE(""https://docs.google.com/spreadsheets/d/18hSgUJ3VwClqi_qtULmmW3cLr0oe3OKaSYoKzdpTsYQ/edit?usp=sharing"",""นครนายก!S328"")+IMPORTRANGE(""https://docs.google.com/spreadsheets/d/1YTZo6WM2dQ6Ix6FSdnL"&amp;"5P7uVnVKu40sxZu975tgG10E/edit?usp=sharing"",""นครปฐม!S328"")+IMPORTRANGE(""https://docs.google.com/spreadsheets/d/1OYoGg4WDg5RIzwGeB10padOxJF9E_Vljuvvct_M7RDo/edit?usp=sharing"",""ปทุมธานี!S328"")+IMPORTRANGE(""https://docs.google.com/spreadsheets/d/1GbCI"&amp;"E4D4wk9FUozzqk7SxfDMxDVBwVmI5zcaVUSzKAc/edit?usp=sharing"",""ประจวบคีรีขันธ์!S328"")+IMPORTRANGE(""https://docs.google.com/spreadsheets/d/1vVf6wykvW_lAyu7Yo9L4hUTqHqIeP_qcVuxCtosJEbg/edit?usp=sharing"",""ปราจีนบุรี!S328"")+IMPORTRANGE(""https://docs.googl"&amp;"e.com/spreadsheets/d/1BIDqLLg5jk3v59G8NlR8rk5xfQDKne0sAvZHSj7TI6I/edit?usp=sharing"",""พระนครศรีอยุธยา!S328"")+IMPORTRANGE(""https://docs.google.com/spreadsheets/d/1YXvxf8Yu6_rV4hTBrwMqAcAnv6DfhUxh5emyM3CJp_w/edit?usp=sharing"",""เพชรบุรี!S328"")+IMPORTRA"&amp;"NGE(""https://docs.google.com/spreadsheets/d/19KBlQQs7uwvsao6t2n-KvW3Ax8J8uRRfZPq1zPbXgKc/edit?usp=sharing"",""ระยอง!S328"")+IMPORTRANGE(""https://docs.google.com/spreadsheets/d/1jQ6P4QcrGM89YfqcC_PxOHGCMq5ezhucwJd8ci-NHng/edit?usp=sharing"",""ราชบุรี!S32"&amp;"8"")+IMPORTRANGE(""https://docs.google.com/spreadsheets/d/1lufeA2cfFqM-elVq2hznhDzC6Pr7wkJ9ZG_sYNGCMCU/edit?usp=sharing"",""ลพบุรี!S328"")+IMPORTRANGE(""https://docs.google.com/spreadsheets/d/10oOiF7loTyfsTkbd4MpaIm0HQ9SwB7IYHdIUvt-U1Uc/edit?usp=sharing"""&amp;",""สระแก้ว!S328"")+IMPORTRANGE(""https://docs.google.com/spreadsheets/d/1xmPlrr1QbdSIKvl1dWUl9K4PjAfSL9oeMr_37QVzcxc/edit?usp=sharing"",""สระบุรี!S328"")+IMPORTRANGE(""https://docs.google.com/spreadsheets/d/1j51vR6CYVGhABJpv6tkstgok82RLpXieLzW1yOY5rHw/edi"&amp;"t?usp=sharing"",""สิงห์บุรี!S328"")+IMPORTRANGE(""https://docs.google.com/spreadsheets/d/1H1EalTWKUSzO4Z1-1CwzoDUaVffgrThEBe2sl74kKG0/edit?usp=sharing"",""สุพรรณบุรี!S328"")+IMPORTRANGE(""https://docs.google.com/spreadsheets/d/1BmIruG_sIrJLYao_Pdr7zVArWsf"&amp;"oBt2692TMi6x_854/edit?usp=sharing"",""อ่างทอง!S328"")"),0)</f>
        <v>0</v>
      </c>
      <c r="T328" s="135">
        <f t="shared" ca="1" si="234"/>
        <v>0</v>
      </c>
      <c r="U328" s="135">
        <f t="shared" ca="1" si="235"/>
        <v>0</v>
      </c>
    </row>
    <row r="329" spans="1:21" ht="19.5" x14ac:dyDescent="0.3">
      <c r="A329" s="224"/>
      <c r="B329" s="225"/>
      <c r="C329" s="212" t="s">
        <v>18</v>
      </c>
      <c r="D329" s="226" t="s">
        <v>38</v>
      </c>
      <c r="E329" s="227"/>
      <c r="F329" s="227"/>
      <c r="G329" s="228"/>
      <c r="H329" s="229"/>
      <c r="I329" s="221"/>
      <c r="J329" s="74"/>
      <c r="K329" s="75"/>
      <c r="L329" s="75"/>
      <c r="M329" s="75"/>
      <c r="N329" s="75"/>
      <c r="O329" s="222"/>
      <c r="P329" s="222"/>
      <c r="Q329" s="89"/>
      <c r="R329" s="90"/>
      <c r="S329" s="90"/>
      <c r="T329" s="231"/>
      <c r="U329" s="231"/>
    </row>
    <row r="330" spans="1:21" ht="18.75" x14ac:dyDescent="0.25">
      <c r="A330" s="224"/>
      <c r="B330" s="225"/>
      <c r="C330" s="225"/>
      <c r="D330" s="232" t="s">
        <v>134</v>
      </c>
      <c r="E330" s="233"/>
      <c r="F330" s="233"/>
      <c r="G330" s="229"/>
      <c r="H330" s="73" t="s">
        <v>133</v>
      </c>
      <c r="I330" s="241">
        <f ca="1">IFERROR(__xludf.DUMMYFUNCTION("IMPORTRANGE(""https://docs.google.com/spreadsheets/d/13wPX838HrBrQMCywv1BsuMkt4PEKTChp52zj44s2izQ/edit?usp=sharing"",""กาญจนบุรี!I330"")+IMPORTRANGE(""https://docs.google.com/spreadsheets/d/1ddFKvqj1W1NEiWytbGlB1zMx_ykJDVtmfEQ-6-lIUBA/edit?usp=sharing"","&amp;"""จันทบุรี!I330"")+IMPORTRANGE(""https://docs.google.com/spreadsheets/d/1T1PQvRODqOBZk8BRht_U031fIS1beLA0Ub2CEytj2q0/edit?usp=sharing"",""ฉะเชิงเทรา!I330"")+IMPORTRANGE(""https://docs.google.com/spreadsheets/d/11tr1B-Bhyr79v2bkwVh5h_fR-PStkgjlZtkrZpYurG0/"&amp;"edit?usp=sharing"",""ชลบุรี!I330"")+IMPORTRANGE(""https://docs.google.com/spreadsheets/d/1hh-FVnSX0vozXhGluamEcS54Dw9_zqW0N7qJUWgJ0Sw/edit?usp=sharing"",""ชัยนาท!I330"")+IMPORTRANGE(""https://docs.google.com/spreadsheets/d/1jkqa6GXxSacMcY1eN8AHjMNJ_7dDXMJ"&amp;"VRLDlaFSOdPM/edit?usp=sharing"",""ตราด!I330"")+IMPORTRANGE(""https://docs.google.com/spreadsheets/d/18hSgUJ3VwClqi_qtULmmW3cLr0oe3OKaSYoKzdpTsYQ/edit?usp=sharing"",""นครนายก!I330"")+IMPORTRANGE(""https://docs.google.com/spreadsheets/d/1YTZo6WM2dQ6Ix6FSdnL"&amp;"5P7uVnVKu40sxZu975tgG10E/edit?usp=sharing"",""นครปฐม!I330"")+IMPORTRANGE(""https://docs.google.com/spreadsheets/d/1OYoGg4WDg5RIzwGeB10padOxJF9E_Vljuvvct_M7RDo/edit?usp=sharing"",""ปทุมธานี!I330"")+IMPORTRANGE(""https://docs.google.com/spreadsheets/d/1GbCI"&amp;"E4D4wk9FUozzqk7SxfDMxDVBwVmI5zcaVUSzKAc/edit?usp=sharing"",""ประจวบคีรีขันธ์!I330"")+IMPORTRANGE(""https://docs.google.com/spreadsheets/d/1vVf6wykvW_lAyu7Yo9L4hUTqHqIeP_qcVuxCtosJEbg/edit?usp=sharing"",""ปราจีนบุรี!I330"")+IMPORTRANGE(""https://docs.googl"&amp;"e.com/spreadsheets/d/1BIDqLLg5jk3v59G8NlR8rk5xfQDKne0sAvZHSj7TI6I/edit?usp=sharing"",""พระนครศรีอยุธยา!I330"")+IMPORTRANGE(""https://docs.google.com/spreadsheets/d/1YXvxf8Yu6_rV4hTBrwMqAcAnv6DfhUxh5emyM3CJp_w/edit?usp=sharing"",""เพชรบุรี!I330"")+IMPORTRA"&amp;"NGE(""https://docs.google.com/spreadsheets/d/19KBlQQs7uwvsao6t2n-KvW3Ax8J8uRRfZPq1zPbXgKc/edit?usp=sharing"",""ระยอง!I330"")+IMPORTRANGE(""https://docs.google.com/spreadsheets/d/1jQ6P4QcrGM89YfqcC_PxOHGCMq5ezhucwJd8ci-NHng/edit?usp=sharing"",""ราชบุรี!I33"&amp;"0"")+IMPORTRANGE(""https://docs.google.com/spreadsheets/d/1lufeA2cfFqM-elVq2hznhDzC6Pr7wkJ9ZG_sYNGCMCU/edit?usp=sharing"",""ลพบุรี!I330"")+IMPORTRANGE(""https://docs.google.com/spreadsheets/d/10oOiF7loTyfsTkbd4MpaIm0HQ9SwB7IYHdIUvt-U1Uc/edit?usp=sharing"""&amp;",""สระแก้ว!I330"")+IMPORTRANGE(""https://docs.google.com/spreadsheets/d/1xmPlrr1QbdSIKvl1dWUl9K4PjAfSL9oeMr_37QVzcxc/edit?usp=sharing"",""สระบุรี!I330"")+IMPORTRANGE(""https://docs.google.com/spreadsheets/d/1j51vR6CYVGhABJpv6tkstgok82RLpXieLzW1yOY5rHw/edi"&amp;"t?usp=sharing"",""สิงห์บุรี!I330"")+IMPORTRANGE(""https://docs.google.com/spreadsheets/d/1H1EalTWKUSzO4Z1-1CwzoDUaVffgrThEBe2sl74kKG0/edit?usp=sharing"",""สุพรรณบุรี!I330"")+IMPORTRANGE(""https://docs.google.com/spreadsheets/d/1BmIruG_sIrJLYao_Pdr7zVArWsf"&amp;"oBt2692TMi6x_854/edit?usp=sharing"",""อ่างทอง!I330"")"),3)</f>
        <v>3</v>
      </c>
      <c r="J330" s="241">
        <f ca="1">IFERROR(__xludf.DUMMYFUNCTION("IMPORTRANGE(""https://docs.google.com/spreadsheets/d/13wPX838HrBrQMCywv1BsuMkt4PEKTChp52zj44s2izQ/edit?usp=sharing"",""กาญจนบุรี!J330"")+IMPORTRANGE(""https://docs.google.com/spreadsheets/d/1ddFKvqj1W1NEiWytbGlB1zMx_ykJDVtmfEQ-6-lIUBA/edit?usp=sharing"","&amp;"""จันทบุรี!J330"")+IMPORTRANGE(""https://docs.google.com/spreadsheets/d/1T1PQvRODqOBZk8BRht_U031fIS1beLA0Ub2CEytj2q0/edit?usp=sharing"",""ฉะเชิงเทรา!J330"")+IMPORTRANGE(""https://docs.google.com/spreadsheets/d/11tr1B-Bhyr79v2bkwVh5h_fR-PStkgjlZtkrZpYurG0/"&amp;"edit?usp=sharing"",""ชลบุรี!J330"")+IMPORTRANGE(""https://docs.google.com/spreadsheets/d/1hh-FVnSX0vozXhGluamEcS54Dw9_zqW0N7qJUWgJ0Sw/edit?usp=sharing"",""ชัยนาท!J330"")+IMPORTRANGE(""https://docs.google.com/spreadsheets/d/1jkqa6GXxSacMcY1eN8AHjMNJ_7dDXMJ"&amp;"VRLDlaFSOdPM/edit?usp=sharing"",""ตราด!J330"")+IMPORTRANGE(""https://docs.google.com/spreadsheets/d/18hSgUJ3VwClqi_qtULmmW3cLr0oe3OKaSYoKzdpTsYQ/edit?usp=sharing"",""นครนายก!J330"")+IMPORTRANGE(""https://docs.google.com/spreadsheets/d/1YTZo6WM2dQ6Ix6FSdnL"&amp;"5P7uVnVKu40sxZu975tgG10E/edit?usp=sharing"",""นครปฐม!J330"")+IMPORTRANGE(""https://docs.google.com/spreadsheets/d/1OYoGg4WDg5RIzwGeB10padOxJF9E_Vljuvvct_M7RDo/edit?usp=sharing"",""ปทุมธานี!J330"")+IMPORTRANGE(""https://docs.google.com/spreadsheets/d/1GbCI"&amp;"E4D4wk9FUozzqk7SxfDMxDVBwVmI5zcaVUSzKAc/edit?usp=sharing"",""ประจวบคีรีขันธ์!J330"")+IMPORTRANGE(""https://docs.google.com/spreadsheets/d/1vVf6wykvW_lAyu7Yo9L4hUTqHqIeP_qcVuxCtosJEbg/edit?usp=sharing"",""ปราจีนบุรี!J330"")+IMPORTRANGE(""https://docs.googl"&amp;"e.com/spreadsheets/d/1BIDqLLg5jk3v59G8NlR8rk5xfQDKne0sAvZHSj7TI6I/edit?usp=sharing"",""พระนครศรีอยุธยา!J330"")+IMPORTRANGE(""https://docs.google.com/spreadsheets/d/1YXvxf8Yu6_rV4hTBrwMqAcAnv6DfhUxh5emyM3CJp_w/edit?usp=sharing"",""เพชรบุรี!J330"")+IMPORTRA"&amp;"NGE(""https://docs.google.com/spreadsheets/d/19KBlQQs7uwvsao6t2n-KvW3Ax8J8uRRfZPq1zPbXgKc/edit?usp=sharing"",""ระยอง!J330"")+IMPORTRANGE(""https://docs.google.com/spreadsheets/d/1jQ6P4QcrGM89YfqcC_PxOHGCMq5ezhucwJd8ci-NHng/edit?usp=sharing"",""ราชบุรี!J33"&amp;"0"")+IMPORTRANGE(""https://docs.google.com/spreadsheets/d/1lufeA2cfFqM-elVq2hznhDzC6Pr7wkJ9ZG_sYNGCMCU/edit?usp=sharing"",""ลพบุรี!J330"")+IMPORTRANGE(""https://docs.google.com/spreadsheets/d/10oOiF7loTyfsTkbd4MpaIm0HQ9SwB7IYHdIUvt-U1Uc/edit?usp=sharing"""&amp;",""สระแก้ว!J330"")+IMPORTRANGE(""https://docs.google.com/spreadsheets/d/1xmPlrr1QbdSIKvl1dWUl9K4PjAfSL9oeMr_37QVzcxc/edit?usp=sharing"",""สระบุรี!J330"")+IMPORTRANGE(""https://docs.google.com/spreadsheets/d/1j51vR6CYVGhABJpv6tkstgok82RLpXieLzW1yOY5rHw/edi"&amp;"t?usp=sharing"",""สิงห์บุรี!J330"")+IMPORTRANGE(""https://docs.google.com/spreadsheets/d/1H1EalTWKUSzO4Z1-1CwzoDUaVffgrThEBe2sl74kKG0/edit?usp=sharing"",""สุพรรณบุรี!J330"")+IMPORTRANGE(""https://docs.google.com/spreadsheets/d/1BmIruG_sIrJLYao_Pdr7zVArWsf"&amp;"oBt2692TMi6x_854/edit?usp=sharing"",""อ่างทอง!J330"")"),3)</f>
        <v>3</v>
      </c>
      <c r="K330" s="91">
        <f ca="1">IF(I330&gt;0,J330*100/I330,0)</f>
        <v>100</v>
      </c>
      <c r="L330" s="75"/>
      <c r="M330" s="75"/>
      <c r="N330" s="75"/>
      <c r="O330" s="222"/>
      <c r="P330" s="222"/>
      <c r="Q330" s="89"/>
      <c r="R330" s="90"/>
      <c r="S330" s="90"/>
      <c r="T330" s="231"/>
      <c r="U330" s="231"/>
    </row>
    <row r="331" spans="1:21" ht="19.5" x14ac:dyDescent="0.3">
      <c r="A331" s="497" t="s">
        <v>135</v>
      </c>
      <c r="B331" s="498"/>
      <c r="C331" s="498"/>
      <c r="D331" s="499"/>
      <c r="E331" s="498"/>
      <c r="F331" s="498"/>
      <c r="G331" s="498"/>
      <c r="H331" s="499"/>
      <c r="I331" s="501"/>
      <c r="J331" s="501"/>
      <c r="K331" s="502"/>
      <c r="L331" s="502"/>
      <c r="M331" s="502"/>
      <c r="N331" s="502"/>
      <c r="O331" s="502"/>
      <c r="P331" s="502"/>
      <c r="Q331" s="503"/>
      <c r="R331" s="504"/>
      <c r="S331" s="504"/>
      <c r="T331" s="504"/>
      <c r="U331" s="504"/>
    </row>
    <row r="332" spans="1:21" ht="19.5" x14ac:dyDescent="0.3">
      <c r="A332" s="505"/>
      <c r="B332" s="506" t="s">
        <v>136</v>
      </c>
      <c r="C332" s="517"/>
      <c r="D332" s="507"/>
      <c r="E332" s="507"/>
      <c r="F332" s="507"/>
      <c r="G332" s="508"/>
      <c r="H332" s="509" t="s">
        <v>35</v>
      </c>
      <c r="I332" s="518">
        <f ca="1">I344</f>
        <v>19420</v>
      </c>
      <c r="J332" s="519">
        <f ca="1">J344+J347+J348+J349+J353</f>
        <v>82780</v>
      </c>
      <c r="K332" s="520">
        <f ca="1">IF(I332&gt;0,J332*100/I332,0)</f>
        <v>426.2615859938208</v>
      </c>
      <c r="L332" s="512"/>
      <c r="M332" s="512"/>
      <c r="N332" s="512"/>
      <c r="O332" s="512"/>
      <c r="P332" s="512"/>
      <c r="Q332" s="513"/>
      <c r="R332" s="514"/>
      <c r="S332" s="514"/>
      <c r="T332" s="514"/>
      <c r="U332" s="514"/>
    </row>
    <row r="333" spans="1:21" ht="19.5" x14ac:dyDescent="0.3">
      <c r="A333" s="211"/>
      <c r="B333" s="70"/>
      <c r="C333" s="212" t="s">
        <v>18</v>
      </c>
      <c r="D333" s="213" t="s">
        <v>19</v>
      </c>
      <c r="E333" s="70"/>
      <c r="F333" s="70"/>
      <c r="G333" s="72"/>
      <c r="H333" s="214" t="s">
        <v>14</v>
      </c>
      <c r="I333" s="74"/>
      <c r="J333" s="74"/>
      <c r="K333" s="75"/>
      <c r="L333" s="215">
        <f t="shared" ref="L333:N333" ca="1" si="244">L334+L335</f>
        <v>4015000</v>
      </c>
      <c r="M333" s="215">
        <f t="shared" ca="1" si="244"/>
        <v>4095000</v>
      </c>
      <c r="N333" s="215">
        <f t="shared" ca="1" si="244"/>
        <v>3170071</v>
      </c>
      <c r="O333" s="215">
        <f t="shared" ref="O333:O341" ca="1" si="245">IF(L333&gt;0,N333*100/L333,0)</f>
        <v>78.95569115815691</v>
      </c>
      <c r="P333" s="215">
        <f t="shared" ref="P333:P341" ca="1" si="246">IF(M333&gt;0,N333*100/M333,0)</f>
        <v>77.413211233211229</v>
      </c>
      <c r="Q333" s="216">
        <f t="shared" ref="Q333:S333" ca="1" si="247">Q334+Q335</f>
        <v>0</v>
      </c>
      <c r="R333" s="217">
        <f t="shared" ca="1" si="247"/>
        <v>0</v>
      </c>
      <c r="S333" s="217">
        <f t="shared" ca="1" si="247"/>
        <v>0</v>
      </c>
      <c r="T333" s="217">
        <f t="shared" ref="T333:T341" ca="1" si="248">IF(Q333&gt;0,S333*100/Q333,0)</f>
        <v>0</v>
      </c>
      <c r="U333" s="217">
        <f t="shared" ref="U333:U341" ca="1" si="249">IF(R333&gt;0,S333*100/R333,0)</f>
        <v>0</v>
      </c>
    </row>
    <row r="334" spans="1:21" ht="18.75" x14ac:dyDescent="0.25">
      <c r="A334" s="211"/>
      <c r="B334" s="70"/>
      <c r="C334" s="70"/>
      <c r="D334" s="70"/>
      <c r="E334" s="78" t="s">
        <v>20</v>
      </c>
      <c r="F334" s="70"/>
      <c r="G334" s="72"/>
      <c r="H334" s="218" t="s">
        <v>14</v>
      </c>
      <c r="I334" s="74"/>
      <c r="J334" s="74"/>
      <c r="K334" s="75"/>
      <c r="L334" s="91">
        <f t="shared" ref="L334:N334" ca="1" si="250">L337+L340</f>
        <v>0</v>
      </c>
      <c r="M334" s="91">
        <f t="shared" ca="1" si="250"/>
        <v>0</v>
      </c>
      <c r="N334" s="91">
        <f t="shared" ca="1" si="250"/>
        <v>0</v>
      </c>
      <c r="O334" s="91">
        <f t="shared" ca="1" si="245"/>
        <v>0</v>
      </c>
      <c r="P334" s="91">
        <f t="shared" ca="1" si="246"/>
        <v>0</v>
      </c>
      <c r="Q334" s="219">
        <f t="shared" ref="Q334:S334" ca="1" si="251">Q337+Q340</f>
        <v>0</v>
      </c>
      <c r="R334" s="136">
        <f t="shared" ca="1" si="251"/>
        <v>0</v>
      </c>
      <c r="S334" s="136">
        <f t="shared" ca="1" si="251"/>
        <v>0</v>
      </c>
      <c r="T334" s="136">
        <f t="shared" ca="1" si="248"/>
        <v>0</v>
      </c>
      <c r="U334" s="136">
        <f t="shared" ca="1" si="249"/>
        <v>0</v>
      </c>
    </row>
    <row r="335" spans="1:21" ht="18.75" x14ac:dyDescent="0.25">
      <c r="A335" s="211"/>
      <c r="B335" s="70"/>
      <c r="C335" s="70"/>
      <c r="D335" s="70"/>
      <c r="E335" s="78" t="s">
        <v>21</v>
      </c>
      <c r="F335" s="70"/>
      <c r="G335" s="72"/>
      <c r="H335" s="218" t="s">
        <v>14</v>
      </c>
      <c r="I335" s="74"/>
      <c r="J335" s="74"/>
      <c r="K335" s="75"/>
      <c r="L335" s="91">
        <f t="shared" ref="L335:N335" ca="1" si="252">L338+L341</f>
        <v>4015000</v>
      </c>
      <c r="M335" s="91">
        <f t="shared" ca="1" si="252"/>
        <v>4095000</v>
      </c>
      <c r="N335" s="91">
        <f t="shared" ca="1" si="252"/>
        <v>3170071</v>
      </c>
      <c r="O335" s="91">
        <f t="shared" ca="1" si="245"/>
        <v>78.95569115815691</v>
      </c>
      <c r="P335" s="91">
        <f t="shared" ca="1" si="246"/>
        <v>77.413211233211229</v>
      </c>
      <c r="Q335" s="134">
        <f t="shared" ref="Q335:S335" ca="1" si="253">Q338+Q341</f>
        <v>0</v>
      </c>
      <c r="R335" s="135">
        <f t="shared" ca="1" si="253"/>
        <v>0</v>
      </c>
      <c r="S335" s="135">
        <f t="shared" ca="1" si="253"/>
        <v>0</v>
      </c>
      <c r="T335" s="135">
        <f t="shared" ca="1" si="248"/>
        <v>0</v>
      </c>
      <c r="U335" s="135">
        <f t="shared" ca="1" si="249"/>
        <v>0</v>
      </c>
    </row>
    <row r="336" spans="1:21" ht="18.75" x14ac:dyDescent="0.25">
      <c r="A336" s="211"/>
      <c r="B336" s="70"/>
      <c r="C336" s="70"/>
      <c r="D336" s="71" t="s">
        <v>22</v>
      </c>
      <c r="E336" s="70"/>
      <c r="F336" s="70"/>
      <c r="G336" s="72"/>
      <c r="H336" s="220" t="s">
        <v>14</v>
      </c>
      <c r="I336" s="221"/>
      <c r="J336" s="221"/>
      <c r="K336" s="222"/>
      <c r="L336" s="91">
        <f t="shared" ref="L336:N336" ca="1" si="254">L337+L338</f>
        <v>4015000</v>
      </c>
      <c r="M336" s="91">
        <f t="shared" ca="1" si="254"/>
        <v>4095000</v>
      </c>
      <c r="N336" s="91">
        <f t="shared" ca="1" si="254"/>
        <v>3170071</v>
      </c>
      <c r="O336" s="91">
        <f t="shared" ca="1" si="245"/>
        <v>78.95569115815691</v>
      </c>
      <c r="P336" s="91">
        <f t="shared" ca="1" si="246"/>
        <v>77.413211233211229</v>
      </c>
      <c r="Q336" s="134">
        <f t="shared" ref="Q336:S336" ca="1" si="255">Q337+Q338</f>
        <v>0</v>
      </c>
      <c r="R336" s="135">
        <f t="shared" ca="1" si="255"/>
        <v>0</v>
      </c>
      <c r="S336" s="135">
        <f t="shared" ca="1" si="255"/>
        <v>0</v>
      </c>
      <c r="T336" s="135">
        <f t="shared" ca="1" si="248"/>
        <v>0</v>
      </c>
      <c r="U336" s="135">
        <f t="shared" ca="1" si="249"/>
        <v>0</v>
      </c>
    </row>
    <row r="337" spans="1:21" ht="18.75" x14ac:dyDescent="0.25">
      <c r="A337" s="211"/>
      <c r="B337" s="70"/>
      <c r="C337" s="70"/>
      <c r="D337" s="70"/>
      <c r="E337" s="78" t="s">
        <v>36</v>
      </c>
      <c r="F337" s="70"/>
      <c r="G337" s="72"/>
      <c r="H337" s="220" t="s">
        <v>14</v>
      </c>
      <c r="I337" s="221"/>
      <c r="J337" s="221"/>
      <c r="K337" s="222"/>
      <c r="L337" s="91">
        <f ca="1">IFERROR(__xludf.DUMMYFUNCTION("IMPORTRANGE(""https://docs.google.com/spreadsheets/d/13wPX838HrBrQMCywv1BsuMkt4PEKTChp52zj44s2izQ/edit?usp=sharing"",""กาญจนบุรี!L337"")+IMPORTRANGE(""https://docs.google.com/spreadsheets/d/1ddFKvqj1W1NEiWytbGlB1zMx_ykJDVtmfEQ-6-lIUBA/edit?usp=sharing"","&amp;"""จันทบุรี!L337"")+IMPORTRANGE(""https://docs.google.com/spreadsheets/d/1T1PQvRODqOBZk8BRht_U031fIS1beLA0Ub2CEytj2q0/edit?usp=sharing"",""ฉะเชิงเทรา!L337"")+IMPORTRANGE(""https://docs.google.com/spreadsheets/d/11tr1B-Bhyr79v2bkwVh5h_fR-PStkgjlZtkrZpYurG0/"&amp;"edit?usp=sharing"",""ชลบุรี!L337"")+IMPORTRANGE(""https://docs.google.com/spreadsheets/d/1hh-FVnSX0vozXhGluamEcS54Dw9_zqW0N7qJUWgJ0Sw/edit?usp=sharing"",""ชัยนาท!L337"")+IMPORTRANGE(""https://docs.google.com/spreadsheets/d/1jkqa6GXxSacMcY1eN8AHjMNJ_7dDXMJ"&amp;"VRLDlaFSOdPM/edit?usp=sharing"",""ตราด!L337"")+IMPORTRANGE(""https://docs.google.com/spreadsheets/d/18hSgUJ3VwClqi_qtULmmW3cLr0oe3OKaSYoKzdpTsYQ/edit?usp=sharing"",""นครนายก!L337"")+IMPORTRANGE(""https://docs.google.com/spreadsheets/d/1YTZo6WM2dQ6Ix6FSdnL"&amp;"5P7uVnVKu40sxZu975tgG10E/edit?usp=sharing"",""นครปฐม!L337"")+IMPORTRANGE(""https://docs.google.com/spreadsheets/d/1OYoGg4WDg5RIzwGeB10padOxJF9E_Vljuvvct_M7RDo/edit?usp=sharing"",""ปทุมธานี!L337"")+IMPORTRANGE(""https://docs.google.com/spreadsheets/d/1GbCI"&amp;"E4D4wk9FUozzqk7SxfDMxDVBwVmI5zcaVUSzKAc/edit?usp=sharing"",""ประจวบคีรีขันธ์!L337"")+IMPORTRANGE(""https://docs.google.com/spreadsheets/d/1vVf6wykvW_lAyu7Yo9L4hUTqHqIeP_qcVuxCtosJEbg/edit?usp=sharing"",""ปราจีนบุรี!L337"")+IMPORTRANGE(""https://docs.googl"&amp;"e.com/spreadsheets/d/1BIDqLLg5jk3v59G8NlR8rk5xfQDKne0sAvZHSj7TI6I/edit?usp=sharing"",""พระนครศรีอยุธยา!L337"")+IMPORTRANGE(""https://docs.google.com/spreadsheets/d/1YXvxf8Yu6_rV4hTBrwMqAcAnv6DfhUxh5emyM3CJp_w/edit?usp=sharing"",""เพชรบุรี!L337"")+IMPORTRA"&amp;"NGE(""https://docs.google.com/spreadsheets/d/19KBlQQs7uwvsao6t2n-KvW3Ax8J8uRRfZPq1zPbXgKc/edit?usp=sharing"",""ระยอง!L337"")+IMPORTRANGE(""https://docs.google.com/spreadsheets/d/1jQ6P4QcrGM89YfqcC_PxOHGCMq5ezhucwJd8ci-NHng/edit?usp=sharing"",""ราชบุรี!L33"&amp;"7"")+IMPORTRANGE(""https://docs.google.com/spreadsheets/d/1lufeA2cfFqM-elVq2hznhDzC6Pr7wkJ9ZG_sYNGCMCU/edit?usp=sharing"",""ลพบุรี!L337"")+IMPORTRANGE(""https://docs.google.com/spreadsheets/d/10oOiF7loTyfsTkbd4MpaIm0HQ9SwB7IYHdIUvt-U1Uc/edit?usp=sharing"""&amp;",""สระแก้ว!L337"")+IMPORTRANGE(""https://docs.google.com/spreadsheets/d/1xmPlrr1QbdSIKvl1dWUl9K4PjAfSL9oeMr_37QVzcxc/edit?usp=sharing"",""สระบุรี!L337"")+IMPORTRANGE(""https://docs.google.com/spreadsheets/d/1j51vR6CYVGhABJpv6tkstgok82RLpXieLzW1yOY5rHw/edi"&amp;"t?usp=sharing"",""สิงห์บุรี!L337"")+IMPORTRANGE(""https://docs.google.com/spreadsheets/d/1H1EalTWKUSzO4Z1-1CwzoDUaVffgrThEBe2sl74kKG0/edit?usp=sharing"",""สุพรรณบุรี!L337"")+IMPORTRANGE(""https://docs.google.com/spreadsheets/d/1BmIruG_sIrJLYao_Pdr7zVArWsf"&amp;"oBt2692TMi6x_854/edit?usp=sharing"",""อ่างทอง!L337"")"),0)</f>
        <v>0</v>
      </c>
      <c r="M337" s="91">
        <f ca="1">IFERROR(__xludf.DUMMYFUNCTION("IMPORTRANGE(""https://docs.google.com/spreadsheets/d/13wPX838HrBrQMCywv1BsuMkt4PEKTChp52zj44s2izQ/edit?usp=sharing"",""กาญจนบุรี!M337"")+IMPORTRANGE(""https://docs.google.com/spreadsheets/d/1ddFKvqj1W1NEiWytbGlB1zMx_ykJDVtmfEQ-6-lIUBA/edit?usp=sharing"","&amp;"""จันทบุรี!M337"")+IMPORTRANGE(""https://docs.google.com/spreadsheets/d/1T1PQvRODqOBZk8BRht_U031fIS1beLA0Ub2CEytj2q0/edit?usp=sharing"",""ฉะเชิงเทรา!M337"")+IMPORTRANGE(""https://docs.google.com/spreadsheets/d/11tr1B-Bhyr79v2bkwVh5h_fR-PStkgjlZtkrZpYurG0/"&amp;"edit?usp=sharing"",""ชลบุรี!M337"")+IMPORTRANGE(""https://docs.google.com/spreadsheets/d/1hh-FVnSX0vozXhGluamEcS54Dw9_zqW0N7qJUWgJ0Sw/edit?usp=sharing"",""ชัยนาท!M337"")+IMPORTRANGE(""https://docs.google.com/spreadsheets/d/1jkqa6GXxSacMcY1eN8AHjMNJ_7dDXMJ"&amp;"VRLDlaFSOdPM/edit?usp=sharing"",""ตราด!M337"")+IMPORTRANGE(""https://docs.google.com/spreadsheets/d/18hSgUJ3VwClqi_qtULmmW3cLr0oe3OKaSYoKzdpTsYQ/edit?usp=sharing"",""นครนายก!M337"")+IMPORTRANGE(""https://docs.google.com/spreadsheets/d/1YTZo6WM2dQ6Ix6FSdnL"&amp;"5P7uVnVKu40sxZu975tgG10E/edit?usp=sharing"",""นครปฐม!M337"")+IMPORTRANGE(""https://docs.google.com/spreadsheets/d/1OYoGg4WDg5RIzwGeB10padOxJF9E_Vljuvvct_M7RDo/edit?usp=sharing"",""ปทุมธานี!M337"")+IMPORTRANGE(""https://docs.google.com/spreadsheets/d/1GbCI"&amp;"E4D4wk9FUozzqk7SxfDMxDVBwVmI5zcaVUSzKAc/edit?usp=sharing"",""ประจวบคีรีขันธ์!M337"")+IMPORTRANGE(""https://docs.google.com/spreadsheets/d/1vVf6wykvW_lAyu7Yo9L4hUTqHqIeP_qcVuxCtosJEbg/edit?usp=sharing"",""ปราจีนบุรี!M337"")+IMPORTRANGE(""https://docs.googl"&amp;"e.com/spreadsheets/d/1BIDqLLg5jk3v59G8NlR8rk5xfQDKne0sAvZHSj7TI6I/edit?usp=sharing"",""พระนครศรีอยุธยา!M337"")+IMPORTRANGE(""https://docs.google.com/spreadsheets/d/1YXvxf8Yu6_rV4hTBrwMqAcAnv6DfhUxh5emyM3CJp_w/edit?usp=sharing"",""เพชรบุรี!M337"")+IMPORTRA"&amp;"NGE(""https://docs.google.com/spreadsheets/d/19KBlQQs7uwvsao6t2n-KvW3Ax8J8uRRfZPq1zPbXgKc/edit?usp=sharing"",""ระยอง!M337"")+IMPORTRANGE(""https://docs.google.com/spreadsheets/d/1jQ6P4QcrGM89YfqcC_PxOHGCMq5ezhucwJd8ci-NHng/edit?usp=sharing"",""ราชบุรี!M33"&amp;"7"")+IMPORTRANGE(""https://docs.google.com/spreadsheets/d/1lufeA2cfFqM-elVq2hznhDzC6Pr7wkJ9ZG_sYNGCMCU/edit?usp=sharing"",""ลพบุรี!M337"")+IMPORTRANGE(""https://docs.google.com/spreadsheets/d/10oOiF7loTyfsTkbd4MpaIm0HQ9SwB7IYHdIUvt-U1Uc/edit?usp=sharing"""&amp;",""สระแก้ว!M337"")+IMPORTRANGE(""https://docs.google.com/spreadsheets/d/1xmPlrr1QbdSIKvl1dWUl9K4PjAfSL9oeMr_37QVzcxc/edit?usp=sharing"",""สระบุรี!M337"")+IMPORTRANGE(""https://docs.google.com/spreadsheets/d/1j51vR6CYVGhABJpv6tkstgok82RLpXieLzW1yOY5rHw/edi"&amp;"t?usp=sharing"",""สิงห์บุรี!M337"")+IMPORTRANGE(""https://docs.google.com/spreadsheets/d/1H1EalTWKUSzO4Z1-1CwzoDUaVffgrThEBe2sl74kKG0/edit?usp=sharing"",""สุพรรณบุรี!M337"")+IMPORTRANGE(""https://docs.google.com/spreadsheets/d/1BmIruG_sIrJLYao_Pdr7zVArWsf"&amp;"oBt2692TMi6x_854/edit?usp=sharing"",""อ่างทอง!M337"")"),0)</f>
        <v>0</v>
      </c>
      <c r="N337" s="91">
        <f ca="1">IFERROR(__xludf.DUMMYFUNCTION("IMPORTRANGE(""https://docs.google.com/spreadsheets/d/13wPX838HrBrQMCywv1BsuMkt4PEKTChp52zj44s2izQ/edit?usp=sharing"",""กาญจนบุรี!N337"")+IMPORTRANGE(""https://docs.google.com/spreadsheets/d/1ddFKvqj1W1NEiWytbGlB1zMx_ykJDVtmfEQ-6-lIUBA/edit?usp=sharing"","&amp;"""จันทบุรี!N337"")+IMPORTRANGE(""https://docs.google.com/spreadsheets/d/1T1PQvRODqOBZk8BRht_U031fIS1beLA0Ub2CEytj2q0/edit?usp=sharing"",""ฉะเชิงเทรา!N337"")+IMPORTRANGE(""https://docs.google.com/spreadsheets/d/11tr1B-Bhyr79v2bkwVh5h_fR-PStkgjlZtkrZpYurG0/"&amp;"edit?usp=sharing"",""ชลบุรี!N337"")+IMPORTRANGE(""https://docs.google.com/spreadsheets/d/1hh-FVnSX0vozXhGluamEcS54Dw9_zqW0N7qJUWgJ0Sw/edit?usp=sharing"",""ชัยนาท!N337"")+IMPORTRANGE(""https://docs.google.com/spreadsheets/d/1jkqa6GXxSacMcY1eN8AHjMNJ_7dDXMJ"&amp;"VRLDlaFSOdPM/edit?usp=sharing"",""ตราด!N337"")+IMPORTRANGE(""https://docs.google.com/spreadsheets/d/18hSgUJ3VwClqi_qtULmmW3cLr0oe3OKaSYoKzdpTsYQ/edit?usp=sharing"",""นครนายก!N337"")+IMPORTRANGE(""https://docs.google.com/spreadsheets/d/1YTZo6WM2dQ6Ix6FSdnL"&amp;"5P7uVnVKu40sxZu975tgG10E/edit?usp=sharing"",""นครปฐม!N337"")+IMPORTRANGE(""https://docs.google.com/spreadsheets/d/1OYoGg4WDg5RIzwGeB10padOxJF9E_Vljuvvct_M7RDo/edit?usp=sharing"",""ปทุมธานี!N337"")+IMPORTRANGE(""https://docs.google.com/spreadsheets/d/1GbCI"&amp;"E4D4wk9FUozzqk7SxfDMxDVBwVmI5zcaVUSzKAc/edit?usp=sharing"",""ประจวบคีรีขันธ์!N337"")+IMPORTRANGE(""https://docs.google.com/spreadsheets/d/1vVf6wykvW_lAyu7Yo9L4hUTqHqIeP_qcVuxCtosJEbg/edit?usp=sharing"",""ปราจีนบุรี!N337"")+IMPORTRANGE(""https://docs.googl"&amp;"e.com/spreadsheets/d/1BIDqLLg5jk3v59G8NlR8rk5xfQDKne0sAvZHSj7TI6I/edit?usp=sharing"",""พระนครศรีอยุธยา!N337"")+IMPORTRANGE(""https://docs.google.com/spreadsheets/d/1YXvxf8Yu6_rV4hTBrwMqAcAnv6DfhUxh5emyM3CJp_w/edit?usp=sharing"",""เพชรบุรี!N337"")+IMPORTRA"&amp;"NGE(""https://docs.google.com/spreadsheets/d/19KBlQQs7uwvsao6t2n-KvW3Ax8J8uRRfZPq1zPbXgKc/edit?usp=sharing"",""ระยอง!N337"")+IMPORTRANGE(""https://docs.google.com/spreadsheets/d/1jQ6P4QcrGM89YfqcC_PxOHGCMq5ezhucwJd8ci-NHng/edit?usp=sharing"",""ราชบุรี!N33"&amp;"7"")+IMPORTRANGE(""https://docs.google.com/spreadsheets/d/1lufeA2cfFqM-elVq2hznhDzC6Pr7wkJ9ZG_sYNGCMCU/edit?usp=sharing"",""ลพบุรี!N337"")+IMPORTRANGE(""https://docs.google.com/spreadsheets/d/10oOiF7loTyfsTkbd4MpaIm0HQ9SwB7IYHdIUvt-U1Uc/edit?usp=sharing"""&amp;",""สระแก้ว!N337"")+IMPORTRANGE(""https://docs.google.com/spreadsheets/d/1xmPlrr1QbdSIKvl1dWUl9K4PjAfSL9oeMr_37QVzcxc/edit?usp=sharing"",""สระบุรี!N337"")+IMPORTRANGE(""https://docs.google.com/spreadsheets/d/1j51vR6CYVGhABJpv6tkstgok82RLpXieLzW1yOY5rHw/edi"&amp;"t?usp=sharing"",""สิงห์บุรี!N337"")+IMPORTRANGE(""https://docs.google.com/spreadsheets/d/1H1EalTWKUSzO4Z1-1CwzoDUaVffgrThEBe2sl74kKG0/edit?usp=sharing"",""สุพรรณบุรี!N337"")+IMPORTRANGE(""https://docs.google.com/spreadsheets/d/1BmIruG_sIrJLYao_Pdr7zVArWsf"&amp;"oBt2692TMi6x_854/edit?usp=sharing"",""อ่างทอง!N337"")"),0)</f>
        <v>0</v>
      </c>
      <c r="O337" s="91">
        <f t="shared" ca="1" si="245"/>
        <v>0</v>
      </c>
      <c r="P337" s="91">
        <f t="shared" ca="1" si="246"/>
        <v>0</v>
      </c>
      <c r="Q337" s="79">
        <f ca="1">IFERROR(__xludf.DUMMYFUNCTION("IMPORTRANGE(""https://docs.google.com/spreadsheets/d/13wPX838HrBrQMCywv1BsuMkt4PEKTChp52zj44s2izQ/edit?usp=sharing"",""กาญจนบุรี!Q337"")+IMPORTRANGE(""https://docs.google.com/spreadsheets/d/1ddFKvqj1W1NEiWytbGlB1zMx_ykJDVtmfEQ-6-lIUBA/edit?usp=sharing"","&amp;"""จันทบุรี!Q337"")+IMPORTRANGE(""https://docs.google.com/spreadsheets/d/1T1PQvRODqOBZk8BRht_U031fIS1beLA0Ub2CEytj2q0/edit?usp=sharing"",""ฉะเชิงเทรา!Q337"")+IMPORTRANGE(""https://docs.google.com/spreadsheets/d/11tr1B-Bhyr79v2bkwVh5h_fR-PStkgjlZtkrZpYurG0/"&amp;"edit?usp=sharing"",""ชลบุรี!Q337"")+IMPORTRANGE(""https://docs.google.com/spreadsheets/d/1hh-FVnSX0vozXhGluamEcS54Dw9_zqW0N7qJUWgJ0Sw/edit?usp=sharing"",""ชัยนาท!Q337"")+IMPORTRANGE(""https://docs.google.com/spreadsheets/d/1jkqa6GXxSacMcY1eN8AHjMNJ_7dDXMJ"&amp;"VRLDlaFSOdPM/edit?usp=sharing"",""ตราด!Q337"")+IMPORTRANGE(""https://docs.google.com/spreadsheets/d/18hSgUJ3VwClqi_qtULmmW3cLr0oe3OKaSYoKzdpTsYQ/edit?usp=sharing"",""นครนายก!Q337"")+IMPORTRANGE(""https://docs.google.com/spreadsheets/d/1YTZo6WM2dQ6Ix6FSdnL"&amp;"5P7uVnVKu40sxZu975tgG10E/edit?usp=sharing"",""นครปฐม!Q337"")+IMPORTRANGE(""https://docs.google.com/spreadsheets/d/1OYoGg4WDg5RIzwGeB10padOxJF9E_Vljuvvct_M7RDo/edit?usp=sharing"",""ปทุมธานี!Q337"")+IMPORTRANGE(""https://docs.google.com/spreadsheets/d/1GbCI"&amp;"E4D4wk9FUozzqk7SxfDMxDVBwVmI5zcaVUSzKAc/edit?usp=sharing"",""ประจวบคีรีขันธ์!Q337"")+IMPORTRANGE(""https://docs.google.com/spreadsheets/d/1vVf6wykvW_lAyu7Yo9L4hUTqHqIeP_qcVuxCtosJEbg/edit?usp=sharing"",""ปราจีนบุรี!Q337"")+IMPORTRANGE(""https://docs.googl"&amp;"e.com/spreadsheets/d/1BIDqLLg5jk3v59G8NlR8rk5xfQDKne0sAvZHSj7TI6I/edit?usp=sharing"",""พระนครศรีอยุธยา!Q337"")+IMPORTRANGE(""https://docs.google.com/spreadsheets/d/1YXvxf8Yu6_rV4hTBrwMqAcAnv6DfhUxh5emyM3CJp_w/edit?usp=sharing"",""เพชรบุรี!Q337"")+IMPORTRA"&amp;"NGE(""https://docs.google.com/spreadsheets/d/19KBlQQs7uwvsao6t2n-KvW3Ax8J8uRRfZPq1zPbXgKc/edit?usp=sharing"",""ระยอง!Q337"")+IMPORTRANGE(""https://docs.google.com/spreadsheets/d/1jQ6P4QcrGM89YfqcC_PxOHGCMq5ezhucwJd8ci-NHng/edit?usp=sharing"",""ราชบุรี!Q33"&amp;"7"")+IMPORTRANGE(""https://docs.google.com/spreadsheets/d/1lufeA2cfFqM-elVq2hznhDzC6Pr7wkJ9ZG_sYNGCMCU/edit?usp=sharing"",""ลพบุรี!Q337"")+IMPORTRANGE(""https://docs.google.com/spreadsheets/d/10oOiF7loTyfsTkbd4MpaIm0HQ9SwB7IYHdIUvt-U1Uc/edit?usp=sharing"""&amp;",""สระแก้ว!Q337"")+IMPORTRANGE(""https://docs.google.com/spreadsheets/d/1xmPlrr1QbdSIKvl1dWUl9K4PjAfSL9oeMr_37QVzcxc/edit?usp=sharing"",""สระบุรี!Q337"")+IMPORTRANGE(""https://docs.google.com/spreadsheets/d/1j51vR6CYVGhABJpv6tkstgok82RLpXieLzW1yOY5rHw/edi"&amp;"t?usp=sharing"",""สิงห์บุรี!Q337"")+IMPORTRANGE(""https://docs.google.com/spreadsheets/d/1H1EalTWKUSzO4Z1-1CwzoDUaVffgrThEBe2sl74kKG0/edit?usp=sharing"",""สุพรรณบุรี!Q337"")+IMPORTRANGE(""https://docs.google.com/spreadsheets/d/1BmIruG_sIrJLYao_Pdr7zVArWsf"&amp;"oBt2692TMi6x_854/edit?usp=sharing"",""อ่างทอง!Q337"")"),0)</f>
        <v>0</v>
      </c>
      <c r="R337" s="80">
        <f ca="1">IFERROR(__xludf.DUMMYFUNCTION("IMPORTRANGE(""https://docs.google.com/spreadsheets/d/13wPX838HrBrQMCywv1BsuMkt4PEKTChp52zj44s2izQ/edit?usp=sharing"",""กาญจนบุรี!R337"")+IMPORTRANGE(""https://docs.google.com/spreadsheets/d/1ddFKvqj1W1NEiWytbGlB1zMx_ykJDVtmfEQ-6-lIUBA/edit?usp=sharing"","&amp;"""จันทบุรี!R337"")+IMPORTRANGE(""https://docs.google.com/spreadsheets/d/1T1PQvRODqOBZk8BRht_U031fIS1beLA0Ub2CEytj2q0/edit?usp=sharing"",""ฉะเชิงเทรา!R337"")+IMPORTRANGE(""https://docs.google.com/spreadsheets/d/11tr1B-Bhyr79v2bkwVh5h_fR-PStkgjlZtkrZpYurG0/"&amp;"edit?usp=sharing"",""ชลบุรี!R337"")+IMPORTRANGE(""https://docs.google.com/spreadsheets/d/1hh-FVnSX0vozXhGluamEcS54Dw9_zqW0N7qJUWgJ0Sw/edit?usp=sharing"",""ชัยนาท!R337"")+IMPORTRANGE(""https://docs.google.com/spreadsheets/d/1jkqa6GXxSacMcY1eN8AHjMNJ_7dDXMJ"&amp;"VRLDlaFSOdPM/edit?usp=sharing"",""ตราด!R337"")+IMPORTRANGE(""https://docs.google.com/spreadsheets/d/18hSgUJ3VwClqi_qtULmmW3cLr0oe3OKaSYoKzdpTsYQ/edit?usp=sharing"",""นครนายก!R337"")+IMPORTRANGE(""https://docs.google.com/spreadsheets/d/1YTZo6WM2dQ6Ix6FSdnL"&amp;"5P7uVnVKu40sxZu975tgG10E/edit?usp=sharing"",""นครปฐม!R337"")+IMPORTRANGE(""https://docs.google.com/spreadsheets/d/1OYoGg4WDg5RIzwGeB10padOxJF9E_Vljuvvct_M7RDo/edit?usp=sharing"",""ปทุมธานี!R337"")+IMPORTRANGE(""https://docs.google.com/spreadsheets/d/1GbCI"&amp;"E4D4wk9FUozzqk7SxfDMxDVBwVmI5zcaVUSzKAc/edit?usp=sharing"",""ประจวบคีรีขันธ์!R337"")+IMPORTRANGE(""https://docs.google.com/spreadsheets/d/1vVf6wykvW_lAyu7Yo9L4hUTqHqIeP_qcVuxCtosJEbg/edit?usp=sharing"",""ปราจีนบุรี!R337"")+IMPORTRANGE(""https://docs.googl"&amp;"e.com/spreadsheets/d/1BIDqLLg5jk3v59G8NlR8rk5xfQDKne0sAvZHSj7TI6I/edit?usp=sharing"",""พระนครศรีอยุธยา!R337"")+IMPORTRANGE(""https://docs.google.com/spreadsheets/d/1YXvxf8Yu6_rV4hTBrwMqAcAnv6DfhUxh5emyM3CJp_w/edit?usp=sharing"",""เพชรบุรี!R337"")+IMPORTRA"&amp;"NGE(""https://docs.google.com/spreadsheets/d/19KBlQQs7uwvsao6t2n-KvW3Ax8J8uRRfZPq1zPbXgKc/edit?usp=sharing"",""ระยอง!R337"")+IMPORTRANGE(""https://docs.google.com/spreadsheets/d/1jQ6P4QcrGM89YfqcC_PxOHGCMq5ezhucwJd8ci-NHng/edit?usp=sharing"",""ราชบุรี!R33"&amp;"7"")+IMPORTRANGE(""https://docs.google.com/spreadsheets/d/1lufeA2cfFqM-elVq2hznhDzC6Pr7wkJ9ZG_sYNGCMCU/edit?usp=sharing"",""ลพบุรี!R337"")+IMPORTRANGE(""https://docs.google.com/spreadsheets/d/10oOiF7loTyfsTkbd4MpaIm0HQ9SwB7IYHdIUvt-U1Uc/edit?usp=sharing"""&amp;",""สระแก้ว!R337"")+IMPORTRANGE(""https://docs.google.com/spreadsheets/d/1xmPlrr1QbdSIKvl1dWUl9K4PjAfSL9oeMr_37QVzcxc/edit?usp=sharing"",""สระบุรี!R337"")+IMPORTRANGE(""https://docs.google.com/spreadsheets/d/1j51vR6CYVGhABJpv6tkstgok82RLpXieLzW1yOY5rHw/edi"&amp;"t?usp=sharing"",""สิงห์บุรี!R337"")+IMPORTRANGE(""https://docs.google.com/spreadsheets/d/1H1EalTWKUSzO4Z1-1CwzoDUaVffgrThEBe2sl74kKG0/edit?usp=sharing"",""สุพรรณบุรี!R337"")+IMPORTRANGE(""https://docs.google.com/spreadsheets/d/1BmIruG_sIrJLYao_Pdr7zVArWsf"&amp;"oBt2692TMi6x_854/edit?usp=sharing"",""อ่างทอง!R337"")"),0)</f>
        <v>0</v>
      </c>
      <c r="S337" s="80">
        <f ca="1">IFERROR(__xludf.DUMMYFUNCTION("IMPORTRANGE(""https://docs.google.com/spreadsheets/d/13wPX838HrBrQMCywv1BsuMkt4PEKTChp52zj44s2izQ/edit?usp=sharing"",""กาญจนบุรี!S337"")+IMPORTRANGE(""https://docs.google.com/spreadsheets/d/1ddFKvqj1W1NEiWytbGlB1zMx_ykJDVtmfEQ-6-lIUBA/edit?usp=sharing"","&amp;"""จันทบุรี!S337"")+IMPORTRANGE(""https://docs.google.com/spreadsheets/d/1T1PQvRODqOBZk8BRht_U031fIS1beLA0Ub2CEytj2q0/edit?usp=sharing"",""ฉะเชิงเทรา!S337"")+IMPORTRANGE(""https://docs.google.com/spreadsheets/d/11tr1B-Bhyr79v2bkwVh5h_fR-PStkgjlZtkrZpYurG0/"&amp;"edit?usp=sharing"",""ชลบุรี!S337"")+IMPORTRANGE(""https://docs.google.com/spreadsheets/d/1hh-FVnSX0vozXhGluamEcS54Dw9_zqW0N7qJUWgJ0Sw/edit?usp=sharing"",""ชัยนาท!S337"")+IMPORTRANGE(""https://docs.google.com/spreadsheets/d/1jkqa6GXxSacMcY1eN8AHjMNJ_7dDXMJ"&amp;"VRLDlaFSOdPM/edit?usp=sharing"",""ตราด!S337"")+IMPORTRANGE(""https://docs.google.com/spreadsheets/d/18hSgUJ3VwClqi_qtULmmW3cLr0oe3OKaSYoKzdpTsYQ/edit?usp=sharing"",""นครนายก!S337"")+IMPORTRANGE(""https://docs.google.com/spreadsheets/d/1YTZo6WM2dQ6Ix6FSdnL"&amp;"5P7uVnVKu40sxZu975tgG10E/edit?usp=sharing"",""นครปฐม!S337"")+IMPORTRANGE(""https://docs.google.com/spreadsheets/d/1OYoGg4WDg5RIzwGeB10padOxJF9E_Vljuvvct_M7RDo/edit?usp=sharing"",""ปทุมธานี!S337"")+IMPORTRANGE(""https://docs.google.com/spreadsheets/d/1GbCI"&amp;"E4D4wk9FUozzqk7SxfDMxDVBwVmI5zcaVUSzKAc/edit?usp=sharing"",""ประจวบคีรีขันธ์!S337"")+IMPORTRANGE(""https://docs.google.com/spreadsheets/d/1vVf6wykvW_lAyu7Yo9L4hUTqHqIeP_qcVuxCtosJEbg/edit?usp=sharing"",""ปราจีนบุรี!S337"")+IMPORTRANGE(""https://docs.googl"&amp;"e.com/spreadsheets/d/1BIDqLLg5jk3v59G8NlR8rk5xfQDKne0sAvZHSj7TI6I/edit?usp=sharing"",""พระนครศรีอยุธยา!S337"")+IMPORTRANGE(""https://docs.google.com/spreadsheets/d/1YXvxf8Yu6_rV4hTBrwMqAcAnv6DfhUxh5emyM3CJp_w/edit?usp=sharing"",""เพชรบุรี!S337"")+IMPORTRA"&amp;"NGE(""https://docs.google.com/spreadsheets/d/19KBlQQs7uwvsao6t2n-KvW3Ax8J8uRRfZPq1zPbXgKc/edit?usp=sharing"",""ระยอง!S337"")+IMPORTRANGE(""https://docs.google.com/spreadsheets/d/1jQ6P4QcrGM89YfqcC_PxOHGCMq5ezhucwJd8ci-NHng/edit?usp=sharing"",""ราชบุรี!S33"&amp;"7"")+IMPORTRANGE(""https://docs.google.com/spreadsheets/d/1lufeA2cfFqM-elVq2hznhDzC6Pr7wkJ9ZG_sYNGCMCU/edit?usp=sharing"",""ลพบุรี!S337"")+IMPORTRANGE(""https://docs.google.com/spreadsheets/d/10oOiF7loTyfsTkbd4MpaIm0HQ9SwB7IYHdIUvt-U1Uc/edit?usp=sharing"""&amp;",""สระแก้ว!S337"")+IMPORTRANGE(""https://docs.google.com/spreadsheets/d/1xmPlrr1QbdSIKvl1dWUl9K4PjAfSL9oeMr_37QVzcxc/edit?usp=sharing"",""สระบุรี!S337"")+IMPORTRANGE(""https://docs.google.com/spreadsheets/d/1j51vR6CYVGhABJpv6tkstgok82RLpXieLzW1yOY5rHw/edi"&amp;"t?usp=sharing"",""สิงห์บุรี!S337"")+IMPORTRANGE(""https://docs.google.com/spreadsheets/d/1H1EalTWKUSzO4Z1-1CwzoDUaVffgrThEBe2sl74kKG0/edit?usp=sharing"",""สุพรรณบุรี!S337"")+IMPORTRANGE(""https://docs.google.com/spreadsheets/d/1BmIruG_sIrJLYao_Pdr7zVArWsf"&amp;"oBt2692TMi6x_854/edit?usp=sharing"",""อ่างทอง!S337"")"),0)</f>
        <v>0</v>
      </c>
      <c r="T337" s="136">
        <f t="shared" ca="1" si="248"/>
        <v>0</v>
      </c>
      <c r="U337" s="136">
        <f t="shared" ca="1" si="249"/>
        <v>0</v>
      </c>
    </row>
    <row r="338" spans="1:21" ht="18.75" x14ac:dyDescent="0.25">
      <c r="A338" s="211"/>
      <c r="B338" s="70"/>
      <c r="C338" s="70"/>
      <c r="D338" s="70"/>
      <c r="E338" s="78" t="s">
        <v>37</v>
      </c>
      <c r="F338" s="70"/>
      <c r="G338" s="72"/>
      <c r="H338" s="220" t="s">
        <v>14</v>
      </c>
      <c r="I338" s="221"/>
      <c r="J338" s="221"/>
      <c r="K338" s="222"/>
      <c r="L338" s="91">
        <f ca="1">IFERROR(__xludf.DUMMYFUNCTION("IMPORTRANGE(""https://docs.google.com/spreadsheets/d/13wPX838HrBrQMCywv1BsuMkt4PEKTChp52zj44s2izQ/edit?usp=sharing"",""กาญจนบุรี!L338"")+IMPORTRANGE(""https://docs.google.com/spreadsheets/d/1ddFKvqj1W1NEiWytbGlB1zMx_ykJDVtmfEQ-6-lIUBA/edit?usp=sharing"","&amp;"""จันทบุรี!L338"")+IMPORTRANGE(""https://docs.google.com/spreadsheets/d/1T1PQvRODqOBZk8BRht_U031fIS1beLA0Ub2CEytj2q0/edit?usp=sharing"",""ฉะเชิงเทรา!L338"")+IMPORTRANGE(""https://docs.google.com/spreadsheets/d/11tr1B-Bhyr79v2bkwVh5h_fR-PStkgjlZtkrZpYurG0/"&amp;"edit?usp=sharing"",""ชลบุรี!L338"")+IMPORTRANGE(""https://docs.google.com/spreadsheets/d/1hh-FVnSX0vozXhGluamEcS54Dw9_zqW0N7qJUWgJ0Sw/edit?usp=sharing"",""ชัยนาท!L338"")+IMPORTRANGE(""https://docs.google.com/spreadsheets/d/1jkqa6GXxSacMcY1eN8AHjMNJ_7dDXMJ"&amp;"VRLDlaFSOdPM/edit?usp=sharing"",""ตราด!L338"")+IMPORTRANGE(""https://docs.google.com/spreadsheets/d/18hSgUJ3VwClqi_qtULmmW3cLr0oe3OKaSYoKzdpTsYQ/edit?usp=sharing"",""นครนายก!L338"")+IMPORTRANGE(""https://docs.google.com/spreadsheets/d/1YTZo6WM2dQ6Ix6FSdnL"&amp;"5P7uVnVKu40sxZu975tgG10E/edit?usp=sharing"",""นครปฐม!L338"")+IMPORTRANGE(""https://docs.google.com/spreadsheets/d/1OYoGg4WDg5RIzwGeB10padOxJF9E_Vljuvvct_M7RDo/edit?usp=sharing"",""ปทุมธานี!L338"")+IMPORTRANGE(""https://docs.google.com/spreadsheets/d/1GbCI"&amp;"E4D4wk9FUozzqk7SxfDMxDVBwVmI5zcaVUSzKAc/edit?usp=sharing"",""ประจวบคีรีขันธ์!L338"")+IMPORTRANGE(""https://docs.google.com/spreadsheets/d/1vVf6wykvW_lAyu7Yo9L4hUTqHqIeP_qcVuxCtosJEbg/edit?usp=sharing"",""ปราจีนบุรี!L338"")+IMPORTRANGE(""https://docs.googl"&amp;"e.com/spreadsheets/d/1BIDqLLg5jk3v59G8NlR8rk5xfQDKne0sAvZHSj7TI6I/edit?usp=sharing"",""พระนครศรีอยุธยา!L338"")+IMPORTRANGE(""https://docs.google.com/spreadsheets/d/1YXvxf8Yu6_rV4hTBrwMqAcAnv6DfhUxh5emyM3CJp_w/edit?usp=sharing"",""เพชรบุรี!L338"")+IMPORTRA"&amp;"NGE(""https://docs.google.com/spreadsheets/d/19KBlQQs7uwvsao6t2n-KvW3Ax8J8uRRfZPq1zPbXgKc/edit?usp=sharing"",""ระยอง!L338"")+IMPORTRANGE(""https://docs.google.com/spreadsheets/d/1jQ6P4QcrGM89YfqcC_PxOHGCMq5ezhucwJd8ci-NHng/edit?usp=sharing"",""ราชบุรี!L33"&amp;"8"")+IMPORTRANGE(""https://docs.google.com/spreadsheets/d/1lufeA2cfFqM-elVq2hznhDzC6Pr7wkJ9ZG_sYNGCMCU/edit?usp=sharing"",""ลพบุรี!L338"")+IMPORTRANGE(""https://docs.google.com/spreadsheets/d/10oOiF7loTyfsTkbd4MpaIm0HQ9SwB7IYHdIUvt-U1Uc/edit?usp=sharing"""&amp;",""สระแก้ว!L338"")+IMPORTRANGE(""https://docs.google.com/spreadsheets/d/1xmPlrr1QbdSIKvl1dWUl9K4PjAfSL9oeMr_37QVzcxc/edit?usp=sharing"",""สระบุรี!L338"")+IMPORTRANGE(""https://docs.google.com/spreadsheets/d/1j51vR6CYVGhABJpv6tkstgok82RLpXieLzW1yOY5rHw/edi"&amp;"t?usp=sharing"",""สิงห์บุรี!L338"")+IMPORTRANGE(""https://docs.google.com/spreadsheets/d/1H1EalTWKUSzO4Z1-1CwzoDUaVffgrThEBe2sl74kKG0/edit?usp=sharing"",""สุพรรณบุรี!L338"")+IMPORTRANGE(""https://docs.google.com/spreadsheets/d/1BmIruG_sIrJLYao_Pdr7zVArWsf"&amp;"oBt2692TMi6x_854/edit?usp=sharing"",""อ่างทอง!L338"")"),4015000)</f>
        <v>4015000</v>
      </c>
      <c r="M338" s="91">
        <f ca="1">IFERROR(__xludf.DUMMYFUNCTION("IMPORTRANGE(""https://docs.google.com/spreadsheets/d/13wPX838HrBrQMCywv1BsuMkt4PEKTChp52zj44s2izQ/edit?usp=sharing"",""กาญจนบุรี!M338"")+IMPORTRANGE(""https://docs.google.com/spreadsheets/d/1ddFKvqj1W1NEiWytbGlB1zMx_ykJDVtmfEQ-6-lIUBA/edit?usp=sharing"","&amp;"""จันทบุรี!M338"")+IMPORTRANGE(""https://docs.google.com/spreadsheets/d/1T1PQvRODqOBZk8BRht_U031fIS1beLA0Ub2CEytj2q0/edit?usp=sharing"",""ฉะเชิงเทรา!M338"")+IMPORTRANGE(""https://docs.google.com/spreadsheets/d/11tr1B-Bhyr79v2bkwVh5h_fR-PStkgjlZtkrZpYurG0/"&amp;"edit?usp=sharing"",""ชลบุรี!M338"")+IMPORTRANGE(""https://docs.google.com/spreadsheets/d/1hh-FVnSX0vozXhGluamEcS54Dw9_zqW0N7qJUWgJ0Sw/edit?usp=sharing"",""ชัยนาท!M338"")+IMPORTRANGE(""https://docs.google.com/spreadsheets/d/1jkqa6GXxSacMcY1eN8AHjMNJ_7dDXMJ"&amp;"VRLDlaFSOdPM/edit?usp=sharing"",""ตราด!M338"")+IMPORTRANGE(""https://docs.google.com/spreadsheets/d/18hSgUJ3VwClqi_qtULmmW3cLr0oe3OKaSYoKzdpTsYQ/edit?usp=sharing"",""นครนายก!M338"")+IMPORTRANGE(""https://docs.google.com/spreadsheets/d/1YTZo6WM2dQ6Ix6FSdnL"&amp;"5P7uVnVKu40sxZu975tgG10E/edit?usp=sharing"",""นครปฐม!M338"")+IMPORTRANGE(""https://docs.google.com/spreadsheets/d/1OYoGg4WDg5RIzwGeB10padOxJF9E_Vljuvvct_M7RDo/edit?usp=sharing"",""ปทุมธานี!M338"")+IMPORTRANGE(""https://docs.google.com/spreadsheets/d/1GbCI"&amp;"E4D4wk9FUozzqk7SxfDMxDVBwVmI5zcaVUSzKAc/edit?usp=sharing"",""ประจวบคีรีขันธ์!M338"")+IMPORTRANGE(""https://docs.google.com/spreadsheets/d/1vVf6wykvW_lAyu7Yo9L4hUTqHqIeP_qcVuxCtosJEbg/edit?usp=sharing"",""ปราจีนบุรี!M338"")+IMPORTRANGE(""https://docs.googl"&amp;"e.com/spreadsheets/d/1BIDqLLg5jk3v59G8NlR8rk5xfQDKne0sAvZHSj7TI6I/edit?usp=sharing"",""พระนครศรีอยุธยา!M338"")+IMPORTRANGE(""https://docs.google.com/spreadsheets/d/1YXvxf8Yu6_rV4hTBrwMqAcAnv6DfhUxh5emyM3CJp_w/edit?usp=sharing"",""เพชรบุรี!M338"")+IMPORTRA"&amp;"NGE(""https://docs.google.com/spreadsheets/d/19KBlQQs7uwvsao6t2n-KvW3Ax8J8uRRfZPq1zPbXgKc/edit?usp=sharing"",""ระยอง!M338"")+IMPORTRANGE(""https://docs.google.com/spreadsheets/d/1jQ6P4QcrGM89YfqcC_PxOHGCMq5ezhucwJd8ci-NHng/edit?usp=sharing"",""ราชบุรี!M33"&amp;"8"")+IMPORTRANGE(""https://docs.google.com/spreadsheets/d/1lufeA2cfFqM-elVq2hznhDzC6Pr7wkJ9ZG_sYNGCMCU/edit?usp=sharing"",""ลพบุรี!M338"")+IMPORTRANGE(""https://docs.google.com/spreadsheets/d/10oOiF7loTyfsTkbd4MpaIm0HQ9SwB7IYHdIUvt-U1Uc/edit?usp=sharing"""&amp;",""สระแก้ว!M338"")+IMPORTRANGE(""https://docs.google.com/spreadsheets/d/1xmPlrr1QbdSIKvl1dWUl9K4PjAfSL9oeMr_37QVzcxc/edit?usp=sharing"",""สระบุรี!M338"")+IMPORTRANGE(""https://docs.google.com/spreadsheets/d/1j51vR6CYVGhABJpv6tkstgok82RLpXieLzW1yOY5rHw/edi"&amp;"t?usp=sharing"",""สิงห์บุรี!M338"")+IMPORTRANGE(""https://docs.google.com/spreadsheets/d/1H1EalTWKUSzO4Z1-1CwzoDUaVffgrThEBe2sl74kKG0/edit?usp=sharing"",""สุพรรณบุรี!M338"")+IMPORTRANGE(""https://docs.google.com/spreadsheets/d/1BmIruG_sIrJLYao_Pdr7zVArWsf"&amp;"oBt2692TMi6x_854/edit?usp=sharing"",""อ่างทอง!M338"")"),4095000)</f>
        <v>4095000</v>
      </c>
      <c r="N338" s="91">
        <f ca="1">IFERROR(__xludf.DUMMYFUNCTION("IMPORTRANGE(""https://docs.google.com/spreadsheets/d/13wPX838HrBrQMCywv1BsuMkt4PEKTChp52zj44s2izQ/edit?usp=sharing"",""กาญจนบุรี!N338"")+IMPORTRANGE(""https://docs.google.com/spreadsheets/d/1ddFKvqj1W1NEiWytbGlB1zMx_ykJDVtmfEQ-6-lIUBA/edit?usp=sharing"","&amp;"""จันทบุรี!N338"")+IMPORTRANGE(""https://docs.google.com/spreadsheets/d/1T1PQvRODqOBZk8BRht_U031fIS1beLA0Ub2CEytj2q0/edit?usp=sharing"",""ฉะเชิงเทรา!N338"")+IMPORTRANGE(""https://docs.google.com/spreadsheets/d/11tr1B-Bhyr79v2bkwVh5h_fR-PStkgjlZtkrZpYurG0/"&amp;"edit?usp=sharing"",""ชลบุรี!N338"")+IMPORTRANGE(""https://docs.google.com/spreadsheets/d/1hh-FVnSX0vozXhGluamEcS54Dw9_zqW0N7qJUWgJ0Sw/edit?usp=sharing"",""ชัยนาท!N338"")+IMPORTRANGE(""https://docs.google.com/spreadsheets/d/1jkqa6GXxSacMcY1eN8AHjMNJ_7dDXMJ"&amp;"VRLDlaFSOdPM/edit?usp=sharing"",""ตราด!N338"")+IMPORTRANGE(""https://docs.google.com/spreadsheets/d/18hSgUJ3VwClqi_qtULmmW3cLr0oe3OKaSYoKzdpTsYQ/edit?usp=sharing"",""นครนายก!N338"")+IMPORTRANGE(""https://docs.google.com/spreadsheets/d/1YTZo6WM2dQ6Ix6FSdnL"&amp;"5P7uVnVKu40sxZu975tgG10E/edit?usp=sharing"",""นครปฐม!N338"")+IMPORTRANGE(""https://docs.google.com/spreadsheets/d/1OYoGg4WDg5RIzwGeB10padOxJF9E_Vljuvvct_M7RDo/edit?usp=sharing"",""ปทุมธานี!N338"")+IMPORTRANGE(""https://docs.google.com/spreadsheets/d/1GbCI"&amp;"E4D4wk9FUozzqk7SxfDMxDVBwVmI5zcaVUSzKAc/edit?usp=sharing"",""ประจวบคีรีขันธ์!N338"")+IMPORTRANGE(""https://docs.google.com/spreadsheets/d/1vVf6wykvW_lAyu7Yo9L4hUTqHqIeP_qcVuxCtosJEbg/edit?usp=sharing"",""ปราจีนบุรี!N338"")+IMPORTRANGE(""https://docs.googl"&amp;"e.com/spreadsheets/d/1BIDqLLg5jk3v59G8NlR8rk5xfQDKne0sAvZHSj7TI6I/edit?usp=sharing"",""พระนครศรีอยุธยา!N338"")+IMPORTRANGE(""https://docs.google.com/spreadsheets/d/1YXvxf8Yu6_rV4hTBrwMqAcAnv6DfhUxh5emyM3CJp_w/edit?usp=sharing"",""เพชรบุรี!N338"")+IMPORTRA"&amp;"NGE(""https://docs.google.com/spreadsheets/d/19KBlQQs7uwvsao6t2n-KvW3Ax8J8uRRfZPq1zPbXgKc/edit?usp=sharing"",""ระยอง!N338"")+IMPORTRANGE(""https://docs.google.com/spreadsheets/d/1jQ6P4QcrGM89YfqcC_PxOHGCMq5ezhucwJd8ci-NHng/edit?usp=sharing"",""ราชบุรี!N33"&amp;"8"")+IMPORTRANGE(""https://docs.google.com/spreadsheets/d/1lufeA2cfFqM-elVq2hznhDzC6Pr7wkJ9ZG_sYNGCMCU/edit?usp=sharing"",""ลพบุรี!N338"")+IMPORTRANGE(""https://docs.google.com/spreadsheets/d/10oOiF7loTyfsTkbd4MpaIm0HQ9SwB7IYHdIUvt-U1Uc/edit?usp=sharing"""&amp;",""สระแก้ว!N338"")+IMPORTRANGE(""https://docs.google.com/spreadsheets/d/1xmPlrr1QbdSIKvl1dWUl9K4PjAfSL9oeMr_37QVzcxc/edit?usp=sharing"",""สระบุรี!N338"")+IMPORTRANGE(""https://docs.google.com/spreadsheets/d/1j51vR6CYVGhABJpv6tkstgok82RLpXieLzW1yOY5rHw/edi"&amp;"t?usp=sharing"",""สิงห์บุรี!N338"")+IMPORTRANGE(""https://docs.google.com/spreadsheets/d/1H1EalTWKUSzO4Z1-1CwzoDUaVffgrThEBe2sl74kKG0/edit?usp=sharing"",""สุพรรณบุรี!N338"")+IMPORTRANGE(""https://docs.google.com/spreadsheets/d/1BmIruG_sIrJLYao_Pdr7zVArWsf"&amp;"oBt2692TMi6x_854/edit?usp=sharing"",""อ่างทอง!N338"")"),3170071)</f>
        <v>3170071</v>
      </c>
      <c r="O338" s="91">
        <f t="shared" ca="1" si="245"/>
        <v>78.95569115815691</v>
      </c>
      <c r="P338" s="91">
        <f t="shared" ca="1" si="246"/>
        <v>77.413211233211229</v>
      </c>
      <c r="Q338" s="76">
        <f ca="1">IFERROR(__xludf.DUMMYFUNCTION("IMPORTRANGE(""https://docs.google.com/spreadsheets/d/13wPX838HrBrQMCywv1BsuMkt4PEKTChp52zj44s2izQ/edit?usp=sharing"",""กาญจนบุรี!Q338"")+IMPORTRANGE(""https://docs.google.com/spreadsheets/d/1ddFKvqj1W1NEiWytbGlB1zMx_ykJDVtmfEQ-6-lIUBA/edit?usp=sharing"","&amp;"""จันทบุรี!Q338"")+IMPORTRANGE(""https://docs.google.com/spreadsheets/d/1T1PQvRODqOBZk8BRht_U031fIS1beLA0Ub2CEytj2q0/edit?usp=sharing"",""ฉะเชิงเทรา!Q338"")+IMPORTRANGE(""https://docs.google.com/spreadsheets/d/11tr1B-Bhyr79v2bkwVh5h_fR-PStkgjlZtkrZpYurG0/"&amp;"edit?usp=sharing"",""ชลบุรี!Q338"")+IMPORTRANGE(""https://docs.google.com/spreadsheets/d/1hh-FVnSX0vozXhGluamEcS54Dw9_zqW0N7qJUWgJ0Sw/edit?usp=sharing"",""ชัยนาท!Q338"")+IMPORTRANGE(""https://docs.google.com/spreadsheets/d/1jkqa6GXxSacMcY1eN8AHjMNJ_7dDXMJ"&amp;"VRLDlaFSOdPM/edit?usp=sharing"",""ตราด!Q338"")+IMPORTRANGE(""https://docs.google.com/spreadsheets/d/18hSgUJ3VwClqi_qtULmmW3cLr0oe3OKaSYoKzdpTsYQ/edit?usp=sharing"",""นครนายก!Q338"")+IMPORTRANGE(""https://docs.google.com/spreadsheets/d/1YTZo6WM2dQ6Ix6FSdnL"&amp;"5P7uVnVKu40sxZu975tgG10E/edit?usp=sharing"",""นครปฐม!Q338"")+IMPORTRANGE(""https://docs.google.com/spreadsheets/d/1OYoGg4WDg5RIzwGeB10padOxJF9E_Vljuvvct_M7RDo/edit?usp=sharing"",""ปทุมธานี!Q338"")+IMPORTRANGE(""https://docs.google.com/spreadsheets/d/1GbCI"&amp;"E4D4wk9FUozzqk7SxfDMxDVBwVmI5zcaVUSzKAc/edit?usp=sharing"",""ประจวบคีรีขันธ์!Q338"")+IMPORTRANGE(""https://docs.google.com/spreadsheets/d/1vVf6wykvW_lAyu7Yo9L4hUTqHqIeP_qcVuxCtosJEbg/edit?usp=sharing"",""ปราจีนบุรี!Q338"")+IMPORTRANGE(""https://docs.googl"&amp;"e.com/spreadsheets/d/1BIDqLLg5jk3v59G8NlR8rk5xfQDKne0sAvZHSj7TI6I/edit?usp=sharing"",""พระนครศรีอยุธยา!Q338"")+IMPORTRANGE(""https://docs.google.com/spreadsheets/d/1YXvxf8Yu6_rV4hTBrwMqAcAnv6DfhUxh5emyM3CJp_w/edit?usp=sharing"",""เพชรบุรี!Q338"")+IMPORTRA"&amp;"NGE(""https://docs.google.com/spreadsheets/d/19KBlQQs7uwvsao6t2n-KvW3Ax8J8uRRfZPq1zPbXgKc/edit?usp=sharing"",""ระยอง!Q338"")+IMPORTRANGE(""https://docs.google.com/spreadsheets/d/1jQ6P4QcrGM89YfqcC_PxOHGCMq5ezhucwJd8ci-NHng/edit?usp=sharing"",""ราชบุรี!Q33"&amp;"8"")+IMPORTRANGE(""https://docs.google.com/spreadsheets/d/1lufeA2cfFqM-elVq2hznhDzC6Pr7wkJ9ZG_sYNGCMCU/edit?usp=sharing"",""ลพบุรี!Q338"")+IMPORTRANGE(""https://docs.google.com/spreadsheets/d/10oOiF7loTyfsTkbd4MpaIm0HQ9SwB7IYHdIUvt-U1Uc/edit?usp=sharing"""&amp;",""สระแก้ว!Q338"")+IMPORTRANGE(""https://docs.google.com/spreadsheets/d/1xmPlrr1QbdSIKvl1dWUl9K4PjAfSL9oeMr_37QVzcxc/edit?usp=sharing"",""สระบุรี!Q338"")+IMPORTRANGE(""https://docs.google.com/spreadsheets/d/1j51vR6CYVGhABJpv6tkstgok82RLpXieLzW1yOY5rHw/edi"&amp;"t?usp=sharing"",""สิงห์บุรี!Q338"")+IMPORTRANGE(""https://docs.google.com/spreadsheets/d/1H1EalTWKUSzO4Z1-1CwzoDUaVffgrThEBe2sl74kKG0/edit?usp=sharing"",""สุพรรณบุรี!Q338"")+IMPORTRANGE(""https://docs.google.com/spreadsheets/d/1BmIruG_sIrJLYao_Pdr7zVArWsf"&amp;"oBt2692TMi6x_854/edit?usp=sharing"",""อ่างทอง!Q338"")"),0)</f>
        <v>0</v>
      </c>
      <c r="R338" s="77">
        <f ca="1">IFERROR(__xludf.DUMMYFUNCTION("IMPORTRANGE(""https://docs.google.com/spreadsheets/d/13wPX838HrBrQMCywv1BsuMkt4PEKTChp52zj44s2izQ/edit?usp=sharing"",""กาญจนบุรี!R338"")+IMPORTRANGE(""https://docs.google.com/spreadsheets/d/1ddFKvqj1W1NEiWytbGlB1zMx_ykJDVtmfEQ-6-lIUBA/edit?usp=sharing"","&amp;"""จันทบุรี!R338"")+IMPORTRANGE(""https://docs.google.com/spreadsheets/d/1T1PQvRODqOBZk8BRht_U031fIS1beLA0Ub2CEytj2q0/edit?usp=sharing"",""ฉะเชิงเทรา!R338"")+IMPORTRANGE(""https://docs.google.com/spreadsheets/d/11tr1B-Bhyr79v2bkwVh5h_fR-PStkgjlZtkrZpYurG0/"&amp;"edit?usp=sharing"",""ชลบุรี!R338"")+IMPORTRANGE(""https://docs.google.com/spreadsheets/d/1hh-FVnSX0vozXhGluamEcS54Dw9_zqW0N7qJUWgJ0Sw/edit?usp=sharing"",""ชัยนาท!R338"")+IMPORTRANGE(""https://docs.google.com/spreadsheets/d/1jkqa6GXxSacMcY1eN8AHjMNJ_7dDXMJ"&amp;"VRLDlaFSOdPM/edit?usp=sharing"",""ตราด!R338"")+IMPORTRANGE(""https://docs.google.com/spreadsheets/d/18hSgUJ3VwClqi_qtULmmW3cLr0oe3OKaSYoKzdpTsYQ/edit?usp=sharing"",""นครนายก!R338"")+IMPORTRANGE(""https://docs.google.com/spreadsheets/d/1YTZo6WM2dQ6Ix6FSdnL"&amp;"5P7uVnVKu40sxZu975tgG10E/edit?usp=sharing"",""นครปฐม!R338"")+IMPORTRANGE(""https://docs.google.com/spreadsheets/d/1OYoGg4WDg5RIzwGeB10padOxJF9E_Vljuvvct_M7RDo/edit?usp=sharing"",""ปทุมธานี!R338"")+IMPORTRANGE(""https://docs.google.com/spreadsheets/d/1GbCI"&amp;"E4D4wk9FUozzqk7SxfDMxDVBwVmI5zcaVUSzKAc/edit?usp=sharing"",""ประจวบคีรีขันธ์!R338"")+IMPORTRANGE(""https://docs.google.com/spreadsheets/d/1vVf6wykvW_lAyu7Yo9L4hUTqHqIeP_qcVuxCtosJEbg/edit?usp=sharing"",""ปราจีนบุรี!R338"")+IMPORTRANGE(""https://docs.googl"&amp;"e.com/spreadsheets/d/1BIDqLLg5jk3v59G8NlR8rk5xfQDKne0sAvZHSj7TI6I/edit?usp=sharing"",""พระนครศรีอยุธยา!R338"")+IMPORTRANGE(""https://docs.google.com/spreadsheets/d/1YXvxf8Yu6_rV4hTBrwMqAcAnv6DfhUxh5emyM3CJp_w/edit?usp=sharing"",""เพชรบุรี!R338"")+IMPORTRA"&amp;"NGE(""https://docs.google.com/spreadsheets/d/19KBlQQs7uwvsao6t2n-KvW3Ax8J8uRRfZPq1zPbXgKc/edit?usp=sharing"",""ระยอง!R338"")+IMPORTRANGE(""https://docs.google.com/spreadsheets/d/1jQ6P4QcrGM89YfqcC_PxOHGCMq5ezhucwJd8ci-NHng/edit?usp=sharing"",""ราชบุรี!R33"&amp;"8"")+IMPORTRANGE(""https://docs.google.com/spreadsheets/d/1lufeA2cfFqM-elVq2hznhDzC6Pr7wkJ9ZG_sYNGCMCU/edit?usp=sharing"",""ลพบุรี!R338"")+IMPORTRANGE(""https://docs.google.com/spreadsheets/d/10oOiF7loTyfsTkbd4MpaIm0HQ9SwB7IYHdIUvt-U1Uc/edit?usp=sharing"""&amp;",""สระแก้ว!R338"")+IMPORTRANGE(""https://docs.google.com/spreadsheets/d/1xmPlrr1QbdSIKvl1dWUl9K4PjAfSL9oeMr_37QVzcxc/edit?usp=sharing"",""สระบุรี!R338"")+IMPORTRANGE(""https://docs.google.com/spreadsheets/d/1j51vR6CYVGhABJpv6tkstgok82RLpXieLzW1yOY5rHw/edi"&amp;"t?usp=sharing"",""สิงห์บุรี!R338"")+IMPORTRANGE(""https://docs.google.com/spreadsheets/d/1H1EalTWKUSzO4Z1-1CwzoDUaVffgrThEBe2sl74kKG0/edit?usp=sharing"",""สุพรรณบุรี!R338"")+IMPORTRANGE(""https://docs.google.com/spreadsheets/d/1BmIruG_sIrJLYao_Pdr7zVArWsf"&amp;"oBt2692TMi6x_854/edit?usp=sharing"",""อ่างทอง!R338"")"),0)</f>
        <v>0</v>
      </c>
      <c r="S338" s="77">
        <f ca="1">IFERROR(__xludf.DUMMYFUNCTION("IMPORTRANGE(""https://docs.google.com/spreadsheets/d/13wPX838HrBrQMCywv1BsuMkt4PEKTChp52zj44s2izQ/edit?usp=sharing"",""กาญจนบุรี!S338"")+IMPORTRANGE(""https://docs.google.com/spreadsheets/d/1ddFKvqj1W1NEiWytbGlB1zMx_ykJDVtmfEQ-6-lIUBA/edit?usp=sharing"","&amp;"""จันทบุรี!S338"")+IMPORTRANGE(""https://docs.google.com/spreadsheets/d/1T1PQvRODqOBZk8BRht_U031fIS1beLA0Ub2CEytj2q0/edit?usp=sharing"",""ฉะเชิงเทรา!S338"")+IMPORTRANGE(""https://docs.google.com/spreadsheets/d/11tr1B-Bhyr79v2bkwVh5h_fR-PStkgjlZtkrZpYurG0/"&amp;"edit?usp=sharing"",""ชลบุรี!S338"")+IMPORTRANGE(""https://docs.google.com/spreadsheets/d/1hh-FVnSX0vozXhGluamEcS54Dw9_zqW0N7qJUWgJ0Sw/edit?usp=sharing"",""ชัยนาท!S338"")+IMPORTRANGE(""https://docs.google.com/spreadsheets/d/1jkqa6GXxSacMcY1eN8AHjMNJ_7dDXMJ"&amp;"VRLDlaFSOdPM/edit?usp=sharing"",""ตราด!S338"")+IMPORTRANGE(""https://docs.google.com/spreadsheets/d/18hSgUJ3VwClqi_qtULmmW3cLr0oe3OKaSYoKzdpTsYQ/edit?usp=sharing"",""นครนายก!S338"")+IMPORTRANGE(""https://docs.google.com/spreadsheets/d/1YTZo6WM2dQ6Ix6FSdnL"&amp;"5P7uVnVKu40sxZu975tgG10E/edit?usp=sharing"",""นครปฐม!S338"")+IMPORTRANGE(""https://docs.google.com/spreadsheets/d/1OYoGg4WDg5RIzwGeB10padOxJF9E_Vljuvvct_M7RDo/edit?usp=sharing"",""ปทุมธานี!S338"")+IMPORTRANGE(""https://docs.google.com/spreadsheets/d/1GbCI"&amp;"E4D4wk9FUozzqk7SxfDMxDVBwVmI5zcaVUSzKAc/edit?usp=sharing"",""ประจวบคีรีขันธ์!S338"")+IMPORTRANGE(""https://docs.google.com/spreadsheets/d/1vVf6wykvW_lAyu7Yo9L4hUTqHqIeP_qcVuxCtosJEbg/edit?usp=sharing"",""ปราจีนบุรี!S338"")+IMPORTRANGE(""https://docs.googl"&amp;"e.com/spreadsheets/d/1BIDqLLg5jk3v59G8NlR8rk5xfQDKne0sAvZHSj7TI6I/edit?usp=sharing"",""พระนครศรีอยุธยา!S338"")+IMPORTRANGE(""https://docs.google.com/spreadsheets/d/1YXvxf8Yu6_rV4hTBrwMqAcAnv6DfhUxh5emyM3CJp_w/edit?usp=sharing"",""เพชรบุรี!S338"")+IMPORTRA"&amp;"NGE(""https://docs.google.com/spreadsheets/d/19KBlQQs7uwvsao6t2n-KvW3Ax8J8uRRfZPq1zPbXgKc/edit?usp=sharing"",""ระยอง!S338"")+IMPORTRANGE(""https://docs.google.com/spreadsheets/d/1jQ6P4QcrGM89YfqcC_PxOHGCMq5ezhucwJd8ci-NHng/edit?usp=sharing"",""ราชบุรี!S33"&amp;"8"")+IMPORTRANGE(""https://docs.google.com/spreadsheets/d/1lufeA2cfFqM-elVq2hznhDzC6Pr7wkJ9ZG_sYNGCMCU/edit?usp=sharing"",""ลพบุรี!S338"")+IMPORTRANGE(""https://docs.google.com/spreadsheets/d/10oOiF7loTyfsTkbd4MpaIm0HQ9SwB7IYHdIUvt-U1Uc/edit?usp=sharing"""&amp;",""สระแก้ว!S338"")+IMPORTRANGE(""https://docs.google.com/spreadsheets/d/1xmPlrr1QbdSIKvl1dWUl9K4PjAfSL9oeMr_37QVzcxc/edit?usp=sharing"",""สระบุรี!S338"")+IMPORTRANGE(""https://docs.google.com/spreadsheets/d/1j51vR6CYVGhABJpv6tkstgok82RLpXieLzW1yOY5rHw/edi"&amp;"t?usp=sharing"",""สิงห์บุรี!S338"")+IMPORTRANGE(""https://docs.google.com/spreadsheets/d/1H1EalTWKUSzO4Z1-1CwzoDUaVffgrThEBe2sl74kKG0/edit?usp=sharing"",""สุพรรณบุรี!S338"")+IMPORTRANGE(""https://docs.google.com/spreadsheets/d/1BmIruG_sIrJLYao_Pdr7zVArWsf"&amp;"oBt2692TMi6x_854/edit?usp=sharing"",""อ่างทอง!S338"")"),0)</f>
        <v>0</v>
      </c>
      <c r="T338" s="135">
        <f t="shared" ca="1" si="248"/>
        <v>0</v>
      </c>
      <c r="U338" s="135">
        <f t="shared" ca="1" si="249"/>
        <v>0</v>
      </c>
    </row>
    <row r="339" spans="1:21" ht="18.75" x14ac:dyDescent="0.25">
      <c r="A339" s="211"/>
      <c r="B339" s="70"/>
      <c r="C339" s="70"/>
      <c r="D339" s="71" t="s">
        <v>23</v>
      </c>
      <c r="E339" s="70"/>
      <c r="F339" s="70"/>
      <c r="G339" s="72"/>
      <c r="H339" s="223" t="s">
        <v>14</v>
      </c>
      <c r="I339" s="221"/>
      <c r="J339" s="221"/>
      <c r="K339" s="222"/>
      <c r="L339" s="91">
        <f t="shared" ref="L339:N339" ca="1" si="256">L340+L341</f>
        <v>0</v>
      </c>
      <c r="M339" s="91">
        <f t="shared" ca="1" si="256"/>
        <v>0</v>
      </c>
      <c r="N339" s="91">
        <f t="shared" ca="1" si="256"/>
        <v>0</v>
      </c>
      <c r="O339" s="91">
        <f t="shared" ca="1" si="245"/>
        <v>0</v>
      </c>
      <c r="P339" s="91">
        <f t="shared" ca="1" si="246"/>
        <v>0</v>
      </c>
      <c r="Q339" s="134">
        <f t="shared" ref="Q339:S339" ca="1" si="257">Q340+Q341</f>
        <v>0</v>
      </c>
      <c r="R339" s="135">
        <f t="shared" ca="1" si="257"/>
        <v>0</v>
      </c>
      <c r="S339" s="135">
        <f t="shared" ca="1" si="257"/>
        <v>0</v>
      </c>
      <c r="T339" s="135">
        <f t="shared" ca="1" si="248"/>
        <v>0</v>
      </c>
      <c r="U339" s="135">
        <f t="shared" ca="1" si="249"/>
        <v>0</v>
      </c>
    </row>
    <row r="340" spans="1:21" ht="18.75" x14ac:dyDescent="0.25">
      <c r="A340" s="211"/>
      <c r="B340" s="70"/>
      <c r="C340" s="70"/>
      <c r="D340" s="70"/>
      <c r="E340" s="78" t="s">
        <v>20</v>
      </c>
      <c r="F340" s="70"/>
      <c r="G340" s="72"/>
      <c r="H340" s="220" t="s">
        <v>14</v>
      </c>
      <c r="I340" s="221"/>
      <c r="J340" s="221"/>
      <c r="K340" s="222"/>
      <c r="L340" s="91">
        <f ca="1">IFERROR(__xludf.DUMMYFUNCTION("IMPORTRANGE(""https://docs.google.com/spreadsheets/d/13wPX838HrBrQMCywv1BsuMkt4PEKTChp52zj44s2izQ/edit?usp=sharing"",""กาญจนบุรี!L340"")+IMPORTRANGE(""https://docs.google.com/spreadsheets/d/1ddFKvqj1W1NEiWytbGlB1zMx_ykJDVtmfEQ-6-lIUBA/edit?usp=sharing"","&amp;"""จันทบุรี!L340"")+IMPORTRANGE(""https://docs.google.com/spreadsheets/d/1T1PQvRODqOBZk8BRht_U031fIS1beLA0Ub2CEytj2q0/edit?usp=sharing"",""ฉะเชิงเทรา!L340"")+IMPORTRANGE(""https://docs.google.com/spreadsheets/d/11tr1B-Bhyr79v2bkwVh5h_fR-PStkgjlZtkrZpYurG0/"&amp;"edit?usp=sharing"",""ชลบุรี!L340"")+IMPORTRANGE(""https://docs.google.com/spreadsheets/d/1hh-FVnSX0vozXhGluamEcS54Dw9_zqW0N7qJUWgJ0Sw/edit?usp=sharing"",""ชัยนาท!L340"")+IMPORTRANGE(""https://docs.google.com/spreadsheets/d/1jkqa6GXxSacMcY1eN8AHjMNJ_7dDXMJ"&amp;"VRLDlaFSOdPM/edit?usp=sharing"",""ตราด!L340"")+IMPORTRANGE(""https://docs.google.com/spreadsheets/d/18hSgUJ3VwClqi_qtULmmW3cLr0oe3OKaSYoKzdpTsYQ/edit?usp=sharing"",""นครนายก!L340"")+IMPORTRANGE(""https://docs.google.com/spreadsheets/d/1YTZo6WM2dQ6Ix6FSdnL"&amp;"5P7uVnVKu40sxZu975tgG10E/edit?usp=sharing"",""นครปฐม!L340"")+IMPORTRANGE(""https://docs.google.com/spreadsheets/d/1OYoGg4WDg5RIzwGeB10padOxJF9E_Vljuvvct_M7RDo/edit?usp=sharing"",""ปทุมธานี!L340"")+IMPORTRANGE(""https://docs.google.com/spreadsheets/d/1GbCI"&amp;"E4D4wk9FUozzqk7SxfDMxDVBwVmI5zcaVUSzKAc/edit?usp=sharing"",""ประจวบคีรีขันธ์!L340"")+IMPORTRANGE(""https://docs.google.com/spreadsheets/d/1vVf6wykvW_lAyu7Yo9L4hUTqHqIeP_qcVuxCtosJEbg/edit?usp=sharing"",""ปราจีนบุรี!L340"")+IMPORTRANGE(""https://docs.googl"&amp;"e.com/spreadsheets/d/1BIDqLLg5jk3v59G8NlR8rk5xfQDKne0sAvZHSj7TI6I/edit?usp=sharing"",""พระนครศรีอยุธยา!L340"")+IMPORTRANGE(""https://docs.google.com/spreadsheets/d/1YXvxf8Yu6_rV4hTBrwMqAcAnv6DfhUxh5emyM3CJp_w/edit?usp=sharing"",""เพชรบุรี!L340"")+IMPORTRA"&amp;"NGE(""https://docs.google.com/spreadsheets/d/19KBlQQs7uwvsao6t2n-KvW3Ax8J8uRRfZPq1zPbXgKc/edit?usp=sharing"",""ระยอง!L340"")+IMPORTRANGE(""https://docs.google.com/spreadsheets/d/1jQ6P4QcrGM89YfqcC_PxOHGCMq5ezhucwJd8ci-NHng/edit?usp=sharing"",""ราชบุรี!L34"&amp;"0"")+IMPORTRANGE(""https://docs.google.com/spreadsheets/d/1lufeA2cfFqM-elVq2hznhDzC6Pr7wkJ9ZG_sYNGCMCU/edit?usp=sharing"",""ลพบุรี!L340"")+IMPORTRANGE(""https://docs.google.com/spreadsheets/d/10oOiF7loTyfsTkbd4MpaIm0HQ9SwB7IYHdIUvt-U1Uc/edit?usp=sharing"""&amp;",""สระแก้ว!L340"")+IMPORTRANGE(""https://docs.google.com/spreadsheets/d/1xmPlrr1QbdSIKvl1dWUl9K4PjAfSL9oeMr_37QVzcxc/edit?usp=sharing"",""สระบุรี!L340"")+IMPORTRANGE(""https://docs.google.com/spreadsheets/d/1j51vR6CYVGhABJpv6tkstgok82RLpXieLzW1yOY5rHw/edi"&amp;"t?usp=sharing"",""สิงห์บุรี!L340"")+IMPORTRANGE(""https://docs.google.com/spreadsheets/d/1H1EalTWKUSzO4Z1-1CwzoDUaVffgrThEBe2sl74kKG0/edit?usp=sharing"",""สุพรรณบุรี!L340"")+IMPORTRANGE(""https://docs.google.com/spreadsheets/d/1BmIruG_sIrJLYao_Pdr7zVArWsf"&amp;"oBt2692TMi6x_854/edit?usp=sharing"",""อ่างทอง!L340"")"),0)</f>
        <v>0</v>
      </c>
      <c r="M340" s="91">
        <f ca="1">IFERROR(__xludf.DUMMYFUNCTION("IMPORTRANGE(""https://docs.google.com/spreadsheets/d/13wPX838HrBrQMCywv1BsuMkt4PEKTChp52zj44s2izQ/edit?usp=sharing"",""กาญจนบุรี!M340"")+IMPORTRANGE(""https://docs.google.com/spreadsheets/d/1ddFKvqj1W1NEiWytbGlB1zMx_ykJDVtmfEQ-6-lIUBA/edit?usp=sharing"","&amp;"""จันทบุรี!M340"")+IMPORTRANGE(""https://docs.google.com/spreadsheets/d/1T1PQvRODqOBZk8BRht_U031fIS1beLA0Ub2CEytj2q0/edit?usp=sharing"",""ฉะเชิงเทรา!M340"")+IMPORTRANGE(""https://docs.google.com/spreadsheets/d/11tr1B-Bhyr79v2bkwVh5h_fR-PStkgjlZtkrZpYurG0/"&amp;"edit?usp=sharing"",""ชลบุรี!M340"")+IMPORTRANGE(""https://docs.google.com/spreadsheets/d/1hh-FVnSX0vozXhGluamEcS54Dw9_zqW0N7qJUWgJ0Sw/edit?usp=sharing"",""ชัยนาท!M340"")+IMPORTRANGE(""https://docs.google.com/spreadsheets/d/1jkqa6GXxSacMcY1eN8AHjMNJ_7dDXMJ"&amp;"VRLDlaFSOdPM/edit?usp=sharing"",""ตราด!M340"")+IMPORTRANGE(""https://docs.google.com/spreadsheets/d/18hSgUJ3VwClqi_qtULmmW3cLr0oe3OKaSYoKzdpTsYQ/edit?usp=sharing"",""นครนายก!M340"")+IMPORTRANGE(""https://docs.google.com/spreadsheets/d/1YTZo6WM2dQ6Ix6FSdnL"&amp;"5P7uVnVKu40sxZu975tgG10E/edit?usp=sharing"",""นครปฐม!M340"")+IMPORTRANGE(""https://docs.google.com/spreadsheets/d/1OYoGg4WDg5RIzwGeB10padOxJF9E_Vljuvvct_M7RDo/edit?usp=sharing"",""ปทุมธานี!M340"")+IMPORTRANGE(""https://docs.google.com/spreadsheets/d/1GbCI"&amp;"E4D4wk9FUozzqk7SxfDMxDVBwVmI5zcaVUSzKAc/edit?usp=sharing"",""ประจวบคีรีขันธ์!M340"")+IMPORTRANGE(""https://docs.google.com/spreadsheets/d/1vVf6wykvW_lAyu7Yo9L4hUTqHqIeP_qcVuxCtosJEbg/edit?usp=sharing"",""ปราจีนบุรี!M340"")+IMPORTRANGE(""https://docs.googl"&amp;"e.com/spreadsheets/d/1BIDqLLg5jk3v59G8NlR8rk5xfQDKne0sAvZHSj7TI6I/edit?usp=sharing"",""พระนครศรีอยุธยา!M340"")+IMPORTRANGE(""https://docs.google.com/spreadsheets/d/1YXvxf8Yu6_rV4hTBrwMqAcAnv6DfhUxh5emyM3CJp_w/edit?usp=sharing"",""เพชรบุรี!M340"")+IMPORTRA"&amp;"NGE(""https://docs.google.com/spreadsheets/d/19KBlQQs7uwvsao6t2n-KvW3Ax8J8uRRfZPq1zPbXgKc/edit?usp=sharing"",""ระยอง!M340"")+IMPORTRANGE(""https://docs.google.com/spreadsheets/d/1jQ6P4QcrGM89YfqcC_PxOHGCMq5ezhucwJd8ci-NHng/edit?usp=sharing"",""ราชบุรี!M34"&amp;"0"")+IMPORTRANGE(""https://docs.google.com/spreadsheets/d/1lufeA2cfFqM-elVq2hznhDzC6Pr7wkJ9ZG_sYNGCMCU/edit?usp=sharing"",""ลพบุรี!M340"")+IMPORTRANGE(""https://docs.google.com/spreadsheets/d/10oOiF7loTyfsTkbd4MpaIm0HQ9SwB7IYHdIUvt-U1Uc/edit?usp=sharing"""&amp;",""สระแก้ว!M340"")+IMPORTRANGE(""https://docs.google.com/spreadsheets/d/1xmPlrr1QbdSIKvl1dWUl9K4PjAfSL9oeMr_37QVzcxc/edit?usp=sharing"",""สระบุรี!M340"")+IMPORTRANGE(""https://docs.google.com/spreadsheets/d/1j51vR6CYVGhABJpv6tkstgok82RLpXieLzW1yOY5rHw/edi"&amp;"t?usp=sharing"",""สิงห์บุรี!M340"")+IMPORTRANGE(""https://docs.google.com/spreadsheets/d/1H1EalTWKUSzO4Z1-1CwzoDUaVffgrThEBe2sl74kKG0/edit?usp=sharing"",""สุพรรณบุรี!M340"")+IMPORTRANGE(""https://docs.google.com/spreadsheets/d/1BmIruG_sIrJLYao_Pdr7zVArWsf"&amp;"oBt2692TMi6x_854/edit?usp=sharing"",""อ่างทอง!M340"")"),0)</f>
        <v>0</v>
      </c>
      <c r="N340" s="91">
        <f ca="1">IFERROR(__xludf.DUMMYFUNCTION("IMPORTRANGE(""https://docs.google.com/spreadsheets/d/13wPX838HrBrQMCywv1BsuMkt4PEKTChp52zj44s2izQ/edit?usp=sharing"",""กาญจนบุรี!N340"")+IMPORTRANGE(""https://docs.google.com/spreadsheets/d/1ddFKvqj1W1NEiWytbGlB1zMx_ykJDVtmfEQ-6-lIUBA/edit?usp=sharing"","&amp;"""จันทบุรี!N340"")+IMPORTRANGE(""https://docs.google.com/spreadsheets/d/1T1PQvRODqOBZk8BRht_U031fIS1beLA0Ub2CEytj2q0/edit?usp=sharing"",""ฉะเชิงเทรา!N340"")+IMPORTRANGE(""https://docs.google.com/spreadsheets/d/11tr1B-Bhyr79v2bkwVh5h_fR-PStkgjlZtkrZpYurG0/"&amp;"edit?usp=sharing"",""ชลบุรี!N340"")+IMPORTRANGE(""https://docs.google.com/spreadsheets/d/1hh-FVnSX0vozXhGluamEcS54Dw9_zqW0N7qJUWgJ0Sw/edit?usp=sharing"",""ชัยนาท!N340"")+IMPORTRANGE(""https://docs.google.com/spreadsheets/d/1jkqa6GXxSacMcY1eN8AHjMNJ_7dDXMJ"&amp;"VRLDlaFSOdPM/edit?usp=sharing"",""ตราด!N340"")+IMPORTRANGE(""https://docs.google.com/spreadsheets/d/18hSgUJ3VwClqi_qtULmmW3cLr0oe3OKaSYoKzdpTsYQ/edit?usp=sharing"",""นครนายก!N340"")+IMPORTRANGE(""https://docs.google.com/spreadsheets/d/1YTZo6WM2dQ6Ix6FSdnL"&amp;"5P7uVnVKu40sxZu975tgG10E/edit?usp=sharing"",""นครปฐม!N340"")+IMPORTRANGE(""https://docs.google.com/spreadsheets/d/1OYoGg4WDg5RIzwGeB10padOxJF9E_Vljuvvct_M7RDo/edit?usp=sharing"",""ปทุมธานี!N340"")+IMPORTRANGE(""https://docs.google.com/spreadsheets/d/1GbCI"&amp;"E4D4wk9FUozzqk7SxfDMxDVBwVmI5zcaVUSzKAc/edit?usp=sharing"",""ประจวบคีรีขันธ์!N340"")+IMPORTRANGE(""https://docs.google.com/spreadsheets/d/1vVf6wykvW_lAyu7Yo9L4hUTqHqIeP_qcVuxCtosJEbg/edit?usp=sharing"",""ปราจีนบุรี!N340"")+IMPORTRANGE(""https://docs.googl"&amp;"e.com/spreadsheets/d/1BIDqLLg5jk3v59G8NlR8rk5xfQDKne0sAvZHSj7TI6I/edit?usp=sharing"",""พระนครศรีอยุธยา!N340"")+IMPORTRANGE(""https://docs.google.com/spreadsheets/d/1YXvxf8Yu6_rV4hTBrwMqAcAnv6DfhUxh5emyM3CJp_w/edit?usp=sharing"",""เพชรบุรี!N340"")+IMPORTRA"&amp;"NGE(""https://docs.google.com/spreadsheets/d/19KBlQQs7uwvsao6t2n-KvW3Ax8J8uRRfZPq1zPbXgKc/edit?usp=sharing"",""ระยอง!N340"")+IMPORTRANGE(""https://docs.google.com/spreadsheets/d/1jQ6P4QcrGM89YfqcC_PxOHGCMq5ezhucwJd8ci-NHng/edit?usp=sharing"",""ราชบุรี!N34"&amp;"0"")+IMPORTRANGE(""https://docs.google.com/spreadsheets/d/1lufeA2cfFqM-elVq2hznhDzC6Pr7wkJ9ZG_sYNGCMCU/edit?usp=sharing"",""ลพบุรี!N340"")+IMPORTRANGE(""https://docs.google.com/spreadsheets/d/10oOiF7loTyfsTkbd4MpaIm0HQ9SwB7IYHdIUvt-U1Uc/edit?usp=sharing"""&amp;",""สระแก้ว!N340"")+IMPORTRANGE(""https://docs.google.com/spreadsheets/d/1xmPlrr1QbdSIKvl1dWUl9K4PjAfSL9oeMr_37QVzcxc/edit?usp=sharing"",""สระบุรี!N340"")+IMPORTRANGE(""https://docs.google.com/spreadsheets/d/1j51vR6CYVGhABJpv6tkstgok82RLpXieLzW1yOY5rHw/edi"&amp;"t?usp=sharing"",""สิงห์บุรี!N340"")+IMPORTRANGE(""https://docs.google.com/spreadsheets/d/1H1EalTWKUSzO4Z1-1CwzoDUaVffgrThEBe2sl74kKG0/edit?usp=sharing"",""สุพรรณบุรี!N340"")+IMPORTRANGE(""https://docs.google.com/spreadsheets/d/1BmIruG_sIrJLYao_Pdr7zVArWsf"&amp;"oBt2692TMi6x_854/edit?usp=sharing"",""อ่างทอง!N340"")"),0)</f>
        <v>0</v>
      </c>
      <c r="O340" s="91">
        <f t="shared" ca="1" si="245"/>
        <v>0</v>
      </c>
      <c r="P340" s="91">
        <f t="shared" ca="1" si="246"/>
        <v>0</v>
      </c>
      <c r="Q340" s="79">
        <f ca="1">IFERROR(__xludf.DUMMYFUNCTION("IMPORTRANGE(""https://docs.google.com/spreadsheets/d/13wPX838HrBrQMCywv1BsuMkt4PEKTChp52zj44s2izQ/edit?usp=sharing"",""กาญจนบุรี!Q340"")+IMPORTRANGE(""https://docs.google.com/spreadsheets/d/1ddFKvqj1W1NEiWytbGlB1zMx_ykJDVtmfEQ-6-lIUBA/edit?usp=sharing"","&amp;"""จันทบุรี!Q340"")+IMPORTRANGE(""https://docs.google.com/spreadsheets/d/1T1PQvRODqOBZk8BRht_U031fIS1beLA0Ub2CEytj2q0/edit?usp=sharing"",""ฉะเชิงเทรา!Q340"")+IMPORTRANGE(""https://docs.google.com/spreadsheets/d/11tr1B-Bhyr79v2bkwVh5h_fR-PStkgjlZtkrZpYurG0/"&amp;"edit?usp=sharing"",""ชลบุรี!Q340"")+IMPORTRANGE(""https://docs.google.com/spreadsheets/d/1hh-FVnSX0vozXhGluamEcS54Dw9_zqW0N7qJUWgJ0Sw/edit?usp=sharing"",""ชัยนาท!Q340"")+IMPORTRANGE(""https://docs.google.com/spreadsheets/d/1jkqa6GXxSacMcY1eN8AHjMNJ_7dDXMJ"&amp;"VRLDlaFSOdPM/edit?usp=sharing"",""ตราด!Q340"")+IMPORTRANGE(""https://docs.google.com/spreadsheets/d/18hSgUJ3VwClqi_qtULmmW3cLr0oe3OKaSYoKzdpTsYQ/edit?usp=sharing"",""นครนายก!Q340"")+IMPORTRANGE(""https://docs.google.com/spreadsheets/d/1YTZo6WM2dQ6Ix6FSdnL"&amp;"5P7uVnVKu40sxZu975tgG10E/edit?usp=sharing"",""นครปฐม!Q340"")+IMPORTRANGE(""https://docs.google.com/spreadsheets/d/1OYoGg4WDg5RIzwGeB10padOxJF9E_Vljuvvct_M7RDo/edit?usp=sharing"",""ปทุมธานี!Q340"")+IMPORTRANGE(""https://docs.google.com/spreadsheets/d/1GbCI"&amp;"E4D4wk9FUozzqk7SxfDMxDVBwVmI5zcaVUSzKAc/edit?usp=sharing"",""ประจวบคีรีขันธ์!Q340"")+IMPORTRANGE(""https://docs.google.com/spreadsheets/d/1vVf6wykvW_lAyu7Yo9L4hUTqHqIeP_qcVuxCtosJEbg/edit?usp=sharing"",""ปราจีนบุรี!Q340"")+IMPORTRANGE(""https://docs.googl"&amp;"e.com/spreadsheets/d/1BIDqLLg5jk3v59G8NlR8rk5xfQDKne0sAvZHSj7TI6I/edit?usp=sharing"",""พระนครศรีอยุธยา!Q340"")+IMPORTRANGE(""https://docs.google.com/spreadsheets/d/1YXvxf8Yu6_rV4hTBrwMqAcAnv6DfhUxh5emyM3CJp_w/edit?usp=sharing"",""เพชรบุรี!Q340"")+IMPORTRA"&amp;"NGE(""https://docs.google.com/spreadsheets/d/19KBlQQs7uwvsao6t2n-KvW3Ax8J8uRRfZPq1zPbXgKc/edit?usp=sharing"",""ระยอง!Q340"")+IMPORTRANGE(""https://docs.google.com/spreadsheets/d/1jQ6P4QcrGM89YfqcC_PxOHGCMq5ezhucwJd8ci-NHng/edit?usp=sharing"",""ราชบุรี!Q34"&amp;"0"")+IMPORTRANGE(""https://docs.google.com/spreadsheets/d/1lufeA2cfFqM-elVq2hznhDzC6Pr7wkJ9ZG_sYNGCMCU/edit?usp=sharing"",""ลพบุรี!Q340"")+IMPORTRANGE(""https://docs.google.com/spreadsheets/d/10oOiF7loTyfsTkbd4MpaIm0HQ9SwB7IYHdIUvt-U1Uc/edit?usp=sharing"""&amp;",""สระแก้ว!Q340"")+IMPORTRANGE(""https://docs.google.com/spreadsheets/d/1xmPlrr1QbdSIKvl1dWUl9K4PjAfSL9oeMr_37QVzcxc/edit?usp=sharing"",""สระบุรี!Q340"")+IMPORTRANGE(""https://docs.google.com/spreadsheets/d/1j51vR6CYVGhABJpv6tkstgok82RLpXieLzW1yOY5rHw/edi"&amp;"t?usp=sharing"",""สิงห์บุรี!Q340"")+IMPORTRANGE(""https://docs.google.com/spreadsheets/d/1H1EalTWKUSzO4Z1-1CwzoDUaVffgrThEBe2sl74kKG0/edit?usp=sharing"",""สุพรรณบุรี!Q340"")+IMPORTRANGE(""https://docs.google.com/spreadsheets/d/1BmIruG_sIrJLYao_Pdr7zVArWsf"&amp;"oBt2692TMi6x_854/edit?usp=sharing"",""อ่างทอง!Q340"")"),0)</f>
        <v>0</v>
      </c>
      <c r="R340" s="80">
        <f ca="1">IFERROR(__xludf.DUMMYFUNCTION("IMPORTRANGE(""https://docs.google.com/spreadsheets/d/13wPX838HrBrQMCywv1BsuMkt4PEKTChp52zj44s2izQ/edit?usp=sharing"",""กาญจนบุรี!R340"")+IMPORTRANGE(""https://docs.google.com/spreadsheets/d/1ddFKvqj1W1NEiWytbGlB1zMx_ykJDVtmfEQ-6-lIUBA/edit?usp=sharing"","&amp;"""จันทบุรี!R340"")+IMPORTRANGE(""https://docs.google.com/spreadsheets/d/1T1PQvRODqOBZk8BRht_U031fIS1beLA0Ub2CEytj2q0/edit?usp=sharing"",""ฉะเชิงเทรา!R340"")+IMPORTRANGE(""https://docs.google.com/spreadsheets/d/11tr1B-Bhyr79v2bkwVh5h_fR-PStkgjlZtkrZpYurG0/"&amp;"edit?usp=sharing"",""ชลบุรี!R340"")+IMPORTRANGE(""https://docs.google.com/spreadsheets/d/1hh-FVnSX0vozXhGluamEcS54Dw9_zqW0N7qJUWgJ0Sw/edit?usp=sharing"",""ชัยนาท!R340"")+IMPORTRANGE(""https://docs.google.com/spreadsheets/d/1jkqa6GXxSacMcY1eN8AHjMNJ_7dDXMJ"&amp;"VRLDlaFSOdPM/edit?usp=sharing"",""ตราด!R340"")+IMPORTRANGE(""https://docs.google.com/spreadsheets/d/18hSgUJ3VwClqi_qtULmmW3cLr0oe3OKaSYoKzdpTsYQ/edit?usp=sharing"",""นครนายก!R340"")+IMPORTRANGE(""https://docs.google.com/spreadsheets/d/1YTZo6WM2dQ6Ix6FSdnL"&amp;"5P7uVnVKu40sxZu975tgG10E/edit?usp=sharing"",""นครปฐม!R340"")+IMPORTRANGE(""https://docs.google.com/spreadsheets/d/1OYoGg4WDg5RIzwGeB10padOxJF9E_Vljuvvct_M7RDo/edit?usp=sharing"",""ปทุมธานี!R340"")+IMPORTRANGE(""https://docs.google.com/spreadsheets/d/1GbCI"&amp;"E4D4wk9FUozzqk7SxfDMxDVBwVmI5zcaVUSzKAc/edit?usp=sharing"",""ประจวบคีรีขันธ์!R340"")+IMPORTRANGE(""https://docs.google.com/spreadsheets/d/1vVf6wykvW_lAyu7Yo9L4hUTqHqIeP_qcVuxCtosJEbg/edit?usp=sharing"",""ปราจีนบุรี!R340"")+IMPORTRANGE(""https://docs.googl"&amp;"e.com/spreadsheets/d/1BIDqLLg5jk3v59G8NlR8rk5xfQDKne0sAvZHSj7TI6I/edit?usp=sharing"",""พระนครศรีอยุธยา!R340"")+IMPORTRANGE(""https://docs.google.com/spreadsheets/d/1YXvxf8Yu6_rV4hTBrwMqAcAnv6DfhUxh5emyM3CJp_w/edit?usp=sharing"",""เพชรบุรี!R340"")+IMPORTRA"&amp;"NGE(""https://docs.google.com/spreadsheets/d/19KBlQQs7uwvsao6t2n-KvW3Ax8J8uRRfZPq1zPbXgKc/edit?usp=sharing"",""ระยอง!R340"")+IMPORTRANGE(""https://docs.google.com/spreadsheets/d/1jQ6P4QcrGM89YfqcC_PxOHGCMq5ezhucwJd8ci-NHng/edit?usp=sharing"",""ราชบุรี!R34"&amp;"0"")+IMPORTRANGE(""https://docs.google.com/spreadsheets/d/1lufeA2cfFqM-elVq2hznhDzC6Pr7wkJ9ZG_sYNGCMCU/edit?usp=sharing"",""ลพบุรี!R340"")+IMPORTRANGE(""https://docs.google.com/spreadsheets/d/10oOiF7loTyfsTkbd4MpaIm0HQ9SwB7IYHdIUvt-U1Uc/edit?usp=sharing"""&amp;",""สระแก้ว!R340"")+IMPORTRANGE(""https://docs.google.com/spreadsheets/d/1xmPlrr1QbdSIKvl1dWUl9K4PjAfSL9oeMr_37QVzcxc/edit?usp=sharing"",""สระบุรี!R340"")+IMPORTRANGE(""https://docs.google.com/spreadsheets/d/1j51vR6CYVGhABJpv6tkstgok82RLpXieLzW1yOY5rHw/edi"&amp;"t?usp=sharing"",""สิงห์บุรี!R340"")+IMPORTRANGE(""https://docs.google.com/spreadsheets/d/1H1EalTWKUSzO4Z1-1CwzoDUaVffgrThEBe2sl74kKG0/edit?usp=sharing"",""สุพรรณบุรี!R340"")+IMPORTRANGE(""https://docs.google.com/spreadsheets/d/1BmIruG_sIrJLYao_Pdr7zVArWsf"&amp;"oBt2692TMi6x_854/edit?usp=sharing"",""อ่างทอง!R340"")"),0)</f>
        <v>0</v>
      </c>
      <c r="S340" s="80">
        <f ca="1">IFERROR(__xludf.DUMMYFUNCTION("IMPORTRANGE(""https://docs.google.com/spreadsheets/d/13wPX838HrBrQMCywv1BsuMkt4PEKTChp52zj44s2izQ/edit?usp=sharing"",""กาญจนบุรี!S340"")+IMPORTRANGE(""https://docs.google.com/spreadsheets/d/1ddFKvqj1W1NEiWytbGlB1zMx_ykJDVtmfEQ-6-lIUBA/edit?usp=sharing"","&amp;"""จันทบุรี!S340"")+IMPORTRANGE(""https://docs.google.com/spreadsheets/d/1T1PQvRODqOBZk8BRht_U031fIS1beLA0Ub2CEytj2q0/edit?usp=sharing"",""ฉะเชิงเทรา!S340"")+IMPORTRANGE(""https://docs.google.com/spreadsheets/d/11tr1B-Bhyr79v2bkwVh5h_fR-PStkgjlZtkrZpYurG0/"&amp;"edit?usp=sharing"",""ชลบุรี!S340"")+IMPORTRANGE(""https://docs.google.com/spreadsheets/d/1hh-FVnSX0vozXhGluamEcS54Dw9_zqW0N7qJUWgJ0Sw/edit?usp=sharing"",""ชัยนาท!S340"")+IMPORTRANGE(""https://docs.google.com/spreadsheets/d/1jkqa6GXxSacMcY1eN8AHjMNJ_7dDXMJ"&amp;"VRLDlaFSOdPM/edit?usp=sharing"",""ตราด!S340"")+IMPORTRANGE(""https://docs.google.com/spreadsheets/d/18hSgUJ3VwClqi_qtULmmW3cLr0oe3OKaSYoKzdpTsYQ/edit?usp=sharing"",""นครนายก!S340"")+IMPORTRANGE(""https://docs.google.com/spreadsheets/d/1YTZo6WM2dQ6Ix6FSdnL"&amp;"5P7uVnVKu40sxZu975tgG10E/edit?usp=sharing"",""นครปฐม!S340"")+IMPORTRANGE(""https://docs.google.com/spreadsheets/d/1OYoGg4WDg5RIzwGeB10padOxJF9E_Vljuvvct_M7RDo/edit?usp=sharing"",""ปทุมธานี!S340"")+IMPORTRANGE(""https://docs.google.com/spreadsheets/d/1GbCI"&amp;"E4D4wk9FUozzqk7SxfDMxDVBwVmI5zcaVUSzKAc/edit?usp=sharing"",""ประจวบคีรีขันธ์!S340"")+IMPORTRANGE(""https://docs.google.com/spreadsheets/d/1vVf6wykvW_lAyu7Yo9L4hUTqHqIeP_qcVuxCtosJEbg/edit?usp=sharing"",""ปราจีนบุรี!S340"")+IMPORTRANGE(""https://docs.googl"&amp;"e.com/spreadsheets/d/1BIDqLLg5jk3v59G8NlR8rk5xfQDKne0sAvZHSj7TI6I/edit?usp=sharing"",""พระนครศรีอยุธยา!S340"")+IMPORTRANGE(""https://docs.google.com/spreadsheets/d/1YXvxf8Yu6_rV4hTBrwMqAcAnv6DfhUxh5emyM3CJp_w/edit?usp=sharing"",""เพชรบุรี!S340"")+IMPORTRA"&amp;"NGE(""https://docs.google.com/spreadsheets/d/19KBlQQs7uwvsao6t2n-KvW3Ax8J8uRRfZPq1zPbXgKc/edit?usp=sharing"",""ระยอง!S340"")+IMPORTRANGE(""https://docs.google.com/spreadsheets/d/1jQ6P4QcrGM89YfqcC_PxOHGCMq5ezhucwJd8ci-NHng/edit?usp=sharing"",""ราชบุรี!S34"&amp;"0"")+IMPORTRANGE(""https://docs.google.com/spreadsheets/d/1lufeA2cfFqM-elVq2hznhDzC6Pr7wkJ9ZG_sYNGCMCU/edit?usp=sharing"",""ลพบุรี!S340"")+IMPORTRANGE(""https://docs.google.com/spreadsheets/d/10oOiF7loTyfsTkbd4MpaIm0HQ9SwB7IYHdIUvt-U1Uc/edit?usp=sharing"""&amp;",""สระแก้ว!S340"")+IMPORTRANGE(""https://docs.google.com/spreadsheets/d/1xmPlrr1QbdSIKvl1dWUl9K4PjAfSL9oeMr_37QVzcxc/edit?usp=sharing"",""สระบุรี!S340"")+IMPORTRANGE(""https://docs.google.com/spreadsheets/d/1j51vR6CYVGhABJpv6tkstgok82RLpXieLzW1yOY5rHw/edi"&amp;"t?usp=sharing"",""สิงห์บุรี!S340"")+IMPORTRANGE(""https://docs.google.com/spreadsheets/d/1H1EalTWKUSzO4Z1-1CwzoDUaVffgrThEBe2sl74kKG0/edit?usp=sharing"",""สุพรรณบุรี!S340"")+IMPORTRANGE(""https://docs.google.com/spreadsheets/d/1BmIruG_sIrJLYao_Pdr7zVArWsf"&amp;"oBt2692TMi6x_854/edit?usp=sharing"",""อ่างทอง!S340"")"),0)</f>
        <v>0</v>
      </c>
      <c r="T340" s="136">
        <f t="shared" ca="1" si="248"/>
        <v>0</v>
      </c>
      <c r="U340" s="136">
        <f t="shared" ca="1" si="249"/>
        <v>0</v>
      </c>
    </row>
    <row r="341" spans="1:21" ht="18.75" x14ac:dyDescent="0.25">
      <c r="A341" s="211"/>
      <c r="B341" s="70"/>
      <c r="C341" s="70"/>
      <c r="D341" s="70"/>
      <c r="E341" s="78" t="s">
        <v>21</v>
      </c>
      <c r="F341" s="70"/>
      <c r="G341" s="72"/>
      <c r="H341" s="223" t="s">
        <v>14</v>
      </c>
      <c r="I341" s="221"/>
      <c r="J341" s="221"/>
      <c r="K341" s="222"/>
      <c r="L341" s="91">
        <f ca="1">IFERROR(__xludf.DUMMYFUNCTION("IMPORTRANGE(""https://docs.google.com/spreadsheets/d/13wPX838HrBrQMCywv1BsuMkt4PEKTChp52zj44s2izQ/edit?usp=sharing"",""กาญจนบุรี!L341"")+IMPORTRANGE(""https://docs.google.com/spreadsheets/d/1ddFKvqj1W1NEiWytbGlB1zMx_ykJDVtmfEQ-6-lIUBA/edit?usp=sharing"","&amp;"""จันทบุรี!L341"")+IMPORTRANGE(""https://docs.google.com/spreadsheets/d/1T1PQvRODqOBZk8BRht_U031fIS1beLA0Ub2CEytj2q0/edit?usp=sharing"",""ฉะเชิงเทรา!L341"")+IMPORTRANGE(""https://docs.google.com/spreadsheets/d/11tr1B-Bhyr79v2bkwVh5h_fR-PStkgjlZtkrZpYurG0/"&amp;"edit?usp=sharing"",""ชลบุรี!L341"")+IMPORTRANGE(""https://docs.google.com/spreadsheets/d/1hh-FVnSX0vozXhGluamEcS54Dw9_zqW0N7qJUWgJ0Sw/edit?usp=sharing"",""ชัยนาท!L341"")+IMPORTRANGE(""https://docs.google.com/spreadsheets/d/1jkqa6GXxSacMcY1eN8AHjMNJ_7dDXMJ"&amp;"VRLDlaFSOdPM/edit?usp=sharing"",""ตราด!L341"")+IMPORTRANGE(""https://docs.google.com/spreadsheets/d/18hSgUJ3VwClqi_qtULmmW3cLr0oe3OKaSYoKzdpTsYQ/edit?usp=sharing"",""นครนายก!L341"")+IMPORTRANGE(""https://docs.google.com/spreadsheets/d/1YTZo6WM2dQ6Ix6FSdnL"&amp;"5P7uVnVKu40sxZu975tgG10E/edit?usp=sharing"",""นครปฐม!L341"")+IMPORTRANGE(""https://docs.google.com/spreadsheets/d/1OYoGg4WDg5RIzwGeB10padOxJF9E_Vljuvvct_M7RDo/edit?usp=sharing"",""ปทุมธานี!L341"")+IMPORTRANGE(""https://docs.google.com/spreadsheets/d/1GbCI"&amp;"E4D4wk9FUozzqk7SxfDMxDVBwVmI5zcaVUSzKAc/edit?usp=sharing"",""ประจวบคีรีขันธ์!L341"")+IMPORTRANGE(""https://docs.google.com/spreadsheets/d/1vVf6wykvW_lAyu7Yo9L4hUTqHqIeP_qcVuxCtosJEbg/edit?usp=sharing"",""ปราจีนบุรี!L341"")+IMPORTRANGE(""https://docs.googl"&amp;"e.com/spreadsheets/d/1BIDqLLg5jk3v59G8NlR8rk5xfQDKne0sAvZHSj7TI6I/edit?usp=sharing"",""พระนครศรีอยุธยา!L341"")+IMPORTRANGE(""https://docs.google.com/spreadsheets/d/1YXvxf8Yu6_rV4hTBrwMqAcAnv6DfhUxh5emyM3CJp_w/edit?usp=sharing"",""เพชรบุรี!L341"")+IMPORTRA"&amp;"NGE(""https://docs.google.com/spreadsheets/d/19KBlQQs7uwvsao6t2n-KvW3Ax8J8uRRfZPq1zPbXgKc/edit?usp=sharing"",""ระยอง!L341"")+IMPORTRANGE(""https://docs.google.com/spreadsheets/d/1jQ6P4QcrGM89YfqcC_PxOHGCMq5ezhucwJd8ci-NHng/edit?usp=sharing"",""ราชบุรี!L34"&amp;"1"")+IMPORTRANGE(""https://docs.google.com/spreadsheets/d/1lufeA2cfFqM-elVq2hznhDzC6Pr7wkJ9ZG_sYNGCMCU/edit?usp=sharing"",""ลพบุรี!L341"")+IMPORTRANGE(""https://docs.google.com/spreadsheets/d/10oOiF7loTyfsTkbd4MpaIm0HQ9SwB7IYHdIUvt-U1Uc/edit?usp=sharing"""&amp;",""สระแก้ว!L341"")+IMPORTRANGE(""https://docs.google.com/spreadsheets/d/1xmPlrr1QbdSIKvl1dWUl9K4PjAfSL9oeMr_37QVzcxc/edit?usp=sharing"",""สระบุรี!L341"")+IMPORTRANGE(""https://docs.google.com/spreadsheets/d/1j51vR6CYVGhABJpv6tkstgok82RLpXieLzW1yOY5rHw/edi"&amp;"t?usp=sharing"",""สิงห์บุรี!L341"")+IMPORTRANGE(""https://docs.google.com/spreadsheets/d/1H1EalTWKUSzO4Z1-1CwzoDUaVffgrThEBe2sl74kKG0/edit?usp=sharing"",""สุพรรณบุรี!L341"")+IMPORTRANGE(""https://docs.google.com/spreadsheets/d/1BmIruG_sIrJLYao_Pdr7zVArWsf"&amp;"oBt2692TMi6x_854/edit?usp=sharing"",""อ่างทอง!L341"")"),0)</f>
        <v>0</v>
      </c>
      <c r="M341" s="91">
        <f ca="1">IFERROR(__xludf.DUMMYFUNCTION("IMPORTRANGE(""https://docs.google.com/spreadsheets/d/13wPX838HrBrQMCywv1BsuMkt4PEKTChp52zj44s2izQ/edit?usp=sharing"",""กาญจนบุรี!M341"")+IMPORTRANGE(""https://docs.google.com/spreadsheets/d/1ddFKvqj1W1NEiWytbGlB1zMx_ykJDVtmfEQ-6-lIUBA/edit?usp=sharing"","&amp;"""จันทบุรี!M341"")+IMPORTRANGE(""https://docs.google.com/spreadsheets/d/1T1PQvRODqOBZk8BRht_U031fIS1beLA0Ub2CEytj2q0/edit?usp=sharing"",""ฉะเชิงเทรา!M341"")+IMPORTRANGE(""https://docs.google.com/spreadsheets/d/11tr1B-Bhyr79v2bkwVh5h_fR-PStkgjlZtkrZpYurG0/"&amp;"edit?usp=sharing"",""ชลบุรี!M341"")+IMPORTRANGE(""https://docs.google.com/spreadsheets/d/1hh-FVnSX0vozXhGluamEcS54Dw9_zqW0N7qJUWgJ0Sw/edit?usp=sharing"",""ชัยนาท!M341"")+IMPORTRANGE(""https://docs.google.com/spreadsheets/d/1jkqa6GXxSacMcY1eN8AHjMNJ_7dDXMJ"&amp;"VRLDlaFSOdPM/edit?usp=sharing"",""ตราด!M341"")+IMPORTRANGE(""https://docs.google.com/spreadsheets/d/18hSgUJ3VwClqi_qtULmmW3cLr0oe3OKaSYoKzdpTsYQ/edit?usp=sharing"",""นครนายก!M341"")+IMPORTRANGE(""https://docs.google.com/spreadsheets/d/1YTZo6WM2dQ6Ix6FSdnL"&amp;"5P7uVnVKu40sxZu975tgG10E/edit?usp=sharing"",""นครปฐม!M341"")+IMPORTRANGE(""https://docs.google.com/spreadsheets/d/1OYoGg4WDg5RIzwGeB10padOxJF9E_Vljuvvct_M7RDo/edit?usp=sharing"",""ปทุมธานี!M341"")+IMPORTRANGE(""https://docs.google.com/spreadsheets/d/1GbCI"&amp;"E4D4wk9FUozzqk7SxfDMxDVBwVmI5zcaVUSzKAc/edit?usp=sharing"",""ประจวบคีรีขันธ์!M341"")+IMPORTRANGE(""https://docs.google.com/spreadsheets/d/1vVf6wykvW_lAyu7Yo9L4hUTqHqIeP_qcVuxCtosJEbg/edit?usp=sharing"",""ปราจีนบุรี!M341"")+IMPORTRANGE(""https://docs.googl"&amp;"e.com/spreadsheets/d/1BIDqLLg5jk3v59G8NlR8rk5xfQDKne0sAvZHSj7TI6I/edit?usp=sharing"",""พระนครศรีอยุธยา!M341"")+IMPORTRANGE(""https://docs.google.com/spreadsheets/d/1YXvxf8Yu6_rV4hTBrwMqAcAnv6DfhUxh5emyM3CJp_w/edit?usp=sharing"",""เพชรบุรี!M341"")+IMPORTRA"&amp;"NGE(""https://docs.google.com/spreadsheets/d/19KBlQQs7uwvsao6t2n-KvW3Ax8J8uRRfZPq1zPbXgKc/edit?usp=sharing"",""ระยอง!M341"")+IMPORTRANGE(""https://docs.google.com/spreadsheets/d/1jQ6P4QcrGM89YfqcC_PxOHGCMq5ezhucwJd8ci-NHng/edit?usp=sharing"",""ราชบุรี!M34"&amp;"1"")+IMPORTRANGE(""https://docs.google.com/spreadsheets/d/1lufeA2cfFqM-elVq2hznhDzC6Pr7wkJ9ZG_sYNGCMCU/edit?usp=sharing"",""ลพบุรี!M341"")+IMPORTRANGE(""https://docs.google.com/spreadsheets/d/10oOiF7loTyfsTkbd4MpaIm0HQ9SwB7IYHdIUvt-U1Uc/edit?usp=sharing"""&amp;",""สระแก้ว!M341"")+IMPORTRANGE(""https://docs.google.com/spreadsheets/d/1xmPlrr1QbdSIKvl1dWUl9K4PjAfSL9oeMr_37QVzcxc/edit?usp=sharing"",""สระบุรี!M341"")+IMPORTRANGE(""https://docs.google.com/spreadsheets/d/1j51vR6CYVGhABJpv6tkstgok82RLpXieLzW1yOY5rHw/edi"&amp;"t?usp=sharing"",""สิงห์บุรี!M341"")+IMPORTRANGE(""https://docs.google.com/spreadsheets/d/1H1EalTWKUSzO4Z1-1CwzoDUaVffgrThEBe2sl74kKG0/edit?usp=sharing"",""สุพรรณบุรี!M341"")+IMPORTRANGE(""https://docs.google.com/spreadsheets/d/1BmIruG_sIrJLYao_Pdr7zVArWsf"&amp;"oBt2692TMi6x_854/edit?usp=sharing"",""อ่างทอง!M341"")"),0)</f>
        <v>0</v>
      </c>
      <c r="N341" s="91">
        <f ca="1">IFERROR(__xludf.DUMMYFUNCTION("IMPORTRANGE(""https://docs.google.com/spreadsheets/d/13wPX838HrBrQMCywv1BsuMkt4PEKTChp52zj44s2izQ/edit?usp=sharing"",""กาญจนบุรี!N341"")+IMPORTRANGE(""https://docs.google.com/spreadsheets/d/1ddFKvqj1W1NEiWytbGlB1zMx_ykJDVtmfEQ-6-lIUBA/edit?usp=sharing"","&amp;"""จันทบุรี!N341"")+IMPORTRANGE(""https://docs.google.com/spreadsheets/d/1T1PQvRODqOBZk8BRht_U031fIS1beLA0Ub2CEytj2q0/edit?usp=sharing"",""ฉะเชิงเทรา!N341"")+IMPORTRANGE(""https://docs.google.com/spreadsheets/d/11tr1B-Bhyr79v2bkwVh5h_fR-PStkgjlZtkrZpYurG0/"&amp;"edit?usp=sharing"",""ชลบุรี!N341"")+IMPORTRANGE(""https://docs.google.com/spreadsheets/d/1hh-FVnSX0vozXhGluamEcS54Dw9_zqW0N7qJUWgJ0Sw/edit?usp=sharing"",""ชัยนาท!N341"")+IMPORTRANGE(""https://docs.google.com/spreadsheets/d/1jkqa6GXxSacMcY1eN8AHjMNJ_7dDXMJ"&amp;"VRLDlaFSOdPM/edit?usp=sharing"",""ตราด!N341"")+IMPORTRANGE(""https://docs.google.com/spreadsheets/d/18hSgUJ3VwClqi_qtULmmW3cLr0oe3OKaSYoKzdpTsYQ/edit?usp=sharing"",""นครนายก!N341"")+IMPORTRANGE(""https://docs.google.com/spreadsheets/d/1YTZo6WM2dQ6Ix6FSdnL"&amp;"5P7uVnVKu40sxZu975tgG10E/edit?usp=sharing"",""นครปฐม!N341"")+IMPORTRANGE(""https://docs.google.com/spreadsheets/d/1OYoGg4WDg5RIzwGeB10padOxJF9E_Vljuvvct_M7RDo/edit?usp=sharing"",""ปทุมธานี!N341"")+IMPORTRANGE(""https://docs.google.com/spreadsheets/d/1GbCI"&amp;"E4D4wk9FUozzqk7SxfDMxDVBwVmI5zcaVUSzKAc/edit?usp=sharing"",""ประจวบคีรีขันธ์!N341"")+IMPORTRANGE(""https://docs.google.com/spreadsheets/d/1vVf6wykvW_lAyu7Yo9L4hUTqHqIeP_qcVuxCtosJEbg/edit?usp=sharing"",""ปราจีนบุรี!N341"")+IMPORTRANGE(""https://docs.googl"&amp;"e.com/spreadsheets/d/1BIDqLLg5jk3v59G8NlR8rk5xfQDKne0sAvZHSj7TI6I/edit?usp=sharing"",""พระนครศรีอยุธยา!N341"")+IMPORTRANGE(""https://docs.google.com/spreadsheets/d/1YXvxf8Yu6_rV4hTBrwMqAcAnv6DfhUxh5emyM3CJp_w/edit?usp=sharing"",""เพชรบุรี!N341"")+IMPORTRA"&amp;"NGE(""https://docs.google.com/spreadsheets/d/19KBlQQs7uwvsao6t2n-KvW3Ax8J8uRRfZPq1zPbXgKc/edit?usp=sharing"",""ระยอง!N341"")+IMPORTRANGE(""https://docs.google.com/spreadsheets/d/1jQ6P4QcrGM89YfqcC_PxOHGCMq5ezhucwJd8ci-NHng/edit?usp=sharing"",""ราชบุรี!N34"&amp;"1"")+IMPORTRANGE(""https://docs.google.com/spreadsheets/d/1lufeA2cfFqM-elVq2hznhDzC6Pr7wkJ9ZG_sYNGCMCU/edit?usp=sharing"",""ลพบุรี!N341"")+IMPORTRANGE(""https://docs.google.com/spreadsheets/d/10oOiF7loTyfsTkbd4MpaIm0HQ9SwB7IYHdIUvt-U1Uc/edit?usp=sharing"""&amp;",""สระแก้ว!N341"")+IMPORTRANGE(""https://docs.google.com/spreadsheets/d/1xmPlrr1QbdSIKvl1dWUl9K4PjAfSL9oeMr_37QVzcxc/edit?usp=sharing"",""สระบุรี!N341"")+IMPORTRANGE(""https://docs.google.com/spreadsheets/d/1j51vR6CYVGhABJpv6tkstgok82RLpXieLzW1yOY5rHw/edi"&amp;"t?usp=sharing"",""สิงห์บุรี!N341"")+IMPORTRANGE(""https://docs.google.com/spreadsheets/d/1H1EalTWKUSzO4Z1-1CwzoDUaVffgrThEBe2sl74kKG0/edit?usp=sharing"",""สุพรรณบุรี!N341"")+IMPORTRANGE(""https://docs.google.com/spreadsheets/d/1BmIruG_sIrJLYao_Pdr7zVArWsf"&amp;"oBt2692TMi6x_854/edit?usp=sharing"",""อ่างทอง!N341"")"),0)</f>
        <v>0</v>
      </c>
      <c r="O341" s="91">
        <f t="shared" ca="1" si="245"/>
        <v>0</v>
      </c>
      <c r="P341" s="91">
        <f t="shared" ca="1" si="246"/>
        <v>0</v>
      </c>
      <c r="Q341" s="76">
        <f ca="1">IFERROR(__xludf.DUMMYFUNCTION("IMPORTRANGE(""https://docs.google.com/spreadsheets/d/13wPX838HrBrQMCywv1BsuMkt4PEKTChp52zj44s2izQ/edit?usp=sharing"",""กาญจนบุรี!Q341"")+IMPORTRANGE(""https://docs.google.com/spreadsheets/d/1ddFKvqj1W1NEiWytbGlB1zMx_ykJDVtmfEQ-6-lIUBA/edit?usp=sharing"","&amp;"""จันทบุรี!Q341"")+IMPORTRANGE(""https://docs.google.com/spreadsheets/d/1T1PQvRODqOBZk8BRht_U031fIS1beLA0Ub2CEytj2q0/edit?usp=sharing"",""ฉะเชิงเทรา!Q341"")+IMPORTRANGE(""https://docs.google.com/spreadsheets/d/11tr1B-Bhyr79v2bkwVh5h_fR-PStkgjlZtkrZpYurG0/"&amp;"edit?usp=sharing"",""ชลบุรี!Q341"")+IMPORTRANGE(""https://docs.google.com/spreadsheets/d/1hh-FVnSX0vozXhGluamEcS54Dw9_zqW0N7qJUWgJ0Sw/edit?usp=sharing"",""ชัยนาท!Q341"")+IMPORTRANGE(""https://docs.google.com/spreadsheets/d/1jkqa6GXxSacMcY1eN8AHjMNJ_7dDXMJ"&amp;"VRLDlaFSOdPM/edit?usp=sharing"",""ตราด!Q341"")+IMPORTRANGE(""https://docs.google.com/spreadsheets/d/18hSgUJ3VwClqi_qtULmmW3cLr0oe3OKaSYoKzdpTsYQ/edit?usp=sharing"",""นครนายก!Q341"")+IMPORTRANGE(""https://docs.google.com/spreadsheets/d/1YTZo6WM2dQ6Ix6FSdnL"&amp;"5P7uVnVKu40sxZu975tgG10E/edit?usp=sharing"",""นครปฐม!Q341"")+IMPORTRANGE(""https://docs.google.com/spreadsheets/d/1OYoGg4WDg5RIzwGeB10padOxJF9E_Vljuvvct_M7RDo/edit?usp=sharing"",""ปทุมธานี!Q341"")+IMPORTRANGE(""https://docs.google.com/spreadsheets/d/1GbCI"&amp;"E4D4wk9FUozzqk7SxfDMxDVBwVmI5zcaVUSzKAc/edit?usp=sharing"",""ประจวบคีรีขันธ์!Q341"")+IMPORTRANGE(""https://docs.google.com/spreadsheets/d/1vVf6wykvW_lAyu7Yo9L4hUTqHqIeP_qcVuxCtosJEbg/edit?usp=sharing"",""ปราจีนบุรี!Q341"")+IMPORTRANGE(""https://docs.googl"&amp;"e.com/spreadsheets/d/1BIDqLLg5jk3v59G8NlR8rk5xfQDKne0sAvZHSj7TI6I/edit?usp=sharing"",""พระนครศรีอยุธยา!Q341"")+IMPORTRANGE(""https://docs.google.com/spreadsheets/d/1YXvxf8Yu6_rV4hTBrwMqAcAnv6DfhUxh5emyM3CJp_w/edit?usp=sharing"",""เพชรบุรี!Q341"")+IMPORTRA"&amp;"NGE(""https://docs.google.com/spreadsheets/d/19KBlQQs7uwvsao6t2n-KvW3Ax8J8uRRfZPq1zPbXgKc/edit?usp=sharing"",""ระยอง!Q341"")+IMPORTRANGE(""https://docs.google.com/spreadsheets/d/1jQ6P4QcrGM89YfqcC_PxOHGCMq5ezhucwJd8ci-NHng/edit?usp=sharing"",""ราชบุรี!Q34"&amp;"1"")+IMPORTRANGE(""https://docs.google.com/spreadsheets/d/1lufeA2cfFqM-elVq2hznhDzC6Pr7wkJ9ZG_sYNGCMCU/edit?usp=sharing"",""ลพบุรี!Q341"")+IMPORTRANGE(""https://docs.google.com/spreadsheets/d/10oOiF7loTyfsTkbd4MpaIm0HQ9SwB7IYHdIUvt-U1Uc/edit?usp=sharing"""&amp;",""สระแก้ว!Q341"")+IMPORTRANGE(""https://docs.google.com/spreadsheets/d/1xmPlrr1QbdSIKvl1dWUl9K4PjAfSL9oeMr_37QVzcxc/edit?usp=sharing"",""สระบุรี!Q341"")+IMPORTRANGE(""https://docs.google.com/spreadsheets/d/1j51vR6CYVGhABJpv6tkstgok82RLpXieLzW1yOY5rHw/edi"&amp;"t?usp=sharing"",""สิงห์บุรี!Q341"")+IMPORTRANGE(""https://docs.google.com/spreadsheets/d/1H1EalTWKUSzO4Z1-1CwzoDUaVffgrThEBe2sl74kKG0/edit?usp=sharing"",""สุพรรณบุรี!Q341"")+IMPORTRANGE(""https://docs.google.com/spreadsheets/d/1BmIruG_sIrJLYao_Pdr7zVArWsf"&amp;"oBt2692TMi6x_854/edit?usp=sharing"",""อ่างทอง!Q341"")"),0)</f>
        <v>0</v>
      </c>
      <c r="R341" s="77">
        <f ca="1">IFERROR(__xludf.DUMMYFUNCTION("IMPORTRANGE(""https://docs.google.com/spreadsheets/d/13wPX838HrBrQMCywv1BsuMkt4PEKTChp52zj44s2izQ/edit?usp=sharing"",""กาญจนบุรี!R341"")+IMPORTRANGE(""https://docs.google.com/spreadsheets/d/1ddFKvqj1W1NEiWytbGlB1zMx_ykJDVtmfEQ-6-lIUBA/edit?usp=sharing"","&amp;"""จันทบุรี!R341"")+IMPORTRANGE(""https://docs.google.com/spreadsheets/d/1T1PQvRODqOBZk8BRht_U031fIS1beLA0Ub2CEytj2q0/edit?usp=sharing"",""ฉะเชิงเทรา!R341"")+IMPORTRANGE(""https://docs.google.com/spreadsheets/d/11tr1B-Bhyr79v2bkwVh5h_fR-PStkgjlZtkrZpYurG0/"&amp;"edit?usp=sharing"",""ชลบุรี!R341"")+IMPORTRANGE(""https://docs.google.com/spreadsheets/d/1hh-FVnSX0vozXhGluamEcS54Dw9_zqW0N7qJUWgJ0Sw/edit?usp=sharing"",""ชัยนาท!R341"")+IMPORTRANGE(""https://docs.google.com/spreadsheets/d/1jkqa6GXxSacMcY1eN8AHjMNJ_7dDXMJ"&amp;"VRLDlaFSOdPM/edit?usp=sharing"",""ตราด!R341"")+IMPORTRANGE(""https://docs.google.com/spreadsheets/d/18hSgUJ3VwClqi_qtULmmW3cLr0oe3OKaSYoKzdpTsYQ/edit?usp=sharing"",""นครนายก!R341"")+IMPORTRANGE(""https://docs.google.com/spreadsheets/d/1YTZo6WM2dQ6Ix6FSdnL"&amp;"5P7uVnVKu40sxZu975tgG10E/edit?usp=sharing"",""นครปฐม!R341"")+IMPORTRANGE(""https://docs.google.com/spreadsheets/d/1OYoGg4WDg5RIzwGeB10padOxJF9E_Vljuvvct_M7RDo/edit?usp=sharing"",""ปทุมธานี!R341"")+IMPORTRANGE(""https://docs.google.com/spreadsheets/d/1GbCI"&amp;"E4D4wk9FUozzqk7SxfDMxDVBwVmI5zcaVUSzKAc/edit?usp=sharing"",""ประจวบคีรีขันธ์!R341"")+IMPORTRANGE(""https://docs.google.com/spreadsheets/d/1vVf6wykvW_lAyu7Yo9L4hUTqHqIeP_qcVuxCtosJEbg/edit?usp=sharing"",""ปราจีนบุรี!R341"")+IMPORTRANGE(""https://docs.googl"&amp;"e.com/spreadsheets/d/1BIDqLLg5jk3v59G8NlR8rk5xfQDKne0sAvZHSj7TI6I/edit?usp=sharing"",""พระนครศรีอยุธยา!R341"")+IMPORTRANGE(""https://docs.google.com/spreadsheets/d/1YXvxf8Yu6_rV4hTBrwMqAcAnv6DfhUxh5emyM3CJp_w/edit?usp=sharing"",""เพชรบุรี!R341"")+IMPORTRA"&amp;"NGE(""https://docs.google.com/spreadsheets/d/19KBlQQs7uwvsao6t2n-KvW3Ax8J8uRRfZPq1zPbXgKc/edit?usp=sharing"",""ระยอง!R341"")+IMPORTRANGE(""https://docs.google.com/spreadsheets/d/1jQ6P4QcrGM89YfqcC_PxOHGCMq5ezhucwJd8ci-NHng/edit?usp=sharing"",""ราชบุรี!R34"&amp;"1"")+IMPORTRANGE(""https://docs.google.com/spreadsheets/d/1lufeA2cfFqM-elVq2hznhDzC6Pr7wkJ9ZG_sYNGCMCU/edit?usp=sharing"",""ลพบุรี!R341"")+IMPORTRANGE(""https://docs.google.com/spreadsheets/d/10oOiF7loTyfsTkbd4MpaIm0HQ9SwB7IYHdIUvt-U1Uc/edit?usp=sharing"""&amp;",""สระแก้ว!R341"")+IMPORTRANGE(""https://docs.google.com/spreadsheets/d/1xmPlrr1QbdSIKvl1dWUl9K4PjAfSL9oeMr_37QVzcxc/edit?usp=sharing"",""สระบุรี!R341"")+IMPORTRANGE(""https://docs.google.com/spreadsheets/d/1j51vR6CYVGhABJpv6tkstgok82RLpXieLzW1yOY5rHw/edi"&amp;"t?usp=sharing"",""สิงห์บุรี!R341"")+IMPORTRANGE(""https://docs.google.com/spreadsheets/d/1H1EalTWKUSzO4Z1-1CwzoDUaVffgrThEBe2sl74kKG0/edit?usp=sharing"",""สุพรรณบุรี!R341"")+IMPORTRANGE(""https://docs.google.com/spreadsheets/d/1BmIruG_sIrJLYao_Pdr7zVArWsf"&amp;"oBt2692TMi6x_854/edit?usp=sharing"",""อ่างทอง!R341"")"),0)</f>
        <v>0</v>
      </c>
      <c r="S341" s="77">
        <f ca="1">IFERROR(__xludf.DUMMYFUNCTION("IMPORTRANGE(""https://docs.google.com/spreadsheets/d/13wPX838HrBrQMCywv1BsuMkt4PEKTChp52zj44s2izQ/edit?usp=sharing"",""กาญจนบุรี!S341"")+IMPORTRANGE(""https://docs.google.com/spreadsheets/d/1ddFKvqj1W1NEiWytbGlB1zMx_ykJDVtmfEQ-6-lIUBA/edit?usp=sharing"","&amp;"""จันทบุรี!S341"")+IMPORTRANGE(""https://docs.google.com/spreadsheets/d/1T1PQvRODqOBZk8BRht_U031fIS1beLA0Ub2CEytj2q0/edit?usp=sharing"",""ฉะเชิงเทรา!S341"")+IMPORTRANGE(""https://docs.google.com/spreadsheets/d/11tr1B-Bhyr79v2bkwVh5h_fR-PStkgjlZtkrZpYurG0/"&amp;"edit?usp=sharing"",""ชลบุรี!S341"")+IMPORTRANGE(""https://docs.google.com/spreadsheets/d/1hh-FVnSX0vozXhGluamEcS54Dw9_zqW0N7qJUWgJ0Sw/edit?usp=sharing"",""ชัยนาท!S341"")+IMPORTRANGE(""https://docs.google.com/spreadsheets/d/1jkqa6GXxSacMcY1eN8AHjMNJ_7dDXMJ"&amp;"VRLDlaFSOdPM/edit?usp=sharing"",""ตราด!S341"")+IMPORTRANGE(""https://docs.google.com/spreadsheets/d/18hSgUJ3VwClqi_qtULmmW3cLr0oe3OKaSYoKzdpTsYQ/edit?usp=sharing"",""นครนายก!S341"")+IMPORTRANGE(""https://docs.google.com/spreadsheets/d/1YTZo6WM2dQ6Ix6FSdnL"&amp;"5P7uVnVKu40sxZu975tgG10E/edit?usp=sharing"",""นครปฐม!S341"")+IMPORTRANGE(""https://docs.google.com/spreadsheets/d/1OYoGg4WDg5RIzwGeB10padOxJF9E_Vljuvvct_M7RDo/edit?usp=sharing"",""ปทุมธานี!S341"")+IMPORTRANGE(""https://docs.google.com/spreadsheets/d/1GbCI"&amp;"E4D4wk9FUozzqk7SxfDMxDVBwVmI5zcaVUSzKAc/edit?usp=sharing"",""ประจวบคีรีขันธ์!S341"")+IMPORTRANGE(""https://docs.google.com/spreadsheets/d/1vVf6wykvW_lAyu7Yo9L4hUTqHqIeP_qcVuxCtosJEbg/edit?usp=sharing"",""ปราจีนบุรี!S341"")+IMPORTRANGE(""https://docs.googl"&amp;"e.com/spreadsheets/d/1BIDqLLg5jk3v59G8NlR8rk5xfQDKne0sAvZHSj7TI6I/edit?usp=sharing"",""พระนครศรีอยุธยา!S341"")+IMPORTRANGE(""https://docs.google.com/spreadsheets/d/1YXvxf8Yu6_rV4hTBrwMqAcAnv6DfhUxh5emyM3CJp_w/edit?usp=sharing"",""เพชรบุรี!S341"")+IMPORTRA"&amp;"NGE(""https://docs.google.com/spreadsheets/d/19KBlQQs7uwvsao6t2n-KvW3Ax8J8uRRfZPq1zPbXgKc/edit?usp=sharing"",""ระยอง!S341"")+IMPORTRANGE(""https://docs.google.com/spreadsheets/d/1jQ6P4QcrGM89YfqcC_PxOHGCMq5ezhucwJd8ci-NHng/edit?usp=sharing"",""ราชบุรี!S34"&amp;"1"")+IMPORTRANGE(""https://docs.google.com/spreadsheets/d/1lufeA2cfFqM-elVq2hznhDzC6Pr7wkJ9ZG_sYNGCMCU/edit?usp=sharing"",""ลพบุรี!S341"")+IMPORTRANGE(""https://docs.google.com/spreadsheets/d/10oOiF7loTyfsTkbd4MpaIm0HQ9SwB7IYHdIUvt-U1Uc/edit?usp=sharing"""&amp;",""สระแก้ว!S341"")+IMPORTRANGE(""https://docs.google.com/spreadsheets/d/1xmPlrr1QbdSIKvl1dWUl9K4PjAfSL9oeMr_37QVzcxc/edit?usp=sharing"",""สระบุรี!S341"")+IMPORTRANGE(""https://docs.google.com/spreadsheets/d/1j51vR6CYVGhABJpv6tkstgok82RLpXieLzW1yOY5rHw/edi"&amp;"t?usp=sharing"",""สิงห์บุรี!S341"")+IMPORTRANGE(""https://docs.google.com/spreadsheets/d/1H1EalTWKUSzO4Z1-1CwzoDUaVffgrThEBe2sl74kKG0/edit?usp=sharing"",""สุพรรณบุรี!S341"")+IMPORTRANGE(""https://docs.google.com/spreadsheets/d/1BmIruG_sIrJLYao_Pdr7zVArWsf"&amp;"oBt2692TMi6x_854/edit?usp=sharing"",""อ่างทอง!S341"")"),0)</f>
        <v>0</v>
      </c>
      <c r="T341" s="135">
        <f t="shared" ca="1" si="248"/>
        <v>0</v>
      </c>
      <c r="U341" s="135">
        <f t="shared" ca="1" si="249"/>
        <v>0</v>
      </c>
    </row>
    <row r="342" spans="1:21" ht="19.5" x14ac:dyDescent="0.3">
      <c r="A342" s="224"/>
      <c r="B342" s="225"/>
      <c r="C342" s="212" t="s">
        <v>18</v>
      </c>
      <c r="D342" s="360" t="s">
        <v>38</v>
      </c>
      <c r="E342" s="227"/>
      <c r="F342" s="227"/>
      <c r="G342" s="227"/>
      <c r="H342" s="521"/>
      <c r="I342" s="522"/>
      <c r="J342" s="522"/>
      <c r="K342" s="523"/>
      <c r="L342" s="75"/>
      <c r="M342" s="75"/>
      <c r="N342" s="75"/>
      <c r="O342" s="222"/>
      <c r="P342" s="222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527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31366</v>
      </c>
      <c r="K343" s="531">
        <v>0</v>
      </c>
      <c r="L343" s="532"/>
      <c r="M343" s="532"/>
      <c r="N343" s="532"/>
      <c r="O343" s="532"/>
      <c r="P343" s="532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13wPX838HrBrQMCywv1BsuMkt4PEKTChp52zj44s2izQ/edit?usp=sharing"",""กาญจนบุรี!I344"")+IMPORTRANGE(""https://docs.google.com/spreadsheets/d/1ddFKvqj1W1NEiWytbGlB1zMx_ykJDVtmfEQ-6-lIUBA/edit?usp=sharing"","&amp;"""จันทบุรี!I344"")+IMPORTRANGE(""https://docs.google.com/spreadsheets/d/1T1PQvRODqOBZk8BRht_U031fIS1beLA0Ub2CEytj2q0/edit?usp=sharing"",""ฉะเชิงเทรา!I344"")+IMPORTRANGE(""https://docs.google.com/spreadsheets/d/11tr1B-Bhyr79v2bkwVh5h_fR-PStkgjlZtkrZpYurG0/"&amp;"edit?usp=sharing"",""ชลบุรี!I344"")+IMPORTRANGE(""https://docs.google.com/spreadsheets/d/1hh-FVnSX0vozXhGluamEcS54Dw9_zqW0N7qJUWgJ0Sw/edit?usp=sharing"",""ชัยนาท!I344"")+IMPORTRANGE(""https://docs.google.com/spreadsheets/d/1jkqa6GXxSacMcY1eN8AHjMNJ_7dDXMJ"&amp;"VRLDlaFSOdPM/edit?usp=sharing"",""ตราด!I344"")+IMPORTRANGE(""https://docs.google.com/spreadsheets/d/18hSgUJ3VwClqi_qtULmmW3cLr0oe3OKaSYoKzdpTsYQ/edit?usp=sharing"",""นครนายก!I344"")+IMPORTRANGE(""https://docs.google.com/spreadsheets/d/1YTZo6WM2dQ6Ix6FSdnL"&amp;"5P7uVnVKu40sxZu975tgG10E/edit?usp=sharing"",""นครปฐม!I344"")+IMPORTRANGE(""https://docs.google.com/spreadsheets/d/1OYoGg4WDg5RIzwGeB10padOxJF9E_Vljuvvct_M7RDo/edit?usp=sharing"",""ปทุมธานี!I344"")+IMPORTRANGE(""https://docs.google.com/spreadsheets/d/1GbCI"&amp;"E4D4wk9FUozzqk7SxfDMxDVBwVmI5zcaVUSzKAc/edit?usp=sharing"",""ประจวบคีรีขันธ์!I344"")+IMPORTRANGE(""https://docs.google.com/spreadsheets/d/1vVf6wykvW_lAyu7Yo9L4hUTqHqIeP_qcVuxCtosJEbg/edit?usp=sharing"",""ปราจีนบุรี!I344"")+IMPORTRANGE(""https://docs.googl"&amp;"e.com/spreadsheets/d/1BIDqLLg5jk3v59G8NlR8rk5xfQDKne0sAvZHSj7TI6I/edit?usp=sharing"",""พระนครศรีอยุธยา!I344"")+IMPORTRANGE(""https://docs.google.com/spreadsheets/d/1YXvxf8Yu6_rV4hTBrwMqAcAnv6DfhUxh5emyM3CJp_w/edit?usp=sharing"",""เพชรบุรี!I344"")+IMPORTRA"&amp;"NGE(""https://docs.google.com/spreadsheets/d/19KBlQQs7uwvsao6t2n-KvW3Ax8J8uRRfZPq1zPbXgKc/edit?usp=sharing"",""ระยอง!I344"")+IMPORTRANGE(""https://docs.google.com/spreadsheets/d/1jQ6P4QcrGM89YfqcC_PxOHGCMq5ezhucwJd8ci-NHng/edit?usp=sharing"",""ราชบุรี!I34"&amp;"4"")+IMPORTRANGE(""https://docs.google.com/spreadsheets/d/1lufeA2cfFqM-elVq2hznhDzC6Pr7wkJ9ZG_sYNGCMCU/edit?usp=sharing"",""ลพบุรี!I344"")+IMPORTRANGE(""https://docs.google.com/spreadsheets/d/10oOiF7loTyfsTkbd4MpaIm0HQ9SwB7IYHdIUvt-U1Uc/edit?usp=sharing"""&amp;",""สระแก้ว!I344"")+IMPORTRANGE(""https://docs.google.com/spreadsheets/d/1xmPlrr1QbdSIKvl1dWUl9K4PjAfSL9oeMr_37QVzcxc/edit?usp=sharing"",""สระบุรี!I344"")+IMPORTRANGE(""https://docs.google.com/spreadsheets/d/1j51vR6CYVGhABJpv6tkstgok82RLpXieLzW1yOY5rHw/edi"&amp;"t?usp=sharing"",""สิงห์บุรี!I344"")+IMPORTRANGE(""https://docs.google.com/spreadsheets/d/1H1EalTWKUSzO4Z1-1CwzoDUaVffgrThEBe2sl74kKG0/edit?usp=sharing"",""สุพรรณบุรี!I344"")+IMPORTRANGE(""https://docs.google.com/spreadsheets/d/1BmIruG_sIrJLYao_Pdr7zVArWsf"&amp;"oBt2692TMi6x_854/edit?usp=sharing"",""อ่างทอง!I344"")"),19420)</f>
        <v>19420</v>
      </c>
      <c r="J344" s="295">
        <f ca="1">IFERROR(__xludf.DUMMYFUNCTION("IMPORTRANGE(""https://docs.google.com/spreadsheets/d/13wPX838HrBrQMCywv1BsuMkt4PEKTChp52zj44s2izQ/edit?usp=sharing"",""กาญจนบุรี!J344"")+IMPORTRANGE(""https://docs.google.com/spreadsheets/d/1ddFKvqj1W1NEiWytbGlB1zMx_ykJDVtmfEQ-6-lIUBA/edit?usp=sharing"","&amp;"""จันทบุรี!J344"")+IMPORTRANGE(""https://docs.google.com/spreadsheets/d/1T1PQvRODqOBZk8BRht_U031fIS1beLA0Ub2CEytj2q0/edit?usp=sharing"",""ฉะเชิงเทรา!J344"")+IMPORTRANGE(""https://docs.google.com/spreadsheets/d/11tr1B-Bhyr79v2bkwVh5h_fR-PStkgjlZtkrZpYurG0/"&amp;"edit?usp=sharing"",""ชลบุรี!J344"")+IMPORTRANGE(""https://docs.google.com/spreadsheets/d/1hh-FVnSX0vozXhGluamEcS54Dw9_zqW0N7qJUWgJ0Sw/edit?usp=sharing"",""ชัยนาท!J344"")+IMPORTRANGE(""https://docs.google.com/spreadsheets/d/1jkqa6GXxSacMcY1eN8AHjMNJ_7dDXMJ"&amp;"VRLDlaFSOdPM/edit?usp=sharing"",""ตราด!J344"")+IMPORTRANGE(""https://docs.google.com/spreadsheets/d/18hSgUJ3VwClqi_qtULmmW3cLr0oe3OKaSYoKzdpTsYQ/edit?usp=sharing"",""นครนายก!J344"")+IMPORTRANGE(""https://docs.google.com/spreadsheets/d/1YTZo6WM2dQ6Ix6FSdnL"&amp;"5P7uVnVKu40sxZu975tgG10E/edit?usp=sharing"",""นครปฐม!J344"")+IMPORTRANGE(""https://docs.google.com/spreadsheets/d/1OYoGg4WDg5RIzwGeB10padOxJF9E_Vljuvvct_M7RDo/edit?usp=sharing"",""ปทุมธานี!J344"")+IMPORTRANGE(""https://docs.google.com/spreadsheets/d/1GbCI"&amp;"E4D4wk9FUozzqk7SxfDMxDVBwVmI5zcaVUSzKAc/edit?usp=sharing"",""ประจวบคีรีขันธ์!J344"")+IMPORTRANGE(""https://docs.google.com/spreadsheets/d/1vVf6wykvW_lAyu7Yo9L4hUTqHqIeP_qcVuxCtosJEbg/edit?usp=sharing"",""ปราจีนบุรี!J344"")+IMPORTRANGE(""https://docs.googl"&amp;"e.com/spreadsheets/d/1BIDqLLg5jk3v59G8NlR8rk5xfQDKne0sAvZHSj7TI6I/edit?usp=sharing"",""พระนครศรีอยุธยา!J344"")+IMPORTRANGE(""https://docs.google.com/spreadsheets/d/1YXvxf8Yu6_rV4hTBrwMqAcAnv6DfhUxh5emyM3CJp_w/edit?usp=sharing"",""เพชรบุรี!J344"")+IMPORTRA"&amp;"NGE(""https://docs.google.com/spreadsheets/d/19KBlQQs7uwvsao6t2n-KvW3Ax8J8uRRfZPq1zPbXgKc/edit?usp=sharing"",""ระยอง!J344"")+IMPORTRANGE(""https://docs.google.com/spreadsheets/d/1jQ6P4QcrGM89YfqcC_PxOHGCMq5ezhucwJd8ci-NHng/edit?usp=sharing"",""ราชบุรี!J34"&amp;"4"")+IMPORTRANGE(""https://docs.google.com/spreadsheets/d/1lufeA2cfFqM-elVq2hznhDzC6Pr7wkJ9ZG_sYNGCMCU/edit?usp=sharing"",""ลพบุรี!J344"")+IMPORTRANGE(""https://docs.google.com/spreadsheets/d/10oOiF7loTyfsTkbd4MpaIm0HQ9SwB7IYHdIUvt-U1Uc/edit?usp=sharing"""&amp;",""สระแก้ว!J344"")+IMPORTRANGE(""https://docs.google.com/spreadsheets/d/1xmPlrr1QbdSIKvl1dWUl9K4PjAfSL9oeMr_37QVzcxc/edit?usp=sharing"",""สระบุรี!J344"")+IMPORTRANGE(""https://docs.google.com/spreadsheets/d/1j51vR6CYVGhABJpv6tkstgok82RLpXieLzW1yOY5rHw/edi"&amp;"t?usp=sharing"",""สิงห์บุรี!J344"")+IMPORTRANGE(""https://docs.google.com/spreadsheets/d/1H1EalTWKUSzO4Z1-1CwzoDUaVffgrThEBe2sl74kKG0/edit?usp=sharing"",""สุพรรณบุรี!J344"")+IMPORTRANGE(""https://docs.google.com/spreadsheets/d/1BmIruG_sIrJLYao_Pdr7zVArWsf"&amp;"oBt2692TMi6x_854/edit?usp=sharing"",""อ่างทอง!J344"")"),27797)</f>
        <v>27797</v>
      </c>
      <c r="K344" s="77">
        <f ca="1">IF(I344&gt;0,J344*100/I344,0)</f>
        <v>143.13594232749742</v>
      </c>
      <c r="L344" s="75"/>
      <c r="M344" s="75"/>
      <c r="N344" s="75"/>
      <c r="O344" s="75"/>
      <c r="P344" s="75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75"/>
      <c r="M345" s="75"/>
      <c r="N345" s="75"/>
      <c r="O345" s="75"/>
      <c r="P345" s="75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13wPX838HrBrQMCywv1BsuMkt4PEKTChp52zj44s2izQ/edit?usp=sharing"",""กาญจนบุรี!I346"")+IMPORTRANGE(""https://docs.google.com/spreadsheets/d/1ddFKvqj1W1NEiWytbGlB1zMx_ykJDVtmfEQ-6-lIUBA/edit?usp=sharing"","&amp;"""จันทบุรี!I346"")+IMPORTRANGE(""https://docs.google.com/spreadsheets/d/1T1PQvRODqOBZk8BRht_U031fIS1beLA0Ub2CEytj2q0/edit?usp=sharing"",""ฉะเชิงเทรา!I346"")+IMPORTRANGE(""https://docs.google.com/spreadsheets/d/11tr1B-Bhyr79v2bkwVh5h_fR-PStkgjlZtkrZpYurG0/"&amp;"edit?usp=sharing"",""ชลบุรี!I346"")+IMPORTRANGE(""https://docs.google.com/spreadsheets/d/1hh-FVnSX0vozXhGluamEcS54Dw9_zqW0N7qJUWgJ0Sw/edit?usp=sharing"",""ชัยนาท!I346"")+IMPORTRANGE(""https://docs.google.com/spreadsheets/d/1jkqa6GXxSacMcY1eN8AHjMNJ_7dDXMJ"&amp;"VRLDlaFSOdPM/edit?usp=sharing"",""ตราด!I346"")+IMPORTRANGE(""https://docs.google.com/spreadsheets/d/18hSgUJ3VwClqi_qtULmmW3cLr0oe3OKaSYoKzdpTsYQ/edit?usp=sharing"",""นครนายก!I346"")+IMPORTRANGE(""https://docs.google.com/spreadsheets/d/1YTZo6WM2dQ6Ix6FSdnL"&amp;"5P7uVnVKu40sxZu975tgG10E/edit?usp=sharing"",""นครปฐม!I346"")+IMPORTRANGE(""https://docs.google.com/spreadsheets/d/1OYoGg4WDg5RIzwGeB10padOxJF9E_Vljuvvct_M7RDo/edit?usp=sharing"",""ปทุมธานี!I346"")+IMPORTRANGE(""https://docs.google.com/spreadsheets/d/1GbCI"&amp;"E4D4wk9FUozzqk7SxfDMxDVBwVmI5zcaVUSzKAc/edit?usp=sharing"",""ประจวบคีรีขันธ์!I346"")+IMPORTRANGE(""https://docs.google.com/spreadsheets/d/1vVf6wykvW_lAyu7Yo9L4hUTqHqIeP_qcVuxCtosJEbg/edit?usp=sharing"",""ปราจีนบุรี!I346"")+IMPORTRANGE(""https://docs.googl"&amp;"e.com/spreadsheets/d/1BIDqLLg5jk3v59G8NlR8rk5xfQDKne0sAvZHSj7TI6I/edit?usp=sharing"",""พระนครศรีอยุธยา!I346"")+IMPORTRANGE(""https://docs.google.com/spreadsheets/d/1YXvxf8Yu6_rV4hTBrwMqAcAnv6DfhUxh5emyM3CJp_w/edit?usp=sharing"",""เพชรบุรี!I346"")+IMPORTRA"&amp;"NGE(""https://docs.google.com/spreadsheets/d/19KBlQQs7uwvsao6t2n-KvW3Ax8J8uRRfZPq1zPbXgKc/edit?usp=sharing"",""ระยอง!I346"")+IMPORTRANGE(""https://docs.google.com/spreadsheets/d/1jQ6P4QcrGM89YfqcC_PxOHGCMq5ezhucwJd8ci-NHng/edit?usp=sharing"",""ราชบุรี!I34"&amp;"6"")+IMPORTRANGE(""https://docs.google.com/spreadsheets/d/1lufeA2cfFqM-elVq2hznhDzC6Pr7wkJ9ZG_sYNGCMCU/edit?usp=sharing"",""ลพบุรี!I346"")+IMPORTRANGE(""https://docs.google.com/spreadsheets/d/10oOiF7loTyfsTkbd4MpaIm0HQ9SwB7IYHdIUvt-U1Uc/edit?usp=sharing"""&amp;",""สระแก้ว!I346"")+IMPORTRANGE(""https://docs.google.com/spreadsheets/d/1xmPlrr1QbdSIKvl1dWUl9K4PjAfSL9oeMr_37QVzcxc/edit?usp=sharing"",""สระบุรี!I346"")+IMPORTRANGE(""https://docs.google.com/spreadsheets/d/1j51vR6CYVGhABJpv6tkstgok82RLpXieLzW1yOY5rHw/edi"&amp;"t?usp=sharing"",""สิงห์บุรี!I346"")+IMPORTRANGE(""https://docs.google.com/spreadsheets/d/1H1EalTWKUSzO4Z1-1CwzoDUaVffgrThEBe2sl74kKG0/edit?usp=sharing"",""สุพรรณบุรี!I346"")+IMPORTRANGE(""https://docs.google.com/spreadsheets/d/1BmIruG_sIrJLYao_Pdr7zVArWsf"&amp;"oBt2692TMi6x_854/edit?usp=sharing"",""อ่างทอง!I346"")"),52)</f>
        <v>52</v>
      </c>
      <c r="J346" s="295">
        <f ca="1">IFERROR(__xludf.DUMMYFUNCTION("IMPORTRANGE(""https://docs.google.com/spreadsheets/d/13wPX838HrBrQMCywv1BsuMkt4PEKTChp52zj44s2izQ/edit?usp=sharing"",""กาญจนบุรี!J346"")+IMPORTRANGE(""https://docs.google.com/spreadsheets/d/1ddFKvqj1W1NEiWytbGlB1zMx_ykJDVtmfEQ-6-lIUBA/edit?usp=sharing"","&amp;"""จันทบุรี!J346"")+IMPORTRANGE(""https://docs.google.com/spreadsheets/d/1T1PQvRODqOBZk8BRht_U031fIS1beLA0Ub2CEytj2q0/edit?usp=sharing"",""ฉะเชิงเทรา!J346"")+IMPORTRANGE(""https://docs.google.com/spreadsheets/d/11tr1B-Bhyr79v2bkwVh5h_fR-PStkgjlZtkrZpYurG0/"&amp;"edit?usp=sharing"",""ชลบุรี!J346"")+IMPORTRANGE(""https://docs.google.com/spreadsheets/d/1hh-FVnSX0vozXhGluamEcS54Dw9_zqW0N7qJUWgJ0Sw/edit?usp=sharing"",""ชัยนาท!J346"")+IMPORTRANGE(""https://docs.google.com/spreadsheets/d/1jkqa6GXxSacMcY1eN8AHjMNJ_7dDXMJ"&amp;"VRLDlaFSOdPM/edit?usp=sharing"",""ตราด!J346"")+IMPORTRANGE(""https://docs.google.com/spreadsheets/d/18hSgUJ3VwClqi_qtULmmW3cLr0oe3OKaSYoKzdpTsYQ/edit?usp=sharing"",""นครนายก!J346"")+IMPORTRANGE(""https://docs.google.com/spreadsheets/d/1YTZo6WM2dQ6Ix6FSdnL"&amp;"5P7uVnVKu40sxZu975tgG10E/edit?usp=sharing"",""นครปฐม!J346"")+IMPORTRANGE(""https://docs.google.com/spreadsheets/d/1OYoGg4WDg5RIzwGeB10padOxJF9E_Vljuvvct_M7RDo/edit?usp=sharing"",""ปทุมธานี!J346"")+IMPORTRANGE(""https://docs.google.com/spreadsheets/d/1GbCI"&amp;"E4D4wk9FUozzqk7SxfDMxDVBwVmI5zcaVUSzKAc/edit?usp=sharing"",""ประจวบคีรีขันธ์!J346"")+IMPORTRANGE(""https://docs.google.com/spreadsheets/d/1vVf6wykvW_lAyu7Yo9L4hUTqHqIeP_qcVuxCtosJEbg/edit?usp=sharing"",""ปราจีนบุรี!J346"")+IMPORTRANGE(""https://docs.googl"&amp;"e.com/spreadsheets/d/1BIDqLLg5jk3v59G8NlR8rk5xfQDKne0sAvZHSj7TI6I/edit?usp=sharing"",""พระนครศรีอยุธยา!J346"")+IMPORTRANGE(""https://docs.google.com/spreadsheets/d/1YXvxf8Yu6_rV4hTBrwMqAcAnv6DfhUxh5emyM3CJp_w/edit?usp=sharing"",""เพชรบุรี!J346"")+IMPORTRA"&amp;"NGE(""https://docs.google.com/spreadsheets/d/19KBlQQs7uwvsao6t2n-KvW3Ax8J8uRRfZPq1zPbXgKc/edit?usp=sharing"",""ระยอง!J346"")+IMPORTRANGE(""https://docs.google.com/spreadsheets/d/1jQ6P4QcrGM89YfqcC_PxOHGCMq5ezhucwJd8ci-NHng/edit?usp=sharing"",""ราชบุรี!J34"&amp;"6"")+IMPORTRANGE(""https://docs.google.com/spreadsheets/d/1lufeA2cfFqM-elVq2hznhDzC6Pr7wkJ9ZG_sYNGCMCU/edit?usp=sharing"",""ลพบุรี!J346"")+IMPORTRANGE(""https://docs.google.com/spreadsheets/d/10oOiF7loTyfsTkbd4MpaIm0HQ9SwB7IYHdIUvt-U1Uc/edit?usp=sharing"""&amp;",""สระแก้ว!J346"")+IMPORTRANGE(""https://docs.google.com/spreadsheets/d/1xmPlrr1QbdSIKvl1dWUl9K4PjAfSL9oeMr_37QVzcxc/edit?usp=sharing"",""สระบุรี!J346"")+IMPORTRANGE(""https://docs.google.com/spreadsheets/d/1j51vR6CYVGhABJpv6tkstgok82RLpXieLzW1yOY5rHw/edi"&amp;"t?usp=sharing"",""สิงห์บุรี!J346"")+IMPORTRANGE(""https://docs.google.com/spreadsheets/d/1H1EalTWKUSzO4Z1-1CwzoDUaVffgrThEBe2sl74kKG0/edit?usp=sharing"",""สุพรรณบุรี!J346"")+IMPORTRANGE(""https://docs.google.com/spreadsheets/d/1BmIruG_sIrJLYao_Pdr7zVArWsf"&amp;"oBt2692TMi6x_854/edit?usp=sharing"",""อ่างทอง!J346"")"),59)</f>
        <v>59</v>
      </c>
      <c r="K346" s="77">
        <f ca="1">IF(I346&gt;0,J346*100/I346,0)</f>
        <v>113.46153846153847</v>
      </c>
      <c r="L346" s="75"/>
      <c r="M346" s="75"/>
      <c r="N346" s="75"/>
      <c r="O346" s="75"/>
      <c r="P346" s="75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13wPX838HrBrQMCywv1BsuMkt4PEKTChp52zj44s2izQ/edit?usp=sharing"",""กาญจนบุรี!J347"")+IMPORTRANGE(""https://docs.google.com/spreadsheets/d/1ddFKvqj1W1NEiWytbGlB1zMx_ykJDVtmfEQ-6-lIUBA/edit?usp=sharing"","&amp;"""จันทบุรี!J347"")+IMPORTRANGE(""https://docs.google.com/spreadsheets/d/1T1PQvRODqOBZk8BRht_U031fIS1beLA0Ub2CEytj2q0/edit?usp=sharing"",""ฉะเชิงเทรา!J347"")+IMPORTRANGE(""https://docs.google.com/spreadsheets/d/11tr1B-Bhyr79v2bkwVh5h_fR-PStkgjlZtkrZpYurG0/"&amp;"edit?usp=sharing"",""ชลบุรี!J347"")+IMPORTRANGE(""https://docs.google.com/spreadsheets/d/1hh-FVnSX0vozXhGluamEcS54Dw9_zqW0N7qJUWgJ0Sw/edit?usp=sharing"",""ชัยนาท!J347"")+IMPORTRANGE(""https://docs.google.com/spreadsheets/d/1jkqa6GXxSacMcY1eN8AHjMNJ_7dDXMJ"&amp;"VRLDlaFSOdPM/edit?usp=sharing"",""ตราด!J347"")+IMPORTRANGE(""https://docs.google.com/spreadsheets/d/18hSgUJ3VwClqi_qtULmmW3cLr0oe3OKaSYoKzdpTsYQ/edit?usp=sharing"",""นครนายก!J347"")+IMPORTRANGE(""https://docs.google.com/spreadsheets/d/1YTZo6WM2dQ6Ix6FSdnL"&amp;"5P7uVnVKu40sxZu975tgG10E/edit?usp=sharing"",""นครปฐม!J347"")+IMPORTRANGE(""https://docs.google.com/spreadsheets/d/1OYoGg4WDg5RIzwGeB10padOxJF9E_Vljuvvct_M7RDo/edit?usp=sharing"",""ปทุมธานี!J347"")+IMPORTRANGE(""https://docs.google.com/spreadsheets/d/1GbCI"&amp;"E4D4wk9FUozzqk7SxfDMxDVBwVmI5zcaVUSzKAc/edit?usp=sharing"",""ประจวบคีรีขันธ์!J347"")+IMPORTRANGE(""https://docs.google.com/spreadsheets/d/1vVf6wykvW_lAyu7Yo9L4hUTqHqIeP_qcVuxCtosJEbg/edit?usp=sharing"",""ปราจีนบุรี!J347"")+IMPORTRANGE(""https://docs.googl"&amp;"e.com/spreadsheets/d/1BIDqLLg5jk3v59G8NlR8rk5xfQDKne0sAvZHSj7TI6I/edit?usp=sharing"",""พระนครศรีอยุธยา!J347"")+IMPORTRANGE(""https://docs.google.com/spreadsheets/d/1YXvxf8Yu6_rV4hTBrwMqAcAnv6DfhUxh5emyM3CJp_w/edit?usp=sharing"",""เพชรบุรี!J347"")+IMPORTRA"&amp;"NGE(""https://docs.google.com/spreadsheets/d/19KBlQQs7uwvsao6t2n-KvW3Ax8J8uRRfZPq1zPbXgKc/edit?usp=sharing"",""ระยอง!J347"")+IMPORTRANGE(""https://docs.google.com/spreadsheets/d/1jQ6P4QcrGM89YfqcC_PxOHGCMq5ezhucwJd8ci-NHng/edit?usp=sharing"",""ราชบุรี!J34"&amp;"7"")+IMPORTRANGE(""https://docs.google.com/spreadsheets/d/1lufeA2cfFqM-elVq2hznhDzC6Pr7wkJ9ZG_sYNGCMCU/edit?usp=sharing"",""ลพบุรี!J347"")+IMPORTRANGE(""https://docs.google.com/spreadsheets/d/10oOiF7loTyfsTkbd4MpaIm0HQ9SwB7IYHdIUvt-U1Uc/edit?usp=sharing"""&amp;",""สระแก้ว!J347"")+IMPORTRANGE(""https://docs.google.com/spreadsheets/d/1xmPlrr1QbdSIKvl1dWUl9K4PjAfSL9oeMr_37QVzcxc/edit?usp=sharing"",""สระบุรี!J347"")+IMPORTRANGE(""https://docs.google.com/spreadsheets/d/1j51vR6CYVGhABJpv6tkstgok82RLpXieLzW1yOY5rHw/edi"&amp;"t?usp=sharing"",""สิงห์บุรี!J347"")+IMPORTRANGE(""https://docs.google.com/spreadsheets/d/1H1EalTWKUSzO4Z1-1CwzoDUaVffgrThEBe2sl74kKG0/edit?usp=sharing"",""สุพรรณบุรี!J347"")+IMPORTRANGE(""https://docs.google.com/spreadsheets/d/1BmIruG_sIrJLYao_Pdr7zVArWsf"&amp;"oBt2692TMi6x_854/edit?usp=sharing"",""อ่างทอง!J347"")"),1775)</f>
        <v>1775</v>
      </c>
      <c r="K347" s="90"/>
      <c r="L347" s="75"/>
      <c r="M347" s="75"/>
      <c r="N347" s="75"/>
      <c r="O347" s="75"/>
      <c r="P347" s="75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13wPX838HrBrQMCywv1BsuMkt4PEKTChp52zj44s2izQ/edit?usp=sharing"",""กาญจนบุรี!J348"")+IMPORTRANGE(""https://docs.google.com/spreadsheets/d/1ddFKvqj1W1NEiWytbGlB1zMx_ykJDVtmfEQ-6-lIUBA/edit?usp=sharing"","&amp;"""จันทบุรี!J348"")+IMPORTRANGE(""https://docs.google.com/spreadsheets/d/1T1PQvRODqOBZk8BRht_U031fIS1beLA0Ub2CEytj2q0/edit?usp=sharing"",""ฉะเชิงเทรา!J348"")+IMPORTRANGE(""https://docs.google.com/spreadsheets/d/11tr1B-Bhyr79v2bkwVh5h_fR-PStkgjlZtkrZpYurG0/"&amp;"edit?usp=sharing"",""ชลบุรี!J348"")+IMPORTRANGE(""https://docs.google.com/spreadsheets/d/1hh-FVnSX0vozXhGluamEcS54Dw9_zqW0N7qJUWgJ0Sw/edit?usp=sharing"",""ชัยนาท!J348"")+IMPORTRANGE(""https://docs.google.com/spreadsheets/d/1jkqa6GXxSacMcY1eN8AHjMNJ_7dDXMJ"&amp;"VRLDlaFSOdPM/edit?usp=sharing"",""ตราด!J348"")+IMPORTRANGE(""https://docs.google.com/spreadsheets/d/18hSgUJ3VwClqi_qtULmmW3cLr0oe3OKaSYoKzdpTsYQ/edit?usp=sharing"",""นครนายก!J348"")+IMPORTRANGE(""https://docs.google.com/spreadsheets/d/1YTZo6WM2dQ6Ix6FSdnL"&amp;"5P7uVnVKu40sxZu975tgG10E/edit?usp=sharing"",""นครปฐม!J348"")+IMPORTRANGE(""https://docs.google.com/spreadsheets/d/1OYoGg4WDg5RIzwGeB10padOxJF9E_Vljuvvct_M7RDo/edit?usp=sharing"",""ปทุมธานี!J348"")+IMPORTRANGE(""https://docs.google.com/spreadsheets/d/1GbCI"&amp;"E4D4wk9FUozzqk7SxfDMxDVBwVmI5zcaVUSzKAc/edit?usp=sharing"",""ประจวบคีรีขันธ์!J348"")+IMPORTRANGE(""https://docs.google.com/spreadsheets/d/1vVf6wykvW_lAyu7Yo9L4hUTqHqIeP_qcVuxCtosJEbg/edit?usp=sharing"",""ปราจีนบุรี!J348"")+IMPORTRANGE(""https://docs.googl"&amp;"e.com/spreadsheets/d/1BIDqLLg5jk3v59G8NlR8rk5xfQDKne0sAvZHSj7TI6I/edit?usp=sharing"",""พระนครศรีอยุธยา!J348"")+IMPORTRANGE(""https://docs.google.com/spreadsheets/d/1YXvxf8Yu6_rV4hTBrwMqAcAnv6DfhUxh5emyM3CJp_w/edit?usp=sharing"",""เพชรบุรี!J348"")+IMPORTRA"&amp;"NGE(""https://docs.google.com/spreadsheets/d/19KBlQQs7uwvsao6t2n-KvW3Ax8J8uRRfZPq1zPbXgKc/edit?usp=sharing"",""ระยอง!J348"")+IMPORTRANGE(""https://docs.google.com/spreadsheets/d/1jQ6P4QcrGM89YfqcC_PxOHGCMq5ezhucwJd8ci-NHng/edit?usp=sharing"",""ราชบุรี!J34"&amp;"8"")+IMPORTRANGE(""https://docs.google.com/spreadsheets/d/1lufeA2cfFqM-elVq2hznhDzC6Pr7wkJ9ZG_sYNGCMCU/edit?usp=sharing"",""ลพบุรี!J348"")+IMPORTRANGE(""https://docs.google.com/spreadsheets/d/10oOiF7loTyfsTkbd4MpaIm0HQ9SwB7IYHdIUvt-U1Uc/edit?usp=sharing"""&amp;",""สระแก้ว!J348"")+IMPORTRANGE(""https://docs.google.com/spreadsheets/d/1xmPlrr1QbdSIKvl1dWUl9K4PjAfSL9oeMr_37QVzcxc/edit?usp=sharing"",""สระบุรี!J348"")+IMPORTRANGE(""https://docs.google.com/spreadsheets/d/1j51vR6CYVGhABJpv6tkstgok82RLpXieLzW1yOY5rHw/edi"&amp;"t?usp=sharing"",""สิงห์บุรี!J348"")+IMPORTRANGE(""https://docs.google.com/spreadsheets/d/1H1EalTWKUSzO4Z1-1CwzoDUaVffgrThEBe2sl74kKG0/edit?usp=sharing"",""สุพรรณบุรี!J348"")+IMPORTRANGE(""https://docs.google.com/spreadsheets/d/1BmIruG_sIrJLYao_Pdr7zVArWsf"&amp;"oBt2692TMi6x_854/edit?usp=sharing"",""อ่างทอง!J348"")"),1700)</f>
        <v>1700</v>
      </c>
      <c r="K348" s="90"/>
      <c r="L348" s="75"/>
      <c r="M348" s="75"/>
      <c r="N348" s="75"/>
      <c r="O348" s="75"/>
      <c r="P348" s="75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13wPX838HrBrQMCywv1BsuMkt4PEKTChp52zj44s2izQ/edit?usp=sharing"",""กาญจนบุรี!J349"")+IMPORTRANGE(""https://docs.google.com/spreadsheets/d/1ddFKvqj1W1NEiWytbGlB1zMx_ykJDVtmfEQ-6-lIUBA/edit?usp=sharing"","&amp;"""จันทบุรี!J349"")+IMPORTRANGE(""https://docs.google.com/spreadsheets/d/1T1PQvRODqOBZk8BRht_U031fIS1beLA0Ub2CEytj2q0/edit?usp=sharing"",""ฉะเชิงเทรา!J349"")+IMPORTRANGE(""https://docs.google.com/spreadsheets/d/11tr1B-Bhyr79v2bkwVh5h_fR-PStkgjlZtkrZpYurG0/"&amp;"edit?usp=sharing"",""ชลบุรี!J349"")+IMPORTRANGE(""https://docs.google.com/spreadsheets/d/1hh-FVnSX0vozXhGluamEcS54Dw9_zqW0N7qJUWgJ0Sw/edit?usp=sharing"",""ชัยนาท!J349"")+IMPORTRANGE(""https://docs.google.com/spreadsheets/d/1jkqa6GXxSacMcY1eN8AHjMNJ_7dDXMJ"&amp;"VRLDlaFSOdPM/edit?usp=sharing"",""ตราด!J349"")+IMPORTRANGE(""https://docs.google.com/spreadsheets/d/18hSgUJ3VwClqi_qtULmmW3cLr0oe3OKaSYoKzdpTsYQ/edit?usp=sharing"",""นครนายก!J349"")+IMPORTRANGE(""https://docs.google.com/spreadsheets/d/1YTZo6WM2dQ6Ix6FSdnL"&amp;"5P7uVnVKu40sxZu975tgG10E/edit?usp=sharing"",""นครปฐม!J349"")+IMPORTRANGE(""https://docs.google.com/spreadsheets/d/1OYoGg4WDg5RIzwGeB10padOxJF9E_Vljuvvct_M7RDo/edit?usp=sharing"",""ปทุมธานี!J349"")+IMPORTRANGE(""https://docs.google.com/spreadsheets/d/1GbCI"&amp;"E4D4wk9FUozzqk7SxfDMxDVBwVmI5zcaVUSzKAc/edit?usp=sharing"",""ประจวบคีรีขันธ์!J349"")+IMPORTRANGE(""https://docs.google.com/spreadsheets/d/1vVf6wykvW_lAyu7Yo9L4hUTqHqIeP_qcVuxCtosJEbg/edit?usp=sharing"",""ปราจีนบุรี!J349"")+IMPORTRANGE(""https://docs.googl"&amp;"e.com/spreadsheets/d/1BIDqLLg5jk3v59G8NlR8rk5xfQDKne0sAvZHSj7TI6I/edit?usp=sharing"",""พระนครศรีอยุธยา!J349"")+IMPORTRANGE(""https://docs.google.com/spreadsheets/d/1YXvxf8Yu6_rV4hTBrwMqAcAnv6DfhUxh5emyM3CJp_w/edit?usp=sharing"",""เพชรบุรี!J349"")+IMPORTRA"&amp;"NGE(""https://docs.google.com/spreadsheets/d/19KBlQQs7uwvsao6t2n-KvW3Ax8J8uRRfZPq1zPbXgKc/edit?usp=sharing"",""ระยอง!J349"")+IMPORTRANGE(""https://docs.google.com/spreadsheets/d/1jQ6P4QcrGM89YfqcC_PxOHGCMq5ezhucwJd8ci-NHng/edit?usp=sharing"",""ราชบุรี!J34"&amp;"9"")+IMPORTRANGE(""https://docs.google.com/spreadsheets/d/1lufeA2cfFqM-elVq2hznhDzC6Pr7wkJ9ZG_sYNGCMCU/edit?usp=sharing"",""ลพบุรี!J349"")+IMPORTRANGE(""https://docs.google.com/spreadsheets/d/10oOiF7loTyfsTkbd4MpaIm0HQ9SwB7IYHdIUvt-U1Uc/edit?usp=sharing"""&amp;",""สระแก้ว!J349"")+IMPORTRANGE(""https://docs.google.com/spreadsheets/d/1xmPlrr1QbdSIKvl1dWUl9K4PjAfSL9oeMr_37QVzcxc/edit?usp=sharing"",""สระบุรี!J349"")+IMPORTRANGE(""https://docs.google.com/spreadsheets/d/1j51vR6CYVGhABJpv6tkstgok82RLpXieLzW1yOY5rHw/edi"&amp;"t?usp=sharing"",""สิงห์บุรี!J349"")+IMPORTRANGE(""https://docs.google.com/spreadsheets/d/1H1EalTWKUSzO4Z1-1CwzoDUaVffgrThEBe2sl74kKG0/edit?usp=sharing"",""สุพรรณบุรี!J349"")+IMPORTRANGE(""https://docs.google.com/spreadsheets/d/1BmIruG_sIrJLYao_Pdr7zVArWsf"&amp;"oBt2692TMi6x_854/edit?usp=sharing"",""อ่างทอง!J349"")"),94)</f>
        <v>94</v>
      </c>
      <c r="K349" s="90"/>
      <c r="L349" s="75"/>
      <c r="M349" s="75"/>
      <c r="N349" s="75"/>
      <c r="O349" s="75"/>
      <c r="P349" s="75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75"/>
      <c r="M350" s="75"/>
      <c r="N350" s="75"/>
      <c r="O350" s="75"/>
      <c r="P350" s="75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539" t="s">
        <v>145</v>
      </c>
      <c r="F351" s="537"/>
      <c r="G351" s="540"/>
      <c r="H351" s="541" t="s">
        <v>35</v>
      </c>
      <c r="I351" s="542">
        <v>0</v>
      </c>
      <c r="J351" s="542">
        <f ca="1">J352+J353</f>
        <v>59537</v>
      </c>
      <c r="K351" s="543">
        <v>0</v>
      </c>
      <c r="L351" s="380"/>
      <c r="M351" s="380"/>
      <c r="N351" s="380"/>
      <c r="O351" s="380"/>
      <c r="P351" s="380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13wPX838HrBrQMCywv1BsuMkt4PEKTChp52zj44s2izQ/edit?usp=sharing"",""กาญจนบุรี!J352"")+IMPORTRANGE(""https://docs.google.com/spreadsheets/d/1ddFKvqj1W1NEiWytbGlB1zMx_ykJDVtmfEQ-6-lIUBA/edit?usp=sharing"","&amp;"""จันทบุรี!J352"")+IMPORTRANGE(""https://docs.google.com/spreadsheets/d/1T1PQvRODqOBZk8BRht_U031fIS1beLA0Ub2CEytj2q0/edit?usp=sharing"",""ฉะเชิงเทรา!J352"")+IMPORTRANGE(""https://docs.google.com/spreadsheets/d/11tr1B-Bhyr79v2bkwVh5h_fR-PStkgjlZtkrZpYurG0/"&amp;"edit?usp=sharing"",""ชลบุรี!J352"")+IMPORTRANGE(""https://docs.google.com/spreadsheets/d/1hh-FVnSX0vozXhGluamEcS54Dw9_zqW0N7qJUWgJ0Sw/edit?usp=sharing"",""ชัยนาท!J352"")+IMPORTRANGE(""https://docs.google.com/spreadsheets/d/1jkqa6GXxSacMcY1eN8AHjMNJ_7dDXMJ"&amp;"VRLDlaFSOdPM/edit?usp=sharing"",""ตราด!J352"")+IMPORTRANGE(""https://docs.google.com/spreadsheets/d/18hSgUJ3VwClqi_qtULmmW3cLr0oe3OKaSYoKzdpTsYQ/edit?usp=sharing"",""นครนายก!J352"")+IMPORTRANGE(""https://docs.google.com/spreadsheets/d/1YTZo6WM2dQ6Ix6FSdnL"&amp;"5P7uVnVKu40sxZu975tgG10E/edit?usp=sharing"",""นครปฐม!J352"")+IMPORTRANGE(""https://docs.google.com/spreadsheets/d/1OYoGg4WDg5RIzwGeB10padOxJF9E_Vljuvvct_M7RDo/edit?usp=sharing"",""ปทุมธานี!J352"")+IMPORTRANGE(""https://docs.google.com/spreadsheets/d/1GbCI"&amp;"E4D4wk9FUozzqk7SxfDMxDVBwVmI5zcaVUSzKAc/edit?usp=sharing"",""ประจวบคีรีขันธ์!J352"")+IMPORTRANGE(""https://docs.google.com/spreadsheets/d/1vVf6wykvW_lAyu7Yo9L4hUTqHqIeP_qcVuxCtosJEbg/edit?usp=sharing"",""ปราจีนบุรี!J352"")+IMPORTRANGE(""https://docs.googl"&amp;"e.com/spreadsheets/d/1BIDqLLg5jk3v59G8NlR8rk5xfQDKne0sAvZHSj7TI6I/edit?usp=sharing"",""พระนครศรีอยุธยา!J352"")+IMPORTRANGE(""https://docs.google.com/spreadsheets/d/1YXvxf8Yu6_rV4hTBrwMqAcAnv6DfhUxh5emyM3CJp_w/edit?usp=sharing"",""เพชรบุรี!J352"")+IMPORTRA"&amp;"NGE(""https://docs.google.com/spreadsheets/d/19KBlQQs7uwvsao6t2n-KvW3Ax8J8uRRfZPq1zPbXgKc/edit?usp=sharing"",""ระยอง!J352"")+IMPORTRANGE(""https://docs.google.com/spreadsheets/d/1jQ6P4QcrGM89YfqcC_PxOHGCMq5ezhucwJd8ci-NHng/edit?usp=sharing"",""ราชบุรี!J35"&amp;"2"")+IMPORTRANGE(""https://docs.google.com/spreadsheets/d/1lufeA2cfFqM-elVq2hznhDzC6Pr7wkJ9ZG_sYNGCMCU/edit?usp=sharing"",""ลพบุรี!J352"")+IMPORTRANGE(""https://docs.google.com/spreadsheets/d/10oOiF7loTyfsTkbd4MpaIm0HQ9SwB7IYHdIUvt-U1Uc/edit?usp=sharing"""&amp;",""สระแก้ว!J352"")+IMPORTRANGE(""https://docs.google.com/spreadsheets/d/1xmPlrr1QbdSIKvl1dWUl9K4PjAfSL9oeMr_37QVzcxc/edit?usp=sharing"",""สระบุรี!J352"")+IMPORTRANGE(""https://docs.google.com/spreadsheets/d/1j51vR6CYVGhABJpv6tkstgok82RLpXieLzW1yOY5rHw/edi"&amp;"t?usp=sharing"",""สิงห์บุรี!J352"")+IMPORTRANGE(""https://docs.google.com/spreadsheets/d/1H1EalTWKUSzO4Z1-1CwzoDUaVffgrThEBe2sl74kKG0/edit?usp=sharing"",""สุพรรณบุรี!J352"")+IMPORTRANGE(""https://docs.google.com/spreadsheets/d/1BmIruG_sIrJLYao_Pdr7zVArWsf"&amp;"oBt2692TMi6x_854/edit?usp=sharing"",""อ่างทอง!J352"")"),8123)</f>
        <v>8123</v>
      </c>
      <c r="K352" s="90"/>
      <c r="L352" s="75"/>
      <c r="M352" s="75"/>
      <c r="N352" s="75"/>
      <c r="O352" s="75"/>
      <c r="P352" s="75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13wPX838HrBrQMCywv1BsuMkt4PEKTChp52zj44s2izQ/edit?usp=sharing"",""กาญจนบุรี!J353"")+IMPORTRANGE(""https://docs.google.com/spreadsheets/d/1ddFKvqj1W1NEiWytbGlB1zMx_ykJDVtmfEQ-6-lIUBA/edit?usp=sharing"","&amp;"""จันทบุรี!J353"")+IMPORTRANGE(""https://docs.google.com/spreadsheets/d/1T1PQvRODqOBZk8BRht_U031fIS1beLA0Ub2CEytj2q0/edit?usp=sharing"",""ฉะเชิงเทรา!J353"")+IMPORTRANGE(""https://docs.google.com/spreadsheets/d/11tr1B-Bhyr79v2bkwVh5h_fR-PStkgjlZtkrZpYurG0/"&amp;"edit?usp=sharing"",""ชลบุรี!J353"")+IMPORTRANGE(""https://docs.google.com/spreadsheets/d/1hh-FVnSX0vozXhGluamEcS54Dw9_zqW0N7qJUWgJ0Sw/edit?usp=sharing"",""ชัยนาท!J353"")+IMPORTRANGE(""https://docs.google.com/spreadsheets/d/1jkqa6GXxSacMcY1eN8AHjMNJ_7dDXMJ"&amp;"VRLDlaFSOdPM/edit?usp=sharing"",""ตราด!J353"")+IMPORTRANGE(""https://docs.google.com/spreadsheets/d/18hSgUJ3VwClqi_qtULmmW3cLr0oe3OKaSYoKzdpTsYQ/edit?usp=sharing"",""นครนายก!J353"")+IMPORTRANGE(""https://docs.google.com/spreadsheets/d/1YTZo6WM2dQ6Ix6FSdnL"&amp;"5P7uVnVKu40sxZu975tgG10E/edit?usp=sharing"",""นครปฐม!J353"")+IMPORTRANGE(""https://docs.google.com/spreadsheets/d/1OYoGg4WDg5RIzwGeB10padOxJF9E_Vljuvvct_M7RDo/edit?usp=sharing"",""ปทุมธานี!J353"")+IMPORTRANGE(""https://docs.google.com/spreadsheets/d/1GbCI"&amp;"E4D4wk9FUozzqk7SxfDMxDVBwVmI5zcaVUSzKAc/edit?usp=sharing"",""ประจวบคีรีขันธ์!J353"")+IMPORTRANGE(""https://docs.google.com/spreadsheets/d/1vVf6wykvW_lAyu7Yo9L4hUTqHqIeP_qcVuxCtosJEbg/edit?usp=sharing"",""ปราจีนบุรี!J353"")+IMPORTRANGE(""https://docs.googl"&amp;"e.com/spreadsheets/d/1BIDqLLg5jk3v59G8NlR8rk5xfQDKne0sAvZHSj7TI6I/edit?usp=sharing"",""พระนครศรีอยุธยา!J353"")+IMPORTRANGE(""https://docs.google.com/spreadsheets/d/1YXvxf8Yu6_rV4hTBrwMqAcAnv6DfhUxh5emyM3CJp_w/edit?usp=sharing"",""เพชรบุรี!J353"")+IMPORTRA"&amp;"NGE(""https://docs.google.com/spreadsheets/d/19KBlQQs7uwvsao6t2n-KvW3Ax8J8uRRfZPq1zPbXgKc/edit?usp=sharing"",""ระยอง!J353"")+IMPORTRANGE(""https://docs.google.com/spreadsheets/d/1jQ6P4QcrGM89YfqcC_PxOHGCMq5ezhucwJd8ci-NHng/edit?usp=sharing"",""ราชบุรี!J35"&amp;"3"")+IMPORTRANGE(""https://docs.google.com/spreadsheets/d/1lufeA2cfFqM-elVq2hznhDzC6Pr7wkJ9ZG_sYNGCMCU/edit?usp=sharing"",""ลพบุรี!J353"")+IMPORTRANGE(""https://docs.google.com/spreadsheets/d/10oOiF7loTyfsTkbd4MpaIm0HQ9SwB7IYHdIUvt-U1Uc/edit?usp=sharing"""&amp;",""สระแก้ว!J353"")+IMPORTRANGE(""https://docs.google.com/spreadsheets/d/1xmPlrr1QbdSIKvl1dWUl9K4PjAfSL9oeMr_37QVzcxc/edit?usp=sharing"",""สระบุรี!J353"")+IMPORTRANGE(""https://docs.google.com/spreadsheets/d/1j51vR6CYVGhABJpv6tkstgok82RLpXieLzW1yOY5rHw/edi"&amp;"t?usp=sharing"",""สิงห์บุรี!J353"")+IMPORTRANGE(""https://docs.google.com/spreadsheets/d/1H1EalTWKUSzO4Z1-1CwzoDUaVffgrThEBe2sl74kKG0/edit?usp=sharing"",""สุพรรณบุรี!J353"")+IMPORTRANGE(""https://docs.google.com/spreadsheets/d/1BmIruG_sIrJLYao_Pdr7zVArWsf"&amp;"oBt2692TMi6x_854/edit?usp=sharing"",""อ่างทอง!J353"")"),51414)</f>
        <v>51414</v>
      </c>
      <c r="K353" s="90"/>
      <c r="L353" s="75"/>
      <c r="M353" s="75"/>
      <c r="N353" s="75"/>
      <c r="O353" s="75"/>
      <c r="P353" s="75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13wPX838HrBrQMCywv1BsuMkt4PEKTChp52zj44s2izQ/edit?usp=sharing"",""กาญจนบุรี!J354"")+IMPORTRANGE(""https://docs.google.com/spreadsheets/d/1ddFKvqj1W1NEiWytbGlB1zMx_ykJDVtmfEQ-6-lIUBA/edit?usp=sharing"","&amp;"""จันทบุรี!J354"")+IMPORTRANGE(""https://docs.google.com/spreadsheets/d/1T1PQvRODqOBZk8BRht_U031fIS1beLA0Ub2CEytj2q0/edit?usp=sharing"",""ฉะเชิงเทรา!J354"")+IMPORTRANGE(""https://docs.google.com/spreadsheets/d/11tr1B-Bhyr79v2bkwVh5h_fR-PStkgjlZtkrZpYurG0/"&amp;"edit?usp=sharing"",""ชลบุรี!J354"")+IMPORTRANGE(""https://docs.google.com/spreadsheets/d/1hh-FVnSX0vozXhGluamEcS54Dw9_zqW0N7qJUWgJ0Sw/edit?usp=sharing"",""ชัยนาท!J354"")+IMPORTRANGE(""https://docs.google.com/spreadsheets/d/1jkqa6GXxSacMcY1eN8AHjMNJ_7dDXMJ"&amp;"VRLDlaFSOdPM/edit?usp=sharing"",""ตราด!J354"")+IMPORTRANGE(""https://docs.google.com/spreadsheets/d/18hSgUJ3VwClqi_qtULmmW3cLr0oe3OKaSYoKzdpTsYQ/edit?usp=sharing"",""นครนายก!J354"")+IMPORTRANGE(""https://docs.google.com/spreadsheets/d/1YTZo6WM2dQ6Ix6FSdnL"&amp;"5P7uVnVKu40sxZu975tgG10E/edit?usp=sharing"",""นครปฐม!J354"")+IMPORTRANGE(""https://docs.google.com/spreadsheets/d/1OYoGg4WDg5RIzwGeB10padOxJF9E_Vljuvvct_M7RDo/edit?usp=sharing"",""ปทุมธานี!J354"")+IMPORTRANGE(""https://docs.google.com/spreadsheets/d/1GbCI"&amp;"E4D4wk9FUozzqk7SxfDMxDVBwVmI5zcaVUSzKAc/edit?usp=sharing"",""ประจวบคีรีขันธ์!J354"")+IMPORTRANGE(""https://docs.google.com/spreadsheets/d/1vVf6wykvW_lAyu7Yo9L4hUTqHqIeP_qcVuxCtosJEbg/edit?usp=sharing"",""ปราจีนบุรี!J354"")+IMPORTRANGE(""https://docs.googl"&amp;"e.com/spreadsheets/d/1BIDqLLg5jk3v59G8NlR8rk5xfQDKne0sAvZHSj7TI6I/edit?usp=sharing"",""พระนครศรีอยุธยา!J354"")+IMPORTRANGE(""https://docs.google.com/spreadsheets/d/1YXvxf8Yu6_rV4hTBrwMqAcAnv6DfhUxh5emyM3CJp_w/edit?usp=sharing"",""เพชรบุรี!J354"")+IMPORTRA"&amp;"NGE(""https://docs.google.com/spreadsheets/d/19KBlQQs7uwvsao6t2n-KvW3Ax8J8uRRfZPq1zPbXgKc/edit?usp=sharing"",""ระยอง!J354"")+IMPORTRANGE(""https://docs.google.com/spreadsheets/d/1jQ6P4QcrGM89YfqcC_PxOHGCMq5ezhucwJd8ci-NHng/edit?usp=sharing"",""ราชบุรี!J35"&amp;"4"")+IMPORTRANGE(""https://docs.google.com/spreadsheets/d/1lufeA2cfFqM-elVq2hznhDzC6Pr7wkJ9ZG_sYNGCMCU/edit?usp=sharing"",""ลพบุรี!J354"")+IMPORTRANGE(""https://docs.google.com/spreadsheets/d/10oOiF7loTyfsTkbd4MpaIm0HQ9SwB7IYHdIUvt-U1Uc/edit?usp=sharing"""&amp;",""สระแก้ว!J354"")+IMPORTRANGE(""https://docs.google.com/spreadsheets/d/1xmPlrr1QbdSIKvl1dWUl9K4PjAfSL9oeMr_37QVzcxc/edit?usp=sharing"",""สระบุรี!J354"")+IMPORTRANGE(""https://docs.google.com/spreadsheets/d/1j51vR6CYVGhABJpv6tkstgok82RLpXieLzW1yOY5rHw/edi"&amp;"t?usp=sharing"",""สิงห์บุรี!J354"")+IMPORTRANGE(""https://docs.google.com/spreadsheets/d/1H1EalTWKUSzO4Z1-1CwzoDUaVffgrThEBe2sl74kKG0/edit?usp=sharing"",""สุพรรณบุรี!J354"")+IMPORTRANGE(""https://docs.google.com/spreadsheets/d/1BmIruG_sIrJLYao_Pdr7zVArWsf"&amp;"oBt2692TMi6x_854/edit?usp=sharing"",""อ่างทอง!J354"")"),1488)</f>
        <v>1488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505"/>
      <c r="B355" s="506" t="s">
        <v>149</v>
      </c>
      <c r="C355" s="517"/>
      <c r="D355" s="507"/>
      <c r="E355" s="507"/>
      <c r="F355" s="507"/>
      <c r="G355" s="508"/>
      <c r="H355" s="508"/>
      <c r="I355" s="546"/>
      <c r="J355" s="546"/>
      <c r="K355" s="512"/>
      <c r="L355" s="512"/>
      <c r="M355" s="512"/>
      <c r="N355" s="512"/>
      <c r="O355" s="512"/>
      <c r="P355" s="512"/>
      <c r="Q355" s="513"/>
      <c r="R355" s="514"/>
      <c r="S355" s="514"/>
      <c r="T355" s="514"/>
      <c r="U355" s="514"/>
    </row>
    <row r="356" spans="1:21" ht="19.5" x14ac:dyDescent="0.3">
      <c r="A356" s="211"/>
      <c r="B356" s="70"/>
      <c r="C356" s="212" t="s">
        <v>18</v>
      </c>
      <c r="D356" s="213" t="s">
        <v>19</v>
      </c>
      <c r="E356" s="70"/>
      <c r="F356" s="70"/>
      <c r="G356" s="72"/>
      <c r="H356" s="214" t="s">
        <v>14</v>
      </c>
      <c r="I356" s="74"/>
      <c r="J356" s="74"/>
      <c r="K356" s="75"/>
      <c r="L356" s="215">
        <f t="shared" ref="L356:N356" ca="1" si="258">L357+L358</f>
        <v>8038505</v>
      </c>
      <c r="M356" s="215">
        <f t="shared" ca="1" si="258"/>
        <v>8195995</v>
      </c>
      <c r="N356" s="215">
        <f t="shared" ca="1" si="258"/>
        <v>5481005.2300000004</v>
      </c>
      <c r="O356" s="215">
        <f t="shared" ref="O356:O364" ca="1" si="259">IF(L356&gt;0,N356*100/L356,0)</f>
        <v>68.18438540499757</v>
      </c>
      <c r="P356" s="215">
        <f t="shared" ref="P356:P364" ca="1" si="260">IF(M356&gt;0,N356*100/M356,0)</f>
        <v>66.874189527934064</v>
      </c>
      <c r="Q356" s="216">
        <f t="shared" ref="Q356:S356" ca="1" si="261">Q357+Q358</f>
        <v>0</v>
      </c>
      <c r="R356" s="217">
        <f t="shared" ca="1" si="261"/>
        <v>0</v>
      </c>
      <c r="S356" s="217">
        <f t="shared" ca="1" si="261"/>
        <v>0</v>
      </c>
      <c r="T356" s="217">
        <f t="shared" ref="T356:T364" ca="1" si="262">IF(Q356&gt;0,S356*100/Q356,0)</f>
        <v>0</v>
      </c>
      <c r="U356" s="217">
        <f t="shared" ref="U356:U364" ca="1" si="263">IF(R356&gt;0,S356*100/R356,0)</f>
        <v>0</v>
      </c>
    </row>
    <row r="357" spans="1:21" ht="18.75" x14ac:dyDescent="0.25">
      <c r="A357" s="211"/>
      <c r="B357" s="70"/>
      <c r="C357" s="70"/>
      <c r="D357" s="70"/>
      <c r="E357" s="78" t="s">
        <v>20</v>
      </c>
      <c r="F357" s="70"/>
      <c r="G357" s="72"/>
      <c r="H357" s="218" t="s">
        <v>14</v>
      </c>
      <c r="I357" s="74"/>
      <c r="J357" s="74"/>
      <c r="K357" s="75"/>
      <c r="L357" s="91">
        <f t="shared" ref="L357:N357" ca="1" si="264">L360+L363</f>
        <v>0</v>
      </c>
      <c r="M357" s="91">
        <f t="shared" ca="1" si="264"/>
        <v>0</v>
      </c>
      <c r="N357" s="91">
        <f t="shared" ca="1" si="264"/>
        <v>0</v>
      </c>
      <c r="O357" s="91">
        <f t="shared" ca="1" si="259"/>
        <v>0</v>
      </c>
      <c r="P357" s="91">
        <f t="shared" ca="1" si="260"/>
        <v>0</v>
      </c>
      <c r="Q357" s="219">
        <f t="shared" ref="Q357:S357" ca="1" si="265">Q360+Q363</f>
        <v>0</v>
      </c>
      <c r="R357" s="136">
        <f t="shared" ca="1" si="265"/>
        <v>0</v>
      </c>
      <c r="S357" s="136">
        <f t="shared" ca="1" si="265"/>
        <v>0</v>
      </c>
      <c r="T357" s="136">
        <f t="shared" ca="1" si="262"/>
        <v>0</v>
      </c>
      <c r="U357" s="136">
        <f t="shared" ca="1" si="263"/>
        <v>0</v>
      </c>
    </row>
    <row r="358" spans="1:21" ht="18.75" x14ac:dyDescent="0.25">
      <c r="A358" s="211"/>
      <c r="B358" s="70"/>
      <c r="C358" s="70"/>
      <c r="D358" s="70"/>
      <c r="E358" s="78" t="s">
        <v>21</v>
      </c>
      <c r="F358" s="70"/>
      <c r="G358" s="72"/>
      <c r="H358" s="218" t="s">
        <v>14</v>
      </c>
      <c r="I358" s="74"/>
      <c r="J358" s="74"/>
      <c r="K358" s="75"/>
      <c r="L358" s="91">
        <f t="shared" ref="L358:N358" ca="1" si="266">L361+L364</f>
        <v>8038505</v>
      </c>
      <c r="M358" s="91">
        <f t="shared" ca="1" si="266"/>
        <v>8195995</v>
      </c>
      <c r="N358" s="91">
        <f t="shared" ca="1" si="266"/>
        <v>5481005.2300000004</v>
      </c>
      <c r="O358" s="91">
        <f t="shared" ca="1" si="259"/>
        <v>68.18438540499757</v>
      </c>
      <c r="P358" s="91">
        <f t="shared" ca="1" si="260"/>
        <v>66.874189527934064</v>
      </c>
      <c r="Q358" s="134">
        <f t="shared" ref="Q358:S358" ca="1" si="267">Q361+Q364</f>
        <v>0</v>
      </c>
      <c r="R358" s="135">
        <f t="shared" ca="1" si="267"/>
        <v>0</v>
      </c>
      <c r="S358" s="135">
        <f t="shared" ca="1" si="267"/>
        <v>0</v>
      </c>
      <c r="T358" s="135">
        <f t="shared" ca="1" si="262"/>
        <v>0</v>
      </c>
      <c r="U358" s="135">
        <f t="shared" ca="1" si="263"/>
        <v>0</v>
      </c>
    </row>
    <row r="359" spans="1:21" ht="18.75" x14ac:dyDescent="0.25">
      <c r="A359" s="211"/>
      <c r="B359" s="70"/>
      <c r="C359" s="70"/>
      <c r="D359" s="71" t="s">
        <v>22</v>
      </c>
      <c r="E359" s="70"/>
      <c r="F359" s="70"/>
      <c r="G359" s="72"/>
      <c r="H359" s="220" t="s">
        <v>14</v>
      </c>
      <c r="I359" s="221"/>
      <c r="J359" s="221"/>
      <c r="K359" s="222"/>
      <c r="L359" s="91">
        <f t="shared" ref="L359:N359" ca="1" si="268">L360+L361</f>
        <v>8038505</v>
      </c>
      <c r="M359" s="91">
        <f t="shared" ca="1" si="268"/>
        <v>8195995</v>
      </c>
      <c r="N359" s="91">
        <f t="shared" ca="1" si="268"/>
        <v>5481005.2300000004</v>
      </c>
      <c r="O359" s="91">
        <f t="shared" ca="1" si="259"/>
        <v>68.18438540499757</v>
      </c>
      <c r="P359" s="91">
        <f t="shared" ca="1" si="260"/>
        <v>66.874189527934064</v>
      </c>
      <c r="Q359" s="134">
        <f t="shared" ref="Q359:S359" ca="1" si="269">Q360+Q361</f>
        <v>0</v>
      </c>
      <c r="R359" s="135">
        <f t="shared" ca="1" si="269"/>
        <v>0</v>
      </c>
      <c r="S359" s="135">
        <f t="shared" ca="1" si="269"/>
        <v>0</v>
      </c>
      <c r="T359" s="135">
        <f t="shared" ca="1" si="262"/>
        <v>0</v>
      </c>
      <c r="U359" s="135">
        <f t="shared" ca="1" si="263"/>
        <v>0</v>
      </c>
    </row>
    <row r="360" spans="1:21" ht="18.75" x14ac:dyDescent="0.25">
      <c r="A360" s="211"/>
      <c r="B360" s="70"/>
      <c r="C360" s="70"/>
      <c r="D360" s="70"/>
      <c r="E360" s="78" t="s">
        <v>36</v>
      </c>
      <c r="F360" s="70"/>
      <c r="G360" s="72"/>
      <c r="H360" s="220" t="s">
        <v>14</v>
      </c>
      <c r="I360" s="221"/>
      <c r="J360" s="221"/>
      <c r="K360" s="222"/>
      <c r="L360" s="91">
        <f ca="1">IFERROR(__xludf.DUMMYFUNCTION("IMPORTRANGE(""https://docs.google.com/spreadsheets/d/13wPX838HrBrQMCywv1BsuMkt4PEKTChp52zj44s2izQ/edit?usp=sharing"",""กาญจนบุรี!L360"")+IMPORTRANGE(""https://docs.google.com/spreadsheets/d/1ddFKvqj1W1NEiWytbGlB1zMx_ykJDVtmfEQ-6-lIUBA/edit?usp=sharing"","&amp;"""จันทบุรี!L360"")+IMPORTRANGE(""https://docs.google.com/spreadsheets/d/1T1PQvRODqOBZk8BRht_U031fIS1beLA0Ub2CEytj2q0/edit?usp=sharing"",""ฉะเชิงเทรา!L360"")+IMPORTRANGE(""https://docs.google.com/spreadsheets/d/11tr1B-Bhyr79v2bkwVh5h_fR-PStkgjlZtkrZpYurG0/"&amp;"edit?usp=sharing"",""ชลบุรี!L360"")+IMPORTRANGE(""https://docs.google.com/spreadsheets/d/1hh-FVnSX0vozXhGluamEcS54Dw9_zqW0N7qJUWgJ0Sw/edit?usp=sharing"",""ชัยนาท!L360"")+IMPORTRANGE(""https://docs.google.com/spreadsheets/d/1jkqa6GXxSacMcY1eN8AHjMNJ_7dDXMJ"&amp;"VRLDlaFSOdPM/edit?usp=sharing"",""ตราด!L360"")+IMPORTRANGE(""https://docs.google.com/spreadsheets/d/18hSgUJ3VwClqi_qtULmmW3cLr0oe3OKaSYoKzdpTsYQ/edit?usp=sharing"",""นครนายก!L360"")+IMPORTRANGE(""https://docs.google.com/spreadsheets/d/1YTZo6WM2dQ6Ix6FSdnL"&amp;"5P7uVnVKu40sxZu975tgG10E/edit?usp=sharing"",""นครปฐม!L360"")+IMPORTRANGE(""https://docs.google.com/spreadsheets/d/1OYoGg4WDg5RIzwGeB10padOxJF9E_Vljuvvct_M7RDo/edit?usp=sharing"",""ปทุมธานี!L360"")+IMPORTRANGE(""https://docs.google.com/spreadsheets/d/1GbCI"&amp;"E4D4wk9FUozzqk7SxfDMxDVBwVmI5zcaVUSzKAc/edit?usp=sharing"",""ประจวบคีรีขันธ์!L360"")+IMPORTRANGE(""https://docs.google.com/spreadsheets/d/1vVf6wykvW_lAyu7Yo9L4hUTqHqIeP_qcVuxCtosJEbg/edit?usp=sharing"",""ปราจีนบุรี!L360"")+IMPORTRANGE(""https://docs.googl"&amp;"e.com/spreadsheets/d/1BIDqLLg5jk3v59G8NlR8rk5xfQDKne0sAvZHSj7TI6I/edit?usp=sharing"",""พระนครศรีอยุธยา!L360"")+IMPORTRANGE(""https://docs.google.com/spreadsheets/d/1YXvxf8Yu6_rV4hTBrwMqAcAnv6DfhUxh5emyM3CJp_w/edit?usp=sharing"",""เพชรบุรี!L360"")+IMPORTRA"&amp;"NGE(""https://docs.google.com/spreadsheets/d/19KBlQQs7uwvsao6t2n-KvW3Ax8J8uRRfZPq1zPbXgKc/edit?usp=sharing"",""ระยอง!L360"")+IMPORTRANGE(""https://docs.google.com/spreadsheets/d/1jQ6P4QcrGM89YfqcC_PxOHGCMq5ezhucwJd8ci-NHng/edit?usp=sharing"",""ราชบุรี!L36"&amp;"0"")+IMPORTRANGE(""https://docs.google.com/spreadsheets/d/1lufeA2cfFqM-elVq2hznhDzC6Pr7wkJ9ZG_sYNGCMCU/edit?usp=sharing"",""ลพบุรี!L360"")+IMPORTRANGE(""https://docs.google.com/spreadsheets/d/10oOiF7loTyfsTkbd4MpaIm0HQ9SwB7IYHdIUvt-U1Uc/edit?usp=sharing"""&amp;",""สระแก้ว!L360"")+IMPORTRANGE(""https://docs.google.com/spreadsheets/d/1xmPlrr1QbdSIKvl1dWUl9K4PjAfSL9oeMr_37QVzcxc/edit?usp=sharing"",""สระบุรี!L360"")+IMPORTRANGE(""https://docs.google.com/spreadsheets/d/1j51vR6CYVGhABJpv6tkstgok82RLpXieLzW1yOY5rHw/edi"&amp;"t?usp=sharing"",""สิงห์บุรี!L360"")+IMPORTRANGE(""https://docs.google.com/spreadsheets/d/1H1EalTWKUSzO4Z1-1CwzoDUaVffgrThEBe2sl74kKG0/edit?usp=sharing"",""สุพรรณบุรี!L360"")+IMPORTRANGE(""https://docs.google.com/spreadsheets/d/1BmIruG_sIrJLYao_Pdr7zVArWsf"&amp;"oBt2692TMi6x_854/edit?usp=sharing"",""อ่างทอง!L360"")"),0)</f>
        <v>0</v>
      </c>
      <c r="M360" s="91">
        <f ca="1">IFERROR(__xludf.DUMMYFUNCTION("IMPORTRANGE(""https://docs.google.com/spreadsheets/d/13wPX838HrBrQMCywv1BsuMkt4PEKTChp52zj44s2izQ/edit?usp=sharing"",""กาญจนบุรี!M360"")+IMPORTRANGE(""https://docs.google.com/spreadsheets/d/1ddFKvqj1W1NEiWytbGlB1zMx_ykJDVtmfEQ-6-lIUBA/edit?usp=sharing"","&amp;"""จันทบุรี!M360"")+IMPORTRANGE(""https://docs.google.com/spreadsheets/d/1T1PQvRODqOBZk8BRht_U031fIS1beLA0Ub2CEytj2q0/edit?usp=sharing"",""ฉะเชิงเทรา!M360"")+IMPORTRANGE(""https://docs.google.com/spreadsheets/d/11tr1B-Bhyr79v2bkwVh5h_fR-PStkgjlZtkrZpYurG0/"&amp;"edit?usp=sharing"",""ชลบุรี!M360"")+IMPORTRANGE(""https://docs.google.com/spreadsheets/d/1hh-FVnSX0vozXhGluamEcS54Dw9_zqW0N7qJUWgJ0Sw/edit?usp=sharing"",""ชัยนาท!M360"")+IMPORTRANGE(""https://docs.google.com/spreadsheets/d/1jkqa6GXxSacMcY1eN8AHjMNJ_7dDXMJ"&amp;"VRLDlaFSOdPM/edit?usp=sharing"",""ตราด!M360"")+IMPORTRANGE(""https://docs.google.com/spreadsheets/d/18hSgUJ3VwClqi_qtULmmW3cLr0oe3OKaSYoKzdpTsYQ/edit?usp=sharing"",""นครนายก!M360"")+IMPORTRANGE(""https://docs.google.com/spreadsheets/d/1YTZo6WM2dQ6Ix6FSdnL"&amp;"5P7uVnVKu40sxZu975tgG10E/edit?usp=sharing"",""นครปฐม!M360"")+IMPORTRANGE(""https://docs.google.com/spreadsheets/d/1OYoGg4WDg5RIzwGeB10padOxJF9E_Vljuvvct_M7RDo/edit?usp=sharing"",""ปทุมธานี!M360"")+IMPORTRANGE(""https://docs.google.com/spreadsheets/d/1GbCI"&amp;"E4D4wk9FUozzqk7SxfDMxDVBwVmI5zcaVUSzKAc/edit?usp=sharing"",""ประจวบคีรีขันธ์!M360"")+IMPORTRANGE(""https://docs.google.com/spreadsheets/d/1vVf6wykvW_lAyu7Yo9L4hUTqHqIeP_qcVuxCtosJEbg/edit?usp=sharing"",""ปราจีนบุรี!M360"")+IMPORTRANGE(""https://docs.googl"&amp;"e.com/spreadsheets/d/1BIDqLLg5jk3v59G8NlR8rk5xfQDKne0sAvZHSj7TI6I/edit?usp=sharing"",""พระนครศรีอยุธยา!M360"")+IMPORTRANGE(""https://docs.google.com/spreadsheets/d/1YXvxf8Yu6_rV4hTBrwMqAcAnv6DfhUxh5emyM3CJp_w/edit?usp=sharing"",""เพชรบุรี!M360"")+IMPORTRA"&amp;"NGE(""https://docs.google.com/spreadsheets/d/19KBlQQs7uwvsao6t2n-KvW3Ax8J8uRRfZPq1zPbXgKc/edit?usp=sharing"",""ระยอง!M360"")+IMPORTRANGE(""https://docs.google.com/spreadsheets/d/1jQ6P4QcrGM89YfqcC_PxOHGCMq5ezhucwJd8ci-NHng/edit?usp=sharing"",""ราชบุรี!M36"&amp;"0"")+IMPORTRANGE(""https://docs.google.com/spreadsheets/d/1lufeA2cfFqM-elVq2hznhDzC6Pr7wkJ9ZG_sYNGCMCU/edit?usp=sharing"",""ลพบุรี!M360"")+IMPORTRANGE(""https://docs.google.com/spreadsheets/d/10oOiF7loTyfsTkbd4MpaIm0HQ9SwB7IYHdIUvt-U1Uc/edit?usp=sharing"""&amp;",""สระแก้ว!M360"")+IMPORTRANGE(""https://docs.google.com/spreadsheets/d/1xmPlrr1QbdSIKvl1dWUl9K4PjAfSL9oeMr_37QVzcxc/edit?usp=sharing"",""สระบุรี!M360"")+IMPORTRANGE(""https://docs.google.com/spreadsheets/d/1j51vR6CYVGhABJpv6tkstgok82RLpXieLzW1yOY5rHw/edi"&amp;"t?usp=sharing"",""สิงห์บุรี!M360"")+IMPORTRANGE(""https://docs.google.com/spreadsheets/d/1H1EalTWKUSzO4Z1-1CwzoDUaVffgrThEBe2sl74kKG0/edit?usp=sharing"",""สุพรรณบุรี!M360"")+IMPORTRANGE(""https://docs.google.com/spreadsheets/d/1BmIruG_sIrJLYao_Pdr7zVArWsf"&amp;"oBt2692TMi6x_854/edit?usp=sharing"",""อ่างทอง!M360"")"),0)</f>
        <v>0</v>
      </c>
      <c r="N360" s="91">
        <f ca="1">IFERROR(__xludf.DUMMYFUNCTION("IMPORTRANGE(""https://docs.google.com/spreadsheets/d/13wPX838HrBrQMCywv1BsuMkt4PEKTChp52zj44s2izQ/edit?usp=sharing"",""กาญจนบุรี!N360"")+IMPORTRANGE(""https://docs.google.com/spreadsheets/d/1ddFKvqj1W1NEiWytbGlB1zMx_ykJDVtmfEQ-6-lIUBA/edit?usp=sharing"","&amp;"""จันทบุรี!N360"")+IMPORTRANGE(""https://docs.google.com/spreadsheets/d/1T1PQvRODqOBZk8BRht_U031fIS1beLA0Ub2CEytj2q0/edit?usp=sharing"",""ฉะเชิงเทรา!N360"")+IMPORTRANGE(""https://docs.google.com/spreadsheets/d/11tr1B-Bhyr79v2bkwVh5h_fR-PStkgjlZtkrZpYurG0/"&amp;"edit?usp=sharing"",""ชลบุรี!N360"")+IMPORTRANGE(""https://docs.google.com/spreadsheets/d/1hh-FVnSX0vozXhGluamEcS54Dw9_zqW0N7qJUWgJ0Sw/edit?usp=sharing"",""ชัยนาท!N360"")+IMPORTRANGE(""https://docs.google.com/spreadsheets/d/1jkqa6GXxSacMcY1eN8AHjMNJ_7dDXMJ"&amp;"VRLDlaFSOdPM/edit?usp=sharing"",""ตราด!N360"")+IMPORTRANGE(""https://docs.google.com/spreadsheets/d/18hSgUJ3VwClqi_qtULmmW3cLr0oe3OKaSYoKzdpTsYQ/edit?usp=sharing"",""นครนายก!N360"")+IMPORTRANGE(""https://docs.google.com/spreadsheets/d/1YTZo6WM2dQ6Ix6FSdnL"&amp;"5P7uVnVKu40sxZu975tgG10E/edit?usp=sharing"",""นครปฐม!N360"")+IMPORTRANGE(""https://docs.google.com/spreadsheets/d/1OYoGg4WDg5RIzwGeB10padOxJF9E_Vljuvvct_M7RDo/edit?usp=sharing"",""ปทุมธานี!N360"")+IMPORTRANGE(""https://docs.google.com/spreadsheets/d/1GbCI"&amp;"E4D4wk9FUozzqk7SxfDMxDVBwVmI5zcaVUSzKAc/edit?usp=sharing"",""ประจวบคีรีขันธ์!N360"")+IMPORTRANGE(""https://docs.google.com/spreadsheets/d/1vVf6wykvW_lAyu7Yo9L4hUTqHqIeP_qcVuxCtosJEbg/edit?usp=sharing"",""ปราจีนบุรี!N360"")+IMPORTRANGE(""https://docs.googl"&amp;"e.com/spreadsheets/d/1BIDqLLg5jk3v59G8NlR8rk5xfQDKne0sAvZHSj7TI6I/edit?usp=sharing"",""พระนครศรีอยุธยา!N360"")+IMPORTRANGE(""https://docs.google.com/spreadsheets/d/1YXvxf8Yu6_rV4hTBrwMqAcAnv6DfhUxh5emyM3CJp_w/edit?usp=sharing"",""เพชรบุรี!N360"")+IMPORTRA"&amp;"NGE(""https://docs.google.com/spreadsheets/d/19KBlQQs7uwvsao6t2n-KvW3Ax8J8uRRfZPq1zPbXgKc/edit?usp=sharing"",""ระยอง!N360"")+IMPORTRANGE(""https://docs.google.com/spreadsheets/d/1jQ6P4QcrGM89YfqcC_PxOHGCMq5ezhucwJd8ci-NHng/edit?usp=sharing"",""ราชบุรี!N36"&amp;"0"")+IMPORTRANGE(""https://docs.google.com/spreadsheets/d/1lufeA2cfFqM-elVq2hznhDzC6Pr7wkJ9ZG_sYNGCMCU/edit?usp=sharing"",""ลพบุรี!N360"")+IMPORTRANGE(""https://docs.google.com/spreadsheets/d/10oOiF7loTyfsTkbd4MpaIm0HQ9SwB7IYHdIUvt-U1Uc/edit?usp=sharing"""&amp;",""สระแก้ว!N360"")+IMPORTRANGE(""https://docs.google.com/spreadsheets/d/1xmPlrr1QbdSIKvl1dWUl9K4PjAfSL9oeMr_37QVzcxc/edit?usp=sharing"",""สระบุรี!N360"")+IMPORTRANGE(""https://docs.google.com/spreadsheets/d/1j51vR6CYVGhABJpv6tkstgok82RLpXieLzW1yOY5rHw/edi"&amp;"t?usp=sharing"",""สิงห์บุรี!N360"")+IMPORTRANGE(""https://docs.google.com/spreadsheets/d/1H1EalTWKUSzO4Z1-1CwzoDUaVffgrThEBe2sl74kKG0/edit?usp=sharing"",""สุพรรณบุรี!N360"")+IMPORTRANGE(""https://docs.google.com/spreadsheets/d/1BmIruG_sIrJLYao_Pdr7zVArWsf"&amp;"oBt2692TMi6x_854/edit?usp=sharing"",""อ่างทอง!N360"")"),0)</f>
        <v>0</v>
      </c>
      <c r="O360" s="91">
        <f t="shared" ca="1" si="259"/>
        <v>0</v>
      </c>
      <c r="P360" s="91">
        <f t="shared" ca="1" si="260"/>
        <v>0</v>
      </c>
      <c r="Q360" s="79">
        <f ca="1">IFERROR(__xludf.DUMMYFUNCTION("IMPORTRANGE(""https://docs.google.com/spreadsheets/d/13wPX838HrBrQMCywv1BsuMkt4PEKTChp52zj44s2izQ/edit?usp=sharing"",""กาญจนบุรี!Q360"")+IMPORTRANGE(""https://docs.google.com/spreadsheets/d/1ddFKvqj1W1NEiWytbGlB1zMx_ykJDVtmfEQ-6-lIUBA/edit?usp=sharing"","&amp;"""จันทบุรี!Q360"")+IMPORTRANGE(""https://docs.google.com/spreadsheets/d/1T1PQvRODqOBZk8BRht_U031fIS1beLA0Ub2CEytj2q0/edit?usp=sharing"",""ฉะเชิงเทรา!Q360"")+IMPORTRANGE(""https://docs.google.com/spreadsheets/d/11tr1B-Bhyr79v2bkwVh5h_fR-PStkgjlZtkrZpYurG0/"&amp;"edit?usp=sharing"",""ชลบุรี!Q360"")+IMPORTRANGE(""https://docs.google.com/spreadsheets/d/1hh-FVnSX0vozXhGluamEcS54Dw9_zqW0N7qJUWgJ0Sw/edit?usp=sharing"",""ชัยนาท!Q360"")+IMPORTRANGE(""https://docs.google.com/spreadsheets/d/1jkqa6GXxSacMcY1eN8AHjMNJ_7dDXMJ"&amp;"VRLDlaFSOdPM/edit?usp=sharing"",""ตราด!Q360"")+IMPORTRANGE(""https://docs.google.com/spreadsheets/d/18hSgUJ3VwClqi_qtULmmW3cLr0oe3OKaSYoKzdpTsYQ/edit?usp=sharing"",""นครนายก!Q360"")+IMPORTRANGE(""https://docs.google.com/spreadsheets/d/1YTZo6WM2dQ6Ix6FSdnL"&amp;"5P7uVnVKu40sxZu975tgG10E/edit?usp=sharing"",""นครปฐม!Q360"")+IMPORTRANGE(""https://docs.google.com/spreadsheets/d/1OYoGg4WDg5RIzwGeB10padOxJF9E_Vljuvvct_M7RDo/edit?usp=sharing"",""ปทุมธานี!Q360"")+IMPORTRANGE(""https://docs.google.com/spreadsheets/d/1GbCI"&amp;"E4D4wk9FUozzqk7SxfDMxDVBwVmI5zcaVUSzKAc/edit?usp=sharing"",""ประจวบคีรีขันธ์!Q360"")+IMPORTRANGE(""https://docs.google.com/spreadsheets/d/1vVf6wykvW_lAyu7Yo9L4hUTqHqIeP_qcVuxCtosJEbg/edit?usp=sharing"",""ปราจีนบุรี!Q360"")+IMPORTRANGE(""https://docs.googl"&amp;"e.com/spreadsheets/d/1BIDqLLg5jk3v59G8NlR8rk5xfQDKne0sAvZHSj7TI6I/edit?usp=sharing"",""พระนครศรีอยุธยา!Q360"")+IMPORTRANGE(""https://docs.google.com/spreadsheets/d/1YXvxf8Yu6_rV4hTBrwMqAcAnv6DfhUxh5emyM3CJp_w/edit?usp=sharing"",""เพชรบุรี!Q360"")+IMPORTRA"&amp;"NGE(""https://docs.google.com/spreadsheets/d/19KBlQQs7uwvsao6t2n-KvW3Ax8J8uRRfZPq1zPbXgKc/edit?usp=sharing"",""ระยอง!Q360"")+IMPORTRANGE(""https://docs.google.com/spreadsheets/d/1jQ6P4QcrGM89YfqcC_PxOHGCMq5ezhucwJd8ci-NHng/edit?usp=sharing"",""ราชบุรี!Q36"&amp;"0"")+IMPORTRANGE(""https://docs.google.com/spreadsheets/d/1lufeA2cfFqM-elVq2hznhDzC6Pr7wkJ9ZG_sYNGCMCU/edit?usp=sharing"",""ลพบุรี!Q360"")+IMPORTRANGE(""https://docs.google.com/spreadsheets/d/10oOiF7loTyfsTkbd4MpaIm0HQ9SwB7IYHdIUvt-U1Uc/edit?usp=sharing"""&amp;",""สระแก้ว!Q360"")+IMPORTRANGE(""https://docs.google.com/spreadsheets/d/1xmPlrr1QbdSIKvl1dWUl9K4PjAfSL9oeMr_37QVzcxc/edit?usp=sharing"",""สระบุรี!Q360"")+IMPORTRANGE(""https://docs.google.com/spreadsheets/d/1j51vR6CYVGhABJpv6tkstgok82RLpXieLzW1yOY5rHw/edi"&amp;"t?usp=sharing"",""สิงห์บุรี!Q360"")+IMPORTRANGE(""https://docs.google.com/spreadsheets/d/1H1EalTWKUSzO4Z1-1CwzoDUaVffgrThEBe2sl74kKG0/edit?usp=sharing"",""สุพรรณบุรี!Q360"")+IMPORTRANGE(""https://docs.google.com/spreadsheets/d/1BmIruG_sIrJLYao_Pdr7zVArWsf"&amp;"oBt2692TMi6x_854/edit?usp=sharing"",""อ่างทอง!Q360"")"),0)</f>
        <v>0</v>
      </c>
      <c r="R360" s="80">
        <f ca="1">IFERROR(__xludf.DUMMYFUNCTION("IMPORTRANGE(""https://docs.google.com/spreadsheets/d/13wPX838HrBrQMCywv1BsuMkt4PEKTChp52zj44s2izQ/edit?usp=sharing"",""กาญจนบุรี!R360"")+IMPORTRANGE(""https://docs.google.com/spreadsheets/d/1ddFKvqj1W1NEiWytbGlB1zMx_ykJDVtmfEQ-6-lIUBA/edit?usp=sharing"","&amp;"""จันทบุรี!R360"")+IMPORTRANGE(""https://docs.google.com/spreadsheets/d/1T1PQvRODqOBZk8BRht_U031fIS1beLA0Ub2CEytj2q0/edit?usp=sharing"",""ฉะเชิงเทรา!R360"")+IMPORTRANGE(""https://docs.google.com/spreadsheets/d/11tr1B-Bhyr79v2bkwVh5h_fR-PStkgjlZtkrZpYurG0/"&amp;"edit?usp=sharing"",""ชลบุรี!R360"")+IMPORTRANGE(""https://docs.google.com/spreadsheets/d/1hh-FVnSX0vozXhGluamEcS54Dw9_zqW0N7qJUWgJ0Sw/edit?usp=sharing"",""ชัยนาท!R360"")+IMPORTRANGE(""https://docs.google.com/spreadsheets/d/1jkqa6GXxSacMcY1eN8AHjMNJ_7dDXMJ"&amp;"VRLDlaFSOdPM/edit?usp=sharing"",""ตราด!R360"")+IMPORTRANGE(""https://docs.google.com/spreadsheets/d/18hSgUJ3VwClqi_qtULmmW3cLr0oe3OKaSYoKzdpTsYQ/edit?usp=sharing"",""นครนายก!R360"")+IMPORTRANGE(""https://docs.google.com/spreadsheets/d/1YTZo6WM2dQ6Ix6FSdnL"&amp;"5P7uVnVKu40sxZu975tgG10E/edit?usp=sharing"",""นครปฐม!R360"")+IMPORTRANGE(""https://docs.google.com/spreadsheets/d/1OYoGg4WDg5RIzwGeB10padOxJF9E_Vljuvvct_M7RDo/edit?usp=sharing"",""ปทุมธานี!R360"")+IMPORTRANGE(""https://docs.google.com/spreadsheets/d/1GbCI"&amp;"E4D4wk9FUozzqk7SxfDMxDVBwVmI5zcaVUSzKAc/edit?usp=sharing"",""ประจวบคีรีขันธ์!R360"")+IMPORTRANGE(""https://docs.google.com/spreadsheets/d/1vVf6wykvW_lAyu7Yo9L4hUTqHqIeP_qcVuxCtosJEbg/edit?usp=sharing"",""ปราจีนบุรี!R360"")+IMPORTRANGE(""https://docs.googl"&amp;"e.com/spreadsheets/d/1BIDqLLg5jk3v59G8NlR8rk5xfQDKne0sAvZHSj7TI6I/edit?usp=sharing"",""พระนครศรีอยุธยา!R360"")+IMPORTRANGE(""https://docs.google.com/spreadsheets/d/1YXvxf8Yu6_rV4hTBrwMqAcAnv6DfhUxh5emyM3CJp_w/edit?usp=sharing"",""เพชรบุรี!R360"")+IMPORTRA"&amp;"NGE(""https://docs.google.com/spreadsheets/d/19KBlQQs7uwvsao6t2n-KvW3Ax8J8uRRfZPq1zPbXgKc/edit?usp=sharing"",""ระยอง!R360"")+IMPORTRANGE(""https://docs.google.com/spreadsheets/d/1jQ6P4QcrGM89YfqcC_PxOHGCMq5ezhucwJd8ci-NHng/edit?usp=sharing"",""ราชบุรี!R36"&amp;"0"")+IMPORTRANGE(""https://docs.google.com/spreadsheets/d/1lufeA2cfFqM-elVq2hznhDzC6Pr7wkJ9ZG_sYNGCMCU/edit?usp=sharing"",""ลพบุรี!R360"")+IMPORTRANGE(""https://docs.google.com/spreadsheets/d/10oOiF7loTyfsTkbd4MpaIm0HQ9SwB7IYHdIUvt-U1Uc/edit?usp=sharing"""&amp;",""สระแก้ว!R360"")+IMPORTRANGE(""https://docs.google.com/spreadsheets/d/1xmPlrr1QbdSIKvl1dWUl9K4PjAfSL9oeMr_37QVzcxc/edit?usp=sharing"",""สระบุรี!R360"")+IMPORTRANGE(""https://docs.google.com/spreadsheets/d/1j51vR6CYVGhABJpv6tkstgok82RLpXieLzW1yOY5rHw/edi"&amp;"t?usp=sharing"",""สิงห์บุรี!R360"")+IMPORTRANGE(""https://docs.google.com/spreadsheets/d/1H1EalTWKUSzO4Z1-1CwzoDUaVffgrThEBe2sl74kKG0/edit?usp=sharing"",""สุพรรณบุรี!R360"")+IMPORTRANGE(""https://docs.google.com/spreadsheets/d/1BmIruG_sIrJLYao_Pdr7zVArWsf"&amp;"oBt2692TMi6x_854/edit?usp=sharing"",""อ่างทอง!R360"")"),0)</f>
        <v>0</v>
      </c>
      <c r="S360" s="80">
        <f ca="1">IFERROR(__xludf.DUMMYFUNCTION("IMPORTRANGE(""https://docs.google.com/spreadsheets/d/13wPX838HrBrQMCywv1BsuMkt4PEKTChp52zj44s2izQ/edit?usp=sharing"",""กาญจนบุรี!S360"")+IMPORTRANGE(""https://docs.google.com/spreadsheets/d/1ddFKvqj1W1NEiWytbGlB1zMx_ykJDVtmfEQ-6-lIUBA/edit?usp=sharing"","&amp;"""จันทบุรี!S360"")+IMPORTRANGE(""https://docs.google.com/spreadsheets/d/1T1PQvRODqOBZk8BRht_U031fIS1beLA0Ub2CEytj2q0/edit?usp=sharing"",""ฉะเชิงเทรา!S360"")+IMPORTRANGE(""https://docs.google.com/spreadsheets/d/11tr1B-Bhyr79v2bkwVh5h_fR-PStkgjlZtkrZpYurG0/"&amp;"edit?usp=sharing"",""ชลบุรี!S360"")+IMPORTRANGE(""https://docs.google.com/spreadsheets/d/1hh-FVnSX0vozXhGluamEcS54Dw9_zqW0N7qJUWgJ0Sw/edit?usp=sharing"",""ชัยนาท!S360"")+IMPORTRANGE(""https://docs.google.com/spreadsheets/d/1jkqa6GXxSacMcY1eN8AHjMNJ_7dDXMJ"&amp;"VRLDlaFSOdPM/edit?usp=sharing"",""ตราด!S360"")+IMPORTRANGE(""https://docs.google.com/spreadsheets/d/18hSgUJ3VwClqi_qtULmmW3cLr0oe3OKaSYoKzdpTsYQ/edit?usp=sharing"",""นครนายก!S360"")+IMPORTRANGE(""https://docs.google.com/spreadsheets/d/1YTZo6WM2dQ6Ix6FSdnL"&amp;"5P7uVnVKu40sxZu975tgG10E/edit?usp=sharing"",""นครปฐม!S360"")+IMPORTRANGE(""https://docs.google.com/spreadsheets/d/1OYoGg4WDg5RIzwGeB10padOxJF9E_Vljuvvct_M7RDo/edit?usp=sharing"",""ปทุมธานี!S360"")+IMPORTRANGE(""https://docs.google.com/spreadsheets/d/1GbCI"&amp;"E4D4wk9FUozzqk7SxfDMxDVBwVmI5zcaVUSzKAc/edit?usp=sharing"",""ประจวบคีรีขันธ์!S360"")+IMPORTRANGE(""https://docs.google.com/spreadsheets/d/1vVf6wykvW_lAyu7Yo9L4hUTqHqIeP_qcVuxCtosJEbg/edit?usp=sharing"",""ปราจีนบุรี!S360"")+IMPORTRANGE(""https://docs.googl"&amp;"e.com/spreadsheets/d/1BIDqLLg5jk3v59G8NlR8rk5xfQDKne0sAvZHSj7TI6I/edit?usp=sharing"",""พระนครศรีอยุธยา!S360"")+IMPORTRANGE(""https://docs.google.com/spreadsheets/d/1YXvxf8Yu6_rV4hTBrwMqAcAnv6DfhUxh5emyM3CJp_w/edit?usp=sharing"",""เพชรบุรี!S360"")+IMPORTRA"&amp;"NGE(""https://docs.google.com/spreadsheets/d/19KBlQQs7uwvsao6t2n-KvW3Ax8J8uRRfZPq1zPbXgKc/edit?usp=sharing"",""ระยอง!S360"")+IMPORTRANGE(""https://docs.google.com/spreadsheets/d/1jQ6P4QcrGM89YfqcC_PxOHGCMq5ezhucwJd8ci-NHng/edit?usp=sharing"",""ราชบุรี!S36"&amp;"0"")+IMPORTRANGE(""https://docs.google.com/spreadsheets/d/1lufeA2cfFqM-elVq2hznhDzC6Pr7wkJ9ZG_sYNGCMCU/edit?usp=sharing"",""ลพบุรี!S360"")+IMPORTRANGE(""https://docs.google.com/spreadsheets/d/10oOiF7loTyfsTkbd4MpaIm0HQ9SwB7IYHdIUvt-U1Uc/edit?usp=sharing"""&amp;",""สระแก้ว!S360"")+IMPORTRANGE(""https://docs.google.com/spreadsheets/d/1xmPlrr1QbdSIKvl1dWUl9K4PjAfSL9oeMr_37QVzcxc/edit?usp=sharing"",""สระบุรี!S360"")+IMPORTRANGE(""https://docs.google.com/spreadsheets/d/1j51vR6CYVGhABJpv6tkstgok82RLpXieLzW1yOY5rHw/edi"&amp;"t?usp=sharing"",""สิงห์บุรี!S360"")+IMPORTRANGE(""https://docs.google.com/spreadsheets/d/1H1EalTWKUSzO4Z1-1CwzoDUaVffgrThEBe2sl74kKG0/edit?usp=sharing"",""สุพรรณบุรี!S360"")+IMPORTRANGE(""https://docs.google.com/spreadsheets/d/1BmIruG_sIrJLYao_Pdr7zVArWsf"&amp;"oBt2692TMi6x_854/edit?usp=sharing"",""อ่างทอง!S360"")"),0)</f>
        <v>0</v>
      </c>
      <c r="T360" s="136">
        <f t="shared" ca="1" si="262"/>
        <v>0</v>
      </c>
      <c r="U360" s="136">
        <f t="shared" ca="1" si="263"/>
        <v>0</v>
      </c>
    </row>
    <row r="361" spans="1:21" ht="18.75" x14ac:dyDescent="0.25">
      <c r="A361" s="211"/>
      <c r="B361" s="70"/>
      <c r="C361" s="70"/>
      <c r="D361" s="70"/>
      <c r="E361" s="78" t="s">
        <v>37</v>
      </c>
      <c r="F361" s="70"/>
      <c r="G361" s="72"/>
      <c r="H361" s="220" t="s">
        <v>14</v>
      </c>
      <c r="I361" s="221"/>
      <c r="J361" s="221"/>
      <c r="K361" s="222"/>
      <c r="L361" s="91">
        <f ca="1">IFERROR(__xludf.DUMMYFUNCTION("IMPORTRANGE(""https://docs.google.com/spreadsheets/d/13wPX838HrBrQMCywv1BsuMkt4PEKTChp52zj44s2izQ/edit?usp=sharing"",""กาญจนบุรี!L361"")+IMPORTRANGE(""https://docs.google.com/spreadsheets/d/1ddFKvqj1W1NEiWytbGlB1zMx_ykJDVtmfEQ-6-lIUBA/edit?usp=sharing"","&amp;"""จันทบุรี!L361"")+IMPORTRANGE(""https://docs.google.com/spreadsheets/d/1T1PQvRODqOBZk8BRht_U031fIS1beLA0Ub2CEytj2q0/edit?usp=sharing"",""ฉะเชิงเทรา!L361"")+IMPORTRANGE(""https://docs.google.com/spreadsheets/d/11tr1B-Bhyr79v2bkwVh5h_fR-PStkgjlZtkrZpYurG0/"&amp;"edit?usp=sharing"",""ชลบุรี!L361"")+IMPORTRANGE(""https://docs.google.com/spreadsheets/d/1hh-FVnSX0vozXhGluamEcS54Dw9_zqW0N7qJUWgJ0Sw/edit?usp=sharing"",""ชัยนาท!L361"")+IMPORTRANGE(""https://docs.google.com/spreadsheets/d/1jkqa6GXxSacMcY1eN8AHjMNJ_7dDXMJ"&amp;"VRLDlaFSOdPM/edit?usp=sharing"",""ตราด!L361"")+IMPORTRANGE(""https://docs.google.com/spreadsheets/d/18hSgUJ3VwClqi_qtULmmW3cLr0oe3OKaSYoKzdpTsYQ/edit?usp=sharing"",""นครนายก!L361"")+IMPORTRANGE(""https://docs.google.com/spreadsheets/d/1YTZo6WM2dQ6Ix6FSdnL"&amp;"5P7uVnVKu40sxZu975tgG10E/edit?usp=sharing"",""นครปฐม!L361"")+IMPORTRANGE(""https://docs.google.com/spreadsheets/d/1OYoGg4WDg5RIzwGeB10padOxJF9E_Vljuvvct_M7RDo/edit?usp=sharing"",""ปทุมธานี!L361"")+IMPORTRANGE(""https://docs.google.com/spreadsheets/d/1GbCI"&amp;"E4D4wk9FUozzqk7SxfDMxDVBwVmI5zcaVUSzKAc/edit?usp=sharing"",""ประจวบคีรีขันธ์!L361"")+IMPORTRANGE(""https://docs.google.com/spreadsheets/d/1vVf6wykvW_lAyu7Yo9L4hUTqHqIeP_qcVuxCtosJEbg/edit?usp=sharing"",""ปราจีนบุรี!L361"")+IMPORTRANGE(""https://docs.googl"&amp;"e.com/spreadsheets/d/1BIDqLLg5jk3v59G8NlR8rk5xfQDKne0sAvZHSj7TI6I/edit?usp=sharing"",""พระนครศรีอยุธยา!L361"")+IMPORTRANGE(""https://docs.google.com/spreadsheets/d/1YXvxf8Yu6_rV4hTBrwMqAcAnv6DfhUxh5emyM3CJp_w/edit?usp=sharing"",""เพชรบุรี!L361"")+IMPORTRA"&amp;"NGE(""https://docs.google.com/spreadsheets/d/19KBlQQs7uwvsao6t2n-KvW3Ax8J8uRRfZPq1zPbXgKc/edit?usp=sharing"",""ระยอง!L361"")+IMPORTRANGE(""https://docs.google.com/spreadsheets/d/1jQ6P4QcrGM89YfqcC_PxOHGCMq5ezhucwJd8ci-NHng/edit?usp=sharing"",""ราชบุรี!L36"&amp;"1"")+IMPORTRANGE(""https://docs.google.com/spreadsheets/d/1lufeA2cfFqM-elVq2hznhDzC6Pr7wkJ9ZG_sYNGCMCU/edit?usp=sharing"",""ลพบุรี!L361"")+IMPORTRANGE(""https://docs.google.com/spreadsheets/d/10oOiF7loTyfsTkbd4MpaIm0HQ9SwB7IYHdIUvt-U1Uc/edit?usp=sharing"""&amp;",""สระแก้ว!L361"")+IMPORTRANGE(""https://docs.google.com/spreadsheets/d/1xmPlrr1QbdSIKvl1dWUl9K4PjAfSL9oeMr_37QVzcxc/edit?usp=sharing"",""สระบุรี!L361"")+IMPORTRANGE(""https://docs.google.com/spreadsheets/d/1j51vR6CYVGhABJpv6tkstgok82RLpXieLzW1yOY5rHw/edi"&amp;"t?usp=sharing"",""สิงห์บุรี!L361"")+IMPORTRANGE(""https://docs.google.com/spreadsheets/d/1H1EalTWKUSzO4Z1-1CwzoDUaVffgrThEBe2sl74kKG0/edit?usp=sharing"",""สุพรรณบุรี!L361"")+IMPORTRANGE(""https://docs.google.com/spreadsheets/d/1BmIruG_sIrJLYao_Pdr7zVArWsf"&amp;"oBt2692TMi6x_854/edit?usp=sharing"",""อ่างทอง!L361"")"),8038505)</f>
        <v>8038505</v>
      </c>
      <c r="M361" s="91">
        <f ca="1">IFERROR(__xludf.DUMMYFUNCTION("IMPORTRANGE(""https://docs.google.com/spreadsheets/d/13wPX838HrBrQMCywv1BsuMkt4PEKTChp52zj44s2izQ/edit?usp=sharing"",""กาญจนบุรี!M361"")+IMPORTRANGE(""https://docs.google.com/spreadsheets/d/1ddFKvqj1W1NEiWytbGlB1zMx_ykJDVtmfEQ-6-lIUBA/edit?usp=sharing"","&amp;"""จันทบุรี!M361"")+IMPORTRANGE(""https://docs.google.com/spreadsheets/d/1T1PQvRODqOBZk8BRht_U031fIS1beLA0Ub2CEytj2q0/edit?usp=sharing"",""ฉะเชิงเทรา!M361"")+IMPORTRANGE(""https://docs.google.com/spreadsheets/d/11tr1B-Bhyr79v2bkwVh5h_fR-PStkgjlZtkrZpYurG0/"&amp;"edit?usp=sharing"",""ชลบุรี!M361"")+IMPORTRANGE(""https://docs.google.com/spreadsheets/d/1hh-FVnSX0vozXhGluamEcS54Dw9_zqW0N7qJUWgJ0Sw/edit?usp=sharing"",""ชัยนาท!M361"")+IMPORTRANGE(""https://docs.google.com/spreadsheets/d/1jkqa6GXxSacMcY1eN8AHjMNJ_7dDXMJ"&amp;"VRLDlaFSOdPM/edit?usp=sharing"",""ตราด!M361"")+IMPORTRANGE(""https://docs.google.com/spreadsheets/d/18hSgUJ3VwClqi_qtULmmW3cLr0oe3OKaSYoKzdpTsYQ/edit?usp=sharing"",""นครนายก!M361"")+IMPORTRANGE(""https://docs.google.com/spreadsheets/d/1YTZo6WM2dQ6Ix6FSdnL"&amp;"5P7uVnVKu40sxZu975tgG10E/edit?usp=sharing"",""นครปฐม!M361"")+IMPORTRANGE(""https://docs.google.com/spreadsheets/d/1OYoGg4WDg5RIzwGeB10padOxJF9E_Vljuvvct_M7RDo/edit?usp=sharing"",""ปทุมธานี!M361"")+IMPORTRANGE(""https://docs.google.com/spreadsheets/d/1GbCI"&amp;"E4D4wk9FUozzqk7SxfDMxDVBwVmI5zcaVUSzKAc/edit?usp=sharing"",""ประจวบคีรีขันธ์!M361"")+IMPORTRANGE(""https://docs.google.com/spreadsheets/d/1vVf6wykvW_lAyu7Yo9L4hUTqHqIeP_qcVuxCtosJEbg/edit?usp=sharing"",""ปราจีนบุรี!M361"")+IMPORTRANGE(""https://docs.googl"&amp;"e.com/spreadsheets/d/1BIDqLLg5jk3v59G8NlR8rk5xfQDKne0sAvZHSj7TI6I/edit?usp=sharing"",""พระนครศรีอยุธยา!M361"")+IMPORTRANGE(""https://docs.google.com/spreadsheets/d/1YXvxf8Yu6_rV4hTBrwMqAcAnv6DfhUxh5emyM3CJp_w/edit?usp=sharing"",""เพชรบุรี!M361"")+IMPORTRA"&amp;"NGE(""https://docs.google.com/spreadsheets/d/19KBlQQs7uwvsao6t2n-KvW3Ax8J8uRRfZPq1zPbXgKc/edit?usp=sharing"",""ระยอง!M361"")+IMPORTRANGE(""https://docs.google.com/spreadsheets/d/1jQ6P4QcrGM89YfqcC_PxOHGCMq5ezhucwJd8ci-NHng/edit?usp=sharing"",""ราชบุรี!M36"&amp;"1"")+IMPORTRANGE(""https://docs.google.com/spreadsheets/d/1lufeA2cfFqM-elVq2hznhDzC6Pr7wkJ9ZG_sYNGCMCU/edit?usp=sharing"",""ลพบุรี!M361"")+IMPORTRANGE(""https://docs.google.com/spreadsheets/d/10oOiF7loTyfsTkbd4MpaIm0HQ9SwB7IYHdIUvt-U1Uc/edit?usp=sharing"""&amp;",""สระแก้ว!M361"")+IMPORTRANGE(""https://docs.google.com/spreadsheets/d/1xmPlrr1QbdSIKvl1dWUl9K4PjAfSL9oeMr_37QVzcxc/edit?usp=sharing"",""สระบุรี!M361"")+IMPORTRANGE(""https://docs.google.com/spreadsheets/d/1j51vR6CYVGhABJpv6tkstgok82RLpXieLzW1yOY5rHw/edi"&amp;"t?usp=sharing"",""สิงห์บุรี!M361"")+IMPORTRANGE(""https://docs.google.com/spreadsheets/d/1H1EalTWKUSzO4Z1-1CwzoDUaVffgrThEBe2sl74kKG0/edit?usp=sharing"",""สุพรรณบุรี!M361"")+IMPORTRANGE(""https://docs.google.com/spreadsheets/d/1BmIruG_sIrJLYao_Pdr7zVArWsf"&amp;"oBt2692TMi6x_854/edit?usp=sharing"",""อ่างทอง!M361"")"),8195995)</f>
        <v>8195995</v>
      </c>
      <c r="N361" s="91">
        <f ca="1">IFERROR(__xludf.DUMMYFUNCTION("IMPORTRANGE(""https://docs.google.com/spreadsheets/d/13wPX838HrBrQMCywv1BsuMkt4PEKTChp52zj44s2izQ/edit?usp=sharing"",""กาญจนบุรี!N361"")+IMPORTRANGE(""https://docs.google.com/spreadsheets/d/1ddFKvqj1W1NEiWytbGlB1zMx_ykJDVtmfEQ-6-lIUBA/edit?usp=sharing"","&amp;"""จันทบุรี!N361"")+IMPORTRANGE(""https://docs.google.com/spreadsheets/d/1T1PQvRODqOBZk8BRht_U031fIS1beLA0Ub2CEytj2q0/edit?usp=sharing"",""ฉะเชิงเทรา!N361"")+IMPORTRANGE(""https://docs.google.com/spreadsheets/d/11tr1B-Bhyr79v2bkwVh5h_fR-PStkgjlZtkrZpYurG0/"&amp;"edit?usp=sharing"",""ชลบุรี!N361"")+IMPORTRANGE(""https://docs.google.com/spreadsheets/d/1hh-FVnSX0vozXhGluamEcS54Dw9_zqW0N7qJUWgJ0Sw/edit?usp=sharing"",""ชัยนาท!N361"")+IMPORTRANGE(""https://docs.google.com/spreadsheets/d/1jkqa6GXxSacMcY1eN8AHjMNJ_7dDXMJ"&amp;"VRLDlaFSOdPM/edit?usp=sharing"",""ตราด!N361"")+IMPORTRANGE(""https://docs.google.com/spreadsheets/d/18hSgUJ3VwClqi_qtULmmW3cLr0oe3OKaSYoKzdpTsYQ/edit?usp=sharing"",""นครนายก!N361"")+IMPORTRANGE(""https://docs.google.com/spreadsheets/d/1YTZo6WM2dQ6Ix6FSdnL"&amp;"5P7uVnVKu40sxZu975tgG10E/edit?usp=sharing"",""นครปฐม!N361"")+IMPORTRANGE(""https://docs.google.com/spreadsheets/d/1OYoGg4WDg5RIzwGeB10padOxJF9E_Vljuvvct_M7RDo/edit?usp=sharing"",""ปทุมธานี!N361"")+IMPORTRANGE(""https://docs.google.com/spreadsheets/d/1GbCI"&amp;"E4D4wk9FUozzqk7SxfDMxDVBwVmI5zcaVUSzKAc/edit?usp=sharing"",""ประจวบคีรีขันธ์!N361"")+IMPORTRANGE(""https://docs.google.com/spreadsheets/d/1vVf6wykvW_lAyu7Yo9L4hUTqHqIeP_qcVuxCtosJEbg/edit?usp=sharing"",""ปราจีนบุรี!N361"")+IMPORTRANGE(""https://docs.googl"&amp;"e.com/spreadsheets/d/1BIDqLLg5jk3v59G8NlR8rk5xfQDKne0sAvZHSj7TI6I/edit?usp=sharing"",""พระนครศรีอยุธยา!N361"")+IMPORTRANGE(""https://docs.google.com/spreadsheets/d/1YXvxf8Yu6_rV4hTBrwMqAcAnv6DfhUxh5emyM3CJp_w/edit?usp=sharing"",""เพชรบุรี!N361"")+IMPORTRA"&amp;"NGE(""https://docs.google.com/spreadsheets/d/19KBlQQs7uwvsao6t2n-KvW3Ax8J8uRRfZPq1zPbXgKc/edit?usp=sharing"",""ระยอง!N361"")+IMPORTRANGE(""https://docs.google.com/spreadsheets/d/1jQ6P4QcrGM89YfqcC_PxOHGCMq5ezhucwJd8ci-NHng/edit?usp=sharing"",""ราชบุรี!N36"&amp;"1"")+IMPORTRANGE(""https://docs.google.com/spreadsheets/d/1lufeA2cfFqM-elVq2hznhDzC6Pr7wkJ9ZG_sYNGCMCU/edit?usp=sharing"",""ลพบุรี!N361"")+IMPORTRANGE(""https://docs.google.com/spreadsheets/d/10oOiF7loTyfsTkbd4MpaIm0HQ9SwB7IYHdIUvt-U1Uc/edit?usp=sharing"""&amp;",""สระแก้ว!N361"")+IMPORTRANGE(""https://docs.google.com/spreadsheets/d/1xmPlrr1QbdSIKvl1dWUl9K4PjAfSL9oeMr_37QVzcxc/edit?usp=sharing"",""สระบุรี!N361"")+IMPORTRANGE(""https://docs.google.com/spreadsheets/d/1j51vR6CYVGhABJpv6tkstgok82RLpXieLzW1yOY5rHw/edi"&amp;"t?usp=sharing"",""สิงห์บุรี!N361"")+IMPORTRANGE(""https://docs.google.com/spreadsheets/d/1H1EalTWKUSzO4Z1-1CwzoDUaVffgrThEBe2sl74kKG0/edit?usp=sharing"",""สุพรรณบุรี!N361"")+IMPORTRANGE(""https://docs.google.com/spreadsheets/d/1BmIruG_sIrJLYao_Pdr7zVArWsf"&amp;"oBt2692TMi6x_854/edit?usp=sharing"",""อ่างทอง!N361"")"),5481005.23)</f>
        <v>5481005.2300000004</v>
      </c>
      <c r="O361" s="91">
        <f t="shared" ca="1" si="259"/>
        <v>68.18438540499757</v>
      </c>
      <c r="P361" s="91">
        <f t="shared" ca="1" si="260"/>
        <v>66.874189527934064</v>
      </c>
      <c r="Q361" s="76">
        <f ca="1">IFERROR(__xludf.DUMMYFUNCTION("IMPORTRANGE(""https://docs.google.com/spreadsheets/d/13wPX838HrBrQMCywv1BsuMkt4PEKTChp52zj44s2izQ/edit?usp=sharing"",""กาญจนบุรี!Q361"")+IMPORTRANGE(""https://docs.google.com/spreadsheets/d/1ddFKvqj1W1NEiWytbGlB1zMx_ykJDVtmfEQ-6-lIUBA/edit?usp=sharing"","&amp;"""จันทบุรี!Q361"")+IMPORTRANGE(""https://docs.google.com/spreadsheets/d/1T1PQvRODqOBZk8BRht_U031fIS1beLA0Ub2CEytj2q0/edit?usp=sharing"",""ฉะเชิงเทรา!Q361"")+IMPORTRANGE(""https://docs.google.com/spreadsheets/d/11tr1B-Bhyr79v2bkwVh5h_fR-PStkgjlZtkrZpYurG0/"&amp;"edit?usp=sharing"",""ชลบุรี!Q361"")+IMPORTRANGE(""https://docs.google.com/spreadsheets/d/1hh-FVnSX0vozXhGluamEcS54Dw9_zqW0N7qJUWgJ0Sw/edit?usp=sharing"",""ชัยนาท!Q361"")+IMPORTRANGE(""https://docs.google.com/spreadsheets/d/1jkqa6GXxSacMcY1eN8AHjMNJ_7dDXMJ"&amp;"VRLDlaFSOdPM/edit?usp=sharing"",""ตราด!Q361"")+IMPORTRANGE(""https://docs.google.com/spreadsheets/d/18hSgUJ3VwClqi_qtULmmW3cLr0oe3OKaSYoKzdpTsYQ/edit?usp=sharing"",""นครนายก!Q361"")+IMPORTRANGE(""https://docs.google.com/spreadsheets/d/1YTZo6WM2dQ6Ix6FSdnL"&amp;"5P7uVnVKu40sxZu975tgG10E/edit?usp=sharing"",""นครปฐม!Q361"")+IMPORTRANGE(""https://docs.google.com/spreadsheets/d/1OYoGg4WDg5RIzwGeB10padOxJF9E_Vljuvvct_M7RDo/edit?usp=sharing"",""ปทุมธานี!Q361"")+IMPORTRANGE(""https://docs.google.com/spreadsheets/d/1GbCI"&amp;"E4D4wk9FUozzqk7SxfDMxDVBwVmI5zcaVUSzKAc/edit?usp=sharing"",""ประจวบคีรีขันธ์!Q361"")+IMPORTRANGE(""https://docs.google.com/spreadsheets/d/1vVf6wykvW_lAyu7Yo9L4hUTqHqIeP_qcVuxCtosJEbg/edit?usp=sharing"",""ปราจีนบุรี!Q361"")+IMPORTRANGE(""https://docs.googl"&amp;"e.com/spreadsheets/d/1BIDqLLg5jk3v59G8NlR8rk5xfQDKne0sAvZHSj7TI6I/edit?usp=sharing"",""พระนครศรีอยุธยา!Q361"")+IMPORTRANGE(""https://docs.google.com/spreadsheets/d/1YXvxf8Yu6_rV4hTBrwMqAcAnv6DfhUxh5emyM3CJp_w/edit?usp=sharing"",""เพชรบุรี!Q361"")+IMPORTRA"&amp;"NGE(""https://docs.google.com/spreadsheets/d/19KBlQQs7uwvsao6t2n-KvW3Ax8J8uRRfZPq1zPbXgKc/edit?usp=sharing"",""ระยอง!Q361"")+IMPORTRANGE(""https://docs.google.com/spreadsheets/d/1jQ6P4QcrGM89YfqcC_PxOHGCMq5ezhucwJd8ci-NHng/edit?usp=sharing"",""ราชบุรี!Q36"&amp;"1"")+IMPORTRANGE(""https://docs.google.com/spreadsheets/d/1lufeA2cfFqM-elVq2hznhDzC6Pr7wkJ9ZG_sYNGCMCU/edit?usp=sharing"",""ลพบุรี!Q361"")+IMPORTRANGE(""https://docs.google.com/spreadsheets/d/10oOiF7loTyfsTkbd4MpaIm0HQ9SwB7IYHdIUvt-U1Uc/edit?usp=sharing"""&amp;",""สระแก้ว!Q361"")+IMPORTRANGE(""https://docs.google.com/spreadsheets/d/1xmPlrr1QbdSIKvl1dWUl9K4PjAfSL9oeMr_37QVzcxc/edit?usp=sharing"",""สระบุรี!Q361"")+IMPORTRANGE(""https://docs.google.com/spreadsheets/d/1j51vR6CYVGhABJpv6tkstgok82RLpXieLzW1yOY5rHw/edi"&amp;"t?usp=sharing"",""สิงห์บุรี!Q361"")+IMPORTRANGE(""https://docs.google.com/spreadsheets/d/1H1EalTWKUSzO4Z1-1CwzoDUaVffgrThEBe2sl74kKG0/edit?usp=sharing"",""สุพรรณบุรี!Q361"")+IMPORTRANGE(""https://docs.google.com/spreadsheets/d/1BmIruG_sIrJLYao_Pdr7zVArWsf"&amp;"oBt2692TMi6x_854/edit?usp=sharing"",""อ่างทอง!Q361"")"),0)</f>
        <v>0</v>
      </c>
      <c r="R361" s="77">
        <f ca="1">IFERROR(__xludf.DUMMYFUNCTION("IMPORTRANGE(""https://docs.google.com/spreadsheets/d/13wPX838HrBrQMCywv1BsuMkt4PEKTChp52zj44s2izQ/edit?usp=sharing"",""กาญจนบุรี!R361"")+IMPORTRANGE(""https://docs.google.com/spreadsheets/d/1ddFKvqj1W1NEiWytbGlB1zMx_ykJDVtmfEQ-6-lIUBA/edit?usp=sharing"","&amp;"""จันทบุรี!R361"")+IMPORTRANGE(""https://docs.google.com/spreadsheets/d/1T1PQvRODqOBZk8BRht_U031fIS1beLA0Ub2CEytj2q0/edit?usp=sharing"",""ฉะเชิงเทรา!R361"")+IMPORTRANGE(""https://docs.google.com/spreadsheets/d/11tr1B-Bhyr79v2bkwVh5h_fR-PStkgjlZtkrZpYurG0/"&amp;"edit?usp=sharing"",""ชลบุรี!R361"")+IMPORTRANGE(""https://docs.google.com/spreadsheets/d/1hh-FVnSX0vozXhGluamEcS54Dw9_zqW0N7qJUWgJ0Sw/edit?usp=sharing"",""ชัยนาท!R361"")+IMPORTRANGE(""https://docs.google.com/spreadsheets/d/1jkqa6GXxSacMcY1eN8AHjMNJ_7dDXMJ"&amp;"VRLDlaFSOdPM/edit?usp=sharing"",""ตราด!R361"")+IMPORTRANGE(""https://docs.google.com/spreadsheets/d/18hSgUJ3VwClqi_qtULmmW3cLr0oe3OKaSYoKzdpTsYQ/edit?usp=sharing"",""นครนายก!R361"")+IMPORTRANGE(""https://docs.google.com/spreadsheets/d/1YTZo6WM2dQ6Ix6FSdnL"&amp;"5P7uVnVKu40sxZu975tgG10E/edit?usp=sharing"",""นครปฐม!R361"")+IMPORTRANGE(""https://docs.google.com/spreadsheets/d/1OYoGg4WDg5RIzwGeB10padOxJF9E_Vljuvvct_M7RDo/edit?usp=sharing"",""ปทุมธานี!R361"")+IMPORTRANGE(""https://docs.google.com/spreadsheets/d/1GbCI"&amp;"E4D4wk9FUozzqk7SxfDMxDVBwVmI5zcaVUSzKAc/edit?usp=sharing"",""ประจวบคีรีขันธ์!R361"")+IMPORTRANGE(""https://docs.google.com/spreadsheets/d/1vVf6wykvW_lAyu7Yo9L4hUTqHqIeP_qcVuxCtosJEbg/edit?usp=sharing"",""ปราจีนบุรี!R361"")+IMPORTRANGE(""https://docs.googl"&amp;"e.com/spreadsheets/d/1BIDqLLg5jk3v59G8NlR8rk5xfQDKne0sAvZHSj7TI6I/edit?usp=sharing"",""พระนครศรีอยุธยา!R361"")+IMPORTRANGE(""https://docs.google.com/spreadsheets/d/1YXvxf8Yu6_rV4hTBrwMqAcAnv6DfhUxh5emyM3CJp_w/edit?usp=sharing"",""เพชรบุรี!R361"")+IMPORTRA"&amp;"NGE(""https://docs.google.com/spreadsheets/d/19KBlQQs7uwvsao6t2n-KvW3Ax8J8uRRfZPq1zPbXgKc/edit?usp=sharing"",""ระยอง!R361"")+IMPORTRANGE(""https://docs.google.com/spreadsheets/d/1jQ6P4QcrGM89YfqcC_PxOHGCMq5ezhucwJd8ci-NHng/edit?usp=sharing"",""ราชบุรี!R36"&amp;"1"")+IMPORTRANGE(""https://docs.google.com/spreadsheets/d/1lufeA2cfFqM-elVq2hznhDzC6Pr7wkJ9ZG_sYNGCMCU/edit?usp=sharing"",""ลพบุรี!R361"")+IMPORTRANGE(""https://docs.google.com/spreadsheets/d/10oOiF7loTyfsTkbd4MpaIm0HQ9SwB7IYHdIUvt-U1Uc/edit?usp=sharing"""&amp;",""สระแก้ว!R361"")+IMPORTRANGE(""https://docs.google.com/spreadsheets/d/1xmPlrr1QbdSIKvl1dWUl9K4PjAfSL9oeMr_37QVzcxc/edit?usp=sharing"",""สระบุรี!R361"")+IMPORTRANGE(""https://docs.google.com/spreadsheets/d/1j51vR6CYVGhABJpv6tkstgok82RLpXieLzW1yOY5rHw/edi"&amp;"t?usp=sharing"",""สิงห์บุรี!R361"")+IMPORTRANGE(""https://docs.google.com/spreadsheets/d/1H1EalTWKUSzO4Z1-1CwzoDUaVffgrThEBe2sl74kKG0/edit?usp=sharing"",""สุพรรณบุรี!R361"")+IMPORTRANGE(""https://docs.google.com/spreadsheets/d/1BmIruG_sIrJLYao_Pdr7zVArWsf"&amp;"oBt2692TMi6x_854/edit?usp=sharing"",""อ่างทอง!R361"")"),0)</f>
        <v>0</v>
      </c>
      <c r="S361" s="77">
        <f ca="1">IFERROR(__xludf.DUMMYFUNCTION("IMPORTRANGE(""https://docs.google.com/spreadsheets/d/13wPX838HrBrQMCywv1BsuMkt4PEKTChp52zj44s2izQ/edit?usp=sharing"",""กาญจนบุรี!S361"")+IMPORTRANGE(""https://docs.google.com/spreadsheets/d/1ddFKvqj1W1NEiWytbGlB1zMx_ykJDVtmfEQ-6-lIUBA/edit?usp=sharing"","&amp;"""จันทบุรี!S361"")+IMPORTRANGE(""https://docs.google.com/spreadsheets/d/1T1PQvRODqOBZk8BRht_U031fIS1beLA0Ub2CEytj2q0/edit?usp=sharing"",""ฉะเชิงเทรา!S361"")+IMPORTRANGE(""https://docs.google.com/spreadsheets/d/11tr1B-Bhyr79v2bkwVh5h_fR-PStkgjlZtkrZpYurG0/"&amp;"edit?usp=sharing"",""ชลบุรี!S361"")+IMPORTRANGE(""https://docs.google.com/spreadsheets/d/1hh-FVnSX0vozXhGluamEcS54Dw9_zqW0N7qJUWgJ0Sw/edit?usp=sharing"",""ชัยนาท!S361"")+IMPORTRANGE(""https://docs.google.com/spreadsheets/d/1jkqa6GXxSacMcY1eN8AHjMNJ_7dDXMJ"&amp;"VRLDlaFSOdPM/edit?usp=sharing"",""ตราด!S361"")+IMPORTRANGE(""https://docs.google.com/spreadsheets/d/18hSgUJ3VwClqi_qtULmmW3cLr0oe3OKaSYoKzdpTsYQ/edit?usp=sharing"",""นครนายก!S361"")+IMPORTRANGE(""https://docs.google.com/spreadsheets/d/1YTZo6WM2dQ6Ix6FSdnL"&amp;"5P7uVnVKu40sxZu975tgG10E/edit?usp=sharing"",""นครปฐม!S361"")+IMPORTRANGE(""https://docs.google.com/spreadsheets/d/1OYoGg4WDg5RIzwGeB10padOxJF9E_Vljuvvct_M7RDo/edit?usp=sharing"",""ปทุมธานี!S361"")+IMPORTRANGE(""https://docs.google.com/spreadsheets/d/1GbCI"&amp;"E4D4wk9FUozzqk7SxfDMxDVBwVmI5zcaVUSzKAc/edit?usp=sharing"",""ประจวบคีรีขันธ์!S361"")+IMPORTRANGE(""https://docs.google.com/spreadsheets/d/1vVf6wykvW_lAyu7Yo9L4hUTqHqIeP_qcVuxCtosJEbg/edit?usp=sharing"",""ปราจีนบุรี!S361"")+IMPORTRANGE(""https://docs.googl"&amp;"e.com/spreadsheets/d/1BIDqLLg5jk3v59G8NlR8rk5xfQDKne0sAvZHSj7TI6I/edit?usp=sharing"",""พระนครศรีอยุธยา!S361"")+IMPORTRANGE(""https://docs.google.com/spreadsheets/d/1YXvxf8Yu6_rV4hTBrwMqAcAnv6DfhUxh5emyM3CJp_w/edit?usp=sharing"",""เพชรบุรี!S361"")+IMPORTRA"&amp;"NGE(""https://docs.google.com/spreadsheets/d/19KBlQQs7uwvsao6t2n-KvW3Ax8J8uRRfZPq1zPbXgKc/edit?usp=sharing"",""ระยอง!S361"")+IMPORTRANGE(""https://docs.google.com/spreadsheets/d/1jQ6P4QcrGM89YfqcC_PxOHGCMq5ezhucwJd8ci-NHng/edit?usp=sharing"",""ราชบุรี!S36"&amp;"1"")+IMPORTRANGE(""https://docs.google.com/spreadsheets/d/1lufeA2cfFqM-elVq2hznhDzC6Pr7wkJ9ZG_sYNGCMCU/edit?usp=sharing"",""ลพบุรี!S361"")+IMPORTRANGE(""https://docs.google.com/spreadsheets/d/10oOiF7loTyfsTkbd4MpaIm0HQ9SwB7IYHdIUvt-U1Uc/edit?usp=sharing"""&amp;",""สระแก้ว!S361"")+IMPORTRANGE(""https://docs.google.com/spreadsheets/d/1xmPlrr1QbdSIKvl1dWUl9K4PjAfSL9oeMr_37QVzcxc/edit?usp=sharing"",""สระบุรี!S361"")+IMPORTRANGE(""https://docs.google.com/spreadsheets/d/1j51vR6CYVGhABJpv6tkstgok82RLpXieLzW1yOY5rHw/edi"&amp;"t?usp=sharing"",""สิงห์บุรี!S361"")+IMPORTRANGE(""https://docs.google.com/spreadsheets/d/1H1EalTWKUSzO4Z1-1CwzoDUaVffgrThEBe2sl74kKG0/edit?usp=sharing"",""สุพรรณบุรี!S361"")+IMPORTRANGE(""https://docs.google.com/spreadsheets/d/1BmIruG_sIrJLYao_Pdr7zVArWsf"&amp;"oBt2692TMi6x_854/edit?usp=sharing"",""อ่างทอง!S361"")"),0)</f>
        <v>0</v>
      </c>
      <c r="T361" s="135">
        <f t="shared" ca="1" si="262"/>
        <v>0</v>
      </c>
      <c r="U361" s="135">
        <f t="shared" ca="1" si="263"/>
        <v>0</v>
      </c>
    </row>
    <row r="362" spans="1:21" ht="18.75" x14ac:dyDescent="0.25">
      <c r="A362" s="211"/>
      <c r="B362" s="70"/>
      <c r="C362" s="70"/>
      <c r="D362" s="71" t="s">
        <v>23</v>
      </c>
      <c r="E362" s="70"/>
      <c r="F362" s="70"/>
      <c r="G362" s="72"/>
      <c r="H362" s="223" t="s">
        <v>14</v>
      </c>
      <c r="I362" s="221"/>
      <c r="J362" s="221"/>
      <c r="K362" s="222"/>
      <c r="L362" s="91">
        <f t="shared" ref="L362:N362" ca="1" si="270">L363+L364</f>
        <v>0</v>
      </c>
      <c r="M362" s="91">
        <f t="shared" ca="1" si="270"/>
        <v>0</v>
      </c>
      <c r="N362" s="91">
        <f t="shared" ca="1" si="270"/>
        <v>0</v>
      </c>
      <c r="O362" s="91">
        <f t="shared" ca="1" si="259"/>
        <v>0</v>
      </c>
      <c r="P362" s="91">
        <f t="shared" ca="1" si="260"/>
        <v>0</v>
      </c>
      <c r="Q362" s="134">
        <f t="shared" ref="Q362:S362" ca="1" si="271">Q363+Q364</f>
        <v>0</v>
      </c>
      <c r="R362" s="135">
        <f t="shared" ca="1" si="271"/>
        <v>0</v>
      </c>
      <c r="S362" s="135">
        <f t="shared" ca="1" si="271"/>
        <v>0</v>
      </c>
      <c r="T362" s="135">
        <f t="shared" ca="1" si="262"/>
        <v>0</v>
      </c>
      <c r="U362" s="135">
        <f t="shared" ca="1" si="263"/>
        <v>0</v>
      </c>
    </row>
    <row r="363" spans="1:21" ht="18.75" x14ac:dyDescent="0.25">
      <c r="A363" s="211"/>
      <c r="B363" s="70"/>
      <c r="C363" s="70"/>
      <c r="D363" s="70"/>
      <c r="E363" s="78" t="s">
        <v>20</v>
      </c>
      <c r="F363" s="70"/>
      <c r="G363" s="72"/>
      <c r="H363" s="220" t="s">
        <v>14</v>
      </c>
      <c r="I363" s="221"/>
      <c r="J363" s="221"/>
      <c r="K363" s="222"/>
      <c r="L363" s="91">
        <f ca="1">IFERROR(__xludf.DUMMYFUNCTION("IMPORTRANGE(""https://docs.google.com/spreadsheets/d/13wPX838HrBrQMCywv1BsuMkt4PEKTChp52zj44s2izQ/edit?usp=sharing"",""กาญจนบุรี!L363"")+IMPORTRANGE(""https://docs.google.com/spreadsheets/d/1ddFKvqj1W1NEiWytbGlB1zMx_ykJDVtmfEQ-6-lIUBA/edit?usp=sharing"","&amp;"""จันทบุรี!L363"")+IMPORTRANGE(""https://docs.google.com/spreadsheets/d/1T1PQvRODqOBZk8BRht_U031fIS1beLA0Ub2CEytj2q0/edit?usp=sharing"",""ฉะเชิงเทรา!L363"")+IMPORTRANGE(""https://docs.google.com/spreadsheets/d/11tr1B-Bhyr79v2bkwVh5h_fR-PStkgjlZtkrZpYurG0/"&amp;"edit?usp=sharing"",""ชลบุรี!L363"")+IMPORTRANGE(""https://docs.google.com/spreadsheets/d/1hh-FVnSX0vozXhGluamEcS54Dw9_zqW0N7qJUWgJ0Sw/edit?usp=sharing"",""ชัยนาท!L363"")+IMPORTRANGE(""https://docs.google.com/spreadsheets/d/1jkqa6GXxSacMcY1eN8AHjMNJ_7dDXMJ"&amp;"VRLDlaFSOdPM/edit?usp=sharing"",""ตราด!L363"")+IMPORTRANGE(""https://docs.google.com/spreadsheets/d/18hSgUJ3VwClqi_qtULmmW3cLr0oe3OKaSYoKzdpTsYQ/edit?usp=sharing"",""นครนายก!L363"")+IMPORTRANGE(""https://docs.google.com/spreadsheets/d/1YTZo6WM2dQ6Ix6FSdnL"&amp;"5P7uVnVKu40sxZu975tgG10E/edit?usp=sharing"",""นครปฐม!L363"")+IMPORTRANGE(""https://docs.google.com/spreadsheets/d/1OYoGg4WDg5RIzwGeB10padOxJF9E_Vljuvvct_M7RDo/edit?usp=sharing"",""ปทุมธานี!L363"")+IMPORTRANGE(""https://docs.google.com/spreadsheets/d/1GbCI"&amp;"E4D4wk9FUozzqk7SxfDMxDVBwVmI5zcaVUSzKAc/edit?usp=sharing"",""ประจวบคีรีขันธ์!L363"")+IMPORTRANGE(""https://docs.google.com/spreadsheets/d/1vVf6wykvW_lAyu7Yo9L4hUTqHqIeP_qcVuxCtosJEbg/edit?usp=sharing"",""ปราจีนบุรี!L363"")+IMPORTRANGE(""https://docs.googl"&amp;"e.com/spreadsheets/d/1BIDqLLg5jk3v59G8NlR8rk5xfQDKne0sAvZHSj7TI6I/edit?usp=sharing"",""พระนครศรีอยุธยา!L363"")+IMPORTRANGE(""https://docs.google.com/spreadsheets/d/1YXvxf8Yu6_rV4hTBrwMqAcAnv6DfhUxh5emyM3CJp_w/edit?usp=sharing"",""เพชรบุรี!L363"")+IMPORTRA"&amp;"NGE(""https://docs.google.com/spreadsheets/d/19KBlQQs7uwvsao6t2n-KvW3Ax8J8uRRfZPq1zPbXgKc/edit?usp=sharing"",""ระยอง!L363"")+IMPORTRANGE(""https://docs.google.com/spreadsheets/d/1jQ6P4QcrGM89YfqcC_PxOHGCMq5ezhucwJd8ci-NHng/edit?usp=sharing"",""ราชบุรี!L36"&amp;"3"")+IMPORTRANGE(""https://docs.google.com/spreadsheets/d/1lufeA2cfFqM-elVq2hznhDzC6Pr7wkJ9ZG_sYNGCMCU/edit?usp=sharing"",""ลพบุรี!L363"")+IMPORTRANGE(""https://docs.google.com/spreadsheets/d/10oOiF7loTyfsTkbd4MpaIm0HQ9SwB7IYHdIUvt-U1Uc/edit?usp=sharing"""&amp;",""สระแก้ว!L363"")+IMPORTRANGE(""https://docs.google.com/spreadsheets/d/1xmPlrr1QbdSIKvl1dWUl9K4PjAfSL9oeMr_37QVzcxc/edit?usp=sharing"",""สระบุรี!L363"")+IMPORTRANGE(""https://docs.google.com/spreadsheets/d/1j51vR6CYVGhABJpv6tkstgok82RLpXieLzW1yOY5rHw/edi"&amp;"t?usp=sharing"",""สิงห์บุรี!L363"")+IMPORTRANGE(""https://docs.google.com/spreadsheets/d/1H1EalTWKUSzO4Z1-1CwzoDUaVffgrThEBe2sl74kKG0/edit?usp=sharing"",""สุพรรณบุรี!L363"")+IMPORTRANGE(""https://docs.google.com/spreadsheets/d/1BmIruG_sIrJLYao_Pdr7zVArWsf"&amp;"oBt2692TMi6x_854/edit?usp=sharing"",""อ่างทอง!L363"")"),0)</f>
        <v>0</v>
      </c>
      <c r="M363" s="91">
        <f ca="1">IFERROR(__xludf.DUMMYFUNCTION("IMPORTRANGE(""https://docs.google.com/spreadsheets/d/13wPX838HrBrQMCywv1BsuMkt4PEKTChp52zj44s2izQ/edit?usp=sharing"",""กาญจนบุรี!M363"")+IMPORTRANGE(""https://docs.google.com/spreadsheets/d/1ddFKvqj1W1NEiWytbGlB1zMx_ykJDVtmfEQ-6-lIUBA/edit?usp=sharing"","&amp;"""จันทบุรี!M363"")+IMPORTRANGE(""https://docs.google.com/spreadsheets/d/1T1PQvRODqOBZk8BRht_U031fIS1beLA0Ub2CEytj2q0/edit?usp=sharing"",""ฉะเชิงเทรา!M363"")+IMPORTRANGE(""https://docs.google.com/spreadsheets/d/11tr1B-Bhyr79v2bkwVh5h_fR-PStkgjlZtkrZpYurG0/"&amp;"edit?usp=sharing"",""ชลบุรี!M363"")+IMPORTRANGE(""https://docs.google.com/spreadsheets/d/1hh-FVnSX0vozXhGluamEcS54Dw9_zqW0N7qJUWgJ0Sw/edit?usp=sharing"",""ชัยนาท!M363"")+IMPORTRANGE(""https://docs.google.com/spreadsheets/d/1jkqa6GXxSacMcY1eN8AHjMNJ_7dDXMJ"&amp;"VRLDlaFSOdPM/edit?usp=sharing"",""ตราด!M363"")+IMPORTRANGE(""https://docs.google.com/spreadsheets/d/18hSgUJ3VwClqi_qtULmmW3cLr0oe3OKaSYoKzdpTsYQ/edit?usp=sharing"",""นครนายก!M363"")+IMPORTRANGE(""https://docs.google.com/spreadsheets/d/1YTZo6WM2dQ6Ix6FSdnL"&amp;"5P7uVnVKu40sxZu975tgG10E/edit?usp=sharing"",""นครปฐม!M363"")+IMPORTRANGE(""https://docs.google.com/spreadsheets/d/1OYoGg4WDg5RIzwGeB10padOxJF9E_Vljuvvct_M7RDo/edit?usp=sharing"",""ปทุมธานี!M363"")+IMPORTRANGE(""https://docs.google.com/spreadsheets/d/1GbCI"&amp;"E4D4wk9FUozzqk7SxfDMxDVBwVmI5zcaVUSzKAc/edit?usp=sharing"",""ประจวบคีรีขันธ์!M363"")+IMPORTRANGE(""https://docs.google.com/spreadsheets/d/1vVf6wykvW_lAyu7Yo9L4hUTqHqIeP_qcVuxCtosJEbg/edit?usp=sharing"",""ปราจีนบุรี!M363"")+IMPORTRANGE(""https://docs.googl"&amp;"e.com/spreadsheets/d/1BIDqLLg5jk3v59G8NlR8rk5xfQDKne0sAvZHSj7TI6I/edit?usp=sharing"",""พระนครศรีอยุธยา!M363"")+IMPORTRANGE(""https://docs.google.com/spreadsheets/d/1YXvxf8Yu6_rV4hTBrwMqAcAnv6DfhUxh5emyM3CJp_w/edit?usp=sharing"",""เพชรบุรี!M363"")+IMPORTRA"&amp;"NGE(""https://docs.google.com/spreadsheets/d/19KBlQQs7uwvsao6t2n-KvW3Ax8J8uRRfZPq1zPbXgKc/edit?usp=sharing"",""ระยอง!M363"")+IMPORTRANGE(""https://docs.google.com/spreadsheets/d/1jQ6P4QcrGM89YfqcC_PxOHGCMq5ezhucwJd8ci-NHng/edit?usp=sharing"",""ราชบุรี!M36"&amp;"3"")+IMPORTRANGE(""https://docs.google.com/spreadsheets/d/1lufeA2cfFqM-elVq2hznhDzC6Pr7wkJ9ZG_sYNGCMCU/edit?usp=sharing"",""ลพบุรี!M363"")+IMPORTRANGE(""https://docs.google.com/spreadsheets/d/10oOiF7loTyfsTkbd4MpaIm0HQ9SwB7IYHdIUvt-U1Uc/edit?usp=sharing"""&amp;",""สระแก้ว!M363"")+IMPORTRANGE(""https://docs.google.com/spreadsheets/d/1xmPlrr1QbdSIKvl1dWUl9K4PjAfSL9oeMr_37QVzcxc/edit?usp=sharing"",""สระบุรี!M363"")+IMPORTRANGE(""https://docs.google.com/spreadsheets/d/1j51vR6CYVGhABJpv6tkstgok82RLpXieLzW1yOY5rHw/edi"&amp;"t?usp=sharing"",""สิงห์บุรี!M363"")+IMPORTRANGE(""https://docs.google.com/spreadsheets/d/1H1EalTWKUSzO4Z1-1CwzoDUaVffgrThEBe2sl74kKG0/edit?usp=sharing"",""สุพรรณบุรี!M363"")+IMPORTRANGE(""https://docs.google.com/spreadsheets/d/1BmIruG_sIrJLYao_Pdr7zVArWsf"&amp;"oBt2692TMi6x_854/edit?usp=sharing"",""อ่างทอง!M363"")"),0)</f>
        <v>0</v>
      </c>
      <c r="N363" s="91">
        <f ca="1">IFERROR(__xludf.DUMMYFUNCTION("IMPORTRANGE(""https://docs.google.com/spreadsheets/d/13wPX838HrBrQMCywv1BsuMkt4PEKTChp52zj44s2izQ/edit?usp=sharing"",""กาญจนบุรี!N363"")+IMPORTRANGE(""https://docs.google.com/spreadsheets/d/1ddFKvqj1W1NEiWytbGlB1zMx_ykJDVtmfEQ-6-lIUBA/edit?usp=sharing"","&amp;"""จันทบุรี!N363"")+IMPORTRANGE(""https://docs.google.com/spreadsheets/d/1T1PQvRODqOBZk8BRht_U031fIS1beLA0Ub2CEytj2q0/edit?usp=sharing"",""ฉะเชิงเทรา!N363"")+IMPORTRANGE(""https://docs.google.com/spreadsheets/d/11tr1B-Bhyr79v2bkwVh5h_fR-PStkgjlZtkrZpYurG0/"&amp;"edit?usp=sharing"",""ชลบุรี!N363"")+IMPORTRANGE(""https://docs.google.com/spreadsheets/d/1hh-FVnSX0vozXhGluamEcS54Dw9_zqW0N7qJUWgJ0Sw/edit?usp=sharing"",""ชัยนาท!N363"")+IMPORTRANGE(""https://docs.google.com/spreadsheets/d/1jkqa6GXxSacMcY1eN8AHjMNJ_7dDXMJ"&amp;"VRLDlaFSOdPM/edit?usp=sharing"",""ตราด!N363"")+IMPORTRANGE(""https://docs.google.com/spreadsheets/d/18hSgUJ3VwClqi_qtULmmW3cLr0oe3OKaSYoKzdpTsYQ/edit?usp=sharing"",""นครนายก!N363"")+IMPORTRANGE(""https://docs.google.com/spreadsheets/d/1YTZo6WM2dQ6Ix6FSdnL"&amp;"5P7uVnVKu40sxZu975tgG10E/edit?usp=sharing"",""นครปฐม!N363"")+IMPORTRANGE(""https://docs.google.com/spreadsheets/d/1OYoGg4WDg5RIzwGeB10padOxJF9E_Vljuvvct_M7RDo/edit?usp=sharing"",""ปทุมธานี!N363"")+IMPORTRANGE(""https://docs.google.com/spreadsheets/d/1GbCI"&amp;"E4D4wk9FUozzqk7SxfDMxDVBwVmI5zcaVUSzKAc/edit?usp=sharing"",""ประจวบคีรีขันธ์!N363"")+IMPORTRANGE(""https://docs.google.com/spreadsheets/d/1vVf6wykvW_lAyu7Yo9L4hUTqHqIeP_qcVuxCtosJEbg/edit?usp=sharing"",""ปราจีนบุรี!N363"")+IMPORTRANGE(""https://docs.googl"&amp;"e.com/spreadsheets/d/1BIDqLLg5jk3v59G8NlR8rk5xfQDKne0sAvZHSj7TI6I/edit?usp=sharing"",""พระนครศรีอยุธยา!N363"")+IMPORTRANGE(""https://docs.google.com/spreadsheets/d/1YXvxf8Yu6_rV4hTBrwMqAcAnv6DfhUxh5emyM3CJp_w/edit?usp=sharing"",""เพชรบุรี!N363"")+IMPORTRA"&amp;"NGE(""https://docs.google.com/spreadsheets/d/19KBlQQs7uwvsao6t2n-KvW3Ax8J8uRRfZPq1zPbXgKc/edit?usp=sharing"",""ระยอง!N363"")+IMPORTRANGE(""https://docs.google.com/spreadsheets/d/1jQ6P4QcrGM89YfqcC_PxOHGCMq5ezhucwJd8ci-NHng/edit?usp=sharing"",""ราชบุรี!N36"&amp;"3"")+IMPORTRANGE(""https://docs.google.com/spreadsheets/d/1lufeA2cfFqM-elVq2hznhDzC6Pr7wkJ9ZG_sYNGCMCU/edit?usp=sharing"",""ลพบุรี!N363"")+IMPORTRANGE(""https://docs.google.com/spreadsheets/d/10oOiF7loTyfsTkbd4MpaIm0HQ9SwB7IYHdIUvt-U1Uc/edit?usp=sharing"""&amp;",""สระแก้ว!N363"")+IMPORTRANGE(""https://docs.google.com/spreadsheets/d/1xmPlrr1QbdSIKvl1dWUl9K4PjAfSL9oeMr_37QVzcxc/edit?usp=sharing"",""สระบุรี!N363"")+IMPORTRANGE(""https://docs.google.com/spreadsheets/d/1j51vR6CYVGhABJpv6tkstgok82RLpXieLzW1yOY5rHw/edi"&amp;"t?usp=sharing"",""สิงห์บุรี!N363"")+IMPORTRANGE(""https://docs.google.com/spreadsheets/d/1H1EalTWKUSzO4Z1-1CwzoDUaVffgrThEBe2sl74kKG0/edit?usp=sharing"",""สุพรรณบุรี!N363"")+IMPORTRANGE(""https://docs.google.com/spreadsheets/d/1BmIruG_sIrJLYao_Pdr7zVArWsf"&amp;"oBt2692TMi6x_854/edit?usp=sharing"",""อ่างทอง!N363"")"),0)</f>
        <v>0</v>
      </c>
      <c r="O363" s="91">
        <f t="shared" ca="1" si="259"/>
        <v>0</v>
      </c>
      <c r="P363" s="91">
        <f t="shared" ca="1" si="260"/>
        <v>0</v>
      </c>
      <c r="Q363" s="79">
        <f ca="1">IFERROR(__xludf.DUMMYFUNCTION("IMPORTRANGE(""https://docs.google.com/spreadsheets/d/13wPX838HrBrQMCywv1BsuMkt4PEKTChp52zj44s2izQ/edit?usp=sharing"",""กาญจนบุรี!Q363"")+IMPORTRANGE(""https://docs.google.com/spreadsheets/d/1ddFKvqj1W1NEiWytbGlB1zMx_ykJDVtmfEQ-6-lIUBA/edit?usp=sharing"","&amp;"""จันทบุรี!Q363"")+IMPORTRANGE(""https://docs.google.com/spreadsheets/d/1T1PQvRODqOBZk8BRht_U031fIS1beLA0Ub2CEytj2q0/edit?usp=sharing"",""ฉะเชิงเทรา!Q363"")+IMPORTRANGE(""https://docs.google.com/spreadsheets/d/11tr1B-Bhyr79v2bkwVh5h_fR-PStkgjlZtkrZpYurG0/"&amp;"edit?usp=sharing"",""ชลบุรี!Q363"")+IMPORTRANGE(""https://docs.google.com/spreadsheets/d/1hh-FVnSX0vozXhGluamEcS54Dw9_zqW0N7qJUWgJ0Sw/edit?usp=sharing"",""ชัยนาท!Q363"")+IMPORTRANGE(""https://docs.google.com/spreadsheets/d/1jkqa6GXxSacMcY1eN8AHjMNJ_7dDXMJ"&amp;"VRLDlaFSOdPM/edit?usp=sharing"",""ตราด!Q363"")+IMPORTRANGE(""https://docs.google.com/spreadsheets/d/18hSgUJ3VwClqi_qtULmmW3cLr0oe3OKaSYoKzdpTsYQ/edit?usp=sharing"",""นครนายก!Q363"")+IMPORTRANGE(""https://docs.google.com/spreadsheets/d/1YTZo6WM2dQ6Ix6FSdnL"&amp;"5P7uVnVKu40sxZu975tgG10E/edit?usp=sharing"",""นครปฐม!Q363"")+IMPORTRANGE(""https://docs.google.com/spreadsheets/d/1OYoGg4WDg5RIzwGeB10padOxJF9E_Vljuvvct_M7RDo/edit?usp=sharing"",""ปทุมธานี!Q363"")+IMPORTRANGE(""https://docs.google.com/spreadsheets/d/1GbCI"&amp;"E4D4wk9FUozzqk7SxfDMxDVBwVmI5zcaVUSzKAc/edit?usp=sharing"",""ประจวบคีรีขันธ์!Q363"")+IMPORTRANGE(""https://docs.google.com/spreadsheets/d/1vVf6wykvW_lAyu7Yo9L4hUTqHqIeP_qcVuxCtosJEbg/edit?usp=sharing"",""ปราจีนบุรี!Q363"")+IMPORTRANGE(""https://docs.googl"&amp;"e.com/spreadsheets/d/1BIDqLLg5jk3v59G8NlR8rk5xfQDKne0sAvZHSj7TI6I/edit?usp=sharing"",""พระนครศรีอยุธยา!Q363"")+IMPORTRANGE(""https://docs.google.com/spreadsheets/d/1YXvxf8Yu6_rV4hTBrwMqAcAnv6DfhUxh5emyM3CJp_w/edit?usp=sharing"",""เพชรบุรี!Q363"")+IMPORTRA"&amp;"NGE(""https://docs.google.com/spreadsheets/d/19KBlQQs7uwvsao6t2n-KvW3Ax8J8uRRfZPq1zPbXgKc/edit?usp=sharing"",""ระยอง!Q363"")+IMPORTRANGE(""https://docs.google.com/spreadsheets/d/1jQ6P4QcrGM89YfqcC_PxOHGCMq5ezhucwJd8ci-NHng/edit?usp=sharing"",""ราชบุรี!Q36"&amp;"3"")+IMPORTRANGE(""https://docs.google.com/spreadsheets/d/1lufeA2cfFqM-elVq2hznhDzC6Pr7wkJ9ZG_sYNGCMCU/edit?usp=sharing"",""ลพบุรี!Q363"")+IMPORTRANGE(""https://docs.google.com/spreadsheets/d/10oOiF7loTyfsTkbd4MpaIm0HQ9SwB7IYHdIUvt-U1Uc/edit?usp=sharing"""&amp;",""สระแก้ว!Q363"")+IMPORTRANGE(""https://docs.google.com/spreadsheets/d/1xmPlrr1QbdSIKvl1dWUl9K4PjAfSL9oeMr_37QVzcxc/edit?usp=sharing"",""สระบุรี!Q363"")+IMPORTRANGE(""https://docs.google.com/spreadsheets/d/1j51vR6CYVGhABJpv6tkstgok82RLpXieLzW1yOY5rHw/edi"&amp;"t?usp=sharing"",""สิงห์บุรี!Q363"")+IMPORTRANGE(""https://docs.google.com/spreadsheets/d/1H1EalTWKUSzO4Z1-1CwzoDUaVffgrThEBe2sl74kKG0/edit?usp=sharing"",""สุพรรณบุรี!Q363"")+IMPORTRANGE(""https://docs.google.com/spreadsheets/d/1BmIruG_sIrJLYao_Pdr7zVArWsf"&amp;"oBt2692TMi6x_854/edit?usp=sharing"",""อ่างทอง!Q363"")"),0)</f>
        <v>0</v>
      </c>
      <c r="R363" s="80">
        <f ca="1">IFERROR(__xludf.DUMMYFUNCTION("IMPORTRANGE(""https://docs.google.com/spreadsheets/d/13wPX838HrBrQMCywv1BsuMkt4PEKTChp52zj44s2izQ/edit?usp=sharing"",""กาญจนบุรี!R363"")+IMPORTRANGE(""https://docs.google.com/spreadsheets/d/1ddFKvqj1W1NEiWytbGlB1zMx_ykJDVtmfEQ-6-lIUBA/edit?usp=sharing"","&amp;"""จันทบุรี!R363"")+IMPORTRANGE(""https://docs.google.com/spreadsheets/d/1T1PQvRODqOBZk8BRht_U031fIS1beLA0Ub2CEytj2q0/edit?usp=sharing"",""ฉะเชิงเทรา!R363"")+IMPORTRANGE(""https://docs.google.com/spreadsheets/d/11tr1B-Bhyr79v2bkwVh5h_fR-PStkgjlZtkrZpYurG0/"&amp;"edit?usp=sharing"",""ชลบุรี!R363"")+IMPORTRANGE(""https://docs.google.com/spreadsheets/d/1hh-FVnSX0vozXhGluamEcS54Dw9_zqW0N7qJUWgJ0Sw/edit?usp=sharing"",""ชัยนาท!R363"")+IMPORTRANGE(""https://docs.google.com/spreadsheets/d/1jkqa6GXxSacMcY1eN8AHjMNJ_7dDXMJ"&amp;"VRLDlaFSOdPM/edit?usp=sharing"",""ตราด!R363"")+IMPORTRANGE(""https://docs.google.com/spreadsheets/d/18hSgUJ3VwClqi_qtULmmW3cLr0oe3OKaSYoKzdpTsYQ/edit?usp=sharing"",""นครนายก!R363"")+IMPORTRANGE(""https://docs.google.com/spreadsheets/d/1YTZo6WM2dQ6Ix6FSdnL"&amp;"5P7uVnVKu40sxZu975tgG10E/edit?usp=sharing"",""นครปฐม!R363"")+IMPORTRANGE(""https://docs.google.com/spreadsheets/d/1OYoGg4WDg5RIzwGeB10padOxJF9E_Vljuvvct_M7RDo/edit?usp=sharing"",""ปทุมธานี!R363"")+IMPORTRANGE(""https://docs.google.com/spreadsheets/d/1GbCI"&amp;"E4D4wk9FUozzqk7SxfDMxDVBwVmI5zcaVUSzKAc/edit?usp=sharing"",""ประจวบคีรีขันธ์!R363"")+IMPORTRANGE(""https://docs.google.com/spreadsheets/d/1vVf6wykvW_lAyu7Yo9L4hUTqHqIeP_qcVuxCtosJEbg/edit?usp=sharing"",""ปราจีนบุรี!R363"")+IMPORTRANGE(""https://docs.googl"&amp;"e.com/spreadsheets/d/1BIDqLLg5jk3v59G8NlR8rk5xfQDKne0sAvZHSj7TI6I/edit?usp=sharing"",""พระนครศรีอยุธยา!R363"")+IMPORTRANGE(""https://docs.google.com/spreadsheets/d/1YXvxf8Yu6_rV4hTBrwMqAcAnv6DfhUxh5emyM3CJp_w/edit?usp=sharing"",""เพชรบุรี!R363"")+IMPORTRA"&amp;"NGE(""https://docs.google.com/spreadsheets/d/19KBlQQs7uwvsao6t2n-KvW3Ax8J8uRRfZPq1zPbXgKc/edit?usp=sharing"",""ระยอง!R363"")+IMPORTRANGE(""https://docs.google.com/spreadsheets/d/1jQ6P4QcrGM89YfqcC_PxOHGCMq5ezhucwJd8ci-NHng/edit?usp=sharing"",""ราชบุรี!R36"&amp;"3"")+IMPORTRANGE(""https://docs.google.com/spreadsheets/d/1lufeA2cfFqM-elVq2hznhDzC6Pr7wkJ9ZG_sYNGCMCU/edit?usp=sharing"",""ลพบุรี!R363"")+IMPORTRANGE(""https://docs.google.com/spreadsheets/d/10oOiF7loTyfsTkbd4MpaIm0HQ9SwB7IYHdIUvt-U1Uc/edit?usp=sharing"""&amp;",""สระแก้ว!R363"")+IMPORTRANGE(""https://docs.google.com/spreadsheets/d/1xmPlrr1QbdSIKvl1dWUl9K4PjAfSL9oeMr_37QVzcxc/edit?usp=sharing"",""สระบุรี!R363"")+IMPORTRANGE(""https://docs.google.com/spreadsheets/d/1j51vR6CYVGhABJpv6tkstgok82RLpXieLzW1yOY5rHw/edi"&amp;"t?usp=sharing"",""สิงห์บุรี!R363"")+IMPORTRANGE(""https://docs.google.com/spreadsheets/d/1H1EalTWKUSzO4Z1-1CwzoDUaVffgrThEBe2sl74kKG0/edit?usp=sharing"",""สุพรรณบุรี!R363"")+IMPORTRANGE(""https://docs.google.com/spreadsheets/d/1BmIruG_sIrJLYao_Pdr7zVArWsf"&amp;"oBt2692TMi6x_854/edit?usp=sharing"",""อ่างทอง!R363"")"),0)</f>
        <v>0</v>
      </c>
      <c r="S363" s="80">
        <f ca="1">IFERROR(__xludf.DUMMYFUNCTION("IMPORTRANGE(""https://docs.google.com/spreadsheets/d/13wPX838HrBrQMCywv1BsuMkt4PEKTChp52zj44s2izQ/edit?usp=sharing"",""กาญจนบุรี!S363"")+IMPORTRANGE(""https://docs.google.com/spreadsheets/d/1ddFKvqj1W1NEiWytbGlB1zMx_ykJDVtmfEQ-6-lIUBA/edit?usp=sharing"","&amp;"""จันทบุรี!S363"")+IMPORTRANGE(""https://docs.google.com/spreadsheets/d/1T1PQvRODqOBZk8BRht_U031fIS1beLA0Ub2CEytj2q0/edit?usp=sharing"",""ฉะเชิงเทรา!S363"")+IMPORTRANGE(""https://docs.google.com/spreadsheets/d/11tr1B-Bhyr79v2bkwVh5h_fR-PStkgjlZtkrZpYurG0/"&amp;"edit?usp=sharing"",""ชลบุรี!S363"")+IMPORTRANGE(""https://docs.google.com/spreadsheets/d/1hh-FVnSX0vozXhGluamEcS54Dw9_zqW0N7qJUWgJ0Sw/edit?usp=sharing"",""ชัยนาท!S363"")+IMPORTRANGE(""https://docs.google.com/spreadsheets/d/1jkqa6GXxSacMcY1eN8AHjMNJ_7dDXMJ"&amp;"VRLDlaFSOdPM/edit?usp=sharing"",""ตราด!S363"")+IMPORTRANGE(""https://docs.google.com/spreadsheets/d/18hSgUJ3VwClqi_qtULmmW3cLr0oe3OKaSYoKzdpTsYQ/edit?usp=sharing"",""นครนายก!S363"")+IMPORTRANGE(""https://docs.google.com/spreadsheets/d/1YTZo6WM2dQ6Ix6FSdnL"&amp;"5P7uVnVKu40sxZu975tgG10E/edit?usp=sharing"",""นครปฐม!S363"")+IMPORTRANGE(""https://docs.google.com/spreadsheets/d/1OYoGg4WDg5RIzwGeB10padOxJF9E_Vljuvvct_M7RDo/edit?usp=sharing"",""ปทุมธานี!S363"")+IMPORTRANGE(""https://docs.google.com/spreadsheets/d/1GbCI"&amp;"E4D4wk9FUozzqk7SxfDMxDVBwVmI5zcaVUSzKAc/edit?usp=sharing"",""ประจวบคีรีขันธ์!S363"")+IMPORTRANGE(""https://docs.google.com/spreadsheets/d/1vVf6wykvW_lAyu7Yo9L4hUTqHqIeP_qcVuxCtosJEbg/edit?usp=sharing"",""ปราจีนบุรี!S363"")+IMPORTRANGE(""https://docs.googl"&amp;"e.com/spreadsheets/d/1BIDqLLg5jk3v59G8NlR8rk5xfQDKne0sAvZHSj7TI6I/edit?usp=sharing"",""พระนครศรีอยุธยา!S363"")+IMPORTRANGE(""https://docs.google.com/spreadsheets/d/1YXvxf8Yu6_rV4hTBrwMqAcAnv6DfhUxh5emyM3CJp_w/edit?usp=sharing"",""เพชรบุรี!S363"")+IMPORTRA"&amp;"NGE(""https://docs.google.com/spreadsheets/d/19KBlQQs7uwvsao6t2n-KvW3Ax8J8uRRfZPq1zPbXgKc/edit?usp=sharing"",""ระยอง!S363"")+IMPORTRANGE(""https://docs.google.com/spreadsheets/d/1jQ6P4QcrGM89YfqcC_PxOHGCMq5ezhucwJd8ci-NHng/edit?usp=sharing"",""ราชบุรี!S36"&amp;"3"")+IMPORTRANGE(""https://docs.google.com/spreadsheets/d/1lufeA2cfFqM-elVq2hznhDzC6Pr7wkJ9ZG_sYNGCMCU/edit?usp=sharing"",""ลพบุรี!S363"")+IMPORTRANGE(""https://docs.google.com/spreadsheets/d/10oOiF7loTyfsTkbd4MpaIm0HQ9SwB7IYHdIUvt-U1Uc/edit?usp=sharing"""&amp;",""สระแก้ว!S363"")+IMPORTRANGE(""https://docs.google.com/spreadsheets/d/1xmPlrr1QbdSIKvl1dWUl9K4PjAfSL9oeMr_37QVzcxc/edit?usp=sharing"",""สระบุรี!S363"")+IMPORTRANGE(""https://docs.google.com/spreadsheets/d/1j51vR6CYVGhABJpv6tkstgok82RLpXieLzW1yOY5rHw/edi"&amp;"t?usp=sharing"",""สิงห์บุรี!S363"")+IMPORTRANGE(""https://docs.google.com/spreadsheets/d/1H1EalTWKUSzO4Z1-1CwzoDUaVffgrThEBe2sl74kKG0/edit?usp=sharing"",""สุพรรณบุรี!S363"")+IMPORTRANGE(""https://docs.google.com/spreadsheets/d/1BmIruG_sIrJLYao_Pdr7zVArWsf"&amp;"oBt2692TMi6x_854/edit?usp=sharing"",""อ่างทอง!S363"")"),0)</f>
        <v>0</v>
      </c>
      <c r="T363" s="136">
        <f t="shared" ca="1" si="262"/>
        <v>0</v>
      </c>
      <c r="U363" s="136">
        <f t="shared" ca="1" si="263"/>
        <v>0</v>
      </c>
    </row>
    <row r="364" spans="1:21" ht="18.75" x14ac:dyDescent="0.25">
      <c r="A364" s="211"/>
      <c r="B364" s="70"/>
      <c r="C364" s="70"/>
      <c r="D364" s="70"/>
      <c r="E364" s="78" t="s">
        <v>21</v>
      </c>
      <c r="F364" s="70"/>
      <c r="G364" s="72"/>
      <c r="H364" s="223" t="s">
        <v>14</v>
      </c>
      <c r="I364" s="221"/>
      <c r="J364" s="221"/>
      <c r="K364" s="222"/>
      <c r="L364" s="91">
        <f ca="1">IFERROR(__xludf.DUMMYFUNCTION("IMPORTRANGE(""https://docs.google.com/spreadsheets/d/13wPX838HrBrQMCywv1BsuMkt4PEKTChp52zj44s2izQ/edit?usp=sharing"",""กาญจนบุรี!L364"")+IMPORTRANGE(""https://docs.google.com/spreadsheets/d/1ddFKvqj1W1NEiWytbGlB1zMx_ykJDVtmfEQ-6-lIUBA/edit?usp=sharing"","&amp;"""จันทบุรี!L364"")+IMPORTRANGE(""https://docs.google.com/spreadsheets/d/1T1PQvRODqOBZk8BRht_U031fIS1beLA0Ub2CEytj2q0/edit?usp=sharing"",""ฉะเชิงเทรา!L364"")+IMPORTRANGE(""https://docs.google.com/spreadsheets/d/11tr1B-Bhyr79v2bkwVh5h_fR-PStkgjlZtkrZpYurG0/"&amp;"edit?usp=sharing"",""ชลบุรี!L364"")+IMPORTRANGE(""https://docs.google.com/spreadsheets/d/1hh-FVnSX0vozXhGluamEcS54Dw9_zqW0N7qJUWgJ0Sw/edit?usp=sharing"",""ชัยนาท!L364"")+IMPORTRANGE(""https://docs.google.com/spreadsheets/d/1jkqa6GXxSacMcY1eN8AHjMNJ_7dDXMJ"&amp;"VRLDlaFSOdPM/edit?usp=sharing"",""ตราด!L364"")+IMPORTRANGE(""https://docs.google.com/spreadsheets/d/18hSgUJ3VwClqi_qtULmmW3cLr0oe3OKaSYoKzdpTsYQ/edit?usp=sharing"",""นครนายก!L364"")+IMPORTRANGE(""https://docs.google.com/spreadsheets/d/1YTZo6WM2dQ6Ix6FSdnL"&amp;"5P7uVnVKu40sxZu975tgG10E/edit?usp=sharing"",""นครปฐม!L364"")+IMPORTRANGE(""https://docs.google.com/spreadsheets/d/1OYoGg4WDg5RIzwGeB10padOxJF9E_Vljuvvct_M7RDo/edit?usp=sharing"",""ปทุมธานี!L364"")+IMPORTRANGE(""https://docs.google.com/spreadsheets/d/1GbCI"&amp;"E4D4wk9FUozzqk7SxfDMxDVBwVmI5zcaVUSzKAc/edit?usp=sharing"",""ประจวบคีรีขันธ์!L364"")+IMPORTRANGE(""https://docs.google.com/spreadsheets/d/1vVf6wykvW_lAyu7Yo9L4hUTqHqIeP_qcVuxCtosJEbg/edit?usp=sharing"",""ปราจีนบุรี!L364"")+IMPORTRANGE(""https://docs.googl"&amp;"e.com/spreadsheets/d/1BIDqLLg5jk3v59G8NlR8rk5xfQDKne0sAvZHSj7TI6I/edit?usp=sharing"",""พระนครศรีอยุธยา!L364"")+IMPORTRANGE(""https://docs.google.com/spreadsheets/d/1YXvxf8Yu6_rV4hTBrwMqAcAnv6DfhUxh5emyM3CJp_w/edit?usp=sharing"",""เพชรบุรี!L364"")+IMPORTRA"&amp;"NGE(""https://docs.google.com/spreadsheets/d/19KBlQQs7uwvsao6t2n-KvW3Ax8J8uRRfZPq1zPbXgKc/edit?usp=sharing"",""ระยอง!L364"")+IMPORTRANGE(""https://docs.google.com/spreadsheets/d/1jQ6P4QcrGM89YfqcC_PxOHGCMq5ezhucwJd8ci-NHng/edit?usp=sharing"",""ราชบุรี!L36"&amp;"4"")+IMPORTRANGE(""https://docs.google.com/spreadsheets/d/1lufeA2cfFqM-elVq2hznhDzC6Pr7wkJ9ZG_sYNGCMCU/edit?usp=sharing"",""ลพบุรี!L364"")+IMPORTRANGE(""https://docs.google.com/spreadsheets/d/10oOiF7loTyfsTkbd4MpaIm0HQ9SwB7IYHdIUvt-U1Uc/edit?usp=sharing"""&amp;",""สระแก้ว!L364"")+IMPORTRANGE(""https://docs.google.com/spreadsheets/d/1xmPlrr1QbdSIKvl1dWUl9K4PjAfSL9oeMr_37QVzcxc/edit?usp=sharing"",""สระบุรี!L364"")+IMPORTRANGE(""https://docs.google.com/spreadsheets/d/1j51vR6CYVGhABJpv6tkstgok82RLpXieLzW1yOY5rHw/edi"&amp;"t?usp=sharing"",""สิงห์บุรี!L364"")+IMPORTRANGE(""https://docs.google.com/spreadsheets/d/1H1EalTWKUSzO4Z1-1CwzoDUaVffgrThEBe2sl74kKG0/edit?usp=sharing"",""สุพรรณบุรี!L364"")+IMPORTRANGE(""https://docs.google.com/spreadsheets/d/1BmIruG_sIrJLYao_Pdr7zVArWsf"&amp;"oBt2692TMi6x_854/edit?usp=sharing"",""อ่างทอง!L364"")"),0)</f>
        <v>0</v>
      </c>
      <c r="M364" s="91">
        <f ca="1">IFERROR(__xludf.DUMMYFUNCTION("IMPORTRANGE(""https://docs.google.com/spreadsheets/d/13wPX838HrBrQMCywv1BsuMkt4PEKTChp52zj44s2izQ/edit?usp=sharing"",""กาญจนบุรี!M364"")+IMPORTRANGE(""https://docs.google.com/spreadsheets/d/1ddFKvqj1W1NEiWytbGlB1zMx_ykJDVtmfEQ-6-lIUBA/edit?usp=sharing"","&amp;"""จันทบุรี!M364"")+IMPORTRANGE(""https://docs.google.com/spreadsheets/d/1T1PQvRODqOBZk8BRht_U031fIS1beLA0Ub2CEytj2q0/edit?usp=sharing"",""ฉะเชิงเทรา!M364"")+IMPORTRANGE(""https://docs.google.com/spreadsheets/d/11tr1B-Bhyr79v2bkwVh5h_fR-PStkgjlZtkrZpYurG0/"&amp;"edit?usp=sharing"",""ชลบุรี!M364"")+IMPORTRANGE(""https://docs.google.com/spreadsheets/d/1hh-FVnSX0vozXhGluamEcS54Dw9_zqW0N7qJUWgJ0Sw/edit?usp=sharing"",""ชัยนาท!M364"")+IMPORTRANGE(""https://docs.google.com/spreadsheets/d/1jkqa6GXxSacMcY1eN8AHjMNJ_7dDXMJ"&amp;"VRLDlaFSOdPM/edit?usp=sharing"",""ตราด!M364"")+IMPORTRANGE(""https://docs.google.com/spreadsheets/d/18hSgUJ3VwClqi_qtULmmW3cLr0oe3OKaSYoKzdpTsYQ/edit?usp=sharing"",""นครนายก!M364"")+IMPORTRANGE(""https://docs.google.com/spreadsheets/d/1YTZo6WM2dQ6Ix6FSdnL"&amp;"5P7uVnVKu40sxZu975tgG10E/edit?usp=sharing"",""นครปฐม!M364"")+IMPORTRANGE(""https://docs.google.com/spreadsheets/d/1OYoGg4WDg5RIzwGeB10padOxJF9E_Vljuvvct_M7RDo/edit?usp=sharing"",""ปทุมธานี!M364"")+IMPORTRANGE(""https://docs.google.com/spreadsheets/d/1GbCI"&amp;"E4D4wk9FUozzqk7SxfDMxDVBwVmI5zcaVUSzKAc/edit?usp=sharing"",""ประจวบคีรีขันธ์!M364"")+IMPORTRANGE(""https://docs.google.com/spreadsheets/d/1vVf6wykvW_lAyu7Yo9L4hUTqHqIeP_qcVuxCtosJEbg/edit?usp=sharing"",""ปราจีนบุรี!M364"")+IMPORTRANGE(""https://docs.googl"&amp;"e.com/spreadsheets/d/1BIDqLLg5jk3v59G8NlR8rk5xfQDKne0sAvZHSj7TI6I/edit?usp=sharing"",""พระนครศรีอยุธยา!M364"")+IMPORTRANGE(""https://docs.google.com/spreadsheets/d/1YXvxf8Yu6_rV4hTBrwMqAcAnv6DfhUxh5emyM3CJp_w/edit?usp=sharing"",""เพชรบุรี!M364"")+IMPORTRA"&amp;"NGE(""https://docs.google.com/spreadsheets/d/19KBlQQs7uwvsao6t2n-KvW3Ax8J8uRRfZPq1zPbXgKc/edit?usp=sharing"",""ระยอง!M364"")+IMPORTRANGE(""https://docs.google.com/spreadsheets/d/1jQ6P4QcrGM89YfqcC_PxOHGCMq5ezhucwJd8ci-NHng/edit?usp=sharing"",""ราชบุรี!M36"&amp;"4"")+IMPORTRANGE(""https://docs.google.com/spreadsheets/d/1lufeA2cfFqM-elVq2hznhDzC6Pr7wkJ9ZG_sYNGCMCU/edit?usp=sharing"",""ลพบุรี!M364"")+IMPORTRANGE(""https://docs.google.com/spreadsheets/d/10oOiF7loTyfsTkbd4MpaIm0HQ9SwB7IYHdIUvt-U1Uc/edit?usp=sharing"""&amp;",""สระแก้ว!M364"")+IMPORTRANGE(""https://docs.google.com/spreadsheets/d/1xmPlrr1QbdSIKvl1dWUl9K4PjAfSL9oeMr_37QVzcxc/edit?usp=sharing"",""สระบุรี!M364"")+IMPORTRANGE(""https://docs.google.com/spreadsheets/d/1j51vR6CYVGhABJpv6tkstgok82RLpXieLzW1yOY5rHw/edi"&amp;"t?usp=sharing"",""สิงห์บุรี!M364"")+IMPORTRANGE(""https://docs.google.com/spreadsheets/d/1H1EalTWKUSzO4Z1-1CwzoDUaVffgrThEBe2sl74kKG0/edit?usp=sharing"",""สุพรรณบุรี!M364"")+IMPORTRANGE(""https://docs.google.com/spreadsheets/d/1BmIruG_sIrJLYao_Pdr7zVArWsf"&amp;"oBt2692TMi6x_854/edit?usp=sharing"",""อ่างทอง!M364"")"),0)</f>
        <v>0</v>
      </c>
      <c r="N364" s="91">
        <f ca="1">IFERROR(__xludf.DUMMYFUNCTION("IMPORTRANGE(""https://docs.google.com/spreadsheets/d/13wPX838HrBrQMCywv1BsuMkt4PEKTChp52zj44s2izQ/edit?usp=sharing"",""กาญจนบุรี!N364"")+IMPORTRANGE(""https://docs.google.com/spreadsheets/d/1ddFKvqj1W1NEiWytbGlB1zMx_ykJDVtmfEQ-6-lIUBA/edit?usp=sharing"","&amp;"""จันทบุรี!N364"")+IMPORTRANGE(""https://docs.google.com/spreadsheets/d/1T1PQvRODqOBZk8BRht_U031fIS1beLA0Ub2CEytj2q0/edit?usp=sharing"",""ฉะเชิงเทรา!N364"")+IMPORTRANGE(""https://docs.google.com/spreadsheets/d/11tr1B-Bhyr79v2bkwVh5h_fR-PStkgjlZtkrZpYurG0/"&amp;"edit?usp=sharing"",""ชลบุรี!N364"")+IMPORTRANGE(""https://docs.google.com/spreadsheets/d/1hh-FVnSX0vozXhGluamEcS54Dw9_zqW0N7qJUWgJ0Sw/edit?usp=sharing"",""ชัยนาท!N364"")+IMPORTRANGE(""https://docs.google.com/spreadsheets/d/1jkqa6GXxSacMcY1eN8AHjMNJ_7dDXMJ"&amp;"VRLDlaFSOdPM/edit?usp=sharing"",""ตราด!N364"")+IMPORTRANGE(""https://docs.google.com/spreadsheets/d/18hSgUJ3VwClqi_qtULmmW3cLr0oe3OKaSYoKzdpTsYQ/edit?usp=sharing"",""นครนายก!N364"")+IMPORTRANGE(""https://docs.google.com/spreadsheets/d/1YTZo6WM2dQ6Ix6FSdnL"&amp;"5P7uVnVKu40sxZu975tgG10E/edit?usp=sharing"",""นครปฐม!N364"")+IMPORTRANGE(""https://docs.google.com/spreadsheets/d/1OYoGg4WDg5RIzwGeB10padOxJF9E_Vljuvvct_M7RDo/edit?usp=sharing"",""ปทุมธานี!N364"")+IMPORTRANGE(""https://docs.google.com/spreadsheets/d/1GbCI"&amp;"E4D4wk9FUozzqk7SxfDMxDVBwVmI5zcaVUSzKAc/edit?usp=sharing"",""ประจวบคีรีขันธ์!N364"")+IMPORTRANGE(""https://docs.google.com/spreadsheets/d/1vVf6wykvW_lAyu7Yo9L4hUTqHqIeP_qcVuxCtosJEbg/edit?usp=sharing"",""ปราจีนบุรี!N364"")+IMPORTRANGE(""https://docs.googl"&amp;"e.com/spreadsheets/d/1BIDqLLg5jk3v59G8NlR8rk5xfQDKne0sAvZHSj7TI6I/edit?usp=sharing"",""พระนครศรีอยุธยา!N364"")+IMPORTRANGE(""https://docs.google.com/spreadsheets/d/1YXvxf8Yu6_rV4hTBrwMqAcAnv6DfhUxh5emyM3CJp_w/edit?usp=sharing"",""เพชรบุรี!N364"")+IMPORTRA"&amp;"NGE(""https://docs.google.com/spreadsheets/d/19KBlQQs7uwvsao6t2n-KvW3Ax8J8uRRfZPq1zPbXgKc/edit?usp=sharing"",""ระยอง!N364"")+IMPORTRANGE(""https://docs.google.com/spreadsheets/d/1jQ6P4QcrGM89YfqcC_PxOHGCMq5ezhucwJd8ci-NHng/edit?usp=sharing"",""ราชบุรี!N36"&amp;"4"")+IMPORTRANGE(""https://docs.google.com/spreadsheets/d/1lufeA2cfFqM-elVq2hznhDzC6Pr7wkJ9ZG_sYNGCMCU/edit?usp=sharing"",""ลพบุรี!N364"")+IMPORTRANGE(""https://docs.google.com/spreadsheets/d/10oOiF7loTyfsTkbd4MpaIm0HQ9SwB7IYHdIUvt-U1Uc/edit?usp=sharing"""&amp;",""สระแก้ว!N364"")+IMPORTRANGE(""https://docs.google.com/spreadsheets/d/1xmPlrr1QbdSIKvl1dWUl9K4PjAfSL9oeMr_37QVzcxc/edit?usp=sharing"",""สระบุรี!N364"")+IMPORTRANGE(""https://docs.google.com/spreadsheets/d/1j51vR6CYVGhABJpv6tkstgok82RLpXieLzW1yOY5rHw/edi"&amp;"t?usp=sharing"",""สิงห์บุรี!N364"")+IMPORTRANGE(""https://docs.google.com/spreadsheets/d/1H1EalTWKUSzO4Z1-1CwzoDUaVffgrThEBe2sl74kKG0/edit?usp=sharing"",""สุพรรณบุรี!N364"")+IMPORTRANGE(""https://docs.google.com/spreadsheets/d/1BmIruG_sIrJLYao_Pdr7zVArWsf"&amp;"oBt2692TMi6x_854/edit?usp=sharing"",""อ่างทอง!N364"")"),0)</f>
        <v>0</v>
      </c>
      <c r="O364" s="91">
        <f t="shared" ca="1" si="259"/>
        <v>0</v>
      </c>
      <c r="P364" s="91">
        <f t="shared" ca="1" si="260"/>
        <v>0</v>
      </c>
      <c r="Q364" s="76">
        <f ca="1">IFERROR(__xludf.DUMMYFUNCTION("IMPORTRANGE(""https://docs.google.com/spreadsheets/d/13wPX838HrBrQMCywv1BsuMkt4PEKTChp52zj44s2izQ/edit?usp=sharing"",""กาญจนบุรี!Q364"")+IMPORTRANGE(""https://docs.google.com/spreadsheets/d/1ddFKvqj1W1NEiWytbGlB1zMx_ykJDVtmfEQ-6-lIUBA/edit?usp=sharing"","&amp;"""จันทบุรี!Q364"")+IMPORTRANGE(""https://docs.google.com/spreadsheets/d/1T1PQvRODqOBZk8BRht_U031fIS1beLA0Ub2CEytj2q0/edit?usp=sharing"",""ฉะเชิงเทรา!Q364"")+IMPORTRANGE(""https://docs.google.com/spreadsheets/d/11tr1B-Bhyr79v2bkwVh5h_fR-PStkgjlZtkrZpYurG0/"&amp;"edit?usp=sharing"",""ชลบุรี!Q364"")+IMPORTRANGE(""https://docs.google.com/spreadsheets/d/1hh-FVnSX0vozXhGluamEcS54Dw9_zqW0N7qJUWgJ0Sw/edit?usp=sharing"",""ชัยนาท!Q364"")+IMPORTRANGE(""https://docs.google.com/spreadsheets/d/1jkqa6GXxSacMcY1eN8AHjMNJ_7dDXMJ"&amp;"VRLDlaFSOdPM/edit?usp=sharing"",""ตราด!Q364"")+IMPORTRANGE(""https://docs.google.com/spreadsheets/d/18hSgUJ3VwClqi_qtULmmW3cLr0oe3OKaSYoKzdpTsYQ/edit?usp=sharing"",""นครนายก!Q364"")+IMPORTRANGE(""https://docs.google.com/spreadsheets/d/1YTZo6WM2dQ6Ix6FSdnL"&amp;"5P7uVnVKu40sxZu975tgG10E/edit?usp=sharing"",""นครปฐม!Q364"")+IMPORTRANGE(""https://docs.google.com/spreadsheets/d/1OYoGg4WDg5RIzwGeB10padOxJF9E_Vljuvvct_M7RDo/edit?usp=sharing"",""ปทุมธานี!Q364"")+IMPORTRANGE(""https://docs.google.com/spreadsheets/d/1GbCI"&amp;"E4D4wk9FUozzqk7SxfDMxDVBwVmI5zcaVUSzKAc/edit?usp=sharing"",""ประจวบคีรีขันธ์!Q364"")+IMPORTRANGE(""https://docs.google.com/spreadsheets/d/1vVf6wykvW_lAyu7Yo9L4hUTqHqIeP_qcVuxCtosJEbg/edit?usp=sharing"",""ปราจีนบุรี!Q364"")+IMPORTRANGE(""https://docs.googl"&amp;"e.com/spreadsheets/d/1BIDqLLg5jk3v59G8NlR8rk5xfQDKne0sAvZHSj7TI6I/edit?usp=sharing"",""พระนครศรีอยุธยา!Q364"")+IMPORTRANGE(""https://docs.google.com/spreadsheets/d/1YXvxf8Yu6_rV4hTBrwMqAcAnv6DfhUxh5emyM3CJp_w/edit?usp=sharing"",""เพชรบุรี!Q364"")+IMPORTRA"&amp;"NGE(""https://docs.google.com/spreadsheets/d/19KBlQQs7uwvsao6t2n-KvW3Ax8J8uRRfZPq1zPbXgKc/edit?usp=sharing"",""ระยอง!Q364"")+IMPORTRANGE(""https://docs.google.com/spreadsheets/d/1jQ6P4QcrGM89YfqcC_PxOHGCMq5ezhucwJd8ci-NHng/edit?usp=sharing"",""ราชบุรี!Q36"&amp;"4"")+IMPORTRANGE(""https://docs.google.com/spreadsheets/d/1lufeA2cfFqM-elVq2hznhDzC6Pr7wkJ9ZG_sYNGCMCU/edit?usp=sharing"",""ลพบุรี!Q364"")+IMPORTRANGE(""https://docs.google.com/spreadsheets/d/10oOiF7loTyfsTkbd4MpaIm0HQ9SwB7IYHdIUvt-U1Uc/edit?usp=sharing"""&amp;",""สระแก้ว!Q364"")+IMPORTRANGE(""https://docs.google.com/spreadsheets/d/1xmPlrr1QbdSIKvl1dWUl9K4PjAfSL9oeMr_37QVzcxc/edit?usp=sharing"",""สระบุรี!Q364"")+IMPORTRANGE(""https://docs.google.com/spreadsheets/d/1j51vR6CYVGhABJpv6tkstgok82RLpXieLzW1yOY5rHw/edi"&amp;"t?usp=sharing"",""สิงห์บุรี!Q364"")+IMPORTRANGE(""https://docs.google.com/spreadsheets/d/1H1EalTWKUSzO4Z1-1CwzoDUaVffgrThEBe2sl74kKG0/edit?usp=sharing"",""สุพรรณบุรี!Q364"")+IMPORTRANGE(""https://docs.google.com/spreadsheets/d/1BmIruG_sIrJLYao_Pdr7zVArWsf"&amp;"oBt2692TMi6x_854/edit?usp=sharing"",""อ่างทอง!Q364"")"),0)</f>
        <v>0</v>
      </c>
      <c r="R364" s="77">
        <f ca="1">IFERROR(__xludf.DUMMYFUNCTION("IMPORTRANGE(""https://docs.google.com/spreadsheets/d/13wPX838HrBrQMCywv1BsuMkt4PEKTChp52zj44s2izQ/edit?usp=sharing"",""กาญจนบุรี!R364"")+IMPORTRANGE(""https://docs.google.com/spreadsheets/d/1ddFKvqj1W1NEiWytbGlB1zMx_ykJDVtmfEQ-6-lIUBA/edit?usp=sharing"","&amp;"""จันทบุรี!R364"")+IMPORTRANGE(""https://docs.google.com/spreadsheets/d/1T1PQvRODqOBZk8BRht_U031fIS1beLA0Ub2CEytj2q0/edit?usp=sharing"",""ฉะเชิงเทรา!R364"")+IMPORTRANGE(""https://docs.google.com/spreadsheets/d/11tr1B-Bhyr79v2bkwVh5h_fR-PStkgjlZtkrZpYurG0/"&amp;"edit?usp=sharing"",""ชลบุรี!R364"")+IMPORTRANGE(""https://docs.google.com/spreadsheets/d/1hh-FVnSX0vozXhGluamEcS54Dw9_zqW0N7qJUWgJ0Sw/edit?usp=sharing"",""ชัยนาท!R364"")+IMPORTRANGE(""https://docs.google.com/spreadsheets/d/1jkqa6GXxSacMcY1eN8AHjMNJ_7dDXMJ"&amp;"VRLDlaFSOdPM/edit?usp=sharing"",""ตราด!R364"")+IMPORTRANGE(""https://docs.google.com/spreadsheets/d/18hSgUJ3VwClqi_qtULmmW3cLr0oe3OKaSYoKzdpTsYQ/edit?usp=sharing"",""นครนายก!R364"")+IMPORTRANGE(""https://docs.google.com/spreadsheets/d/1YTZo6WM2dQ6Ix6FSdnL"&amp;"5P7uVnVKu40sxZu975tgG10E/edit?usp=sharing"",""นครปฐม!R364"")+IMPORTRANGE(""https://docs.google.com/spreadsheets/d/1OYoGg4WDg5RIzwGeB10padOxJF9E_Vljuvvct_M7RDo/edit?usp=sharing"",""ปทุมธานี!R364"")+IMPORTRANGE(""https://docs.google.com/spreadsheets/d/1GbCI"&amp;"E4D4wk9FUozzqk7SxfDMxDVBwVmI5zcaVUSzKAc/edit?usp=sharing"",""ประจวบคีรีขันธ์!R364"")+IMPORTRANGE(""https://docs.google.com/spreadsheets/d/1vVf6wykvW_lAyu7Yo9L4hUTqHqIeP_qcVuxCtosJEbg/edit?usp=sharing"",""ปราจีนบุรี!R364"")+IMPORTRANGE(""https://docs.googl"&amp;"e.com/spreadsheets/d/1BIDqLLg5jk3v59G8NlR8rk5xfQDKne0sAvZHSj7TI6I/edit?usp=sharing"",""พระนครศรีอยุธยา!R364"")+IMPORTRANGE(""https://docs.google.com/spreadsheets/d/1YXvxf8Yu6_rV4hTBrwMqAcAnv6DfhUxh5emyM3CJp_w/edit?usp=sharing"",""เพชรบุรี!R364"")+IMPORTRA"&amp;"NGE(""https://docs.google.com/spreadsheets/d/19KBlQQs7uwvsao6t2n-KvW3Ax8J8uRRfZPq1zPbXgKc/edit?usp=sharing"",""ระยอง!R364"")+IMPORTRANGE(""https://docs.google.com/spreadsheets/d/1jQ6P4QcrGM89YfqcC_PxOHGCMq5ezhucwJd8ci-NHng/edit?usp=sharing"",""ราชบุรี!R36"&amp;"4"")+IMPORTRANGE(""https://docs.google.com/spreadsheets/d/1lufeA2cfFqM-elVq2hznhDzC6Pr7wkJ9ZG_sYNGCMCU/edit?usp=sharing"",""ลพบุรี!R364"")+IMPORTRANGE(""https://docs.google.com/spreadsheets/d/10oOiF7loTyfsTkbd4MpaIm0HQ9SwB7IYHdIUvt-U1Uc/edit?usp=sharing"""&amp;",""สระแก้ว!R364"")+IMPORTRANGE(""https://docs.google.com/spreadsheets/d/1xmPlrr1QbdSIKvl1dWUl9K4PjAfSL9oeMr_37QVzcxc/edit?usp=sharing"",""สระบุรี!R364"")+IMPORTRANGE(""https://docs.google.com/spreadsheets/d/1j51vR6CYVGhABJpv6tkstgok82RLpXieLzW1yOY5rHw/edi"&amp;"t?usp=sharing"",""สิงห์บุรี!R364"")+IMPORTRANGE(""https://docs.google.com/spreadsheets/d/1H1EalTWKUSzO4Z1-1CwzoDUaVffgrThEBe2sl74kKG0/edit?usp=sharing"",""สุพรรณบุรี!R364"")+IMPORTRANGE(""https://docs.google.com/spreadsheets/d/1BmIruG_sIrJLYao_Pdr7zVArWsf"&amp;"oBt2692TMi6x_854/edit?usp=sharing"",""อ่างทอง!R364"")"),0)</f>
        <v>0</v>
      </c>
      <c r="S364" s="77">
        <f ca="1">IFERROR(__xludf.DUMMYFUNCTION("IMPORTRANGE(""https://docs.google.com/spreadsheets/d/13wPX838HrBrQMCywv1BsuMkt4PEKTChp52zj44s2izQ/edit?usp=sharing"",""กาญจนบุรี!S364"")+IMPORTRANGE(""https://docs.google.com/spreadsheets/d/1ddFKvqj1W1NEiWytbGlB1zMx_ykJDVtmfEQ-6-lIUBA/edit?usp=sharing"","&amp;"""จันทบุรี!S364"")+IMPORTRANGE(""https://docs.google.com/spreadsheets/d/1T1PQvRODqOBZk8BRht_U031fIS1beLA0Ub2CEytj2q0/edit?usp=sharing"",""ฉะเชิงเทรา!S364"")+IMPORTRANGE(""https://docs.google.com/spreadsheets/d/11tr1B-Bhyr79v2bkwVh5h_fR-PStkgjlZtkrZpYurG0/"&amp;"edit?usp=sharing"",""ชลบุรี!S364"")+IMPORTRANGE(""https://docs.google.com/spreadsheets/d/1hh-FVnSX0vozXhGluamEcS54Dw9_zqW0N7qJUWgJ0Sw/edit?usp=sharing"",""ชัยนาท!S364"")+IMPORTRANGE(""https://docs.google.com/spreadsheets/d/1jkqa6GXxSacMcY1eN8AHjMNJ_7dDXMJ"&amp;"VRLDlaFSOdPM/edit?usp=sharing"",""ตราด!S364"")+IMPORTRANGE(""https://docs.google.com/spreadsheets/d/18hSgUJ3VwClqi_qtULmmW3cLr0oe3OKaSYoKzdpTsYQ/edit?usp=sharing"",""นครนายก!S364"")+IMPORTRANGE(""https://docs.google.com/spreadsheets/d/1YTZo6WM2dQ6Ix6FSdnL"&amp;"5P7uVnVKu40sxZu975tgG10E/edit?usp=sharing"",""นครปฐม!S364"")+IMPORTRANGE(""https://docs.google.com/spreadsheets/d/1OYoGg4WDg5RIzwGeB10padOxJF9E_Vljuvvct_M7RDo/edit?usp=sharing"",""ปทุมธานี!S364"")+IMPORTRANGE(""https://docs.google.com/spreadsheets/d/1GbCI"&amp;"E4D4wk9FUozzqk7SxfDMxDVBwVmI5zcaVUSzKAc/edit?usp=sharing"",""ประจวบคีรีขันธ์!S364"")+IMPORTRANGE(""https://docs.google.com/spreadsheets/d/1vVf6wykvW_lAyu7Yo9L4hUTqHqIeP_qcVuxCtosJEbg/edit?usp=sharing"",""ปราจีนบุรี!S364"")+IMPORTRANGE(""https://docs.googl"&amp;"e.com/spreadsheets/d/1BIDqLLg5jk3v59G8NlR8rk5xfQDKne0sAvZHSj7TI6I/edit?usp=sharing"",""พระนครศรีอยุธยา!S364"")+IMPORTRANGE(""https://docs.google.com/spreadsheets/d/1YXvxf8Yu6_rV4hTBrwMqAcAnv6DfhUxh5emyM3CJp_w/edit?usp=sharing"",""เพชรบุรี!S364"")+IMPORTRA"&amp;"NGE(""https://docs.google.com/spreadsheets/d/19KBlQQs7uwvsao6t2n-KvW3Ax8J8uRRfZPq1zPbXgKc/edit?usp=sharing"",""ระยอง!S364"")+IMPORTRANGE(""https://docs.google.com/spreadsheets/d/1jQ6P4QcrGM89YfqcC_PxOHGCMq5ezhucwJd8ci-NHng/edit?usp=sharing"",""ราชบุรี!S36"&amp;"4"")+IMPORTRANGE(""https://docs.google.com/spreadsheets/d/1lufeA2cfFqM-elVq2hznhDzC6Pr7wkJ9ZG_sYNGCMCU/edit?usp=sharing"",""ลพบุรี!S364"")+IMPORTRANGE(""https://docs.google.com/spreadsheets/d/10oOiF7loTyfsTkbd4MpaIm0HQ9SwB7IYHdIUvt-U1Uc/edit?usp=sharing"""&amp;",""สระแก้ว!S364"")+IMPORTRANGE(""https://docs.google.com/spreadsheets/d/1xmPlrr1QbdSIKvl1dWUl9K4PjAfSL9oeMr_37QVzcxc/edit?usp=sharing"",""สระบุรี!S364"")+IMPORTRANGE(""https://docs.google.com/spreadsheets/d/1j51vR6CYVGhABJpv6tkstgok82RLpXieLzW1yOY5rHw/edi"&amp;"t?usp=sharing"",""สิงห์บุรี!S364"")+IMPORTRANGE(""https://docs.google.com/spreadsheets/d/1H1EalTWKUSzO4Z1-1CwzoDUaVffgrThEBe2sl74kKG0/edit?usp=sharing"",""สุพรรณบุรี!S364"")+IMPORTRANGE(""https://docs.google.com/spreadsheets/d/1BmIruG_sIrJLYao_Pdr7zVArWsf"&amp;"oBt2692TMi6x_854/edit?usp=sharing"",""อ่างทอง!S364"")"),0)</f>
        <v>0</v>
      </c>
      <c r="T364" s="135">
        <f t="shared" ca="1" si="262"/>
        <v>0</v>
      </c>
      <c r="U364" s="135">
        <f t="shared" ca="1" si="263"/>
        <v>0</v>
      </c>
    </row>
    <row r="365" spans="1:21" ht="19.5" x14ac:dyDescent="0.3">
      <c r="A365" s="372"/>
      <c r="B365" s="373"/>
      <c r="C365" s="375"/>
      <c r="D365" s="547" t="s">
        <v>150</v>
      </c>
      <c r="E365" s="375"/>
      <c r="F365" s="375"/>
      <c r="G365" s="376"/>
      <c r="H365" s="386" t="s">
        <v>35</v>
      </c>
      <c r="I365" s="548">
        <f t="shared" ref="I365:J365" ca="1" si="272">I371</f>
        <v>2680</v>
      </c>
      <c r="J365" s="548">
        <f t="shared" ca="1" si="272"/>
        <v>1958</v>
      </c>
      <c r="K365" s="549">
        <f ca="1">IF(I365&gt;0,J365*100/I365,0)</f>
        <v>73.059701492537314</v>
      </c>
      <c r="L365" s="380"/>
      <c r="M365" s="380"/>
      <c r="N365" s="380"/>
      <c r="O365" s="380"/>
      <c r="P365" s="380"/>
      <c r="Q365" s="381"/>
      <c r="R365" s="382"/>
      <c r="S365" s="382"/>
      <c r="T365" s="382"/>
      <c r="U365" s="382"/>
    </row>
    <row r="366" spans="1:21" ht="19.5" x14ac:dyDescent="0.3">
      <c r="A366" s="224"/>
      <c r="B366" s="225"/>
      <c r="C366" s="212" t="s">
        <v>18</v>
      </c>
      <c r="D366" s="226" t="s">
        <v>38</v>
      </c>
      <c r="E366" s="227"/>
      <c r="F366" s="227"/>
      <c r="G366" s="228"/>
      <c r="H366" s="229"/>
      <c r="I366" s="74"/>
      <c r="J366" s="74"/>
      <c r="K366" s="75"/>
      <c r="L366" s="222"/>
      <c r="M366" s="222"/>
      <c r="N366" s="222"/>
      <c r="O366" s="222"/>
      <c r="P366" s="222"/>
      <c r="Q366" s="230"/>
      <c r="R366" s="231"/>
      <c r="S366" s="231"/>
      <c r="T366" s="231"/>
      <c r="U366" s="231"/>
    </row>
    <row r="367" spans="1:21" ht="18.75" x14ac:dyDescent="0.25">
      <c r="A367" s="224"/>
      <c r="B367" s="233"/>
      <c r="C367" s="225"/>
      <c r="D367" s="233"/>
      <c r="E367" s="232" t="s">
        <v>151</v>
      </c>
      <c r="F367" s="233"/>
      <c r="G367" s="229"/>
      <c r="H367" s="244" t="s">
        <v>35</v>
      </c>
      <c r="I367" s="241">
        <v>0</v>
      </c>
      <c r="J367" s="241">
        <f ca="1">IFERROR(__xludf.DUMMYFUNCTION("IMPORTRANGE(""https://docs.google.com/spreadsheets/d/13wPX838HrBrQMCywv1BsuMkt4PEKTChp52zj44s2izQ/edit?usp=sharing"",""กาญจนบุรี!J367"")+IMPORTRANGE(""https://docs.google.com/spreadsheets/d/1ddFKvqj1W1NEiWytbGlB1zMx_ykJDVtmfEQ-6-lIUBA/edit?usp=sharing"","&amp;"""จันทบุรี!J367"")+IMPORTRANGE(""https://docs.google.com/spreadsheets/d/1T1PQvRODqOBZk8BRht_U031fIS1beLA0Ub2CEytj2q0/edit?usp=sharing"",""ฉะเชิงเทรา!J367"")+IMPORTRANGE(""https://docs.google.com/spreadsheets/d/11tr1B-Bhyr79v2bkwVh5h_fR-PStkgjlZtkrZpYurG0/"&amp;"edit?usp=sharing"",""ชลบุรี!J367"")+IMPORTRANGE(""https://docs.google.com/spreadsheets/d/1hh-FVnSX0vozXhGluamEcS54Dw9_zqW0N7qJUWgJ0Sw/edit?usp=sharing"",""ชัยนาท!J367"")+IMPORTRANGE(""https://docs.google.com/spreadsheets/d/1jkqa6GXxSacMcY1eN8AHjMNJ_7dDXMJ"&amp;"VRLDlaFSOdPM/edit?usp=sharing"",""ตราด!J367"")+IMPORTRANGE(""https://docs.google.com/spreadsheets/d/18hSgUJ3VwClqi_qtULmmW3cLr0oe3OKaSYoKzdpTsYQ/edit?usp=sharing"",""นครนายก!J367"")+IMPORTRANGE(""https://docs.google.com/spreadsheets/d/1YTZo6WM2dQ6Ix6FSdnL"&amp;"5P7uVnVKu40sxZu975tgG10E/edit?usp=sharing"",""นครปฐม!J367"")+IMPORTRANGE(""https://docs.google.com/spreadsheets/d/1OYoGg4WDg5RIzwGeB10padOxJF9E_Vljuvvct_M7RDo/edit?usp=sharing"",""ปทุมธานี!J367"")+IMPORTRANGE(""https://docs.google.com/spreadsheets/d/1GbCI"&amp;"E4D4wk9FUozzqk7SxfDMxDVBwVmI5zcaVUSzKAc/edit?usp=sharing"",""ประจวบคีรีขันธ์!J367"")+IMPORTRANGE(""https://docs.google.com/spreadsheets/d/1vVf6wykvW_lAyu7Yo9L4hUTqHqIeP_qcVuxCtosJEbg/edit?usp=sharing"",""ปราจีนบุรี!J367"")+IMPORTRANGE(""https://docs.googl"&amp;"e.com/spreadsheets/d/1BIDqLLg5jk3v59G8NlR8rk5xfQDKne0sAvZHSj7TI6I/edit?usp=sharing"",""พระนครศรีอยุธยา!J367"")+IMPORTRANGE(""https://docs.google.com/spreadsheets/d/1YXvxf8Yu6_rV4hTBrwMqAcAnv6DfhUxh5emyM3CJp_w/edit?usp=sharing"",""เพชรบุรี!J367"")+IMPORTRA"&amp;"NGE(""https://docs.google.com/spreadsheets/d/19KBlQQs7uwvsao6t2n-KvW3Ax8J8uRRfZPq1zPbXgKc/edit?usp=sharing"",""ระยอง!J367"")+IMPORTRANGE(""https://docs.google.com/spreadsheets/d/1jQ6P4QcrGM89YfqcC_PxOHGCMq5ezhucwJd8ci-NHng/edit?usp=sharing"",""ราชบุรี!J36"&amp;"7"")+IMPORTRANGE(""https://docs.google.com/spreadsheets/d/1lufeA2cfFqM-elVq2hznhDzC6Pr7wkJ9ZG_sYNGCMCU/edit?usp=sharing"",""ลพบุรี!J367"")+IMPORTRANGE(""https://docs.google.com/spreadsheets/d/10oOiF7loTyfsTkbd4MpaIm0HQ9SwB7IYHdIUvt-U1Uc/edit?usp=sharing"""&amp;",""สระแก้ว!J367"")+IMPORTRANGE(""https://docs.google.com/spreadsheets/d/1xmPlrr1QbdSIKvl1dWUl9K4PjAfSL9oeMr_37QVzcxc/edit?usp=sharing"",""สระบุรี!J367"")+IMPORTRANGE(""https://docs.google.com/spreadsheets/d/1j51vR6CYVGhABJpv6tkstgok82RLpXieLzW1yOY5rHw/edi"&amp;"t?usp=sharing"",""สิงห์บุรี!J367"")+IMPORTRANGE(""https://docs.google.com/spreadsheets/d/1H1EalTWKUSzO4Z1-1CwzoDUaVffgrThEBe2sl74kKG0/edit?usp=sharing"",""สุพรรณบุรี!J367"")+IMPORTRANGE(""https://docs.google.com/spreadsheets/d/1BmIruG_sIrJLYao_Pdr7zVArWsf"&amp;"oBt2692TMi6x_854/edit?usp=sharing"",""อ่างทอง!J367"")"),1369)</f>
        <v>1369</v>
      </c>
      <c r="K367" s="91">
        <f t="shared" ref="K367:K372" si="273">IF(I367&gt;0,J367*100/I367,0)</f>
        <v>0</v>
      </c>
      <c r="L367" s="222"/>
      <c r="M367" s="222"/>
      <c r="N367" s="222"/>
      <c r="O367" s="222"/>
      <c r="P367" s="222"/>
      <c r="Q367" s="230"/>
      <c r="R367" s="231"/>
      <c r="S367" s="231"/>
      <c r="T367" s="231"/>
      <c r="U367" s="231"/>
    </row>
    <row r="368" spans="1:21" ht="18.75" x14ac:dyDescent="0.25">
      <c r="A368" s="224"/>
      <c r="B368" s="233"/>
      <c r="C368" s="225"/>
      <c r="D368" s="233"/>
      <c r="E368" s="233"/>
      <c r="F368" s="233"/>
      <c r="G368" s="229"/>
      <c r="H368" s="244" t="s">
        <v>46</v>
      </c>
      <c r="I368" s="241">
        <f ca="1">IFERROR(__xludf.DUMMYFUNCTION("IMPORTRANGE(""https://docs.google.com/spreadsheets/d/13wPX838HrBrQMCywv1BsuMkt4PEKTChp52zj44s2izQ/edit?usp=sharing"",""กาญจนบุรี!I368"")+IMPORTRANGE(""https://docs.google.com/spreadsheets/d/1ddFKvqj1W1NEiWytbGlB1zMx_ykJDVtmfEQ-6-lIUBA/edit?usp=sharing"","&amp;"""จันทบุรี!I368"")+IMPORTRANGE(""https://docs.google.com/spreadsheets/d/1T1PQvRODqOBZk8BRht_U031fIS1beLA0Ub2CEytj2q0/edit?usp=sharing"",""ฉะเชิงเทรา!I368"")+IMPORTRANGE(""https://docs.google.com/spreadsheets/d/11tr1B-Bhyr79v2bkwVh5h_fR-PStkgjlZtkrZpYurG0/"&amp;"edit?usp=sharing"",""ชลบุรี!I368"")+IMPORTRANGE(""https://docs.google.com/spreadsheets/d/1hh-FVnSX0vozXhGluamEcS54Dw9_zqW0N7qJUWgJ0Sw/edit?usp=sharing"",""ชัยนาท!I368"")+IMPORTRANGE(""https://docs.google.com/spreadsheets/d/1jkqa6GXxSacMcY1eN8AHjMNJ_7dDXMJ"&amp;"VRLDlaFSOdPM/edit?usp=sharing"",""ตราด!I368"")+IMPORTRANGE(""https://docs.google.com/spreadsheets/d/18hSgUJ3VwClqi_qtULmmW3cLr0oe3OKaSYoKzdpTsYQ/edit?usp=sharing"",""นครนายก!I368"")+IMPORTRANGE(""https://docs.google.com/spreadsheets/d/1YTZo6WM2dQ6Ix6FSdnL"&amp;"5P7uVnVKu40sxZu975tgG10E/edit?usp=sharing"",""นครปฐม!I368"")+IMPORTRANGE(""https://docs.google.com/spreadsheets/d/1OYoGg4WDg5RIzwGeB10padOxJF9E_Vljuvvct_M7RDo/edit?usp=sharing"",""ปทุมธานี!I368"")+IMPORTRANGE(""https://docs.google.com/spreadsheets/d/1GbCI"&amp;"E4D4wk9FUozzqk7SxfDMxDVBwVmI5zcaVUSzKAc/edit?usp=sharing"",""ประจวบคีรีขันธ์!I368"")+IMPORTRANGE(""https://docs.google.com/spreadsheets/d/1vVf6wykvW_lAyu7Yo9L4hUTqHqIeP_qcVuxCtosJEbg/edit?usp=sharing"",""ปราจีนบุรี!I368"")+IMPORTRANGE(""https://docs.googl"&amp;"e.com/spreadsheets/d/1BIDqLLg5jk3v59G8NlR8rk5xfQDKne0sAvZHSj7TI6I/edit?usp=sharing"",""พระนครศรีอยุธยา!I368"")+IMPORTRANGE(""https://docs.google.com/spreadsheets/d/1YXvxf8Yu6_rV4hTBrwMqAcAnv6DfhUxh5emyM3CJp_w/edit?usp=sharing"",""เพชรบุรี!I368"")+IMPORTRA"&amp;"NGE(""https://docs.google.com/spreadsheets/d/19KBlQQs7uwvsao6t2n-KvW3Ax8J8uRRfZPq1zPbXgKc/edit?usp=sharing"",""ระยอง!I368"")+IMPORTRANGE(""https://docs.google.com/spreadsheets/d/1jQ6P4QcrGM89YfqcC_PxOHGCMq5ezhucwJd8ci-NHng/edit?usp=sharing"",""ราชบุรี!I36"&amp;"8"")+IMPORTRANGE(""https://docs.google.com/spreadsheets/d/1lufeA2cfFqM-elVq2hznhDzC6Pr7wkJ9ZG_sYNGCMCU/edit?usp=sharing"",""ลพบุรี!I368"")+IMPORTRANGE(""https://docs.google.com/spreadsheets/d/10oOiF7loTyfsTkbd4MpaIm0HQ9SwB7IYHdIUvt-U1Uc/edit?usp=sharing"""&amp;",""สระแก้ว!I368"")+IMPORTRANGE(""https://docs.google.com/spreadsheets/d/1xmPlrr1QbdSIKvl1dWUl9K4PjAfSL9oeMr_37QVzcxc/edit?usp=sharing"",""สระบุรี!I368"")+IMPORTRANGE(""https://docs.google.com/spreadsheets/d/1j51vR6CYVGhABJpv6tkstgok82RLpXieLzW1yOY5rHw/edi"&amp;"t?usp=sharing"",""สิงห์บุรี!I368"")+IMPORTRANGE(""https://docs.google.com/spreadsheets/d/1H1EalTWKUSzO4Z1-1CwzoDUaVffgrThEBe2sl74kKG0/edit?usp=sharing"",""สุพรรณบุรี!I368"")+IMPORTRANGE(""https://docs.google.com/spreadsheets/d/1BmIruG_sIrJLYao_Pdr7zVArWsf"&amp;"oBt2692TMi6x_854/edit?usp=sharing"",""อ่างทอง!I368"")"),10700)</f>
        <v>10700</v>
      </c>
      <c r="J368" s="241">
        <f ca="1">IFERROR(__xludf.DUMMYFUNCTION("IMPORTRANGE(""https://docs.google.com/spreadsheets/d/13wPX838HrBrQMCywv1BsuMkt4PEKTChp52zj44s2izQ/edit?usp=sharing"",""กาญจนบุรี!J368"")+IMPORTRANGE(""https://docs.google.com/spreadsheets/d/1ddFKvqj1W1NEiWytbGlB1zMx_ykJDVtmfEQ-6-lIUBA/edit?usp=sharing"","&amp;"""จันทบุรี!J368"")+IMPORTRANGE(""https://docs.google.com/spreadsheets/d/1T1PQvRODqOBZk8BRht_U031fIS1beLA0Ub2CEytj2q0/edit?usp=sharing"",""ฉะเชิงเทรา!J368"")+IMPORTRANGE(""https://docs.google.com/spreadsheets/d/11tr1B-Bhyr79v2bkwVh5h_fR-PStkgjlZtkrZpYurG0/"&amp;"edit?usp=sharing"",""ชลบุรี!J368"")+IMPORTRANGE(""https://docs.google.com/spreadsheets/d/1hh-FVnSX0vozXhGluamEcS54Dw9_zqW0N7qJUWgJ0Sw/edit?usp=sharing"",""ชัยนาท!J368"")+IMPORTRANGE(""https://docs.google.com/spreadsheets/d/1jkqa6GXxSacMcY1eN8AHjMNJ_7dDXMJ"&amp;"VRLDlaFSOdPM/edit?usp=sharing"",""ตราด!J368"")+IMPORTRANGE(""https://docs.google.com/spreadsheets/d/18hSgUJ3VwClqi_qtULmmW3cLr0oe3OKaSYoKzdpTsYQ/edit?usp=sharing"",""นครนายก!J368"")+IMPORTRANGE(""https://docs.google.com/spreadsheets/d/1YTZo6WM2dQ6Ix6FSdnL"&amp;"5P7uVnVKu40sxZu975tgG10E/edit?usp=sharing"",""นครปฐม!J368"")+IMPORTRANGE(""https://docs.google.com/spreadsheets/d/1OYoGg4WDg5RIzwGeB10padOxJF9E_Vljuvvct_M7RDo/edit?usp=sharing"",""ปทุมธานี!J368"")+IMPORTRANGE(""https://docs.google.com/spreadsheets/d/1GbCI"&amp;"E4D4wk9FUozzqk7SxfDMxDVBwVmI5zcaVUSzKAc/edit?usp=sharing"",""ประจวบคีรีขันธ์!J368"")+IMPORTRANGE(""https://docs.google.com/spreadsheets/d/1vVf6wykvW_lAyu7Yo9L4hUTqHqIeP_qcVuxCtosJEbg/edit?usp=sharing"",""ปราจีนบุรี!J368"")+IMPORTRANGE(""https://docs.googl"&amp;"e.com/spreadsheets/d/1BIDqLLg5jk3v59G8NlR8rk5xfQDKne0sAvZHSj7TI6I/edit?usp=sharing"",""พระนครศรีอยุธยา!J368"")+IMPORTRANGE(""https://docs.google.com/spreadsheets/d/1YXvxf8Yu6_rV4hTBrwMqAcAnv6DfhUxh5emyM3CJp_w/edit?usp=sharing"",""เพชรบุรี!J368"")+IMPORTRA"&amp;"NGE(""https://docs.google.com/spreadsheets/d/19KBlQQs7uwvsao6t2n-KvW3Ax8J8uRRfZPq1zPbXgKc/edit?usp=sharing"",""ระยอง!J368"")+IMPORTRANGE(""https://docs.google.com/spreadsheets/d/1jQ6P4QcrGM89YfqcC_PxOHGCMq5ezhucwJd8ci-NHng/edit?usp=sharing"",""ราชบุรี!J36"&amp;"8"")+IMPORTRANGE(""https://docs.google.com/spreadsheets/d/1lufeA2cfFqM-elVq2hznhDzC6Pr7wkJ9ZG_sYNGCMCU/edit?usp=sharing"",""ลพบุรี!J368"")+IMPORTRANGE(""https://docs.google.com/spreadsheets/d/10oOiF7loTyfsTkbd4MpaIm0HQ9SwB7IYHdIUvt-U1Uc/edit?usp=sharing"""&amp;",""สระแก้ว!J368"")+IMPORTRANGE(""https://docs.google.com/spreadsheets/d/1xmPlrr1QbdSIKvl1dWUl9K4PjAfSL9oeMr_37QVzcxc/edit?usp=sharing"",""สระบุรี!J368"")+IMPORTRANGE(""https://docs.google.com/spreadsheets/d/1j51vR6CYVGhABJpv6tkstgok82RLpXieLzW1yOY5rHw/edi"&amp;"t?usp=sharing"",""สิงห์บุรี!J368"")+IMPORTRANGE(""https://docs.google.com/spreadsheets/d/1H1EalTWKUSzO4Z1-1CwzoDUaVffgrThEBe2sl74kKG0/edit?usp=sharing"",""สุพรรณบุรี!J368"")+IMPORTRANGE(""https://docs.google.com/spreadsheets/d/1BmIruG_sIrJLYao_Pdr7zVArWsf"&amp;"oBt2692TMi6x_854/edit?usp=sharing"",""อ่างทอง!J368"")"),15851.2)</f>
        <v>15851.2</v>
      </c>
      <c r="K368" s="91">
        <f t="shared" ca="1" si="273"/>
        <v>148.14205607476634</v>
      </c>
      <c r="L368" s="222"/>
      <c r="M368" s="222"/>
      <c r="N368" s="222"/>
      <c r="O368" s="222"/>
      <c r="P368" s="222"/>
      <c r="Q368" s="230"/>
      <c r="R368" s="231"/>
      <c r="S368" s="231"/>
      <c r="T368" s="231"/>
      <c r="U368" s="231"/>
    </row>
    <row r="369" spans="1:21" ht="18.75" x14ac:dyDescent="0.25">
      <c r="A369" s="224"/>
      <c r="B369" s="233"/>
      <c r="C369" s="225"/>
      <c r="D369" s="233"/>
      <c r="E369" s="232" t="s">
        <v>152</v>
      </c>
      <c r="F369" s="233"/>
      <c r="G369" s="229"/>
      <c r="H369" s="239" t="s">
        <v>35</v>
      </c>
      <c r="I369" s="241">
        <f ca="1">IFERROR(__xludf.DUMMYFUNCTION("IMPORTRANGE(""https://docs.google.com/spreadsheets/d/13wPX838HrBrQMCywv1BsuMkt4PEKTChp52zj44s2izQ/edit?usp=sharing"",""กาญจนบุรี!I369"")+IMPORTRANGE(""https://docs.google.com/spreadsheets/d/1ddFKvqj1W1NEiWytbGlB1zMx_ykJDVtmfEQ-6-lIUBA/edit?usp=sharing"","&amp;"""จันทบุรี!I369"")+IMPORTRANGE(""https://docs.google.com/spreadsheets/d/1T1PQvRODqOBZk8BRht_U031fIS1beLA0Ub2CEytj2q0/edit?usp=sharing"",""ฉะเชิงเทรา!I369"")+IMPORTRANGE(""https://docs.google.com/spreadsheets/d/11tr1B-Bhyr79v2bkwVh5h_fR-PStkgjlZtkrZpYurG0/"&amp;"edit?usp=sharing"",""ชลบุรี!I369"")+IMPORTRANGE(""https://docs.google.com/spreadsheets/d/1hh-FVnSX0vozXhGluamEcS54Dw9_zqW0N7qJUWgJ0Sw/edit?usp=sharing"",""ชัยนาท!I369"")+IMPORTRANGE(""https://docs.google.com/spreadsheets/d/1jkqa6GXxSacMcY1eN8AHjMNJ_7dDXMJ"&amp;"VRLDlaFSOdPM/edit?usp=sharing"",""ตราด!I369"")+IMPORTRANGE(""https://docs.google.com/spreadsheets/d/18hSgUJ3VwClqi_qtULmmW3cLr0oe3OKaSYoKzdpTsYQ/edit?usp=sharing"",""นครนายก!I369"")+IMPORTRANGE(""https://docs.google.com/spreadsheets/d/1YTZo6WM2dQ6Ix6FSdnL"&amp;"5P7uVnVKu40sxZu975tgG10E/edit?usp=sharing"",""นครปฐม!I369"")+IMPORTRANGE(""https://docs.google.com/spreadsheets/d/1OYoGg4WDg5RIzwGeB10padOxJF9E_Vljuvvct_M7RDo/edit?usp=sharing"",""ปทุมธานี!I369"")+IMPORTRANGE(""https://docs.google.com/spreadsheets/d/1GbCI"&amp;"E4D4wk9FUozzqk7SxfDMxDVBwVmI5zcaVUSzKAc/edit?usp=sharing"",""ประจวบคีรีขันธ์!I369"")+IMPORTRANGE(""https://docs.google.com/spreadsheets/d/1vVf6wykvW_lAyu7Yo9L4hUTqHqIeP_qcVuxCtosJEbg/edit?usp=sharing"",""ปราจีนบุรี!I369"")+IMPORTRANGE(""https://docs.googl"&amp;"e.com/spreadsheets/d/1BIDqLLg5jk3v59G8NlR8rk5xfQDKne0sAvZHSj7TI6I/edit?usp=sharing"",""พระนครศรีอยุธยา!I369"")+IMPORTRANGE(""https://docs.google.com/spreadsheets/d/1YXvxf8Yu6_rV4hTBrwMqAcAnv6DfhUxh5emyM3CJp_w/edit?usp=sharing"",""เพชรบุรี!I369"")+IMPORTRA"&amp;"NGE(""https://docs.google.com/spreadsheets/d/19KBlQQs7uwvsao6t2n-KvW3Ax8J8uRRfZPq1zPbXgKc/edit?usp=sharing"",""ระยอง!I369"")+IMPORTRANGE(""https://docs.google.com/spreadsheets/d/1jQ6P4QcrGM89YfqcC_PxOHGCMq5ezhucwJd8ci-NHng/edit?usp=sharing"",""ราชบุรี!I36"&amp;"9"")+IMPORTRANGE(""https://docs.google.com/spreadsheets/d/1lufeA2cfFqM-elVq2hznhDzC6Pr7wkJ9ZG_sYNGCMCU/edit?usp=sharing"",""ลพบุรี!I369"")+IMPORTRANGE(""https://docs.google.com/spreadsheets/d/10oOiF7loTyfsTkbd4MpaIm0HQ9SwB7IYHdIUvt-U1Uc/edit?usp=sharing"""&amp;",""สระแก้ว!I369"")+IMPORTRANGE(""https://docs.google.com/spreadsheets/d/1xmPlrr1QbdSIKvl1dWUl9K4PjAfSL9oeMr_37QVzcxc/edit?usp=sharing"",""สระบุรี!I369"")+IMPORTRANGE(""https://docs.google.com/spreadsheets/d/1j51vR6CYVGhABJpv6tkstgok82RLpXieLzW1yOY5rHw/edi"&amp;"t?usp=sharing"",""สิงห์บุรี!I369"")+IMPORTRANGE(""https://docs.google.com/spreadsheets/d/1H1EalTWKUSzO4Z1-1CwzoDUaVffgrThEBe2sl74kKG0/edit?usp=sharing"",""สุพรรณบุรี!I369"")+IMPORTRANGE(""https://docs.google.com/spreadsheets/d/1BmIruG_sIrJLYao_Pdr7zVArWsf"&amp;"oBt2692TMi6x_854/edit?usp=sharing"",""อ่างทอง!I369"")"),2680)</f>
        <v>2680</v>
      </c>
      <c r="J369" s="241">
        <f ca="1">IFERROR(__xludf.DUMMYFUNCTION("IMPORTRANGE(""https://docs.google.com/spreadsheets/d/13wPX838HrBrQMCywv1BsuMkt4PEKTChp52zj44s2izQ/edit?usp=sharing"",""กาญจนบุรี!J369"")+IMPORTRANGE(""https://docs.google.com/spreadsheets/d/1ddFKvqj1W1NEiWytbGlB1zMx_ykJDVtmfEQ-6-lIUBA/edit?usp=sharing"","&amp;"""จันทบุรี!J369"")+IMPORTRANGE(""https://docs.google.com/spreadsheets/d/1T1PQvRODqOBZk8BRht_U031fIS1beLA0Ub2CEytj2q0/edit?usp=sharing"",""ฉะเชิงเทรา!J369"")+IMPORTRANGE(""https://docs.google.com/spreadsheets/d/11tr1B-Bhyr79v2bkwVh5h_fR-PStkgjlZtkrZpYurG0/"&amp;"edit?usp=sharing"",""ชลบุรี!J369"")+IMPORTRANGE(""https://docs.google.com/spreadsheets/d/1hh-FVnSX0vozXhGluamEcS54Dw9_zqW0N7qJUWgJ0Sw/edit?usp=sharing"",""ชัยนาท!J369"")+IMPORTRANGE(""https://docs.google.com/spreadsheets/d/1jkqa6GXxSacMcY1eN8AHjMNJ_7dDXMJ"&amp;"VRLDlaFSOdPM/edit?usp=sharing"",""ตราด!J369"")+IMPORTRANGE(""https://docs.google.com/spreadsheets/d/18hSgUJ3VwClqi_qtULmmW3cLr0oe3OKaSYoKzdpTsYQ/edit?usp=sharing"",""นครนายก!J369"")+IMPORTRANGE(""https://docs.google.com/spreadsheets/d/1YTZo6WM2dQ6Ix6FSdnL"&amp;"5P7uVnVKu40sxZu975tgG10E/edit?usp=sharing"",""นครปฐม!J369"")+IMPORTRANGE(""https://docs.google.com/spreadsheets/d/1OYoGg4WDg5RIzwGeB10padOxJF9E_Vljuvvct_M7RDo/edit?usp=sharing"",""ปทุมธานี!J369"")+IMPORTRANGE(""https://docs.google.com/spreadsheets/d/1GbCI"&amp;"E4D4wk9FUozzqk7SxfDMxDVBwVmI5zcaVUSzKAc/edit?usp=sharing"",""ประจวบคีรีขันธ์!J369"")+IMPORTRANGE(""https://docs.google.com/spreadsheets/d/1vVf6wykvW_lAyu7Yo9L4hUTqHqIeP_qcVuxCtosJEbg/edit?usp=sharing"",""ปราจีนบุรี!J369"")+IMPORTRANGE(""https://docs.googl"&amp;"e.com/spreadsheets/d/1BIDqLLg5jk3v59G8NlR8rk5xfQDKne0sAvZHSj7TI6I/edit?usp=sharing"",""พระนครศรีอยุธยา!J369"")+IMPORTRANGE(""https://docs.google.com/spreadsheets/d/1YXvxf8Yu6_rV4hTBrwMqAcAnv6DfhUxh5emyM3CJp_w/edit?usp=sharing"",""เพชรบุรี!J369"")+IMPORTRA"&amp;"NGE(""https://docs.google.com/spreadsheets/d/19KBlQQs7uwvsao6t2n-KvW3Ax8J8uRRfZPq1zPbXgKc/edit?usp=sharing"",""ระยอง!J369"")+IMPORTRANGE(""https://docs.google.com/spreadsheets/d/1jQ6P4QcrGM89YfqcC_PxOHGCMq5ezhucwJd8ci-NHng/edit?usp=sharing"",""ราชบุรี!J36"&amp;"9"")+IMPORTRANGE(""https://docs.google.com/spreadsheets/d/1lufeA2cfFqM-elVq2hznhDzC6Pr7wkJ9ZG_sYNGCMCU/edit?usp=sharing"",""ลพบุรี!J369"")+IMPORTRANGE(""https://docs.google.com/spreadsheets/d/10oOiF7loTyfsTkbd4MpaIm0HQ9SwB7IYHdIUvt-U1Uc/edit?usp=sharing"""&amp;",""สระแก้ว!J369"")+IMPORTRANGE(""https://docs.google.com/spreadsheets/d/1xmPlrr1QbdSIKvl1dWUl9K4PjAfSL9oeMr_37QVzcxc/edit?usp=sharing"",""สระบุรี!J369"")+IMPORTRANGE(""https://docs.google.com/spreadsheets/d/1j51vR6CYVGhABJpv6tkstgok82RLpXieLzW1yOY5rHw/edi"&amp;"t?usp=sharing"",""สิงห์บุรี!J369"")+IMPORTRANGE(""https://docs.google.com/spreadsheets/d/1H1EalTWKUSzO4Z1-1CwzoDUaVffgrThEBe2sl74kKG0/edit?usp=sharing"",""สุพรรณบุรี!J369"")+IMPORTRANGE(""https://docs.google.com/spreadsheets/d/1BmIruG_sIrJLYao_Pdr7zVArWsf"&amp;"oBt2692TMi6x_854/edit?usp=sharing"",""อ่างทอง!J369"")"),2444)</f>
        <v>2444</v>
      </c>
      <c r="K369" s="91">
        <f t="shared" ca="1" si="273"/>
        <v>91.194029850746276</v>
      </c>
      <c r="L369" s="222"/>
      <c r="M369" s="222"/>
      <c r="N369" s="222"/>
      <c r="O369" s="222"/>
      <c r="P369" s="222"/>
      <c r="Q369" s="230"/>
      <c r="R369" s="231"/>
      <c r="S369" s="231"/>
      <c r="T369" s="231"/>
      <c r="U369" s="231"/>
    </row>
    <row r="370" spans="1:21" ht="18.75" x14ac:dyDescent="0.25">
      <c r="A370" s="224"/>
      <c r="B370" s="233"/>
      <c r="C370" s="225"/>
      <c r="D370" s="233"/>
      <c r="E370" s="233"/>
      <c r="F370" s="233"/>
      <c r="G370" s="229"/>
      <c r="H370" s="239" t="s">
        <v>46</v>
      </c>
      <c r="I370" s="241">
        <v>0</v>
      </c>
      <c r="J370" s="241">
        <f ca="1">IFERROR(__xludf.DUMMYFUNCTION("IMPORTRANGE(""https://docs.google.com/spreadsheets/d/13wPX838HrBrQMCywv1BsuMkt4PEKTChp52zj44s2izQ/edit?usp=sharing"",""กาญจนบุรี!J370"")+IMPORTRANGE(""https://docs.google.com/spreadsheets/d/1ddFKvqj1W1NEiWytbGlB1zMx_ykJDVtmfEQ-6-lIUBA/edit?usp=sharing"","&amp;"""จันทบุรี!J370"")+IMPORTRANGE(""https://docs.google.com/spreadsheets/d/1T1PQvRODqOBZk8BRht_U031fIS1beLA0Ub2CEytj2q0/edit?usp=sharing"",""ฉะเชิงเทรา!J370"")+IMPORTRANGE(""https://docs.google.com/spreadsheets/d/11tr1B-Bhyr79v2bkwVh5h_fR-PStkgjlZtkrZpYurG0/"&amp;"edit?usp=sharing"",""ชลบุรี!J370"")+IMPORTRANGE(""https://docs.google.com/spreadsheets/d/1hh-FVnSX0vozXhGluamEcS54Dw9_zqW0N7qJUWgJ0Sw/edit?usp=sharing"",""ชัยนาท!J370"")+IMPORTRANGE(""https://docs.google.com/spreadsheets/d/1jkqa6GXxSacMcY1eN8AHjMNJ_7dDXMJ"&amp;"VRLDlaFSOdPM/edit?usp=sharing"",""ตราด!J370"")+IMPORTRANGE(""https://docs.google.com/spreadsheets/d/18hSgUJ3VwClqi_qtULmmW3cLr0oe3OKaSYoKzdpTsYQ/edit?usp=sharing"",""นครนายก!J370"")+IMPORTRANGE(""https://docs.google.com/spreadsheets/d/1YTZo6WM2dQ6Ix6FSdnL"&amp;"5P7uVnVKu40sxZu975tgG10E/edit?usp=sharing"",""นครปฐม!J370"")+IMPORTRANGE(""https://docs.google.com/spreadsheets/d/1OYoGg4WDg5RIzwGeB10padOxJF9E_Vljuvvct_M7RDo/edit?usp=sharing"",""ปทุมธานี!J370"")+IMPORTRANGE(""https://docs.google.com/spreadsheets/d/1GbCI"&amp;"E4D4wk9FUozzqk7SxfDMxDVBwVmI5zcaVUSzKAc/edit?usp=sharing"",""ประจวบคีรีขันธ์!J370"")+IMPORTRANGE(""https://docs.google.com/spreadsheets/d/1vVf6wykvW_lAyu7Yo9L4hUTqHqIeP_qcVuxCtosJEbg/edit?usp=sharing"",""ปราจีนบุรี!J370"")+IMPORTRANGE(""https://docs.googl"&amp;"e.com/spreadsheets/d/1BIDqLLg5jk3v59G8NlR8rk5xfQDKne0sAvZHSj7TI6I/edit?usp=sharing"",""พระนครศรีอยุธยา!J370"")+IMPORTRANGE(""https://docs.google.com/spreadsheets/d/1YXvxf8Yu6_rV4hTBrwMqAcAnv6DfhUxh5emyM3CJp_w/edit?usp=sharing"",""เพชรบุรี!J370"")+IMPORTRA"&amp;"NGE(""https://docs.google.com/spreadsheets/d/19KBlQQs7uwvsao6t2n-KvW3Ax8J8uRRfZPq1zPbXgKc/edit?usp=sharing"",""ระยอง!J370"")+IMPORTRANGE(""https://docs.google.com/spreadsheets/d/1jQ6P4QcrGM89YfqcC_PxOHGCMq5ezhucwJd8ci-NHng/edit?usp=sharing"",""ราชบุรี!J37"&amp;"0"")+IMPORTRANGE(""https://docs.google.com/spreadsheets/d/1lufeA2cfFqM-elVq2hznhDzC6Pr7wkJ9ZG_sYNGCMCU/edit?usp=sharing"",""ลพบุรี!J370"")+IMPORTRANGE(""https://docs.google.com/spreadsheets/d/10oOiF7loTyfsTkbd4MpaIm0HQ9SwB7IYHdIUvt-U1Uc/edit?usp=sharing"""&amp;",""สระแก้ว!J370"")+IMPORTRANGE(""https://docs.google.com/spreadsheets/d/1xmPlrr1QbdSIKvl1dWUl9K4PjAfSL9oeMr_37QVzcxc/edit?usp=sharing"",""สระบุรี!J370"")+IMPORTRANGE(""https://docs.google.com/spreadsheets/d/1j51vR6CYVGhABJpv6tkstgok82RLpXieLzW1yOY5rHw/edi"&amp;"t?usp=sharing"",""สิงห์บุรี!J370"")+IMPORTRANGE(""https://docs.google.com/spreadsheets/d/1H1EalTWKUSzO4Z1-1CwzoDUaVffgrThEBe2sl74kKG0/edit?usp=sharing"",""สุพรรณบุรี!J370"")+IMPORTRANGE(""https://docs.google.com/spreadsheets/d/1BmIruG_sIrJLYao_Pdr7zVArWsf"&amp;"oBt2692TMi6x_854/edit?usp=sharing"",""อ่างทอง!J370"")"),36884.96)</f>
        <v>36884.959999999999</v>
      </c>
      <c r="K370" s="91">
        <f t="shared" si="273"/>
        <v>0</v>
      </c>
      <c r="L370" s="222"/>
      <c r="M370" s="222"/>
      <c r="N370" s="222"/>
      <c r="O370" s="222"/>
      <c r="P370" s="222"/>
      <c r="Q370" s="230"/>
      <c r="R370" s="231"/>
      <c r="S370" s="231"/>
      <c r="T370" s="231"/>
      <c r="U370" s="231"/>
    </row>
    <row r="371" spans="1:21" ht="18.75" x14ac:dyDescent="0.25">
      <c r="A371" s="224"/>
      <c r="B371" s="233"/>
      <c r="C371" s="225"/>
      <c r="D371" s="233"/>
      <c r="E371" s="232" t="s">
        <v>153</v>
      </c>
      <c r="F371" s="233"/>
      <c r="G371" s="229"/>
      <c r="H371" s="239" t="s">
        <v>35</v>
      </c>
      <c r="I371" s="241">
        <f ca="1">IFERROR(__xludf.DUMMYFUNCTION("IMPORTRANGE(""https://docs.google.com/spreadsheets/d/13wPX838HrBrQMCywv1BsuMkt4PEKTChp52zj44s2izQ/edit?usp=sharing"",""กาญจนบุรี!I371"")+IMPORTRANGE(""https://docs.google.com/spreadsheets/d/1ddFKvqj1W1NEiWytbGlB1zMx_ykJDVtmfEQ-6-lIUBA/edit?usp=sharing"","&amp;"""จันทบุรี!I371"")+IMPORTRANGE(""https://docs.google.com/spreadsheets/d/1T1PQvRODqOBZk8BRht_U031fIS1beLA0Ub2CEytj2q0/edit?usp=sharing"",""ฉะเชิงเทรา!I371"")+IMPORTRANGE(""https://docs.google.com/spreadsheets/d/11tr1B-Bhyr79v2bkwVh5h_fR-PStkgjlZtkrZpYurG0/"&amp;"edit?usp=sharing"",""ชลบุรี!I371"")+IMPORTRANGE(""https://docs.google.com/spreadsheets/d/1hh-FVnSX0vozXhGluamEcS54Dw9_zqW0N7qJUWgJ0Sw/edit?usp=sharing"",""ชัยนาท!I371"")+IMPORTRANGE(""https://docs.google.com/spreadsheets/d/1jkqa6GXxSacMcY1eN8AHjMNJ_7dDXMJ"&amp;"VRLDlaFSOdPM/edit?usp=sharing"",""ตราด!I371"")+IMPORTRANGE(""https://docs.google.com/spreadsheets/d/18hSgUJ3VwClqi_qtULmmW3cLr0oe3OKaSYoKzdpTsYQ/edit?usp=sharing"",""นครนายก!I371"")+IMPORTRANGE(""https://docs.google.com/spreadsheets/d/1YTZo6WM2dQ6Ix6FSdnL"&amp;"5P7uVnVKu40sxZu975tgG10E/edit?usp=sharing"",""นครปฐม!I371"")+IMPORTRANGE(""https://docs.google.com/spreadsheets/d/1OYoGg4WDg5RIzwGeB10padOxJF9E_Vljuvvct_M7RDo/edit?usp=sharing"",""ปทุมธานี!I371"")+IMPORTRANGE(""https://docs.google.com/spreadsheets/d/1GbCI"&amp;"E4D4wk9FUozzqk7SxfDMxDVBwVmI5zcaVUSzKAc/edit?usp=sharing"",""ประจวบคีรีขันธ์!I371"")+IMPORTRANGE(""https://docs.google.com/spreadsheets/d/1vVf6wykvW_lAyu7Yo9L4hUTqHqIeP_qcVuxCtosJEbg/edit?usp=sharing"",""ปราจีนบุรี!I371"")+IMPORTRANGE(""https://docs.googl"&amp;"e.com/spreadsheets/d/1BIDqLLg5jk3v59G8NlR8rk5xfQDKne0sAvZHSj7TI6I/edit?usp=sharing"",""พระนครศรีอยุธยา!I371"")+IMPORTRANGE(""https://docs.google.com/spreadsheets/d/1YXvxf8Yu6_rV4hTBrwMqAcAnv6DfhUxh5emyM3CJp_w/edit?usp=sharing"",""เพชรบุรี!I371"")+IMPORTRA"&amp;"NGE(""https://docs.google.com/spreadsheets/d/19KBlQQs7uwvsao6t2n-KvW3Ax8J8uRRfZPq1zPbXgKc/edit?usp=sharing"",""ระยอง!I371"")+IMPORTRANGE(""https://docs.google.com/spreadsheets/d/1jQ6P4QcrGM89YfqcC_PxOHGCMq5ezhucwJd8ci-NHng/edit?usp=sharing"",""ราชบุรี!I37"&amp;"1"")+IMPORTRANGE(""https://docs.google.com/spreadsheets/d/1lufeA2cfFqM-elVq2hznhDzC6Pr7wkJ9ZG_sYNGCMCU/edit?usp=sharing"",""ลพบุรี!I371"")+IMPORTRANGE(""https://docs.google.com/spreadsheets/d/10oOiF7loTyfsTkbd4MpaIm0HQ9SwB7IYHdIUvt-U1Uc/edit?usp=sharing"""&amp;",""สระแก้ว!I371"")+IMPORTRANGE(""https://docs.google.com/spreadsheets/d/1xmPlrr1QbdSIKvl1dWUl9K4PjAfSL9oeMr_37QVzcxc/edit?usp=sharing"",""สระบุรี!I371"")+IMPORTRANGE(""https://docs.google.com/spreadsheets/d/1j51vR6CYVGhABJpv6tkstgok82RLpXieLzW1yOY5rHw/edi"&amp;"t?usp=sharing"",""สิงห์บุรี!I371"")+IMPORTRANGE(""https://docs.google.com/spreadsheets/d/1H1EalTWKUSzO4Z1-1CwzoDUaVffgrThEBe2sl74kKG0/edit?usp=sharing"",""สุพรรณบุรี!I371"")+IMPORTRANGE(""https://docs.google.com/spreadsheets/d/1BmIruG_sIrJLYao_Pdr7zVArWsf"&amp;"oBt2692TMi6x_854/edit?usp=sharing"",""อ่างทอง!I371"")"),2680)</f>
        <v>2680</v>
      </c>
      <c r="J371" s="241">
        <f ca="1">IFERROR(__xludf.DUMMYFUNCTION("IMPORTRANGE(""https://docs.google.com/spreadsheets/d/13wPX838HrBrQMCywv1BsuMkt4PEKTChp52zj44s2izQ/edit?usp=sharing"",""กาญจนบุรี!J371"")+IMPORTRANGE(""https://docs.google.com/spreadsheets/d/1ddFKvqj1W1NEiWytbGlB1zMx_ykJDVtmfEQ-6-lIUBA/edit?usp=sharing"","&amp;"""จันทบุรี!J371"")+IMPORTRANGE(""https://docs.google.com/spreadsheets/d/1T1PQvRODqOBZk8BRht_U031fIS1beLA0Ub2CEytj2q0/edit?usp=sharing"",""ฉะเชิงเทรา!J371"")+IMPORTRANGE(""https://docs.google.com/spreadsheets/d/11tr1B-Bhyr79v2bkwVh5h_fR-PStkgjlZtkrZpYurG0/"&amp;"edit?usp=sharing"",""ชลบุรี!J371"")+IMPORTRANGE(""https://docs.google.com/spreadsheets/d/1hh-FVnSX0vozXhGluamEcS54Dw9_zqW0N7qJUWgJ0Sw/edit?usp=sharing"",""ชัยนาท!J371"")+IMPORTRANGE(""https://docs.google.com/spreadsheets/d/1jkqa6GXxSacMcY1eN8AHjMNJ_7dDXMJ"&amp;"VRLDlaFSOdPM/edit?usp=sharing"",""ตราด!J371"")+IMPORTRANGE(""https://docs.google.com/spreadsheets/d/18hSgUJ3VwClqi_qtULmmW3cLr0oe3OKaSYoKzdpTsYQ/edit?usp=sharing"",""นครนายก!J371"")+IMPORTRANGE(""https://docs.google.com/spreadsheets/d/1YTZo6WM2dQ6Ix6FSdnL"&amp;"5P7uVnVKu40sxZu975tgG10E/edit?usp=sharing"",""นครปฐม!J371"")+IMPORTRANGE(""https://docs.google.com/spreadsheets/d/1OYoGg4WDg5RIzwGeB10padOxJF9E_Vljuvvct_M7RDo/edit?usp=sharing"",""ปทุมธานี!J371"")+IMPORTRANGE(""https://docs.google.com/spreadsheets/d/1GbCI"&amp;"E4D4wk9FUozzqk7SxfDMxDVBwVmI5zcaVUSzKAc/edit?usp=sharing"",""ประจวบคีรีขันธ์!J371"")+IMPORTRANGE(""https://docs.google.com/spreadsheets/d/1vVf6wykvW_lAyu7Yo9L4hUTqHqIeP_qcVuxCtosJEbg/edit?usp=sharing"",""ปราจีนบุรี!J371"")+IMPORTRANGE(""https://docs.googl"&amp;"e.com/spreadsheets/d/1BIDqLLg5jk3v59G8NlR8rk5xfQDKne0sAvZHSj7TI6I/edit?usp=sharing"",""พระนครศรีอยุธยา!J371"")+IMPORTRANGE(""https://docs.google.com/spreadsheets/d/1YXvxf8Yu6_rV4hTBrwMqAcAnv6DfhUxh5emyM3CJp_w/edit?usp=sharing"",""เพชรบุรี!J371"")+IMPORTRA"&amp;"NGE(""https://docs.google.com/spreadsheets/d/19KBlQQs7uwvsao6t2n-KvW3Ax8J8uRRfZPq1zPbXgKc/edit?usp=sharing"",""ระยอง!J371"")+IMPORTRANGE(""https://docs.google.com/spreadsheets/d/1jQ6P4QcrGM89YfqcC_PxOHGCMq5ezhucwJd8ci-NHng/edit?usp=sharing"",""ราชบุรี!J37"&amp;"1"")+IMPORTRANGE(""https://docs.google.com/spreadsheets/d/1lufeA2cfFqM-elVq2hznhDzC6Pr7wkJ9ZG_sYNGCMCU/edit?usp=sharing"",""ลพบุรี!J371"")+IMPORTRANGE(""https://docs.google.com/spreadsheets/d/10oOiF7loTyfsTkbd4MpaIm0HQ9SwB7IYHdIUvt-U1Uc/edit?usp=sharing"""&amp;",""สระแก้ว!J371"")+IMPORTRANGE(""https://docs.google.com/spreadsheets/d/1xmPlrr1QbdSIKvl1dWUl9K4PjAfSL9oeMr_37QVzcxc/edit?usp=sharing"",""สระบุรี!J371"")+IMPORTRANGE(""https://docs.google.com/spreadsheets/d/1j51vR6CYVGhABJpv6tkstgok82RLpXieLzW1yOY5rHw/edi"&amp;"t?usp=sharing"",""สิงห์บุรี!J371"")+IMPORTRANGE(""https://docs.google.com/spreadsheets/d/1H1EalTWKUSzO4Z1-1CwzoDUaVffgrThEBe2sl74kKG0/edit?usp=sharing"",""สุพรรณบุรี!J371"")+IMPORTRANGE(""https://docs.google.com/spreadsheets/d/1BmIruG_sIrJLYao_Pdr7zVArWsf"&amp;"oBt2692TMi6x_854/edit?usp=sharing"",""อ่างทอง!J371"")"),1958)</f>
        <v>1958</v>
      </c>
      <c r="K371" s="91">
        <f t="shared" ca="1" si="273"/>
        <v>73.059701492537314</v>
      </c>
      <c r="L371" s="222"/>
      <c r="M371" s="222"/>
      <c r="N371" s="222"/>
      <c r="O371" s="222"/>
      <c r="P371" s="222"/>
      <c r="Q371" s="230"/>
      <c r="R371" s="231"/>
      <c r="S371" s="231"/>
      <c r="T371" s="231"/>
      <c r="U371" s="231"/>
    </row>
    <row r="372" spans="1:21" ht="18.75" x14ac:dyDescent="0.25">
      <c r="A372" s="550"/>
      <c r="B372" s="440"/>
      <c r="C372" s="438"/>
      <c r="D372" s="440"/>
      <c r="E372" s="440"/>
      <c r="F372" s="440"/>
      <c r="G372" s="441"/>
      <c r="H372" s="551" t="s">
        <v>46</v>
      </c>
      <c r="I372" s="341">
        <v>0</v>
      </c>
      <c r="J372" s="341">
        <f ca="1">IFERROR(__xludf.DUMMYFUNCTION("IMPORTRANGE(""https://docs.google.com/spreadsheets/d/13wPX838HrBrQMCywv1BsuMkt4PEKTChp52zj44s2izQ/edit?usp=sharing"",""กาญจนบุรี!J372"")+IMPORTRANGE(""https://docs.google.com/spreadsheets/d/1ddFKvqj1W1NEiWytbGlB1zMx_ykJDVtmfEQ-6-lIUBA/edit?usp=sharing"","&amp;"""จันทบุรี!J372"")+IMPORTRANGE(""https://docs.google.com/spreadsheets/d/1T1PQvRODqOBZk8BRht_U031fIS1beLA0Ub2CEytj2q0/edit?usp=sharing"",""ฉะเชิงเทรา!J372"")+IMPORTRANGE(""https://docs.google.com/spreadsheets/d/11tr1B-Bhyr79v2bkwVh5h_fR-PStkgjlZtkrZpYurG0/"&amp;"edit?usp=sharing"",""ชลบุรี!J372"")+IMPORTRANGE(""https://docs.google.com/spreadsheets/d/1hh-FVnSX0vozXhGluamEcS54Dw9_zqW0N7qJUWgJ0Sw/edit?usp=sharing"",""ชัยนาท!J372"")+IMPORTRANGE(""https://docs.google.com/spreadsheets/d/1jkqa6GXxSacMcY1eN8AHjMNJ_7dDXMJ"&amp;"VRLDlaFSOdPM/edit?usp=sharing"",""ตราด!J372"")+IMPORTRANGE(""https://docs.google.com/spreadsheets/d/18hSgUJ3VwClqi_qtULmmW3cLr0oe3OKaSYoKzdpTsYQ/edit?usp=sharing"",""นครนายก!J372"")+IMPORTRANGE(""https://docs.google.com/spreadsheets/d/1YTZo6WM2dQ6Ix6FSdnL"&amp;"5P7uVnVKu40sxZu975tgG10E/edit?usp=sharing"",""นครปฐม!J372"")+IMPORTRANGE(""https://docs.google.com/spreadsheets/d/1OYoGg4WDg5RIzwGeB10padOxJF9E_Vljuvvct_M7RDo/edit?usp=sharing"",""ปทุมธานี!J372"")+IMPORTRANGE(""https://docs.google.com/spreadsheets/d/1GbCI"&amp;"E4D4wk9FUozzqk7SxfDMxDVBwVmI5zcaVUSzKAc/edit?usp=sharing"",""ประจวบคีรีขันธ์!J372"")+IMPORTRANGE(""https://docs.google.com/spreadsheets/d/1vVf6wykvW_lAyu7Yo9L4hUTqHqIeP_qcVuxCtosJEbg/edit?usp=sharing"",""ปราจีนบุรี!J372"")+IMPORTRANGE(""https://docs.googl"&amp;"e.com/spreadsheets/d/1BIDqLLg5jk3v59G8NlR8rk5xfQDKne0sAvZHSj7TI6I/edit?usp=sharing"",""พระนครศรีอยุธยา!J372"")+IMPORTRANGE(""https://docs.google.com/spreadsheets/d/1YXvxf8Yu6_rV4hTBrwMqAcAnv6DfhUxh5emyM3CJp_w/edit?usp=sharing"",""เพชรบุรี!J372"")+IMPORTRA"&amp;"NGE(""https://docs.google.com/spreadsheets/d/19KBlQQs7uwvsao6t2n-KvW3Ax8J8uRRfZPq1zPbXgKc/edit?usp=sharing"",""ระยอง!J372"")+IMPORTRANGE(""https://docs.google.com/spreadsheets/d/1jQ6P4QcrGM89YfqcC_PxOHGCMq5ezhucwJd8ci-NHng/edit?usp=sharing"",""ราชบุรี!J37"&amp;"2"")+IMPORTRANGE(""https://docs.google.com/spreadsheets/d/1lufeA2cfFqM-elVq2hznhDzC6Pr7wkJ9ZG_sYNGCMCU/edit?usp=sharing"",""ลพบุรี!J372"")+IMPORTRANGE(""https://docs.google.com/spreadsheets/d/10oOiF7loTyfsTkbd4MpaIm0HQ9SwB7IYHdIUvt-U1Uc/edit?usp=sharing"""&amp;",""สระแก้ว!J372"")+IMPORTRANGE(""https://docs.google.com/spreadsheets/d/1xmPlrr1QbdSIKvl1dWUl9K4PjAfSL9oeMr_37QVzcxc/edit?usp=sharing"",""สระบุรี!J372"")+IMPORTRANGE(""https://docs.google.com/spreadsheets/d/1j51vR6CYVGhABJpv6tkstgok82RLpXieLzW1yOY5rHw/edi"&amp;"t?usp=sharing"",""สิงห์บุรี!J372"")+IMPORTRANGE(""https://docs.google.com/spreadsheets/d/1H1EalTWKUSzO4Z1-1CwzoDUaVffgrThEBe2sl74kKG0/edit?usp=sharing"",""สุพรรณบุรี!J372"")+IMPORTRANGE(""https://docs.google.com/spreadsheets/d/1BmIruG_sIrJLYao_Pdr7zVArWsf"&amp;"oBt2692TMi6x_854/edit?usp=sharing"",""อ่างทอง!J372"")"),30573.1099999999)</f>
        <v>30573.109999999899</v>
      </c>
      <c r="K372" s="183">
        <f t="shared" si="273"/>
        <v>0</v>
      </c>
      <c r="L372" s="443"/>
      <c r="M372" s="443"/>
      <c r="N372" s="443"/>
      <c r="O372" s="443"/>
      <c r="P372" s="443"/>
      <c r="Q372" s="230"/>
      <c r="R372" s="231"/>
      <c r="S372" s="231"/>
      <c r="T372" s="231"/>
      <c r="U372" s="231"/>
    </row>
    <row r="373" spans="1:21" ht="19.5" x14ac:dyDescent="0.3">
      <c r="A373" s="552"/>
      <c r="B373" s="553"/>
      <c r="C373" s="554"/>
      <c r="D373" s="5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556"/>
      <c r="F373" s="556"/>
      <c r="G373" s="556"/>
      <c r="H373" s="557"/>
      <c r="I373" s="558"/>
      <c r="J373" s="558"/>
      <c r="K373" s="559"/>
      <c r="L373" s="559"/>
      <c r="M373" s="559"/>
      <c r="N373" s="559"/>
      <c r="O373" s="559"/>
      <c r="P373" s="559"/>
      <c r="Q373" s="100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3000</v>
      </c>
      <c r="J374" s="567">
        <f ca="1">J386+J388</f>
        <v>32</v>
      </c>
      <c r="K374" s="568">
        <f ca="1">IF(I374&gt;0,J374*100/I374,0)</f>
        <v>1.0666666666666667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570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 t="shared" ref="L375:N375" ca="1" si="274">L376+L377</f>
        <v>0</v>
      </c>
      <c r="M375" s="266">
        <f t="shared" ca="1" si="274"/>
        <v>0</v>
      </c>
      <c r="N375" s="266">
        <f t="shared" ca="1" si="274"/>
        <v>0</v>
      </c>
      <c r="O375" s="266">
        <f t="shared" ref="O375:O383" ca="1" si="275">IF(L375&gt;0,N375*100/L375,0)</f>
        <v>0</v>
      </c>
      <c r="P375" s="266">
        <f t="shared" ref="P375:P383" ca="1" si="276">IF(M375&gt;0,N375*100/M375,0)</f>
        <v>0</v>
      </c>
      <c r="Q375" s="216">
        <f t="shared" ref="Q375:S375" ca="1" si="277">Q376+Q377</f>
        <v>862500</v>
      </c>
      <c r="R375" s="217">
        <f t="shared" ca="1" si="277"/>
        <v>518750</v>
      </c>
      <c r="S375" s="217">
        <f t="shared" ca="1" si="277"/>
        <v>0</v>
      </c>
      <c r="T375" s="217">
        <f t="shared" ref="T375:T383" ca="1" si="278">IF(Q375&gt;0,S375*100/Q375,0)</f>
        <v>0</v>
      </c>
      <c r="U375" s="217">
        <f t="shared" ref="U375:U383" ca="1" si="279">IF(R375&gt;0,S375*100/R375,0)</f>
        <v>0</v>
      </c>
    </row>
    <row r="376" spans="1:21" ht="18.75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 t="shared" ref="L376:N376" ca="1" si="280">L379+L382</f>
        <v>0</v>
      </c>
      <c r="M376" s="80">
        <f t="shared" ca="1" si="280"/>
        <v>0</v>
      </c>
      <c r="N376" s="80">
        <f t="shared" ca="1" si="280"/>
        <v>0</v>
      </c>
      <c r="O376" s="80">
        <f t="shared" ca="1" si="275"/>
        <v>0</v>
      </c>
      <c r="P376" s="80">
        <f t="shared" ca="1" si="276"/>
        <v>0</v>
      </c>
      <c r="Q376" s="219">
        <f t="shared" ref="Q376:S376" ca="1" si="281">Q379+Q382</f>
        <v>0</v>
      </c>
      <c r="R376" s="136">
        <f t="shared" ca="1" si="281"/>
        <v>0</v>
      </c>
      <c r="S376" s="136">
        <f t="shared" ca="1" si="281"/>
        <v>0</v>
      </c>
      <c r="T376" s="136">
        <f t="shared" ca="1" si="278"/>
        <v>0</v>
      </c>
      <c r="U376" s="136">
        <f t="shared" ca="1" si="279"/>
        <v>0</v>
      </c>
    </row>
    <row r="377" spans="1:21" ht="18.75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 t="shared" ref="L377:N377" ca="1" si="282">L380+L383</f>
        <v>0</v>
      </c>
      <c r="M377" s="77">
        <f t="shared" ca="1" si="282"/>
        <v>0</v>
      </c>
      <c r="N377" s="77">
        <f t="shared" ca="1" si="282"/>
        <v>0</v>
      </c>
      <c r="O377" s="77">
        <f t="shared" ca="1" si="275"/>
        <v>0</v>
      </c>
      <c r="P377" s="77">
        <f t="shared" ca="1" si="276"/>
        <v>0</v>
      </c>
      <c r="Q377" s="134">
        <f t="shared" ref="Q377:S377" ca="1" si="283">Q380+Q383</f>
        <v>862500</v>
      </c>
      <c r="R377" s="135">
        <f t="shared" ca="1" si="283"/>
        <v>518750</v>
      </c>
      <c r="S377" s="135">
        <f t="shared" ca="1" si="283"/>
        <v>0</v>
      </c>
      <c r="T377" s="135">
        <f t="shared" ca="1" si="278"/>
        <v>0</v>
      </c>
      <c r="U377" s="135">
        <f t="shared" ca="1" si="279"/>
        <v>0</v>
      </c>
    </row>
    <row r="378" spans="1:21" ht="18.75" x14ac:dyDescent="0.25">
      <c r="A378" s="259"/>
      <c r="B378" s="271"/>
      <c r="C378" s="271"/>
      <c r="D378" s="276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 t="shared" ref="L378:N378" ca="1" si="284">L379+L380</f>
        <v>0</v>
      </c>
      <c r="M378" s="77">
        <f t="shared" ca="1" si="284"/>
        <v>0</v>
      </c>
      <c r="N378" s="77">
        <f t="shared" ca="1" si="284"/>
        <v>0</v>
      </c>
      <c r="O378" s="77">
        <f t="shared" ca="1" si="275"/>
        <v>0</v>
      </c>
      <c r="P378" s="77">
        <f t="shared" ca="1" si="276"/>
        <v>0</v>
      </c>
      <c r="Q378" s="134">
        <f t="shared" ref="Q378:S378" ca="1" si="285">Q379+Q380</f>
        <v>862500</v>
      </c>
      <c r="R378" s="135">
        <f t="shared" ca="1" si="285"/>
        <v>518750</v>
      </c>
      <c r="S378" s="135">
        <f t="shared" ca="1" si="285"/>
        <v>0</v>
      </c>
      <c r="T378" s="135">
        <f t="shared" ca="1" si="278"/>
        <v>0</v>
      </c>
      <c r="U378" s="135">
        <f t="shared" ca="1" si="279"/>
        <v>0</v>
      </c>
    </row>
    <row r="379" spans="1:21" ht="18.75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f ca="1">IFERROR(__xludf.DUMMYFUNCTION("IMPORTRANGE(""https://docs.google.com/spreadsheets/d/13wPX838HrBrQMCywv1BsuMkt4PEKTChp52zj44s2izQ/edit?usp=sharing"",""กาญจนบุรี!L379"")+IMPORTRANGE(""https://docs.google.com/spreadsheets/d/1ddFKvqj1W1NEiWytbGlB1zMx_ykJDVtmfEQ-6-lIUBA/edit?usp=sharing"","&amp;"""จันทบุรี!L379"")+IMPORTRANGE(""https://docs.google.com/spreadsheets/d/1T1PQvRODqOBZk8BRht_U031fIS1beLA0Ub2CEytj2q0/edit?usp=sharing"",""ฉะเชิงเทรา!L379"")+IMPORTRANGE(""https://docs.google.com/spreadsheets/d/11tr1B-Bhyr79v2bkwVh5h_fR-PStkgjlZtkrZpYurG0/"&amp;"edit?usp=sharing"",""ชลบุรี!L379"")+IMPORTRANGE(""https://docs.google.com/spreadsheets/d/1hh-FVnSX0vozXhGluamEcS54Dw9_zqW0N7qJUWgJ0Sw/edit?usp=sharing"",""ชัยนาท!L379"")+IMPORTRANGE(""https://docs.google.com/spreadsheets/d/1jkqa6GXxSacMcY1eN8AHjMNJ_7dDXMJ"&amp;"VRLDlaFSOdPM/edit?usp=sharing"",""ตราด!L379"")+IMPORTRANGE(""https://docs.google.com/spreadsheets/d/18hSgUJ3VwClqi_qtULmmW3cLr0oe3OKaSYoKzdpTsYQ/edit?usp=sharing"",""นครนายก!L379"")+IMPORTRANGE(""https://docs.google.com/spreadsheets/d/1YTZo6WM2dQ6Ix6FSdnL"&amp;"5P7uVnVKu40sxZu975tgG10E/edit?usp=sharing"",""นครปฐม!L379"")+IMPORTRANGE(""https://docs.google.com/spreadsheets/d/1OYoGg4WDg5RIzwGeB10padOxJF9E_Vljuvvct_M7RDo/edit?usp=sharing"",""ปทุมธานี!L379"")+IMPORTRANGE(""https://docs.google.com/spreadsheets/d/1GbCI"&amp;"E4D4wk9FUozzqk7SxfDMxDVBwVmI5zcaVUSzKAc/edit?usp=sharing"",""ประจวบคีรีขันธ์!L379"")+IMPORTRANGE(""https://docs.google.com/spreadsheets/d/1vVf6wykvW_lAyu7Yo9L4hUTqHqIeP_qcVuxCtosJEbg/edit?usp=sharing"",""ปราจีนบุรี!L379"")+IMPORTRANGE(""https://docs.googl"&amp;"e.com/spreadsheets/d/1BIDqLLg5jk3v59G8NlR8rk5xfQDKne0sAvZHSj7TI6I/edit?usp=sharing"",""พระนครศรีอยุธยา!L379"")+IMPORTRANGE(""https://docs.google.com/spreadsheets/d/1YXvxf8Yu6_rV4hTBrwMqAcAnv6DfhUxh5emyM3CJp_w/edit?usp=sharing"",""เพชรบุรี!L379"")+IMPORTRA"&amp;"NGE(""https://docs.google.com/spreadsheets/d/19KBlQQs7uwvsao6t2n-KvW3Ax8J8uRRfZPq1zPbXgKc/edit?usp=sharing"",""ระยอง!L379"")+IMPORTRANGE(""https://docs.google.com/spreadsheets/d/1jQ6P4QcrGM89YfqcC_PxOHGCMq5ezhucwJd8ci-NHng/edit?usp=sharing"",""ราชบุรี!L37"&amp;"9"")+IMPORTRANGE(""https://docs.google.com/spreadsheets/d/1lufeA2cfFqM-elVq2hznhDzC6Pr7wkJ9ZG_sYNGCMCU/edit?usp=sharing"",""ลพบุรี!L379"")+IMPORTRANGE(""https://docs.google.com/spreadsheets/d/10oOiF7loTyfsTkbd4MpaIm0HQ9SwB7IYHdIUvt-U1Uc/edit?usp=sharing"""&amp;",""สระแก้ว!L379"")+IMPORTRANGE(""https://docs.google.com/spreadsheets/d/1xmPlrr1QbdSIKvl1dWUl9K4PjAfSL9oeMr_37QVzcxc/edit?usp=sharing"",""สระบุรี!L379"")+IMPORTRANGE(""https://docs.google.com/spreadsheets/d/1j51vR6CYVGhABJpv6tkstgok82RLpXieLzW1yOY5rHw/edi"&amp;"t?usp=sharing"",""สิงห์บุรี!L379"")+IMPORTRANGE(""https://docs.google.com/spreadsheets/d/1H1EalTWKUSzO4Z1-1CwzoDUaVffgrThEBe2sl74kKG0/edit?usp=sharing"",""สุพรรณบุรี!L379"")+IMPORTRANGE(""https://docs.google.com/spreadsheets/d/1BmIruG_sIrJLYao_Pdr7zVArWsf"&amp;"oBt2692TMi6x_854/edit?usp=sharing"",""อ่างทอง!L379"")"),0)</f>
        <v>0</v>
      </c>
      <c r="M379" s="80">
        <f ca="1">IFERROR(__xludf.DUMMYFUNCTION("IMPORTRANGE(""https://docs.google.com/spreadsheets/d/13wPX838HrBrQMCywv1BsuMkt4PEKTChp52zj44s2izQ/edit?usp=sharing"",""กาญจนบุรี!M379"")+IMPORTRANGE(""https://docs.google.com/spreadsheets/d/1ddFKvqj1W1NEiWytbGlB1zMx_ykJDVtmfEQ-6-lIUBA/edit?usp=sharing"","&amp;"""จันทบุรี!M379"")+IMPORTRANGE(""https://docs.google.com/spreadsheets/d/1T1PQvRODqOBZk8BRht_U031fIS1beLA0Ub2CEytj2q0/edit?usp=sharing"",""ฉะเชิงเทรา!M379"")+IMPORTRANGE(""https://docs.google.com/spreadsheets/d/11tr1B-Bhyr79v2bkwVh5h_fR-PStkgjlZtkrZpYurG0/"&amp;"edit?usp=sharing"",""ชลบุรี!M379"")+IMPORTRANGE(""https://docs.google.com/spreadsheets/d/1hh-FVnSX0vozXhGluamEcS54Dw9_zqW0N7qJUWgJ0Sw/edit?usp=sharing"",""ชัยนาท!M379"")+IMPORTRANGE(""https://docs.google.com/spreadsheets/d/1jkqa6GXxSacMcY1eN8AHjMNJ_7dDXMJ"&amp;"VRLDlaFSOdPM/edit?usp=sharing"",""ตราด!M379"")+IMPORTRANGE(""https://docs.google.com/spreadsheets/d/18hSgUJ3VwClqi_qtULmmW3cLr0oe3OKaSYoKzdpTsYQ/edit?usp=sharing"",""นครนายก!M379"")+IMPORTRANGE(""https://docs.google.com/spreadsheets/d/1YTZo6WM2dQ6Ix6FSdnL"&amp;"5P7uVnVKu40sxZu975tgG10E/edit?usp=sharing"",""นครปฐม!M379"")+IMPORTRANGE(""https://docs.google.com/spreadsheets/d/1OYoGg4WDg5RIzwGeB10padOxJF9E_Vljuvvct_M7RDo/edit?usp=sharing"",""ปทุมธานี!M379"")+IMPORTRANGE(""https://docs.google.com/spreadsheets/d/1GbCI"&amp;"E4D4wk9FUozzqk7SxfDMxDVBwVmI5zcaVUSzKAc/edit?usp=sharing"",""ประจวบคีรีขันธ์!M379"")+IMPORTRANGE(""https://docs.google.com/spreadsheets/d/1vVf6wykvW_lAyu7Yo9L4hUTqHqIeP_qcVuxCtosJEbg/edit?usp=sharing"",""ปราจีนบุรี!M379"")+IMPORTRANGE(""https://docs.googl"&amp;"e.com/spreadsheets/d/1BIDqLLg5jk3v59G8NlR8rk5xfQDKne0sAvZHSj7TI6I/edit?usp=sharing"",""พระนครศรีอยุธยา!M379"")+IMPORTRANGE(""https://docs.google.com/spreadsheets/d/1YXvxf8Yu6_rV4hTBrwMqAcAnv6DfhUxh5emyM3CJp_w/edit?usp=sharing"",""เพชรบุรี!M379"")+IMPORTRA"&amp;"NGE(""https://docs.google.com/spreadsheets/d/19KBlQQs7uwvsao6t2n-KvW3Ax8J8uRRfZPq1zPbXgKc/edit?usp=sharing"",""ระยอง!M379"")+IMPORTRANGE(""https://docs.google.com/spreadsheets/d/1jQ6P4QcrGM89YfqcC_PxOHGCMq5ezhucwJd8ci-NHng/edit?usp=sharing"",""ราชบุรี!M37"&amp;"9"")+IMPORTRANGE(""https://docs.google.com/spreadsheets/d/1lufeA2cfFqM-elVq2hznhDzC6Pr7wkJ9ZG_sYNGCMCU/edit?usp=sharing"",""ลพบุรี!M379"")+IMPORTRANGE(""https://docs.google.com/spreadsheets/d/10oOiF7loTyfsTkbd4MpaIm0HQ9SwB7IYHdIUvt-U1Uc/edit?usp=sharing"""&amp;",""สระแก้ว!M379"")+IMPORTRANGE(""https://docs.google.com/spreadsheets/d/1xmPlrr1QbdSIKvl1dWUl9K4PjAfSL9oeMr_37QVzcxc/edit?usp=sharing"",""สระบุรี!M379"")+IMPORTRANGE(""https://docs.google.com/spreadsheets/d/1j51vR6CYVGhABJpv6tkstgok82RLpXieLzW1yOY5rHw/edi"&amp;"t?usp=sharing"",""สิงห์บุรี!M379"")+IMPORTRANGE(""https://docs.google.com/spreadsheets/d/1H1EalTWKUSzO4Z1-1CwzoDUaVffgrThEBe2sl74kKG0/edit?usp=sharing"",""สุพรรณบุรี!M379"")+IMPORTRANGE(""https://docs.google.com/spreadsheets/d/1BmIruG_sIrJLYao_Pdr7zVArWsf"&amp;"oBt2692TMi6x_854/edit?usp=sharing"",""อ่างทอง!M379"")"),0)</f>
        <v>0</v>
      </c>
      <c r="N379" s="80">
        <f ca="1">IFERROR(__xludf.DUMMYFUNCTION("IMPORTRANGE(""https://docs.google.com/spreadsheets/d/13wPX838HrBrQMCywv1BsuMkt4PEKTChp52zj44s2izQ/edit?usp=sharing"",""กาญจนบุรี!N379"")+IMPORTRANGE(""https://docs.google.com/spreadsheets/d/1ddFKvqj1W1NEiWytbGlB1zMx_ykJDVtmfEQ-6-lIUBA/edit?usp=sharing"","&amp;"""จันทบุรี!N379"")+IMPORTRANGE(""https://docs.google.com/spreadsheets/d/1T1PQvRODqOBZk8BRht_U031fIS1beLA0Ub2CEytj2q0/edit?usp=sharing"",""ฉะเชิงเทรา!N379"")+IMPORTRANGE(""https://docs.google.com/spreadsheets/d/11tr1B-Bhyr79v2bkwVh5h_fR-PStkgjlZtkrZpYurG0/"&amp;"edit?usp=sharing"",""ชลบุรี!N379"")+IMPORTRANGE(""https://docs.google.com/spreadsheets/d/1hh-FVnSX0vozXhGluamEcS54Dw9_zqW0N7qJUWgJ0Sw/edit?usp=sharing"",""ชัยนาท!N379"")+IMPORTRANGE(""https://docs.google.com/spreadsheets/d/1jkqa6GXxSacMcY1eN8AHjMNJ_7dDXMJ"&amp;"VRLDlaFSOdPM/edit?usp=sharing"",""ตราด!N379"")+IMPORTRANGE(""https://docs.google.com/spreadsheets/d/18hSgUJ3VwClqi_qtULmmW3cLr0oe3OKaSYoKzdpTsYQ/edit?usp=sharing"",""นครนายก!N379"")+IMPORTRANGE(""https://docs.google.com/spreadsheets/d/1YTZo6WM2dQ6Ix6FSdnL"&amp;"5P7uVnVKu40sxZu975tgG10E/edit?usp=sharing"",""นครปฐม!N379"")+IMPORTRANGE(""https://docs.google.com/spreadsheets/d/1OYoGg4WDg5RIzwGeB10padOxJF9E_Vljuvvct_M7RDo/edit?usp=sharing"",""ปทุมธานี!N379"")+IMPORTRANGE(""https://docs.google.com/spreadsheets/d/1GbCI"&amp;"E4D4wk9FUozzqk7SxfDMxDVBwVmI5zcaVUSzKAc/edit?usp=sharing"",""ประจวบคีรีขันธ์!N379"")+IMPORTRANGE(""https://docs.google.com/spreadsheets/d/1vVf6wykvW_lAyu7Yo9L4hUTqHqIeP_qcVuxCtosJEbg/edit?usp=sharing"",""ปราจีนบุรี!N379"")+IMPORTRANGE(""https://docs.googl"&amp;"e.com/spreadsheets/d/1BIDqLLg5jk3v59G8NlR8rk5xfQDKne0sAvZHSj7TI6I/edit?usp=sharing"",""พระนครศรีอยุธยา!N379"")+IMPORTRANGE(""https://docs.google.com/spreadsheets/d/1YXvxf8Yu6_rV4hTBrwMqAcAnv6DfhUxh5emyM3CJp_w/edit?usp=sharing"",""เพชรบุรี!N379"")+IMPORTRA"&amp;"NGE(""https://docs.google.com/spreadsheets/d/19KBlQQs7uwvsao6t2n-KvW3Ax8J8uRRfZPq1zPbXgKc/edit?usp=sharing"",""ระยอง!N379"")+IMPORTRANGE(""https://docs.google.com/spreadsheets/d/1jQ6P4QcrGM89YfqcC_PxOHGCMq5ezhucwJd8ci-NHng/edit?usp=sharing"",""ราชบุรี!N37"&amp;"9"")+IMPORTRANGE(""https://docs.google.com/spreadsheets/d/1lufeA2cfFqM-elVq2hznhDzC6Pr7wkJ9ZG_sYNGCMCU/edit?usp=sharing"",""ลพบุรี!N379"")+IMPORTRANGE(""https://docs.google.com/spreadsheets/d/10oOiF7loTyfsTkbd4MpaIm0HQ9SwB7IYHdIUvt-U1Uc/edit?usp=sharing"""&amp;",""สระแก้ว!N379"")+IMPORTRANGE(""https://docs.google.com/spreadsheets/d/1xmPlrr1QbdSIKvl1dWUl9K4PjAfSL9oeMr_37QVzcxc/edit?usp=sharing"",""สระบุรี!N379"")+IMPORTRANGE(""https://docs.google.com/spreadsheets/d/1j51vR6CYVGhABJpv6tkstgok82RLpXieLzW1yOY5rHw/edi"&amp;"t?usp=sharing"",""สิงห์บุรี!N379"")+IMPORTRANGE(""https://docs.google.com/spreadsheets/d/1H1EalTWKUSzO4Z1-1CwzoDUaVffgrThEBe2sl74kKG0/edit?usp=sharing"",""สุพรรณบุรี!N379"")+IMPORTRANGE(""https://docs.google.com/spreadsheets/d/1BmIruG_sIrJLYao_Pdr7zVArWsf"&amp;"oBt2692TMi6x_854/edit?usp=sharing"",""อ่างทอง!N379"")"),0)</f>
        <v>0</v>
      </c>
      <c r="O379" s="80">
        <f t="shared" ca="1" si="275"/>
        <v>0</v>
      </c>
      <c r="P379" s="80">
        <f t="shared" ca="1" si="276"/>
        <v>0</v>
      </c>
      <c r="Q379" s="79">
        <f ca="1">IFERROR(__xludf.DUMMYFUNCTION("IMPORTRANGE(""https://docs.google.com/spreadsheets/d/13wPX838HrBrQMCywv1BsuMkt4PEKTChp52zj44s2izQ/edit?usp=sharing"",""กาญจนบุรี!Q379"")+IMPORTRANGE(""https://docs.google.com/spreadsheets/d/1ddFKvqj1W1NEiWytbGlB1zMx_ykJDVtmfEQ-6-lIUBA/edit?usp=sharing"","&amp;"""จันทบุรี!Q379"")+IMPORTRANGE(""https://docs.google.com/spreadsheets/d/1T1PQvRODqOBZk8BRht_U031fIS1beLA0Ub2CEytj2q0/edit?usp=sharing"",""ฉะเชิงเทรา!Q379"")+IMPORTRANGE(""https://docs.google.com/spreadsheets/d/11tr1B-Bhyr79v2bkwVh5h_fR-PStkgjlZtkrZpYurG0/"&amp;"edit?usp=sharing"",""ชลบุรี!Q379"")+IMPORTRANGE(""https://docs.google.com/spreadsheets/d/1hh-FVnSX0vozXhGluamEcS54Dw9_zqW0N7qJUWgJ0Sw/edit?usp=sharing"",""ชัยนาท!Q379"")+IMPORTRANGE(""https://docs.google.com/spreadsheets/d/1jkqa6GXxSacMcY1eN8AHjMNJ_7dDXMJ"&amp;"VRLDlaFSOdPM/edit?usp=sharing"",""ตราด!Q379"")+IMPORTRANGE(""https://docs.google.com/spreadsheets/d/18hSgUJ3VwClqi_qtULmmW3cLr0oe3OKaSYoKzdpTsYQ/edit?usp=sharing"",""นครนายก!Q379"")+IMPORTRANGE(""https://docs.google.com/spreadsheets/d/1YTZo6WM2dQ6Ix6FSdnL"&amp;"5P7uVnVKu40sxZu975tgG10E/edit?usp=sharing"",""นครปฐม!Q379"")+IMPORTRANGE(""https://docs.google.com/spreadsheets/d/1OYoGg4WDg5RIzwGeB10padOxJF9E_Vljuvvct_M7RDo/edit?usp=sharing"",""ปทุมธานี!Q379"")+IMPORTRANGE(""https://docs.google.com/spreadsheets/d/1GbCI"&amp;"E4D4wk9FUozzqk7SxfDMxDVBwVmI5zcaVUSzKAc/edit?usp=sharing"",""ประจวบคีรีขันธ์!Q379"")+IMPORTRANGE(""https://docs.google.com/spreadsheets/d/1vVf6wykvW_lAyu7Yo9L4hUTqHqIeP_qcVuxCtosJEbg/edit?usp=sharing"",""ปราจีนบุรี!Q379"")+IMPORTRANGE(""https://docs.googl"&amp;"e.com/spreadsheets/d/1BIDqLLg5jk3v59G8NlR8rk5xfQDKne0sAvZHSj7TI6I/edit?usp=sharing"",""พระนครศรีอยุธยา!Q379"")+IMPORTRANGE(""https://docs.google.com/spreadsheets/d/1YXvxf8Yu6_rV4hTBrwMqAcAnv6DfhUxh5emyM3CJp_w/edit?usp=sharing"",""เพชรบุรี!Q379"")+IMPORTRA"&amp;"NGE(""https://docs.google.com/spreadsheets/d/19KBlQQs7uwvsao6t2n-KvW3Ax8J8uRRfZPq1zPbXgKc/edit?usp=sharing"",""ระยอง!Q379"")+IMPORTRANGE(""https://docs.google.com/spreadsheets/d/1jQ6P4QcrGM89YfqcC_PxOHGCMq5ezhucwJd8ci-NHng/edit?usp=sharing"",""ราชบุรี!Q37"&amp;"9"")+IMPORTRANGE(""https://docs.google.com/spreadsheets/d/1lufeA2cfFqM-elVq2hznhDzC6Pr7wkJ9ZG_sYNGCMCU/edit?usp=sharing"",""ลพบุรี!Q379"")+IMPORTRANGE(""https://docs.google.com/spreadsheets/d/10oOiF7loTyfsTkbd4MpaIm0HQ9SwB7IYHdIUvt-U1Uc/edit?usp=sharing"""&amp;",""สระแก้ว!Q379"")+IMPORTRANGE(""https://docs.google.com/spreadsheets/d/1xmPlrr1QbdSIKvl1dWUl9K4PjAfSL9oeMr_37QVzcxc/edit?usp=sharing"",""สระบุรี!Q379"")+IMPORTRANGE(""https://docs.google.com/spreadsheets/d/1j51vR6CYVGhABJpv6tkstgok82RLpXieLzW1yOY5rHw/edi"&amp;"t?usp=sharing"",""สิงห์บุรี!Q379"")+IMPORTRANGE(""https://docs.google.com/spreadsheets/d/1H1EalTWKUSzO4Z1-1CwzoDUaVffgrThEBe2sl74kKG0/edit?usp=sharing"",""สุพรรณบุรี!Q379"")+IMPORTRANGE(""https://docs.google.com/spreadsheets/d/1BmIruG_sIrJLYao_Pdr7zVArWsf"&amp;"oBt2692TMi6x_854/edit?usp=sharing"",""อ่างทอง!Q379"")"),0)</f>
        <v>0</v>
      </c>
      <c r="R379" s="80">
        <f ca="1">IFERROR(__xludf.DUMMYFUNCTION("IMPORTRANGE(""https://docs.google.com/spreadsheets/d/13wPX838HrBrQMCywv1BsuMkt4PEKTChp52zj44s2izQ/edit?usp=sharing"",""กาญจนบุรี!R379"")+IMPORTRANGE(""https://docs.google.com/spreadsheets/d/1ddFKvqj1W1NEiWytbGlB1zMx_ykJDVtmfEQ-6-lIUBA/edit?usp=sharing"","&amp;"""จันทบุรี!R379"")+IMPORTRANGE(""https://docs.google.com/spreadsheets/d/1T1PQvRODqOBZk8BRht_U031fIS1beLA0Ub2CEytj2q0/edit?usp=sharing"",""ฉะเชิงเทรา!R379"")+IMPORTRANGE(""https://docs.google.com/spreadsheets/d/11tr1B-Bhyr79v2bkwVh5h_fR-PStkgjlZtkrZpYurG0/"&amp;"edit?usp=sharing"",""ชลบุรี!R379"")+IMPORTRANGE(""https://docs.google.com/spreadsheets/d/1hh-FVnSX0vozXhGluamEcS54Dw9_zqW0N7qJUWgJ0Sw/edit?usp=sharing"",""ชัยนาท!R379"")+IMPORTRANGE(""https://docs.google.com/spreadsheets/d/1jkqa6GXxSacMcY1eN8AHjMNJ_7dDXMJ"&amp;"VRLDlaFSOdPM/edit?usp=sharing"",""ตราด!R379"")+IMPORTRANGE(""https://docs.google.com/spreadsheets/d/18hSgUJ3VwClqi_qtULmmW3cLr0oe3OKaSYoKzdpTsYQ/edit?usp=sharing"",""นครนายก!R379"")+IMPORTRANGE(""https://docs.google.com/spreadsheets/d/1YTZo6WM2dQ6Ix6FSdnL"&amp;"5P7uVnVKu40sxZu975tgG10E/edit?usp=sharing"",""นครปฐม!R379"")+IMPORTRANGE(""https://docs.google.com/spreadsheets/d/1OYoGg4WDg5RIzwGeB10padOxJF9E_Vljuvvct_M7RDo/edit?usp=sharing"",""ปทุมธานี!R379"")+IMPORTRANGE(""https://docs.google.com/spreadsheets/d/1GbCI"&amp;"E4D4wk9FUozzqk7SxfDMxDVBwVmI5zcaVUSzKAc/edit?usp=sharing"",""ประจวบคีรีขันธ์!R379"")+IMPORTRANGE(""https://docs.google.com/spreadsheets/d/1vVf6wykvW_lAyu7Yo9L4hUTqHqIeP_qcVuxCtosJEbg/edit?usp=sharing"",""ปราจีนบุรี!R379"")+IMPORTRANGE(""https://docs.googl"&amp;"e.com/spreadsheets/d/1BIDqLLg5jk3v59G8NlR8rk5xfQDKne0sAvZHSj7TI6I/edit?usp=sharing"",""พระนครศรีอยุธยา!R379"")+IMPORTRANGE(""https://docs.google.com/spreadsheets/d/1YXvxf8Yu6_rV4hTBrwMqAcAnv6DfhUxh5emyM3CJp_w/edit?usp=sharing"",""เพชรบุรี!R379"")+IMPORTRA"&amp;"NGE(""https://docs.google.com/spreadsheets/d/19KBlQQs7uwvsao6t2n-KvW3Ax8J8uRRfZPq1zPbXgKc/edit?usp=sharing"",""ระยอง!R379"")+IMPORTRANGE(""https://docs.google.com/spreadsheets/d/1jQ6P4QcrGM89YfqcC_PxOHGCMq5ezhucwJd8ci-NHng/edit?usp=sharing"",""ราชบุรี!R37"&amp;"9"")+IMPORTRANGE(""https://docs.google.com/spreadsheets/d/1lufeA2cfFqM-elVq2hznhDzC6Pr7wkJ9ZG_sYNGCMCU/edit?usp=sharing"",""ลพบุรี!R379"")+IMPORTRANGE(""https://docs.google.com/spreadsheets/d/10oOiF7loTyfsTkbd4MpaIm0HQ9SwB7IYHdIUvt-U1Uc/edit?usp=sharing"""&amp;",""สระแก้ว!R379"")+IMPORTRANGE(""https://docs.google.com/spreadsheets/d/1xmPlrr1QbdSIKvl1dWUl9K4PjAfSL9oeMr_37QVzcxc/edit?usp=sharing"",""สระบุรี!R379"")+IMPORTRANGE(""https://docs.google.com/spreadsheets/d/1j51vR6CYVGhABJpv6tkstgok82RLpXieLzW1yOY5rHw/edi"&amp;"t?usp=sharing"",""สิงห์บุรี!R379"")+IMPORTRANGE(""https://docs.google.com/spreadsheets/d/1H1EalTWKUSzO4Z1-1CwzoDUaVffgrThEBe2sl74kKG0/edit?usp=sharing"",""สุพรรณบุรี!R379"")+IMPORTRANGE(""https://docs.google.com/spreadsheets/d/1BmIruG_sIrJLYao_Pdr7zVArWsf"&amp;"oBt2692TMi6x_854/edit?usp=sharing"",""อ่างทอง!R379"")"),0)</f>
        <v>0</v>
      </c>
      <c r="S379" s="80">
        <f ca="1">IFERROR(__xludf.DUMMYFUNCTION("IMPORTRANGE(""https://docs.google.com/spreadsheets/d/13wPX838HrBrQMCywv1BsuMkt4PEKTChp52zj44s2izQ/edit?usp=sharing"",""กาญจนบุรี!S379"")+IMPORTRANGE(""https://docs.google.com/spreadsheets/d/1ddFKvqj1W1NEiWytbGlB1zMx_ykJDVtmfEQ-6-lIUBA/edit?usp=sharing"","&amp;"""จันทบุรี!S379"")+IMPORTRANGE(""https://docs.google.com/spreadsheets/d/1T1PQvRODqOBZk8BRht_U031fIS1beLA0Ub2CEytj2q0/edit?usp=sharing"",""ฉะเชิงเทรา!S379"")+IMPORTRANGE(""https://docs.google.com/spreadsheets/d/11tr1B-Bhyr79v2bkwVh5h_fR-PStkgjlZtkrZpYurG0/"&amp;"edit?usp=sharing"",""ชลบุรี!S379"")+IMPORTRANGE(""https://docs.google.com/spreadsheets/d/1hh-FVnSX0vozXhGluamEcS54Dw9_zqW0N7qJUWgJ0Sw/edit?usp=sharing"",""ชัยนาท!S379"")+IMPORTRANGE(""https://docs.google.com/spreadsheets/d/1jkqa6GXxSacMcY1eN8AHjMNJ_7dDXMJ"&amp;"VRLDlaFSOdPM/edit?usp=sharing"",""ตราด!S379"")+IMPORTRANGE(""https://docs.google.com/spreadsheets/d/18hSgUJ3VwClqi_qtULmmW3cLr0oe3OKaSYoKzdpTsYQ/edit?usp=sharing"",""นครนายก!S379"")+IMPORTRANGE(""https://docs.google.com/spreadsheets/d/1YTZo6WM2dQ6Ix6FSdnL"&amp;"5P7uVnVKu40sxZu975tgG10E/edit?usp=sharing"",""นครปฐม!S379"")+IMPORTRANGE(""https://docs.google.com/spreadsheets/d/1OYoGg4WDg5RIzwGeB10padOxJF9E_Vljuvvct_M7RDo/edit?usp=sharing"",""ปทุมธานี!S379"")+IMPORTRANGE(""https://docs.google.com/spreadsheets/d/1GbCI"&amp;"E4D4wk9FUozzqk7SxfDMxDVBwVmI5zcaVUSzKAc/edit?usp=sharing"",""ประจวบคีรีขันธ์!S379"")+IMPORTRANGE(""https://docs.google.com/spreadsheets/d/1vVf6wykvW_lAyu7Yo9L4hUTqHqIeP_qcVuxCtosJEbg/edit?usp=sharing"",""ปราจีนบุรี!S379"")+IMPORTRANGE(""https://docs.googl"&amp;"e.com/spreadsheets/d/1BIDqLLg5jk3v59G8NlR8rk5xfQDKne0sAvZHSj7TI6I/edit?usp=sharing"",""พระนครศรีอยุธยา!S379"")+IMPORTRANGE(""https://docs.google.com/spreadsheets/d/1YXvxf8Yu6_rV4hTBrwMqAcAnv6DfhUxh5emyM3CJp_w/edit?usp=sharing"",""เพชรบุรี!S379"")+IMPORTRA"&amp;"NGE(""https://docs.google.com/spreadsheets/d/19KBlQQs7uwvsao6t2n-KvW3Ax8J8uRRfZPq1zPbXgKc/edit?usp=sharing"",""ระยอง!S379"")+IMPORTRANGE(""https://docs.google.com/spreadsheets/d/1jQ6P4QcrGM89YfqcC_PxOHGCMq5ezhucwJd8ci-NHng/edit?usp=sharing"",""ราชบุรี!S37"&amp;"9"")+IMPORTRANGE(""https://docs.google.com/spreadsheets/d/1lufeA2cfFqM-elVq2hznhDzC6Pr7wkJ9ZG_sYNGCMCU/edit?usp=sharing"",""ลพบุรี!S379"")+IMPORTRANGE(""https://docs.google.com/spreadsheets/d/10oOiF7loTyfsTkbd4MpaIm0HQ9SwB7IYHdIUvt-U1Uc/edit?usp=sharing"""&amp;",""สระแก้ว!S379"")+IMPORTRANGE(""https://docs.google.com/spreadsheets/d/1xmPlrr1QbdSIKvl1dWUl9K4PjAfSL9oeMr_37QVzcxc/edit?usp=sharing"",""สระบุรี!S379"")+IMPORTRANGE(""https://docs.google.com/spreadsheets/d/1j51vR6CYVGhABJpv6tkstgok82RLpXieLzW1yOY5rHw/edi"&amp;"t?usp=sharing"",""สิงห์บุรี!S379"")+IMPORTRANGE(""https://docs.google.com/spreadsheets/d/1H1EalTWKUSzO4Z1-1CwzoDUaVffgrThEBe2sl74kKG0/edit?usp=sharing"",""สุพรรณบุรี!S379"")+IMPORTRANGE(""https://docs.google.com/spreadsheets/d/1BmIruG_sIrJLYao_Pdr7zVArWsf"&amp;"oBt2692TMi6x_854/edit?usp=sharing"",""อ่างทอง!S379"")"),0)</f>
        <v>0</v>
      </c>
      <c r="T379" s="136">
        <f t="shared" ca="1" si="278"/>
        <v>0</v>
      </c>
      <c r="U379" s="136">
        <f t="shared" ca="1" si="279"/>
        <v>0</v>
      </c>
    </row>
    <row r="380" spans="1:21" ht="18.75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f ca="1">IFERROR(__xludf.DUMMYFUNCTION("IMPORTRANGE(""https://docs.google.com/spreadsheets/d/13wPX838HrBrQMCywv1BsuMkt4PEKTChp52zj44s2izQ/edit?usp=sharing"",""กาญจนบุรี!L380"")+IMPORTRANGE(""https://docs.google.com/spreadsheets/d/1ddFKvqj1W1NEiWytbGlB1zMx_ykJDVtmfEQ-6-lIUBA/edit?usp=sharing"","&amp;"""จันทบุรี!L380"")+IMPORTRANGE(""https://docs.google.com/spreadsheets/d/1T1PQvRODqOBZk8BRht_U031fIS1beLA0Ub2CEytj2q0/edit?usp=sharing"",""ฉะเชิงเทรา!L380"")+IMPORTRANGE(""https://docs.google.com/spreadsheets/d/11tr1B-Bhyr79v2bkwVh5h_fR-PStkgjlZtkrZpYurG0/"&amp;"edit?usp=sharing"",""ชลบุรี!L380"")+IMPORTRANGE(""https://docs.google.com/spreadsheets/d/1hh-FVnSX0vozXhGluamEcS54Dw9_zqW0N7qJUWgJ0Sw/edit?usp=sharing"",""ชัยนาท!L380"")+IMPORTRANGE(""https://docs.google.com/spreadsheets/d/1jkqa6GXxSacMcY1eN8AHjMNJ_7dDXMJ"&amp;"VRLDlaFSOdPM/edit?usp=sharing"",""ตราด!L380"")+IMPORTRANGE(""https://docs.google.com/spreadsheets/d/18hSgUJ3VwClqi_qtULmmW3cLr0oe3OKaSYoKzdpTsYQ/edit?usp=sharing"",""นครนายก!L380"")+IMPORTRANGE(""https://docs.google.com/spreadsheets/d/1YTZo6WM2dQ6Ix6FSdnL"&amp;"5P7uVnVKu40sxZu975tgG10E/edit?usp=sharing"",""นครปฐม!L380"")+IMPORTRANGE(""https://docs.google.com/spreadsheets/d/1OYoGg4WDg5RIzwGeB10padOxJF9E_Vljuvvct_M7RDo/edit?usp=sharing"",""ปทุมธานี!L380"")+IMPORTRANGE(""https://docs.google.com/spreadsheets/d/1GbCI"&amp;"E4D4wk9FUozzqk7SxfDMxDVBwVmI5zcaVUSzKAc/edit?usp=sharing"",""ประจวบคีรีขันธ์!L380"")+IMPORTRANGE(""https://docs.google.com/spreadsheets/d/1vVf6wykvW_lAyu7Yo9L4hUTqHqIeP_qcVuxCtosJEbg/edit?usp=sharing"",""ปราจีนบุรี!L380"")+IMPORTRANGE(""https://docs.googl"&amp;"e.com/spreadsheets/d/1BIDqLLg5jk3v59G8NlR8rk5xfQDKne0sAvZHSj7TI6I/edit?usp=sharing"",""พระนครศรีอยุธยา!L380"")+IMPORTRANGE(""https://docs.google.com/spreadsheets/d/1YXvxf8Yu6_rV4hTBrwMqAcAnv6DfhUxh5emyM3CJp_w/edit?usp=sharing"",""เพชรบุรี!L380"")+IMPORTRA"&amp;"NGE(""https://docs.google.com/spreadsheets/d/19KBlQQs7uwvsao6t2n-KvW3Ax8J8uRRfZPq1zPbXgKc/edit?usp=sharing"",""ระยอง!L380"")+IMPORTRANGE(""https://docs.google.com/spreadsheets/d/1jQ6P4QcrGM89YfqcC_PxOHGCMq5ezhucwJd8ci-NHng/edit?usp=sharing"",""ราชบุรี!L38"&amp;"0"")+IMPORTRANGE(""https://docs.google.com/spreadsheets/d/1lufeA2cfFqM-elVq2hznhDzC6Pr7wkJ9ZG_sYNGCMCU/edit?usp=sharing"",""ลพบุรี!L380"")+IMPORTRANGE(""https://docs.google.com/spreadsheets/d/10oOiF7loTyfsTkbd4MpaIm0HQ9SwB7IYHdIUvt-U1Uc/edit?usp=sharing"""&amp;",""สระแก้ว!L380"")+IMPORTRANGE(""https://docs.google.com/spreadsheets/d/1xmPlrr1QbdSIKvl1dWUl9K4PjAfSL9oeMr_37QVzcxc/edit?usp=sharing"",""สระบุรี!L380"")+IMPORTRANGE(""https://docs.google.com/spreadsheets/d/1j51vR6CYVGhABJpv6tkstgok82RLpXieLzW1yOY5rHw/edi"&amp;"t?usp=sharing"",""สิงห์บุรี!L380"")+IMPORTRANGE(""https://docs.google.com/spreadsheets/d/1H1EalTWKUSzO4Z1-1CwzoDUaVffgrThEBe2sl74kKG0/edit?usp=sharing"",""สุพรรณบุรี!L380"")+IMPORTRANGE(""https://docs.google.com/spreadsheets/d/1BmIruG_sIrJLYao_Pdr7zVArWsf"&amp;"oBt2692TMi6x_854/edit?usp=sharing"",""อ่างทอง!L380"")"),0)</f>
        <v>0</v>
      </c>
      <c r="M380" s="77">
        <f ca="1">IFERROR(__xludf.DUMMYFUNCTION("IMPORTRANGE(""https://docs.google.com/spreadsheets/d/13wPX838HrBrQMCywv1BsuMkt4PEKTChp52zj44s2izQ/edit?usp=sharing"",""กาญจนบุรี!M380"")+IMPORTRANGE(""https://docs.google.com/spreadsheets/d/1ddFKvqj1W1NEiWytbGlB1zMx_ykJDVtmfEQ-6-lIUBA/edit?usp=sharing"","&amp;"""จันทบุรี!M380"")+IMPORTRANGE(""https://docs.google.com/spreadsheets/d/1T1PQvRODqOBZk8BRht_U031fIS1beLA0Ub2CEytj2q0/edit?usp=sharing"",""ฉะเชิงเทรา!M380"")+IMPORTRANGE(""https://docs.google.com/spreadsheets/d/11tr1B-Bhyr79v2bkwVh5h_fR-PStkgjlZtkrZpYurG0/"&amp;"edit?usp=sharing"",""ชลบุรี!M380"")+IMPORTRANGE(""https://docs.google.com/spreadsheets/d/1hh-FVnSX0vozXhGluamEcS54Dw9_zqW0N7qJUWgJ0Sw/edit?usp=sharing"",""ชัยนาท!M380"")+IMPORTRANGE(""https://docs.google.com/spreadsheets/d/1jkqa6GXxSacMcY1eN8AHjMNJ_7dDXMJ"&amp;"VRLDlaFSOdPM/edit?usp=sharing"",""ตราด!M380"")+IMPORTRANGE(""https://docs.google.com/spreadsheets/d/18hSgUJ3VwClqi_qtULmmW3cLr0oe3OKaSYoKzdpTsYQ/edit?usp=sharing"",""นครนายก!M380"")+IMPORTRANGE(""https://docs.google.com/spreadsheets/d/1YTZo6WM2dQ6Ix6FSdnL"&amp;"5P7uVnVKu40sxZu975tgG10E/edit?usp=sharing"",""นครปฐม!M380"")+IMPORTRANGE(""https://docs.google.com/spreadsheets/d/1OYoGg4WDg5RIzwGeB10padOxJF9E_Vljuvvct_M7RDo/edit?usp=sharing"",""ปทุมธานี!M380"")+IMPORTRANGE(""https://docs.google.com/spreadsheets/d/1GbCI"&amp;"E4D4wk9FUozzqk7SxfDMxDVBwVmI5zcaVUSzKAc/edit?usp=sharing"",""ประจวบคีรีขันธ์!M380"")+IMPORTRANGE(""https://docs.google.com/spreadsheets/d/1vVf6wykvW_lAyu7Yo9L4hUTqHqIeP_qcVuxCtosJEbg/edit?usp=sharing"",""ปราจีนบุรี!M380"")+IMPORTRANGE(""https://docs.googl"&amp;"e.com/spreadsheets/d/1BIDqLLg5jk3v59G8NlR8rk5xfQDKne0sAvZHSj7TI6I/edit?usp=sharing"",""พระนครศรีอยุธยา!M380"")+IMPORTRANGE(""https://docs.google.com/spreadsheets/d/1YXvxf8Yu6_rV4hTBrwMqAcAnv6DfhUxh5emyM3CJp_w/edit?usp=sharing"",""เพชรบุรี!M380"")+IMPORTRA"&amp;"NGE(""https://docs.google.com/spreadsheets/d/19KBlQQs7uwvsao6t2n-KvW3Ax8J8uRRfZPq1zPbXgKc/edit?usp=sharing"",""ระยอง!M380"")+IMPORTRANGE(""https://docs.google.com/spreadsheets/d/1jQ6P4QcrGM89YfqcC_PxOHGCMq5ezhucwJd8ci-NHng/edit?usp=sharing"",""ราชบุรี!M38"&amp;"0"")+IMPORTRANGE(""https://docs.google.com/spreadsheets/d/1lufeA2cfFqM-elVq2hznhDzC6Pr7wkJ9ZG_sYNGCMCU/edit?usp=sharing"",""ลพบุรี!M380"")+IMPORTRANGE(""https://docs.google.com/spreadsheets/d/10oOiF7loTyfsTkbd4MpaIm0HQ9SwB7IYHdIUvt-U1Uc/edit?usp=sharing"""&amp;",""สระแก้ว!M380"")+IMPORTRANGE(""https://docs.google.com/spreadsheets/d/1xmPlrr1QbdSIKvl1dWUl9K4PjAfSL9oeMr_37QVzcxc/edit?usp=sharing"",""สระบุรี!M380"")+IMPORTRANGE(""https://docs.google.com/spreadsheets/d/1j51vR6CYVGhABJpv6tkstgok82RLpXieLzW1yOY5rHw/edi"&amp;"t?usp=sharing"",""สิงห์บุรี!M380"")+IMPORTRANGE(""https://docs.google.com/spreadsheets/d/1H1EalTWKUSzO4Z1-1CwzoDUaVffgrThEBe2sl74kKG0/edit?usp=sharing"",""สุพรรณบุรี!M380"")+IMPORTRANGE(""https://docs.google.com/spreadsheets/d/1BmIruG_sIrJLYao_Pdr7zVArWsf"&amp;"oBt2692TMi6x_854/edit?usp=sharing"",""อ่างทอง!M380"")"),0)</f>
        <v>0</v>
      </c>
      <c r="N380" s="77">
        <f ca="1">IFERROR(__xludf.DUMMYFUNCTION("IMPORTRANGE(""https://docs.google.com/spreadsheets/d/13wPX838HrBrQMCywv1BsuMkt4PEKTChp52zj44s2izQ/edit?usp=sharing"",""กาญจนบุรี!N380"")+IMPORTRANGE(""https://docs.google.com/spreadsheets/d/1ddFKvqj1W1NEiWytbGlB1zMx_ykJDVtmfEQ-6-lIUBA/edit?usp=sharing"","&amp;"""จันทบุรี!N380"")+IMPORTRANGE(""https://docs.google.com/spreadsheets/d/1T1PQvRODqOBZk8BRht_U031fIS1beLA0Ub2CEytj2q0/edit?usp=sharing"",""ฉะเชิงเทรา!N380"")+IMPORTRANGE(""https://docs.google.com/spreadsheets/d/11tr1B-Bhyr79v2bkwVh5h_fR-PStkgjlZtkrZpYurG0/"&amp;"edit?usp=sharing"",""ชลบุรี!N380"")+IMPORTRANGE(""https://docs.google.com/spreadsheets/d/1hh-FVnSX0vozXhGluamEcS54Dw9_zqW0N7qJUWgJ0Sw/edit?usp=sharing"",""ชัยนาท!N380"")+IMPORTRANGE(""https://docs.google.com/spreadsheets/d/1jkqa6GXxSacMcY1eN8AHjMNJ_7dDXMJ"&amp;"VRLDlaFSOdPM/edit?usp=sharing"",""ตราด!N380"")+IMPORTRANGE(""https://docs.google.com/spreadsheets/d/18hSgUJ3VwClqi_qtULmmW3cLr0oe3OKaSYoKzdpTsYQ/edit?usp=sharing"",""นครนายก!N380"")+IMPORTRANGE(""https://docs.google.com/spreadsheets/d/1YTZo6WM2dQ6Ix6FSdnL"&amp;"5P7uVnVKu40sxZu975tgG10E/edit?usp=sharing"",""นครปฐม!N380"")+IMPORTRANGE(""https://docs.google.com/spreadsheets/d/1OYoGg4WDg5RIzwGeB10padOxJF9E_Vljuvvct_M7RDo/edit?usp=sharing"",""ปทุมธานี!N380"")+IMPORTRANGE(""https://docs.google.com/spreadsheets/d/1GbCI"&amp;"E4D4wk9FUozzqk7SxfDMxDVBwVmI5zcaVUSzKAc/edit?usp=sharing"",""ประจวบคีรีขันธ์!N380"")+IMPORTRANGE(""https://docs.google.com/spreadsheets/d/1vVf6wykvW_lAyu7Yo9L4hUTqHqIeP_qcVuxCtosJEbg/edit?usp=sharing"",""ปราจีนบุรี!N380"")+IMPORTRANGE(""https://docs.googl"&amp;"e.com/spreadsheets/d/1BIDqLLg5jk3v59G8NlR8rk5xfQDKne0sAvZHSj7TI6I/edit?usp=sharing"",""พระนครศรีอยุธยา!N380"")+IMPORTRANGE(""https://docs.google.com/spreadsheets/d/1YXvxf8Yu6_rV4hTBrwMqAcAnv6DfhUxh5emyM3CJp_w/edit?usp=sharing"",""เพชรบุรี!N380"")+IMPORTRA"&amp;"NGE(""https://docs.google.com/spreadsheets/d/19KBlQQs7uwvsao6t2n-KvW3Ax8J8uRRfZPq1zPbXgKc/edit?usp=sharing"",""ระยอง!N380"")+IMPORTRANGE(""https://docs.google.com/spreadsheets/d/1jQ6P4QcrGM89YfqcC_PxOHGCMq5ezhucwJd8ci-NHng/edit?usp=sharing"",""ราชบุรี!N38"&amp;"0"")+IMPORTRANGE(""https://docs.google.com/spreadsheets/d/1lufeA2cfFqM-elVq2hznhDzC6Pr7wkJ9ZG_sYNGCMCU/edit?usp=sharing"",""ลพบุรี!N380"")+IMPORTRANGE(""https://docs.google.com/spreadsheets/d/10oOiF7loTyfsTkbd4MpaIm0HQ9SwB7IYHdIUvt-U1Uc/edit?usp=sharing"""&amp;",""สระแก้ว!N380"")+IMPORTRANGE(""https://docs.google.com/spreadsheets/d/1xmPlrr1QbdSIKvl1dWUl9K4PjAfSL9oeMr_37QVzcxc/edit?usp=sharing"",""สระบุรี!N380"")+IMPORTRANGE(""https://docs.google.com/spreadsheets/d/1j51vR6CYVGhABJpv6tkstgok82RLpXieLzW1yOY5rHw/edi"&amp;"t?usp=sharing"",""สิงห์บุรี!N380"")+IMPORTRANGE(""https://docs.google.com/spreadsheets/d/1H1EalTWKUSzO4Z1-1CwzoDUaVffgrThEBe2sl74kKG0/edit?usp=sharing"",""สุพรรณบุรี!N380"")+IMPORTRANGE(""https://docs.google.com/spreadsheets/d/1BmIruG_sIrJLYao_Pdr7zVArWsf"&amp;"oBt2692TMi6x_854/edit?usp=sharing"",""อ่างทอง!N380"")"),0)</f>
        <v>0</v>
      </c>
      <c r="O380" s="77">
        <f t="shared" ca="1" si="275"/>
        <v>0</v>
      </c>
      <c r="P380" s="77">
        <f t="shared" ca="1" si="276"/>
        <v>0</v>
      </c>
      <c r="Q380" s="134">
        <f ca="1">IFERROR(__xludf.DUMMYFUNCTION("IMPORTRANGE(""https://docs.google.com/spreadsheets/d/13wPX838HrBrQMCywv1BsuMkt4PEKTChp52zj44s2izQ/edit?usp=sharing"",""กาญจนบุรี!Q380"")+IMPORTRANGE(""https://docs.google.com/spreadsheets/d/1ddFKvqj1W1NEiWytbGlB1zMx_ykJDVtmfEQ-6-lIUBA/edit?usp=sharing"","&amp;"""จันทบุรี!Q380"")+IMPORTRANGE(""https://docs.google.com/spreadsheets/d/1T1PQvRODqOBZk8BRht_U031fIS1beLA0Ub2CEytj2q0/edit?usp=sharing"",""ฉะเชิงเทรา!Q380"")+IMPORTRANGE(""https://docs.google.com/spreadsheets/d/11tr1B-Bhyr79v2bkwVh5h_fR-PStkgjlZtkrZpYurG0/"&amp;"edit?usp=sharing"",""ชลบุรี!Q380"")+IMPORTRANGE(""https://docs.google.com/spreadsheets/d/1hh-FVnSX0vozXhGluamEcS54Dw9_zqW0N7qJUWgJ0Sw/edit?usp=sharing"",""ชัยนาท!Q380"")+IMPORTRANGE(""https://docs.google.com/spreadsheets/d/1jkqa6GXxSacMcY1eN8AHjMNJ_7dDXMJ"&amp;"VRLDlaFSOdPM/edit?usp=sharing"",""ตราด!Q380"")+IMPORTRANGE(""https://docs.google.com/spreadsheets/d/18hSgUJ3VwClqi_qtULmmW3cLr0oe3OKaSYoKzdpTsYQ/edit?usp=sharing"",""นครนายก!Q380"")+IMPORTRANGE(""https://docs.google.com/spreadsheets/d/1YTZo6WM2dQ6Ix6FSdnL"&amp;"5P7uVnVKu40sxZu975tgG10E/edit?usp=sharing"",""นครปฐม!Q380"")+IMPORTRANGE(""https://docs.google.com/spreadsheets/d/1OYoGg4WDg5RIzwGeB10padOxJF9E_Vljuvvct_M7RDo/edit?usp=sharing"",""ปทุมธานี!Q380"")+IMPORTRANGE(""https://docs.google.com/spreadsheets/d/1GbCI"&amp;"E4D4wk9FUozzqk7SxfDMxDVBwVmI5zcaVUSzKAc/edit?usp=sharing"",""ประจวบคีรีขันธ์!Q380"")+IMPORTRANGE(""https://docs.google.com/spreadsheets/d/1vVf6wykvW_lAyu7Yo9L4hUTqHqIeP_qcVuxCtosJEbg/edit?usp=sharing"",""ปราจีนบุรี!Q380"")+IMPORTRANGE(""https://docs.googl"&amp;"e.com/spreadsheets/d/1BIDqLLg5jk3v59G8NlR8rk5xfQDKne0sAvZHSj7TI6I/edit?usp=sharing"",""พระนครศรีอยุธยา!Q380"")+IMPORTRANGE(""https://docs.google.com/spreadsheets/d/1YXvxf8Yu6_rV4hTBrwMqAcAnv6DfhUxh5emyM3CJp_w/edit?usp=sharing"",""เพชรบุรี!Q380"")+IMPORTRA"&amp;"NGE(""https://docs.google.com/spreadsheets/d/19KBlQQs7uwvsao6t2n-KvW3Ax8J8uRRfZPq1zPbXgKc/edit?usp=sharing"",""ระยอง!Q380"")+IMPORTRANGE(""https://docs.google.com/spreadsheets/d/1jQ6P4QcrGM89YfqcC_PxOHGCMq5ezhucwJd8ci-NHng/edit?usp=sharing"",""ราชบุรี!Q38"&amp;"0"")+IMPORTRANGE(""https://docs.google.com/spreadsheets/d/1lufeA2cfFqM-elVq2hznhDzC6Pr7wkJ9ZG_sYNGCMCU/edit?usp=sharing"",""ลพบุรี!Q380"")+IMPORTRANGE(""https://docs.google.com/spreadsheets/d/10oOiF7loTyfsTkbd4MpaIm0HQ9SwB7IYHdIUvt-U1Uc/edit?usp=sharing"""&amp;",""สระแก้ว!Q380"")+IMPORTRANGE(""https://docs.google.com/spreadsheets/d/1xmPlrr1QbdSIKvl1dWUl9K4PjAfSL9oeMr_37QVzcxc/edit?usp=sharing"",""สระบุรี!Q380"")+IMPORTRANGE(""https://docs.google.com/spreadsheets/d/1j51vR6CYVGhABJpv6tkstgok82RLpXieLzW1yOY5rHw/edi"&amp;"t?usp=sharing"",""สิงห์บุรี!Q380"")+IMPORTRANGE(""https://docs.google.com/spreadsheets/d/1H1EalTWKUSzO4Z1-1CwzoDUaVffgrThEBe2sl74kKG0/edit?usp=sharing"",""สุพรรณบุรี!Q380"")+IMPORTRANGE(""https://docs.google.com/spreadsheets/d/1BmIruG_sIrJLYao_Pdr7zVArWsf"&amp;"oBt2692TMi6x_854/edit?usp=sharing"",""อ่างทอง!Q380"")"),862500)</f>
        <v>862500</v>
      </c>
      <c r="R380" s="135">
        <f ca="1">IFERROR(__xludf.DUMMYFUNCTION("IMPORTRANGE(""https://docs.google.com/spreadsheets/d/13wPX838HrBrQMCywv1BsuMkt4PEKTChp52zj44s2izQ/edit?usp=sharing"",""กาญจนบุรี!R380"")+IMPORTRANGE(""https://docs.google.com/spreadsheets/d/1ddFKvqj1W1NEiWytbGlB1zMx_ykJDVtmfEQ-6-lIUBA/edit?usp=sharing"","&amp;"""จันทบุรี!R380"")+IMPORTRANGE(""https://docs.google.com/spreadsheets/d/1T1PQvRODqOBZk8BRht_U031fIS1beLA0Ub2CEytj2q0/edit?usp=sharing"",""ฉะเชิงเทรา!R380"")+IMPORTRANGE(""https://docs.google.com/spreadsheets/d/11tr1B-Bhyr79v2bkwVh5h_fR-PStkgjlZtkrZpYurG0/"&amp;"edit?usp=sharing"",""ชลบุรี!R380"")+IMPORTRANGE(""https://docs.google.com/spreadsheets/d/1hh-FVnSX0vozXhGluamEcS54Dw9_zqW0N7qJUWgJ0Sw/edit?usp=sharing"",""ชัยนาท!R380"")+IMPORTRANGE(""https://docs.google.com/spreadsheets/d/1jkqa6GXxSacMcY1eN8AHjMNJ_7dDXMJ"&amp;"VRLDlaFSOdPM/edit?usp=sharing"",""ตราด!R380"")+IMPORTRANGE(""https://docs.google.com/spreadsheets/d/18hSgUJ3VwClqi_qtULmmW3cLr0oe3OKaSYoKzdpTsYQ/edit?usp=sharing"",""นครนายก!R380"")+IMPORTRANGE(""https://docs.google.com/spreadsheets/d/1YTZo6WM2dQ6Ix6FSdnL"&amp;"5P7uVnVKu40sxZu975tgG10E/edit?usp=sharing"",""นครปฐม!R380"")+IMPORTRANGE(""https://docs.google.com/spreadsheets/d/1OYoGg4WDg5RIzwGeB10padOxJF9E_Vljuvvct_M7RDo/edit?usp=sharing"",""ปทุมธานี!R380"")+IMPORTRANGE(""https://docs.google.com/spreadsheets/d/1GbCI"&amp;"E4D4wk9FUozzqk7SxfDMxDVBwVmI5zcaVUSzKAc/edit?usp=sharing"",""ประจวบคีรีขันธ์!R380"")+IMPORTRANGE(""https://docs.google.com/spreadsheets/d/1vVf6wykvW_lAyu7Yo9L4hUTqHqIeP_qcVuxCtosJEbg/edit?usp=sharing"",""ปราจีนบุรี!R380"")+IMPORTRANGE(""https://docs.googl"&amp;"e.com/spreadsheets/d/1BIDqLLg5jk3v59G8NlR8rk5xfQDKne0sAvZHSj7TI6I/edit?usp=sharing"",""พระนครศรีอยุธยา!R380"")+IMPORTRANGE(""https://docs.google.com/spreadsheets/d/1YXvxf8Yu6_rV4hTBrwMqAcAnv6DfhUxh5emyM3CJp_w/edit?usp=sharing"",""เพชรบุรี!R380"")+IMPORTRA"&amp;"NGE(""https://docs.google.com/spreadsheets/d/19KBlQQs7uwvsao6t2n-KvW3Ax8J8uRRfZPq1zPbXgKc/edit?usp=sharing"",""ระยอง!R380"")+IMPORTRANGE(""https://docs.google.com/spreadsheets/d/1jQ6P4QcrGM89YfqcC_PxOHGCMq5ezhucwJd8ci-NHng/edit?usp=sharing"",""ราชบุรี!R38"&amp;"0"")+IMPORTRANGE(""https://docs.google.com/spreadsheets/d/1lufeA2cfFqM-elVq2hznhDzC6Pr7wkJ9ZG_sYNGCMCU/edit?usp=sharing"",""ลพบุรี!R380"")+IMPORTRANGE(""https://docs.google.com/spreadsheets/d/10oOiF7loTyfsTkbd4MpaIm0HQ9SwB7IYHdIUvt-U1Uc/edit?usp=sharing"""&amp;",""สระแก้ว!R380"")+IMPORTRANGE(""https://docs.google.com/spreadsheets/d/1xmPlrr1QbdSIKvl1dWUl9K4PjAfSL9oeMr_37QVzcxc/edit?usp=sharing"",""สระบุรี!R380"")+IMPORTRANGE(""https://docs.google.com/spreadsheets/d/1j51vR6CYVGhABJpv6tkstgok82RLpXieLzW1yOY5rHw/edi"&amp;"t?usp=sharing"",""สิงห์บุรี!R380"")+IMPORTRANGE(""https://docs.google.com/spreadsheets/d/1H1EalTWKUSzO4Z1-1CwzoDUaVffgrThEBe2sl74kKG0/edit?usp=sharing"",""สุพรรณบุรี!R380"")+IMPORTRANGE(""https://docs.google.com/spreadsheets/d/1BmIruG_sIrJLYao_Pdr7zVArWsf"&amp;"oBt2692TMi6x_854/edit?usp=sharing"",""อ่างทอง!R380"")"),518750)</f>
        <v>518750</v>
      </c>
      <c r="S380" s="135">
        <f ca="1">IFERROR(__xludf.DUMMYFUNCTION("IMPORTRANGE(""https://docs.google.com/spreadsheets/d/13wPX838HrBrQMCywv1BsuMkt4PEKTChp52zj44s2izQ/edit?usp=sharing"",""กาญจนบุรี!S380"")+IMPORTRANGE(""https://docs.google.com/spreadsheets/d/1ddFKvqj1W1NEiWytbGlB1zMx_ykJDVtmfEQ-6-lIUBA/edit?usp=sharing"","&amp;"""จันทบุรี!S380"")+IMPORTRANGE(""https://docs.google.com/spreadsheets/d/1T1PQvRODqOBZk8BRht_U031fIS1beLA0Ub2CEytj2q0/edit?usp=sharing"",""ฉะเชิงเทรา!S380"")+IMPORTRANGE(""https://docs.google.com/spreadsheets/d/11tr1B-Bhyr79v2bkwVh5h_fR-PStkgjlZtkrZpYurG0/"&amp;"edit?usp=sharing"",""ชลบุรี!S380"")+IMPORTRANGE(""https://docs.google.com/spreadsheets/d/1hh-FVnSX0vozXhGluamEcS54Dw9_zqW0N7qJUWgJ0Sw/edit?usp=sharing"",""ชัยนาท!S380"")+IMPORTRANGE(""https://docs.google.com/spreadsheets/d/1jkqa6GXxSacMcY1eN8AHjMNJ_7dDXMJ"&amp;"VRLDlaFSOdPM/edit?usp=sharing"",""ตราด!S380"")+IMPORTRANGE(""https://docs.google.com/spreadsheets/d/18hSgUJ3VwClqi_qtULmmW3cLr0oe3OKaSYoKzdpTsYQ/edit?usp=sharing"",""นครนายก!S380"")+IMPORTRANGE(""https://docs.google.com/spreadsheets/d/1YTZo6WM2dQ6Ix6FSdnL"&amp;"5P7uVnVKu40sxZu975tgG10E/edit?usp=sharing"",""นครปฐม!S380"")+IMPORTRANGE(""https://docs.google.com/spreadsheets/d/1OYoGg4WDg5RIzwGeB10padOxJF9E_Vljuvvct_M7RDo/edit?usp=sharing"",""ปทุมธานี!S380"")+IMPORTRANGE(""https://docs.google.com/spreadsheets/d/1GbCI"&amp;"E4D4wk9FUozzqk7SxfDMxDVBwVmI5zcaVUSzKAc/edit?usp=sharing"",""ประจวบคีรีขันธ์!S380"")+IMPORTRANGE(""https://docs.google.com/spreadsheets/d/1vVf6wykvW_lAyu7Yo9L4hUTqHqIeP_qcVuxCtosJEbg/edit?usp=sharing"",""ปราจีนบุรี!S380"")+IMPORTRANGE(""https://docs.googl"&amp;"e.com/spreadsheets/d/1BIDqLLg5jk3v59G8NlR8rk5xfQDKne0sAvZHSj7TI6I/edit?usp=sharing"",""พระนครศรีอยุธยา!S380"")+IMPORTRANGE(""https://docs.google.com/spreadsheets/d/1YXvxf8Yu6_rV4hTBrwMqAcAnv6DfhUxh5emyM3CJp_w/edit?usp=sharing"",""เพชรบุรี!S380"")+IMPORTRA"&amp;"NGE(""https://docs.google.com/spreadsheets/d/19KBlQQs7uwvsao6t2n-KvW3Ax8J8uRRfZPq1zPbXgKc/edit?usp=sharing"",""ระยอง!S380"")+IMPORTRANGE(""https://docs.google.com/spreadsheets/d/1jQ6P4QcrGM89YfqcC_PxOHGCMq5ezhucwJd8ci-NHng/edit?usp=sharing"",""ราชบุรี!S38"&amp;"0"")+IMPORTRANGE(""https://docs.google.com/spreadsheets/d/1lufeA2cfFqM-elVq2hznhDzC6Pr7wkJ9ZG_sYNGCMCU/edit?usp=sharing"",""ลพบุรี!S380"")+IMPORTRANGE(""https://docs.google.com/spreadsheets/d/10oOiF7loTyfsTkbd4MpaIm0HQ9SwB7IYHdIUvt-U1Uc/edit?usp=sharing"""&amp;",""สระแก้ว!S380"")+IMPORTRANGE(""https://docs.google.com/spreadsheets/d/1xmPlrr1QbdSIKvl1dWUl9K4PjAfSL9oeMr_37QVzcxc/edit?usp=sharing"",""สระบุรี!S380"")+IMPORTRANGE(""https://docs.google.com/spreadsheets/d/1j51vR6CYVGhABJpv6tkstgok82RLpXieLzW1yOY5rHw/edi"&amp;"t?usp=sharing"",""สิงห์บุรี!S380"")+IMPORTRANGE(""https://docs.google.com/spreadsheets/d/1H1EalTWKUSzO4Z1-1CwzoDUaVffgrThEBe2sl74kKG0/edit?usp=sharing"",""สุพรรณบุรี!S380"")+IMPORTRANGE(""https://docs.google.com/spreadsheets/d/1BmIruG_sIrJLYao_Pdr7zVArWsf"&amp;"oBt2692TMi6x_854/edit?usp=sharing"",""อ่างทอง!S380"")"),0)</f>
        <v>0</v>
      </c>
      <c r="T380" s="135">
        <f t="shared" ca="1" si="278"/>
        <v>0</v>
      </c>
      <c r="U380" s="135">
        <f t="shared" ca="1" si="279"/>
        <v>0</v>
      </c>
    </row>
    <row r="381" spans="1:21" ht="18.75" x14ac:dyDescent="0.25">
      <c r="A381" s="259"/>
      <c r="B381" s="271"/>
      <c r="C381" s="271"/>
      <c r="D381" s="276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 t="shared" ref="L381:N381" ca="1" si="286">L382+L383</f>
        <v>0</v>
      </c>
      <c r="M381" s="77">
        <f t="shared" ca="1" si="286"/>
        <v>0</v>
      </c>
      <c r="N381" s="77">
        <f t="shared" ca="1" si="286"/>
        <v>0</v>
      </c>
      <c r="O381" s="77">
        <f t="shared" ca="1" si="275"/>
        <v>0</v>
      </c>
      <c r="P381" s="77">
        <f t="shared" ca="1" si="276"/>
        <v>0</v>
      </c>
      <c r="Q381" s="134">
        <f t="shared" ref="Q381:S381" ca="1" si="287">Q382+Q383</f>
        <v>0</v>
      </c>
      <c r="R381" s="135">
        <f t="shared" ca="1" si="287"/>
        <v>0</v>
      </c>
      <c r="S381" s="135">
        <f t="shared" ca="1" si="287"/>
        <v>0</v>
      </c>
      <c r="T381" s="135">
        <f t="shared" ca="1" si="278"/>
        <v>0</v>
      </c>
      <c r="U381" s="135">
        <f t="shared" ca="1" si="279"/>
        <v>0</v>
      </c>
    </row>
    <row r="382" spans="1:21" ht="18.75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f ca="1">IFERROR(__xludf.DUMMYFUNCTION("IMPORTRANGE(""https://docs.google.com/spreadsheets/d/13wPX838HrBrQMCywv1BsuMkt4PEKTChp52zj44s2izQ/edit?usp=sharing"",""กาญจนบุรี!L382"")+IMPORTRANGE(""https://docs.google.com/spreadsheets/d/1ddFKvqj1W1NEiWytbGlB1zMx_ykJDVtmfEQ-6-lIUBA/edit?usp=sharing"","&amp;"""จันทบุรี!L382"")+IMPORTRANGE(""https://docs.google.com/spreadsheets/d/1T1PQvRODqOBZk8BRht_U031fIS1beLA0Ub2CEytj2q0/edit?usp=sharing"",""ฉะเชิงเทรา!L382"")+IMPORTRANGE(""https://docs.google.com/spreadsheets/d/11tr1B-Bhyr79v2bkwVh5h_fR-PStkgjlZtkrZpYurG0/"&amp;"edit?usp=sharing"",""ชลบุรี!L382"")+IMPORTRANGE(""https://docs.google.com/spreadsheets/d/1hh-FVnSX0vozXhGluamEcS54Dw9_zqW0N7qJUWgJ0Sw/edit?usp=sharing"",""ชัยนาท!L382"")+IMPORTRANGE(""https://docs.google.com/spreadsheets/d/1jkqa6GXxSacMcY1eN8AHjMNJ_7dDXMJ"&amp;"VRLDlaFSOdPM/edit?usp=sharing"",""ตราด!L382"")+IMPORTRANGE(""https://docs.google.com/spreadsheets/d/18hSgUJ3VwClqi_qtULmmW3cLr0oe3OKaSYoKzdpTsYQ/edit?usp=sharing"",""นครนายก!L382"")+IMPORTRANGE(""https://docs.google.com/spreadsheets/d/1YTZo6WM2dQ6Ix6FSdnL"&amp;"5P7uVnVKu40sxZu975tgG10E/edit?usp=sharing"",""นครปฐม!L382"")+IMPORTRANGE(""https://docs.google.com/spreadsheets/d/1OYoGg4WDg5RIzwGeB10padOxJF9E_Vljuvvct_M7RDo/edit?usp=sharing"",""ปทุมธานี!L382"")+IMPORTRANGE(""https://docs.google.com/spreadsheets/d/1GbCI"&amp;"E4D4wk9FUozzqk7SxfDMxDVBwVmI5zcaVUSzKAc/edit?usp=sharing"",""ประจวบคีรีขันธ์!L382"")+IMPORTRANGE(""https://docs.google.com/spreadsheets/d/1vVf6wykvW_lAyu7Yo9L4hUTqHqIeP_qcVuxCtosJEbg/edit?usp=sharing"",""ปราจีนบุรี!L382"")+IMPORTRANGE(""https://docs.googl"&amp;"e.com/spreadsheets/d/1BIDqLLg5jk3v59G8NlR8rk5xfQDKne0sAvZHSj7TI6I/edit?usp=sharing"",""พระนครศรีอยุธยา!L382"")+IMPORTRANGE(""https://docs.google.com/spreadsheets/d/1YXvxf8Yu6_rV4hTBrwMqAcAnv6DfhUxh5emyM3CJp_w/edit?usp=sharing"",""เพชรบุรี!L382"")+IMPORTRA"&amp;"NGE(""https://docs.google.com/spreadsheets/d/19KBlQQs7uwvsao6t2n-KvW3Ax8J8uRRfZPq1zPbXgKc/edit?usp=sharing"",""ระยอง!L382"")+IMPORTRANGE(""https://docs.google.com/spreadsheets/d/1jQ6P4QcrGM89YfqcC_PxOHGCMq5ezhucwJd8ci-NHng/edit?usp=sharing"",""ราชบุรี!L38"&amp;"2"")+IMPORTRANGE(""https://docs.google.com/spreadsheets/d/1lufeA2cfFqM-elVq2hznhDzC6Pr7wkJ9ZG_sYNGCMCU/edit?usp=sharing"",""ลพบุรี!L382"")+IMPORTRANGE(""https://docs.google.com/spreadsheets/d/10oOiF7loTyfsTkbd4MpaIm0HQ9SwB7IYHdIUvt-U1Uc/edit?usp=sharing"""&amp;",""สระแก้ว!L382"")+IMPORTRANGE(""https://docs.google.com/spreadsheets/d/1xmPlrr1QbdSIKvl1dWUl9K4PjAfSL9oeMr_37QVzcxc/edit?usp=sharing"",""สระบุรี!L382"")+IMPORTRANGE(""https://docs.google.com/spreadsheets/d/1j51vR6CYVGhABJpv6tkstgok82RLpXieLzW1yOY5rHw/edi"&amp;"t?usp=sharing"",""สิงห์บุรี!L382"")+IMPORTRANGE(""https://docs.google.com/spreadsheets/d/1H1EalTWKUSzO4Z1-1CwzoDUaVffgrThEBe2sl74kKG0/edit?usp=sharing"",""สุพรรณบุรี!L382"")+IMPORTRANGE(""https://docs.google.com/spreadsheets/d/1BmIruG_sIrJLYao_Pdr7zVArWsf"&amp;"oBt2692TMi6x_854/edit?usp=sharing"",""อ่างทอง!L382"")"),0)</f>
        <v>0</v>
      </c>
      <c r="M382" s="80">
        <f ca="1">IFERROR(__xludf.DUMMYFUNCTION("IMPORTRANGE(""https://docs.google.com/spreadsheets/d/13wPX838HrBrQMCywv1BsuMkt4PEKTChp52zj44s2izQ/edit?usp=sharing"",""กาญจนบุรี!M382"")+IMPORTRANGE(""https://docs.google.com/spreadsheets/d/1ddFKvqj1W1NEiWytbGlB1zMx_ykJDVtmfEQ-6-lIUBA/edit?usp=sharing"","&amp;"""จันทบุรี!M382"")+IMPORTRANGE(""https://docs.google.com/spreadsheets/d/1T1PQvRODqOBZk8BRht_U031fIS1beLA0Ub2CEytj2q0/edit?usp=sharing"",""ฉะเชิงเทรา!M382"")+IMPORTRANGE(""https://docs.google.com/spreadsheets/d/11tr1B-Bhyr79v2bkwVh5h_fR-PStkgjlZtkrZpYurG0/"&amp;"edit?usp=sharing"",""ชลบุรี!M382"")+IMPORTRANGE(""https://docs.google.com/spreadsheets/d/1hh-FVnSX0vozXhGluamEcS54Dw9_zqW0N7qJUWgJ0Sw/edit?usp=sharing"",""ชัยนาท!M382"")+IMPORTRANGE(""https://docs.google.com/spreadsheets/d/1jkqa6GXxSacMcY1eN8AHjMNJ_7dDXMJ"&amp;"VRLDlaFSOdPM/edit?usp=sharing"",""ตราด!M382"")+IMPORTRANGE(""https://docs.google.com/spreadsheets/d/18hSgUJ3VwClqi_qtULmmW3cLr0oe3OKaSYoKzdpTsYQ/edit?usp=sharing"",""นครนายก!M382"")+IMPORTRANGE(""https://docs.google.com/spreadsheets/d/1YTZo6WM2dQ6Ix6FSdnL"&amp;"5P7uVnVKu40sxZu975tgG10E/edit?usp=sharing"",""นครปฐม!M382"")+IMPORTRANGE(""https://docs.google.com/spreadsheets/d/1OYoGg4WDg5RIzwGeB10padOxJF9E_Vljuvvct_M7RDo/edit?usp=sharing"",""ปทุมธานี!M382"")+IMPORTRANGE(""https://docs.google.com/spreadsheets/d/1GbCI"&amp;"E4D4wk9FUozzqk7SxfDMxDVBwVmI5zcaVUSzKAc/edit?usp=sharing"",""ประจวบคีรีขันธ์!M382"")+IMPORTRANGE(""https://docs.google.com/spreadsheets/d/1vVf6wykvW_lAyu7Yo9L4hUTqHqIeP_qcVuxCtosJEbg/edit?usp=sharing"",""ปราจีนบุรี!M382"")+IMPORTRANGE(""https://docs.googl"&amp;"e.com/spreadsheets/d/1BIDqLLg5jk3v59G8NlR8rk5xfQDKne0sAvZHSj7TI6I/edit?usp=sharing"",""พระนครศรีอยุธยา!M382"")+IMPORTRANGE(""https://docs.google.com/spreadsheets/d/1YXvxf8Yu6_rV4hTBrwMqAcAnv6DfhUxh5emyM3CJp_w/edit?usp=sharing"",""เพชรบุรี!M382"")+IMPORTRA"&amp;"NGE(""https://docs.google.com/spreadsheets/d/19KBlQQs7uwvsao6t2n-KvW3Ax8J8uRRfZPq1zPbXgKc/edit?usp=sharing"",""ระยอง!M382"")+IMPORTRANGE(""https://docs.google.com/spreadsheets/d/1jQ6P4QcrGM89YfqcC_PxOHGCMq5ezhucwJd8ci-NHng/edit?usp=sharing"",""ราชบุรี!M38"&amp;"2"")+IMPORTRANGE(""https://docs.google.com/spreadsheets/d/1lufeA2cfFqM-elVq2hznhDzC6Pr7wkJ9ZG_sYNGCMCU/edit?usp=sharing"",""ลพบุรี!M382"")+IMPORTRANGE(""https://docs.google.com/spreadsheets/d/10oOiF7loTyfsTkbd4MpaIm0HQ9SwB7IYHdIUvt-U1Uc/edit?usp=sharing"""&amp;",""สระแก้ว!M382"")+IMPORTRANGE(""https://docs.google.com/spreadsheets/d/1xmPlrr1QbdSIKvl1dWUl9K4PjAfSL9oeMr_37QVzcxc/edit?usp=sharing"",""สระบุรี!M382"")+IMPORTRANGE(""https://docs.google.com/spreadsheets/d/1j51vR6CYVGhABJpv6tkstgok82RLpXieLzW1yOY5rHw/edi"&amp;"t?usp=sharing"",""สิงห์บุรี!M382"")+IMPORTRANGE(""https://docs.google.com/spreadsheets/d/1H1EalTWKUSzO4Z1-1CwzoDUaVffgrThEBe2sl74kKG0/edit?usp=sharing"",""สุพรรณบุรี!M382"")+IMPORTRANGE(""https://docs.google.com/spreadsheets/d/1BmIruG_sIrJLYao_Pdr7zVArWsf"&amp;"oBt2692TMi6x_854/edit?usp=sharing"",""อ่างทอง!M382"")"),0)</f>
        <v>0</v>
      </c>
      <c r="N382" s="80">
        <f ca="1">IFERROR(__xludf.DUMMYFUNCTION("IMPORTRANGE(""https://docs.google.com/spreadsheets/d/13wPX838HrBrQMCywv1BsuMkt4PEKTChp52zj44s2izQ/edit?usp=sharing"",""กาญจนบุรี!N382"")+IMPORTRANGE(""https://docs.google.com/spreadsheets/d/1ddFKvqj1W1NEiWytbGlB1zMx_ykJDVtmfEQ-6-lIUBA/edit?usp=sharing"","&amp;"""จันทบุรี!N382"")+IMPORTRANGE(""https://docs.google.com/spreadsheets/d/1T1PQvRODqOBZk8BRht_U031fIS1beLA0Ub2CEytj2q0/edit?usp=sharing"",""ฉะเชิงเทรา!N382"")+IMPORTRANGE(""https://docs.google.com/spreadsheets/d/11tr1B-Bhyr79v2bkwVh5h_fR-PStkgjlZtkrZpYurG0/"&amp;"edit?usp=sharing"",""ชลบุรี!N382"")+IMPORTRANGE(""https://docs.google.com/spreadsheets/d/1hh-FVnSX0vozXhGluamEcS54Dw9_zqW0N7qJUWgJ0Sw/edit?usp=sharing"",""ชัยนาท!N382"")+IMPORTRANGE(""https://docs.google.com/spreadsheets/d/1jkqa6GXxSacMcY1eN8AHjMNJ_7dDXMJ"&amp;"VRLDlaFSOdPM/edit?usp=sharing"",""ตราด!N382"")+IMPORTRANGE(""https://docs.google.com/spreadsheets/d/18hSgUJ3VwClqi_qtULmmW3cLr0oe3OKaSYoKzdpTsYQ/edit?usp=sharing"",""นครนายก!N382"")+IMPORTRANGE(""https://docs.google.com/spreadsheets/d/1YTZo6WM2dQ6Ix6FSdnL"&amp;"5P7uVnVKu40sxZu975tgG10E/edit?usp=sharing"",""นครปฐม!N382"")+IMPORTRANGE(""https://docs.google.com/spreadsheets/d/1OYoGg4WDg5RIzwGeB10padOxJF9E_Vljuvvct_M7RDo/edit?usp=sharing"",""ปทุมธานี!N382"")+IMPORTRANGE(""https://docs.google.com/spreadsheets/d/1GbCI"&amp;"E4D4wk9FUozzqk7SxfDMxDVBwVmI5zcaVUSzKAc/edit?usp=sharing"",""ประจวบคีรีขันธ์!N382"")+IMPORTRANGE(""https://docs.google.com/spreadsheets/d/1vVf6wykvW_lAyu7Yo9L4hUTqHqIeP_qcVuxCtosJEbg/edit?usp=sharing"",""ปราจีนบุรี!N382"")+IMPORTRANGE(""https://docs.googl"&amp;"e.com/spreadsheets/d/1BIDqLLg5jk3v59G8NlR8rk5xfQDKne0sAvZHSj7TI6I/edit?usp=sharing"",""พระนครศรีอยุธยา!N382"")+IMPORTRANGE(""https://docs.google.com/spreadsheets/d/1YXvxf8Yu6_rV4hTBrwMqAcAnv6DfhUxh5emyM3CJp_w/edit?usp=sharing"",""เพชรบุรี!N382"")+IMPORTRA"&amp;"NGE(""https://docs.google.com/spreadsheets/d/19KBlQQs7uwvsao6t2n-KvW3Ax8J8uRRfZPq1zPbXgKc/edit?usp=sharing"",""ระยอง!N382"")+IMPORTRANGE(""https://docs.google.com/spreadsheets/d/1jQ6P4QcrGM89YfqcC_PxOHGCMq5ezhucwJd8ci-NHng/edit?usp=sharing"",""ราชบุรี!N38"&amp;"2"")+IMPORTRANGE(""https://docs.google.com/spreadsheets/d/1lufeA2cfFqM-elVq2hznhDzC6Pr7wkJ9ZG_sYNGCMCU/edit?usp=sharing"",""ลพบุรี!N382"")+IMPORTRANGE(""https://docs.google.com/spreadsheets/d/10oOiF7loTyfsTkbd4MpaIm0HQ9SwB7IYHdIUvt-U1Uc/edit?usp=sharing"""&amp;",""สระแก้ว!N382"")+IMPORTRANGE(""https://docs.google.com/spreadsheets/d/1xmPlrr1QbdSIKvl1dWUl9K4PjAfSL9oeMr_37QVzcxc/edit?usp=sharing"",""สระบุรี!N382"")+IMPORTRANGE(""https://docs.google.com/spreadsheets/d/1j51vR6CYVGhABJpv6tkstgok82RLpXieLzW1yOY5rHw/edi"&amp;"t?usp=sharing"",""สิงห์บุรี!N382"")+IMPORTRANGE(""https://docs.google.com/spreadsheets/d/1H1EalTWKUSzO4Z1-1CwzoDUaVffgrThEBe2sl74kKG0/edit?usp=sharing"",""สุพรรณบุรี!N382"")+IMPORTRANGE(""https://docs.google.com/spreadsheets/d/1BmIruG_sIrJLYao_Pdr7zVArWsf"&amp;"oBt2692TMi6x_854/edit?usp=sharing"",""อ่างทอง!N382"")"),0)</f>
        <v>0</v>
      </c>
      <c r="O382" s="80">
        <f t="shared" ca="1" si="275"/>
        <v>0</v>
      </c>
      <c r="P382" s="80">
        <f t="shared" ca="1" si="276"/>
        <v>0</v>
      </c>
      <c r="Q382" s="79">
        <f ca="1">IFERROR(__xludf.DUMMYFUNCTION("IMPORTRANGE(""https://docs.google.com/spreadsheets/d/13wPX838HrBrQMCywv1BsuMkt4PEKTChp52zj44s2izQ/edit?usp=sharing"",""กาญจนบุรี!Q382"")+IMPORTRANGE(""https://docs.google.com/spreadsheets/d/1ddFKvqj1W1NEiWytbGlB1zMx_ykJDVtmfEQ-6-lIUBA/edit?usp=sharing"","&amp;"""จันทบุรี!Q382"")+IMPORTRANGE(""https://docs.google.com/spreadsheets/d/1T1PQvRODqOBZk8BRht_U031fIS1beLA0Ub2CEytj2q0/edit?usp=sharing"",""ฉะเชิงเทรา!Q382"")+IMPORTRANGE(""https://docs.google.com/spreadsheets/d/11tr1B-Bhyr79v2bkwVh5h_fR-PStkgjlZtkrZpYurG0/"&amp;"edit?usp=sharing"",""ชลบุรี!Q382"")+IMPORTRANGE(""https://docs.google.com/spreadsheets/d/1hh-FVnSX0vozXhGluamEcS54Dw9_zqW0N7qJUWgJ0Sw/edit?usp=sharing"",""ชัยนาท!Q382"")+IMPORTRANGE(""https://docs.google.com/spreadsheets/d/1jkqa6GXxSacMcY1eN8AHjMNJ_7dDXMJ"&amp;"VRLDlaFSOdPM/edit?usp=sharing"",""ตราด!Q382"")+IMPORTRANGE(""https://docs.google.com/spreadsheets/d/18hSgUJ3VwClqi_qtULmmW3cLr0oe3OKaSYoKzdpTsYQ/edit?usp=sharing"",""นครนายก!Q382"")+IMPORTRANGE(""https://docs.google.com/spreadsheets/d/1YTZo6WM2dQ6Ix6FSdnL"&amp;"5P7uVnVKu40sxZu975tgG10E/edit?usp=sharing"",""นครปฐม!Q382"")+IMPORTRANGE(""https://docs.google.com/spreadsheets/d/1OYoGg4WDg5RIzwGeB10padOxJF9E_Vljuvvct_M7RDo/edit?usp=sharing"",""ปทุมธานี!Q382"")+IMPORTRANGE(""https://docs.google.com/spreadsheets/d/1GbCI"&amp;"E4D4wk9FUozzqk7SxfDMxDVBwVmI5zcaVUSzKAc/edit?usp=sharing"",""ประจวบคีรีขันธ์!Q382"")+IMPORTRANGE(""https://docs.google.com/spreadsheets/d/1vVf6wykvW_lAyu7Yo9L4hUTqHqIeP_qcVuxCtosJEbg/edit?usp=sharing"",""ปราจีนบุรี!Q382"")+IMPORTRANGE(""https://docs.googl"&amp;"e.com/spreadsheets/d/1BIDqLLg5jk3v59G8NlR8rk5xfQDKne0sAvZHSj7TI6I/edit?usp=sharing"",""พระนครศรีอยุธยา!Q382"")+IMPORTRANGE(""https://docs.google.com/spreadsheets/d/1YXvxf8Yu6_rV4hTBrwMqAcAnv6DfhUxh5emyM3CJp_w/edit?usp=sharing"",""เพชรบุรี!Q382"")+IMPORTRA"&amp;"NGE(""https://docs.google.com/spreadsheets/d/19KBlQQs7uwvsao6t2n-KvW3Ax8J8uRRfZPq1zPbXgKc/edit?usp=sharing"",""ระยอง!Q382"")+IMPORTRANGE(""https://docs.google.com/spreadsheets/d/1jQ6P4QcrGM89YfqcC_PxOHGCMq5ezhucwJd8ci-NHng/edit?usp=sharing"",""ราชบุรี!Q38"&amp;"2"")+IMPORTRANGE(""https://docs.google.com/spreadsheets/d/1lufeA2cfFqM-elVq2hznhDzC6Pr7wkJ9ZG_sYNGCMCU/edit?usp=sharing"",""ลพบุรี!Q382"")+IMPORTRANGE(""https://docs.google.com/spreadsheets/d/10oOiF7loTyfsTkbd4MpaIm0HQ9SwB7IYHdIUvt-U1Uc/edit?usp=sharing"""&amp;",""สระแก้ว!Q382"")+IMPORTRANGE(""https://docs.google.com/spreadsheets/d/1xmPlrr1QbdSIKvl1dWUl9K4PjAfSL9oeMr_37QVzcxc/edit?usp=sharing"",""สระบุรี!Q382"")+IMPORTRANGE(""https://docs.google.com/spreadsheets/d/1j51vR6CYVGhABJpv6tkstgok82RLpXieLzW1yOY5rHw/edi"&amp;"t?usp=sharing"",""สิงห์บุรี!Q382"")+IMPORTRANGE(""https://docs.google.com/spreadsheets/d/1H1EalTWKUSzO4Z1-1CwzoDUaVffgrThEBe2sl74kKG0/edit?usp=sharing"",""สุพรรณบุรี!Q382"")+IMPORTRANGE(""https://docs.google.com/spreadsheets/d/1BmIruG_sIrJLYao_Pdr7zVArWsf"&amp;"oBt2692TMi6x_854/edit?usp=sharing"",""อ่างทอง!Q382"")"),0)</f>
        <v>0</v>
      </c>
      <c r="R382" s="80">
        <f ca="1">IFERROR(__xludf.DUMMYFUNCTION("IMPORTRANGE(""https://docs.google.com/spreadsheets/d/13wPX838HrBrQMCywv1BsuMkt4PEKTChp52zj44s2izQ/edit?usp=sharing"",""กาญจนบุรี!R382"")+IMPORTRANGE(""https://docs.google.com/spreadsheets/d/1ddFKvqj1W1NEiWytbGlB1zMx_ykJDVtmfEQ-6-lIUBA/edit?usp=sharing"","&amp;"""จันทบุรี!R382"")+IMPORTRANGE(""https://docs.google.com/spreadsheets/d/1T1PQvRODqOBZk8BRht_U031fIS1beLA0Ub2CEytj2q0/edit?usp=sharing"",""ฉะเชิงเทรา!R382"")+IMPORTRANGE(""https://docs.google.com/spreadsheets/d/11tr1B-Bhyr79v2bkwVh5h_fR-PStkgjlZtkrZpYurG0/"&amp;"edit?usp=sharing"",""ชลบุรี!R382"")+IMPORTRANGE(""https://docs.google.com/spreadsheets/d/1hh-FVnSX0vozXhGluamEcS54Dw9_zqW0N7qJUWgJ0Sw/edit?usp=sharing"",""ชัยนาท!R382"")+IMPORTRANGE(""https://docs.google.com/spreadsheets/d/1jkqa6GXxSacMcY1eN8AHjMNJ_7dDXMJ"&amp;"VRLDlaFSOdPM/edit?usp=sharing"",""ตราด!R382"")+IMPORTRANGE(""https://docs.google.com/spreadsheets/d/18hSgUJ3VwClqi_qtULmmW3cLr0oe3OKaSYoKzdpTsYQ/edit?usp=sharing"",""นครนายก!R382"")+IMPORTRANGE(""https://docs.google.com/spreadsheets/d/1YTZo6WM2dQ6Ix6FSdnL"&amp;"5P7uVnVKu40sxZu975tgG10E/edit?usp=sharing"",""นครปฐม!R382"")+IMPORTRANGE(""https://docs.google.com/spreadsheets/d/1OYoGg4WDg5RIzwGeB10padOxJF9E_Vljuvvct_M7RDo/edit?usp=sharing"",""ปทุมธานี!R382"")+IMPORTRANGE(""https://docs.google.com/spreadsheets/d/1GbCI"&amp;"E4D4wk9FUozzqk7SxfDMxDVBwVmI5zcaVUSzKAc/edit?usp=sharing"",""ประจวบคีรีขันธ์!R382"")+IMPORTRANGE(""https://docs.google.com/spreadsheets/d/1vVf6wykvW_lAyu7Yo9L4hUTqHqIeP_qcVuxCtosJEbg/edit?usp=sharing"",""ปราจีนบุรี!R382"")+IMPORTRANGE(""https://docs.googl"&amp;"e.com/spreadsheets/d/1BIDqLLg5jk3v59G8NlR8rk5xfQDKne0sAvZHSj7TI6I/edit?usp=sharing"",""พระนครศรีอยุธยา!R382"")+IMPORTRANGE(""https://docs.google.com/spreadsheets/d/1YXvxf8Yu6_rV4hTBrwMqAcAnv6DfhUxh5emyM3CJp_w/edit?usp=sharing"",""เพชรบุรี!R382"")+IMPORTRA"&amp;"NGE(""https://docs.google.com/spreadsheets/d/19KBlQQs7uwvsao6t2n-KvW3Ax8J8uRRfZPq1zPbXgKc/edit?usp=sharing"",""ระยอง!R382"")+IMPORTRANGE(""https://docs.google.com/spreadsheets/d/1jQ6P4QcrGM89YfqcC_PxOHGCMq5ezhucwJd8ci-NHng/edit?usp=sharing"",""ราชบุรี!R38"&amp;"2"")+IMPORTRANGE(""https://docs.google.com/spreadsheets/d/1lufeA2cfFqM-elVq2hznhDzC6Pr7wkJ9ZG_sYNGCMCU/edit?usp=sharing"",""ลพบุรี!R382"")+IMPORTRANGE(""https://docs.google.com/spreadsheets/d/10oOiF7loTyfsTkbd4MpaIm0HQ9SwB7IYHdIUvt-U1Uc/edit?usp=sharing"""&amp;",""สระแก้ว!R382"")+IMPORTRANGE(""https://docs.google.com/spreadsheets/d/1xmPlrr1QbdSIKvl1dWUl9K4PjAfSL9oeMr_37QVzcxc/edit?usp=sharing"",""สระบุรี!R382"")+IMPORTRANGE(""https://docs.google.com/spreadsheets/d/1j51vR6CYVGhABJpv6tkstgok82RLpXieLzW1yOY5rHw/edi"&amp;"t?usp=sharing"",""สิงห์บุรี!R382"")+IMPORTRANGE(""https://docs.google.com/spreadsheets/d/1H1EalTWKUSzO4Z1-1CwzoDUaVffgrThEBe2sl74kKG0/edit?usp=sharing"",""สุพรรณบุรี!R382"")+IMPORTRANGE(""https://docs.google.com/spreadsheets/d/1BmIruG_sIrJLYao_Pdr7zVArWsf"&amp;"oBt2692TMi6x_854/edit?usp=sharing"",""อ่างทอง!R382"")"),0)</f>
        <v>0</v>
      </c>
      <c r="S382" s="80">
        <f ca="1">IFERROR(__xludf.DUMMYFUNCTION("IMPORTRANGE(""https://docs.google.com/spreadsheets/d/13wPX838HrBrQMCywv1BsuMkt4PEKTChp52zj44s2izQ/edit?usp=sharing"",""กาญจนบุรี!S382"")+IMPORTRANGE(""https://docs.google.com/spreadsheets/d/1ddFKvqj1W1NEiWytbGlB1zMx_ykJDVtmfEQ-6-lIUBA/edit?usp=sharing"","&amp;"""จันทบุรี!S382"")+IMPORTRANGE(""https://docs.google.com/spreadsheets/d/1T1PQvRODqOBZk8BRht_U031fIS1beLA0Ub2CEytj2q0/edit?usp=sharing"",""ฉะเชิงเทรา!S382"")+IMPORTRANGE(""https://docs.google.com/spreadsheets/d/11tr1B-Bhyr79v2bkwVh5h_fR-PStkgjlZtkrZpYurG0/"&amp;"edit?usp=sharing"",""ชลบุรี!S382"")+IMPORTRANGE(""https://docs.google.com/spreadsheets/d/1hh-FVnSX0vozXhGluamEcS54Dw9_zqW0N7qJUWgJ0Sw/edit?usp=sharing"",""ชัยนาท!S382"")+IMPORTRANGE(""https://docs.google.com/spreadsheets/d/1jkqa6GXxSacMcY1eN8AHjMNJ_7dDXMJ"&amp;"VRLDlaFSOdPM/edit?usp=sharing"",""ตราด!S382"")+IMPORTRANGE(""https://docs.google.com/spreadsheets/d/18hSgUJ3VwClqi_qtULmmW3cLr0oe3OKaSYoKzdpTsYQ/edit?usp=sharing"",""นครนายก!S382"")+IMPORTRANGE(""https://docs.google.com/spreadsheets/d/1YTZo6WM2dQ6Ix6FSdnL"&amp;"5P7uVnVKu40sxZu975tgG10E/edit?usp=sharing"",""นครปฐม!S382"")+IMPORTRANGE(""https://docs.google.com/spreadsheets/d/1OYoGg4WDg5RIzwGeB10padOxJF9E_Vljuvvct_M7RDo/edit?usp=sharing"",""ปทุมธานี!S382"")+IMPORTRANGE(""https://docs.google.com/spreadsheets/d/1GbCI"&amp;"E4D4wk9FUozzqk7SxfDMxDVBwVmI5zcaVUSzKAc/edit?usp=sharing"",""ประจวบคีรีขันธ์!S382"")+IMPORTRANGE(""https://docs.google.com/spreadsheets/d/1vVf6wykvW_lAyu7Yo9L4hUTqHqIeP_qcVuxCtosJEbg/edit?usp=sharing"",""ปราจีนบุรี!S382"")+IMPORTRANGE(""https://docs.googl"&amp;"e.com/spreadsheets/d/1BIDqLLg5jk3v59G8NlR8rk5xfQDKne0sAvZHSj7TI6I/edit?usp=sharing"",""พระนครศรีอยุธยา!S382"")+IMPORTRANGE(""https://docs.google.com/spreadsheets/d/1YXvxf8Yu6_rV4hTBrwMqAcAnv6DfhUxh5emyM3CJp_w/edit?usp=sharing"",""เพชรบุรี!S382"")+IMPORTRA"&amp;"NGE(""https://docs.google.com/spreadsheets/d/19KBlQQs7uwvsao6t2n-KvW3Ax8J8uRRfZPq1zPbXgKc/edit?usp=sharing"",""ระยอง!S382"")+IMPORTRANGE(""https://docs.google.com/spreadsheets/d/1jQ6P4QcrGM89YfqcC_PxOHGCMq5ezhucwJd8ci-NHng/edit?usp=sharing"",""ราชบุรี!S38"&amp;"2"")+IMPORTRANGE(""https://docs.google.com/spreadsheets/d/1lufeA2cfFqM-elVq2hznhDzC6Pr7wkJ9ZG_sYNGCMCU/edit?usp=sharing"",""ลพบุรี!S382"")+IMPORTRANGE(""https://docs.google.com/spreadsheets/d/10oOiF7loTyfsTkbd4MpaIm0HQ9SwB7IYHdIUvt-U1Uc/edit?usp=sharing"""&amp;",""สระแก้ว!S382"")+IMPORTRANGE(""https://docs.google.com/spreadsheets/d/1xmPlrr1QbdSIKvl1dWUl9K4PjAfSL9oeMr_37QVzcxc/edit?usp=sharing"",""สระบุรี!S382"")+IMPORTRANGE(""https://docs.google.com/spreadsheets/d/1j51vR6CYVGhABJpv6tkstgok82RLpXieLzW1yOY5rHw/edi"&amp;"t?usp=sharing"",""สิงห์บุรี!S382"")+IMPORTRANGE(""https://docs.google.com/spreadsheets/d/1H1EalTWKUSzO4Z1-1CwzoDUaVffgrThEBe2sl74kKG0/edit?usp=sharing"",""สุพรรณบุรี!S382"")+IMPORTRANGE(""https://docs.google.com/spreadsheets/d/1BmIruG_sIrJLYao_Pdr7zVArWsf"&amp;"oBt2692TMi6x_854/edit?usp=sharing"",""อ่างทอง!S382"")"),0)</f>
        <v>0</v>
      </c>
      <c r="T382" s="136">
        <f t="shared" ca="1" si="278"/>
        <v>0</v>
      </c>
      <c r="U382" s="136">
        <f t="shared" ca="1" si="279"/>
        <v>0</v>
      </c>
    </row>
    <row r="383" spans="1:21" ht="18.75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f ca="1">IFERROR(__xludf.DUMMYFUNCTION("IMPORTRANGE(""https://docs.google.com/spreadsheets/d/13wPX838HrBrQMCywv1BsuMkt4PEKTChp52zj44s2izQ/edit?usp=sharing"",""กาญจนบุรี!L383"")+IMPORTRANGE(""https://docs.google.com/spreadsheets/d/1ddFKvqj1W1NEiWytbGlB1zMx_ykJDVtmfEQ-6-lIUBA/edit?usp=sharing"","&amp;"""จันทบุรี!L383"")+IMPORTRANGE(""https://docs.google.com/spreadsheets/d/1T1PQvRODqOBZk8BRht_U031fIS1beLA0Ub2CEytj2q0/edit?usp=sharing"",""ฉะเชิงเทรา!L383"")+IMPORTRANGE(""https://docs.google.com/spreadsheets/d/11tr1B-Bhyr79v2bkwVh5h_fR-PStkgjlZtkrZpYurG0/"&amp;"edit?usp=sharing"",""ชลบุรี!L383"")+IMPORTRANGE(""https://docs.google.com/spreadsheets/d/1hh-FVnSX0vozXhGluamEcS54Dw9_zqW0N7qJUWgJ0Sw/edit?usp=sharing"",""ชัยนาท!L383"")+IMPORTRANGE(""https://docs.google.com/spreadsheets/d/1jkqa6GXxSacMcY1eN8AHjMNJ_7dDXMJ"&amp;"VRLDlaFSOdPM/edit?usp=sharing"",""ตราด!L383"")+IMPORTRANGE(""https://docs.google.com/spreadsheets/d/18hSgUJ3VwClqi_qtULmmW3cLr0oe3OKaSYoKzdpTsYQ/edit?usp=sharing"",""นครนายก!L383"")+IMPORTRANGE(""https://docs.google.com/spreadsheets/d/1YTZo6WM2dQ6Ix6FSdnL"&amp;"5P7uVnVKu40sxZu975tgG10E/edit?usp=sharing"",""นครปฐม!L383"")+IMPORTRANGE(""https://docs.google.com/spreadsheets/d/1OYoGg4WDg5RIzwGeB10padOxJF9E_Vljuvvct_M7RDo/edit?usp=sharing"",""ปทุมธานี!L383"")+IMPORTRANGE(""https://docs.google.com/spreadsheets/d/1GbCI"&amp;"E4D4wk9FUozzqk7SxfDMxDVBwVmI5zcaVUSzKAc/edit?usp=sharing"",""ประจวบคีรีขันธ์!L383"")+IMPORTRANGE(""https://docs.google.com/spreadsheets/d/1vVf6wykvW_lAyu7Yo9L4hUTqHqIeP_qcVuxCtosJEbg/edit?usp=sharing"",""ปราจีนบุรี!L383"")+IMPORTRANGE(""https://docs.googl"&amp;"e.com/spreadsheets/d/1BIDqLLg5jk3v59G8NlR8rk5xfQDKne0sAvZHSj7TI6I/edit?usp=sharing"",""พระนครศรีอยุธยา!L383"")+IMPORTRANGE(""https://docs.google.com/spreadsheets/d/1YXvxf8Yu6_rV4hTBrwMqAcAnv6DfhUxh5emyM3CJp_w/edit?usp=sharing"",""เพชรบุรี!L383"")+IMPORTRA"&amp;"NGE(""https://docs.google.com/spreadsheets/d/19KBlQQs7uwvsao6t2n-KvW3Ax8J8uRRfZPq1zPbXgKc/edit?usp=sharing"",""ระยอง!L383"")+IMPORTRANGE(""https://docs.google.com/spreadsheets/d/1jQ6P4QcrGM89YfqcC_PxOHGCMq5ezhucwJd8ci-NHng/edit?usp=sharing"",""ราชบุรี!L38"&amp;"3"")+IMPORTRANGE(""https://docs.google.com/spreadsheets/d/1lufeA2cfFqM-elVq2hznhDzC6Pr7wkJ9ZG_sYNGCMCU/edit?usp=sharing"",""ลพบุรี!L383"")+IMPORTRANGE(""https://docs.google.com/spreadsheets/d/10oOiF7loTyfsTkbd4MpaIm0HQ9SwB7IYHdIUvt-U1Uc/edit?usp=sharing"""&amp;",""สระแก้ว!L383"")+IMPORTRANGE(""https://docs.google.com/spreadsheets/d/1xmPlrr1QbdSIKvl1dWUl9K4PjAfSL9oeMr_37QVzcxc/edit?usp=sharing"",""สระบุรี!L383"")+IMPORTRANGE(""https://docs.google.com/spreadsheets/d/1j51vR6CYVGhABJpv6tkstgok82RLpXieLzW1yOY5rHw/edi"&amp;"t?usp=sharing"",""สิงห์บุรี!L383"")+IMPORTRANGE(""https://docs.google.com/spreadsheets/d/1H1EalTWKUSzO4Z1-1CwzoDUaVffgrThEBe2sl74kKG0/edit?usp=sharing"",""สุพรรณบุรี!L383"")+IMPORTRANGE(""https://docs.google.com/spreadsheets/d/1BmIruG_sIrJLYao_Pdr7zVArWsf"&amp;"oBt2692TMi6x_854/edit?usp=sharing"",""อ่างทอง!L383"")"),0)</f>
        <v>0</v>
      </c>
      <c r="M383" s="77">
        <f ca="1">IFERROR(__xludf.DUMMYFUNCTION("IMPORTRANGE(""https://docs.google.com/spreadsheets/d/13wPX838HrBrQMCywv1BsuMkt4PEKTChp52zj44s2izQ/edit?usp=sharing"",""กาญจนบุรี!M383"")+IMPORTRANGE(""https://docs.google.com/spreadsheets/d/1ddFKvqj1W1NEiWytbGlB1zMx_ykJDVtmfEQ-6-lIUBA/edit?usp=sharing"","&amp;"""จันทบุรี!M383"")+IMPORTRANGE(""https://docs.google.com/spreadsheets/d/1T1PQvRODqOBZk8BRht_U031fIS1beLA0Ub2CEytj2q0/edit?usp=sharing"",""ฉะเชิงเทรา!M383"")+IMPORTRANGE(""https://docs.google.com/spreadsheets/d/11tr1B-Bhyr79v2bkwVh5h_fR-PStkgjlZtkrZpYurG0/"&amp;"edit?usp=sharing"",""ชลบุรี!M383"")+IMPORTRANGE(""https://docs.google.com/spreadsheets/d/1hh-FVnSX0vozXhGluamEcS54Dw9_zqW0N7qJUWgJ0Sw/edit?usp=sharing"",""ชัยนาท!M383"")+IMPORTRANGE(""https://docs.google.com/spreadsheets/d/1jkqa6GXxSacMcY1eN8AHjMNJ_7dDXMJ"&amp;"VRLDlaFSOdPM/edit?usp=sharing"",""ตราด!M383"")+IMPORTRANGE(""https://docs.google.com/spreadsheets/d/18hSgUJ3VwClqi_qtULmmW3cLr0oe3OKaSYoKzdpTsYQ/edit?usp=sharing"",""นครนายก!M383"")+IMPORTRANGE(""https://docs.google.com/spreadsheets/d/1YTZo6WM2dQ6Ix6FSdnL"&amp;"5P7uVnVKu40sxZu975tgG10E/edit?usp=sharing"",""นครปฐม!M383"")+IMPORTRANGE(""https://docs.google.com/spreadsheets/d/1OYoGg4WDg5RIzwGeB10padOxJF9E_Vljuvvct_M7RDo/edit?usp=sharing"",""ปทุมธานี!M383"")+IMPORTRANGE(""https://docs.google.com/spreadsheets/d/1GbCI"&amp;"E4D4wk9FUozzqk7SxfDMxDVBwVmI5zcaVUSzKAc/edit?usp=sharing"",""ประจวบคีรีขันธ์!M383"")+IMPORTRANGE(""https://docs.google.com/spreadsheets/d/1vVf6wykvW_lAyu7Yo9L4hUTqHqIeP_qcVuxCtosJEbg/edit?usp=sharing"",""ปราจีนบุรี!M383"")+IMPORTRANGE(""https://docs.googl"&amp;"e.com/spreadsheets/d/1BIDqLLg5jk3v59G8NlR8rk5xfQDKne0sAvZHSj7TI6I/edit?usp=sharing"",""พระนครศรีอยุธยา!M383"")+IMPORTRANGE(""https://docs.google.com/spreadsheets/d/1YXvxf8Yu6_rV4hTBrwMqAcAnv6DfhUxh5emyM3CJp_w/edit?usp=sharing"",""เพชรบุรี!M383"")+IMPORTRA"&amp;"NGE(""https://docs.google.com/spreadsheets/d/19KBlQQs7uwvsao6t2n-KvW3Ax8J8uRRfZPq1zPbXgKc/edit?usp=sharing"",""ระยอง!M383"")+IMPORTRANGE(""https://docs.google.com/spreadsheets/d/1jQ6P4QcrGM89YfqcC_PxOHGCMq5ezhucwJd8ci-NHng/edit?usp=sharing"",""ราชบุรี!M38"&amp;"3"")+IMPORTRANGE(""https://docs.google.com/spreadsheets/d/1lufeA2cfFqM-elVq2hznhDzC6Pr7wkJ9ZG_sYNGCMCU/edit?usp=sharing"",""ลพบุรี!M383"")+IMPORTRANGE(""https://docs.google.com/spreadsheets/d/10oOiF7loTyfsTkbd4MpaIm0HQ9SwB7IYHdIUvt-U1Uc/edit?usp=sharing"""&amp;",""สระแก้ว!M383"")+IMPORTRANGE(""https://docs.google.com/spreadsheets/d/1xmPlrr1QbdSIKvl1dWUl9K4PjAfSL9oeMr_37QVzcxc/edit?usp=sharing"",""สระบุรี!M383"")+IMPORTRANGE(""https://docs.google.com/spreadsheets/d/1j51vR6CYVGhABJpv6tkstgok82RLpXieLzW1yOY5rHw/edi"&amp;"t?usp=sharing"",""สิงห์บุรี!M383"")+IMPORTRANGE(""https://docs.google.com/spreadsheets/d/1H1EalTWKUSzO4Z1-1CwzoDUaVffgrThEBe2sl74kKG0/edit?usp=sharing"",""สุพรรณบุรี!M383"")+IMPORTRANGE(""https://docs.google.com/spreadsheets/d/1BmIruG_sIrJLYao_Pdr7zVArWsf"&amp;"oBt2692TMi6x_854/edit?usp=sharing"",""อ่างทอง!M383"")"),0)</f>
        <v>0</v>
      </c>
      <c r="N383" s="77">
        <f ca="1">IFERROR(__xludf.DUMMYFUNCTION("IMPORTRANGE(""https://docs.google.com/spreadsheets/d/13wPX838HrBrQMCywv1BsuMkt4PEKTChp52zj44s2izQ/edit?usp=sharing"",""กาญจนบุรี!N383"")+IMPORTRANGE(""https://docs.google.com/spreadsheets/d/1ddFKvqj1W1NEiWytbGlB1zMx_ykJDVtmfEQ-6-lIUBA/edit?usp=sharing"","&amp;"""จันทบุรี!N383"")+IMPORTRANGE(""https://docs.google.com/spreadsheets/d/1T1PQvRODqOBZk8BRht_U031fIS1beLA0Ub2CEytj2q0/edit?usp=sharing"",""ฉะเชิงเทรา!N383"")+IMPORTRANGE(""https://docs.google.com/spreadsheets/d/11tr1B-Bhyr79v2bkwVh5h_fR-PStkgjlZtkrZpYurG0/"&amp;"edit?usp=sharing"",""ชลบุรี!N383"")+IMPORTRANGE(""https://docs.google.com/spreadsheets/d/1hh-FVnSX0vozXhGluamEcS54Dw9_zqW0N7qJUWgJ0Sw/edit?usp=sharing"",""ชัยนาท!N383"")+IMPORTRANGE(""https://docs.google.com/spreadsheets/d/1jkqa6GXxSacMcY1eN8AHjMNJ_7dDXMJ"&amp;"VRLDlaFSOdPM/edit?usp=sharing"",""ตราด!N383"")+IMPORTRANGE(""https://docs.google.com/spreadsheets/d/18hSgUJ3VwClqi_qtULmmW3cLr0oe3OKaSYoKzdpTsYQ/edit?usp=sharing"",""นครนายก!N383"")+IMPORTRANGE(""https://docs.google.com/spreadsheets/d/1YTZo6WM2dQ6Ix6FSdnL"&amp;"5P7uVnVKu40sxZu975tgG10E/edit?usp=sharing"",""นครปฐม!N383"")+IMPORTRANGE(""https://docs.google.com/spreadsheets/d/1OYoGg4WDg5RIzwGeB10padOxJF9E_Vljuvvct_M7RDo/edit?usp=sharing"",""ปทุมธานี!N383"")+IMPORTRANGE(""https://docs.google.com/spreadsheets/d/1GbCI"&amp;"E4D4wk9FUozzqk7SxfDMxDVBwVmI5zcaVUSzKAc/edit?usp=sharing"",""ประจวบคีรีขันธ์!N383"")+IMPORTRANGE(""https://docs.google.com/spreadsheets/d/1vVf6wykvW_lAyu7Yo9L4hUTqHqIeP_qcVuxCtosJEbg/edit?usp=sharing"",""ปราจีนบุรี!N383"")+IMPORTRANGE(""https://docs.googl"&amp;"e.com/spreadsheets/d/1BIDqLLg5jk3v59G8NlR8rk5xfQDKne0sAvZHSj7TI6I/edit?usp=sharing"",""พระนครศรีอยุธยา!N383"")+IMPORTRANGE(""https://docs.google.com/spreadsheets/d/1YXvxf8Yu6_rV4hTBrwMqAcAnv6DfhUxh5emyM3CJp_w/edit?usp=sharing"",""เพชรบุรี!N383"")+IMPORTRA"&amp;"NGE(""https://docs.google.com/spreadsheets/d/19KBlQQs7uwvsao6t2n-KvW3Ax8J8uRRfZPq1zPbXgKc/edit?usp=sharing"",""ระยอง!N383"")+IMPORTRANGE(""https://docs.google.com/spreadsheets/d/1jQ6P4QcrGM89YfqcC_PxOHGCMq5ezhucwJd8ci-NHng/edit?usp=sharing"",""ราชบุรี!N38"&amp;"3"")+IMPORTRANGE(""https://docs.google.com/spreadsheets/d/1lufeA2cfFqM-elVq2hznhDzC6Pr7wkJ9ZG_sYNGCMCU/edit?usp=sharing"",""ลพบุรี!N383"")+IMPORTRANGE(""https://docs.google.com/spreadsheets/d/10oOiF7loTyfsTkbd4MpaIm0HQ9SwB7IYHdIUvt-U1Uc/edit?usp=sharing"""&amp;",""สระแก้ว!N383"")+IMPORTRANGE(""https://docs.google.com/spreadsheets/d/1xmPlrr1QbdSIKvl1dWUl9K4PjAfSL9oeMr_37QVzcxc/edit?usp=sharing"",""สระบุรี!N383"")+IMPORTRANGE(""https://docs.google.com/spreadsheets/d/1j51vR6CYVGhABJpv6tkstgok82RLpXieLzW1yOY5rHw/edi"&amp;"t?usp=sharing"",""สิงห์บุรี!N383"")+IMPORTRANGE(""https://docs.google.com/spreadsheets/d/1H1EalTWKUSzO4Z1-1CwzoDUaVffgrThEBe2sl74kKG0/edit?usp=sharing"",""สุพรรณบุรี!N383"")+IMPORTRANGE(""https://docs.google.com/spreadsheets/d/1BmIruG_sIrJLYao_Pdr7zVArWsf"&amp;"oBt2692TMi6x_854/edit?usp=sharing"",""อ่างทอง!N383"")"),0)</f>
        <v>0</v>
      </c>
      <c r="O383" s="77">
        <f t="shared" ca="1" si="275"/>
        <v>0</v>
      </c>
      <c r="P383" s="77">
        <f t="shared" ca="1" si="276"/>
        <v>0</v>
      </c>
      <c r="Q383" s="76">
        <f ca="1">IFERROR(__xludf.DUMMYFUNCTION("IMPORTRANGE(""https://docs.google.com/spreadsheets/d/13wPX838HrBrQMCywv1BsuMkt4PEKTChp52zj44s2izQ/edit?usp=sharing"",""กาญจนบุรี!Q383"")+IMPORTRANGE(""https://docs.google.com/spreadsheets/d/1ddFKvqj1W1NEiWytbGlB1zMx_ykJDVtmfEQ-6-lIUBA/edit?usp=sharing"","&amp;"""จันทบุรี!Q383"")+IMPORTRANGE(""https://docs.google.com/spreadsheets/d/1T1PQvRODqOBZk8BRht_U031fIS1beLA0Ub2CEytj2q0/edit?usp=sharing"",""ฉะเชิงเทรา!Q383"")+IMPORTRANGE(""https://docs.google.com/spreadsheets/d/11tr1B-Bhyr79v2bkwVh5h_fR-PStkgjlZtkrZpYurG0/"&amp;"edit?usp=sharing"",""ชลบุรี!Q383"")+IMPORTRANGE(""https://docs.google.com/spreadsheets/d/1hh-FVnSX0vozXhGluamEcS54Dw9_zqW0N7qJUWgJ0Sw/edit?usp=sharing"",""ชัยนาท!Q383"")+IMPORTRANGE(""https://docs.google.com/spreadsheets/d/1jkqa6GXxSacMcY1eN8AHjMNJ_7dDXMJ"&amp;"VRLDlaFSOdPM/edit?usp=sharing"",""ตราด!Q383"")+IMPORTRANGE(""https://docs.google.com/spreadsheets/d/18hSgUJ3VwClqi_qtULmmW3cLr0oe3OKaSYoKzdpTsYQ/edit?usp=sharing"",""นครนายก!Q383"")+IMPORTRANGE(""https://docs.google.com/spreadsheets/d/1YTZo6WM2dQ6Ix6FSdnL"&amp;"5P7uVnVKu40sxZu975tgG10E/edit?usp=sharing"",""นครปฐม!Q383"")+IMPORTRANGE(""https://docs.google.com/spreadsheets/d/1OYoGg4WDg5RIzwGeB10padOxJF9E_Vljuvvct_M7RDo/edit?usp=sharing"",""ปทุมธานี!Q383"")+IMPORTRANGE(""https://docs.google.com/spreadsheets/d/1GbCI"&amp;"E4D4wk9FUozzqk7SxfDMxDVBwVmI5zcaVUSzKAc/edit?usp=sharing"",""ประจวบคีรีขันธ์!Q383"")+IMPORTRANGE(""https://docs.google.com/spreadsheets/d/1vVf6wykvW_lAyu7Yo9L4hUTqHqIeP_qcVuxCtosJEbg/edit?usp=sharing"",""ปราจีนบุรี!Q383"")+IMPORTRANGE(""https://docs.googl"&amp;"e.com/spreadsheets/d/1BIDqLLg5jk3v59G8NlR8rk5xfQDKne0sAvZHSj7TI6I/edit?usp=sharing"",""พระนครศรีอยุธยา!Q383"")+IMPORTRANGE(""https://docs.google.com/spreadsheets/d/1YXvxf8Yu6_rV4hTBrwMqAcAnv6DfhUxh5emyM3CJp_w/edit?usp=sharing"",""เพชรบุรี!Q383"")+IMPORTRA"&amp;"NGE(""https://docs.google.com/spreadsheets/d/19KBlQQs7uwvsao6t2n-KvW3Ax8J8uRRfZPq1zPbXgKc/edit?usp=sharing"",""ระยอง!Q383"")+IMPORTRANGE(""https://docs.google.com/spreadsheets/d/1jQ6P4QcrGM89YfqcC_PxOHGCMq5ezhucwJd8ci-NHng/edit?usp=sharing"",""ราชบุรี!Q38"&amp;"3"")+IMPORTRANGE(""https://docs.google.com/spreadsheets/d/1lufeA2cfFqM-elVq2hznhDzC6Pr7wkJ9ZG_sYNGCMCU/edit?usp=sharing"",""ลพบุรี!Q383"")+IMPORTRANGE(""https://docs.google.com/spreadsheets/d/10oOiF7loTyfsTkbd4MpaIm0HQ9SwB7IYHdIUvt-U1Uc/edit?usp=sharing"""&amp;",""สระแก้ว!Q383"")+IMPORTRANGE(""https://docs.google.com/spreadsheets/d/1xmPlrr1QbdSIKvl1dWUl9K4PjAfSL9oeMr_37QVzcxc/edit?usp=sharing"",""สระบุรี!Q383"")+IMPORTRANGE(""https://docs.google.com/spreadsheets/d/1j51vR6CYVGhABJpv6tkstgok82RLpXieLzW1yOY5rHw/edi"&amp;"t?usp=sharing"",""สิงห์บุรี!Q383"")+IMPORTRANGE(""https://docs.google.com/spreadsheets/d/1H1EalTWKUSzO4Z1-1CwzoDUaVffgrThEBe2sl74kKG0/edit?usp=sharing"",""สุพรรณบุรี!Q383"")+IMPORTRANGE(""https://docs.google.com/spreadsheets/d/1BmIruG_sIrJLYao_Pdr7zVArWsf"&amp;"oBt2692TMi6x_854/edit?usp=sharing"",""อ่างทอง!Q383"")"),0)</f>
        <v>0</v>
      </c>
      <c r="R383" s="77">
        <f ca="1">IFERROR(__xludf.DUMMYFUNCTION("IMPORTRANGE(""https://docs.google.com/spreadsheets/d/13wPX838HrBrQMCywv1BsuMkt4PEKTChp52zj44s2izQ/edit?usp=sharing"",""กาญจนบุรี!R383"")+IMPORTRANGE(""https://docs.google.com/spreadsheets/d/1ddFKvqj1W1NEiWytbGlB1zMx_ykJDVtmfEQ-6-lIUBA/edit?usp=sharing"","&amp;"""จันทบุรี!R383"")+IMPORTRANGE(""https://docs.google.com/spreadsheets/d/1T1PQvRODqOBZk8BRht_U031fIS1beLA0Ub2CEytj2q0/edit?usp=sharing"",""ฉะเชิงเทรา!R383"")+IMPORTRANGE(""https://docs.google.com/spreadsheets/d/11tr1B-Bhyr79v2bkwVh5h_fR-PStkgjlZtkrZpYurG0/"&amp;"edit?usp=sharing"",""ชลบุรี!R383"")+IMPORTRANGE(""https://docs.google.com/spreadsheets/d/1hh-FVnSX0vozXhGluamEcS54Dw9_zqW0N7qJUWgJ0Sw/edit?usp=sharing"",""ชัยนาท!R383"")+IMPORTRANGE(""https://docs.google.com/spreadsheets/d/1jkqa6GXxSacMcY1eN8AHjMNJ_7dDXMJ"&amp;"VRLDlaFSOdPM/edit?usp=sharing"",""ตราด!R383"")+IMPORTRANGE(""https://docs.google.com/spreadsheets/d/18hSgUJ3VwClqi_qtULmmW3cLr0oe3OKaSYoKzdpTsYQ/edit?usp=sharing"",""นครนายก!R383"")+IMPORTRANGE(""https://docs.google.com/spreadsheets/d/1YTZo6WM2dQ6Ix6FSdnL"&amp;"5P7uVnVKu40sxZu975tgG10E/edit?usp=sharing"",""นครปฐม!R383"")+IMPORTRANGE(""https://docs.google.com/spreadsheets/d/1OYoGg4WDg5RIzwGeB10padOxJF9E_Vljuvvct_M7RDo/edit?usp=sharing"",""ปทุมธานี!R383"")+IMPORTRANGE(""https://docs.google.com/spreadsheets/d/1GbCI"&amp;"E4D4wk9FUozzqk7SxfDMxDVBwVmI5zcaVUSzKAc/edit?usp=sharing"",""ประจวบคีรีขันธ์!R383"")+IMPORTRANGE(""https://docs.google.com/spreadsheets/d/1vVf6wykvW_lAyu7Yo9L4hUTqHqIeP_qcVuxCtosJEbg/edit?usp=sharing"",""ปราจีนบุรี!R383"")+IMPORTRANGE(""https://docs.googl"&amp;"e.com/spreadsheets/d/1BIDqLLg5jk3v59G8NlR8rk5xfQDKne0sAvZHSj7TI6I/edit?usp=sharing"",""พระนครศรีอยุธยา!R383"")+IMPORTRANGE(""https://docs.google.com/spreadsheets/d/1YXvxf8Yu6_rV4hTBrwMqAcAnv6DfhUxh5emyM3CJp_w/edit?usp=sharing"",""เพชรบุรี!R383"")+IMPORTRA"&amp;"NGE(""https://docs.google.com/spreadsheets/d/19KBlQQs7uwvsao6t2n-KvW3Ax8J8uRRfZPq1zPbXgKc/edit?usp=sharing"",""ระยอง!R383"")+IMPORTRANGE(""https://docs.google.com/spreadsheets/d/1jQ6P4QcrGM89YfqcC_PxOHGCMq5ezhucwJd8ci-NHng/edit?usp=sharing"",""ราชบุรี!R38"&amp;"3"")+IMPORTRANGE(""https://docs.google.com/spreadsheets/d/1lufeA2cfFqM-elVq2hznhDzC6Pr7wkJ9ZG_sYNGCMCU/edit?usp=sharing"",""ลพบุรี!R383"")+IMPORTRANGE(""https://docs.google.com/spreadsheets/d/10oOiF7loTyfsTkbd4MpaIm0HQ9SwB7IYHdIUvt-U1Uc/edit?usp=sharing"""&amp;",""สระแก้ว!R383"")+IMPORTRANGE(""https://docs.google.com/spreadsheets/d/1xmPlrr1QbdSIKvl1dWUl9K4PjAfSL9oeMr_37QVzcxc/edit?usp=sharing"",""สระบุรี!R383"")+IMPORTRANGE(""https://docs.google.com/spreadsheets/d/1j51vR6CYVGhABJpv6tkstgok82RLpXieLzW1yOY5rHw/edi"&amp;"t?usp=sharing"",""สิงห์บุรี!R383"")+IMPORTRANGE(""https://docs.google.com/spreadsheets/d/1H1EalTWKUSzO4Z1-1CwzoDUaVffgrThEBe2sl74kKG0/edit?usp=sharing"",""สุพรรณบุรี!R383"")+IMPORTRANGE(""https://docs.google.com/spreadsheets/d/1BmIruG_sIrJLYao_Pdr7zVArWsf"&amp;"oBt2692TMi6x_854/edit?usp=sharing"",""อ่างทอง!R383"")"),0)</f>
        <v>0</v>
      </c>
      <c r="S383" s="77">
        <f ca="1">IFERROR(__xludf.DUMMYFUNCTION("IMPORTRANGE(""https://docs.google.com/spreadsheets/d/13wPX838HrBrQMCywv1BsuMkt4PEKTChp52zj44s2izQ/edit?usp=sharing"",""กาญจนบุรี!S383"")+IMPORTRANGE(""https://docs.google.com/spreadsheets/d/1ddFKvqj1W1NEiWytbGlB1zMx_ykJDVtmfEQ-6-lIUBA/edit?usp=sharing"","&amp;"""จันทบุรี!S383"")+IMPORTRANGE(""https://docs.google.com/spreadsheets/d/1T1PQvRODqOBZk8BRht_U031fIS1beLA0Ub2CEytj2q0/edit?usp=sharing"",""ฉะเชิงเทรา!S383"")+IMPORTRANGE(""https://docs.google.com/spreadsheets/d/11tr1B-Bhyr79v2bkwVh5h_fR-PStkgjlZtkrZpYurG0/"&amp;"edit?usp=sharing"",""ชลบุรี!S383"")+IMPORTRANGE(""https://docs.google.com/spreadsheets/d/1hh-FVnSX0vozXhGluamEcS54Dw9_zqW0N7qJUWgJ0Sw/edit?usp=sharing"",""ชัยนาท!S383"")+IMPORTRANGE(""https://docs.google.com/spreadsheets/d/1jkqa6GXxSacMcY1eN8AHjMNJ_7dDXMJ"&amp;"VRLDlaFSOdPM/edit?usp=sharing"",""ตราด!S383"")+IMPORTRANGE(""https://docs.google.com/spreadsheets/d/18hSgUJ3VwClqi_qtULmmW3cLr0oe3OKaSYoKzdpTsYQ/edit?usp=sharing"",""นครนายก!S383"")+IMPORTRANGE(""https://docs.google.com/spreadsheets/d/1YTZo6WM2dQ6Ix6FSdnL"&amp;"5P7uVnVKu40sxZu975tgG10E/edit?usp=sharing"",""นครปฐม!S383"")+IMPORTRANGE(""https://docs.google.com/spreadsheets/d/1OYoGg4WDg5RIzwGeB10padOxJF9E_Vljuvvct_M7RDo/edit?usp=sharing"",""ปทุมธานี!S383"")+IMPORTRANGE(""https://docs.google.com/spreadsheets/d/1GbCI"&amp;"E4D4wk9FUozzqk7SxfDMxDVBwVmI5zcaVUSzKAc/edit?usp=sharing"",""ประจวบคีรีขันธ์!S383"")+IMPORTRANGE(""https://docs.google.com/spreadsheets/d/1vVf6wykvW_lAyu7Yo9L4hUTqHqIeP_qcVuxCtosJEbg/edit?usp=sharing"",""ปราจีนบุรี!S383"")+IMPORTRANGE(""https://docs.googl"&amp;"e.com/spreadsheets/d/1BIDqLLg5jk3v59G8NlR8rk5xfQDKne0sAvZHSj7TI6I/edit?usp=sharing"",""พระนครศรีอยุธยา!S383"")+IMPORTRANGE(""https://docs.google.com/spreadsheets/d/1YXvxf8Yu6_rV4hTBrwMqAcAnv6DfhUxh5emyM3CJp_w/edit?usp=sharing"",""เพชรบุรี!S383"")+IMPORTRA"&amp;"NGE(""https://docs.google.com/spreadsheets/d/19KBlQQs7uwvsao6t2n-KvW3Ax8J8uRRfZPq1zPbXgKc/edit?usp=sharing"",""ระยอง!S383"")+IMPORTRANGE(""https://docs.google.com/spreadsheets/d/1jQ6P4QcrGM89YfqcC_PxOHGCMq5ezhucwJd8ci-NHng/edit?usp=sharing"",""ราชบุรี!S38"&amp;"3"")+IMPORTRANGE(""https://docs.google.com/spreadsheets/d/1lufeA2cfFqM-elVq2hznhDzC6Pr7wkJ9ZG_sYNGCMCU/edit?usp=sharing"",""ลพบุรี!S383"")+IMPORTRANGE(""https://docs.google.com/spreadsheets/d/10oOiF7loTyfsTkbd4MpaIm0HQ9SwB7IYHdIUvt-U1Uc/edit?usp=sharing"""&amp;",""สระแก้ว!S383"")+IMPORTRANGE(""https://docs.google.com/spreadsheets/d/1xmPlrr1QbdSIKvl1dWUl9K4PjAfSL9oeMr_37QVzcxc/edit?usp=sharing"",""สระบุรี!S383"")+IMPORTRANGE(""https://docs.google.com/spreadsheets/d/1j51vR6CYVGhABJpv6tkstgok82RLpXieLzW1yOY5rHw/edi"&amp;"t?usp=sharing"",""สิงห์บุรี!S383"")+IMPORTRANGE(""https://docs.google.com/spreadsheets/d/1H1EalTWKUSzO4Z1-1CwzoDUaVffgrThEBe2sl74kKG0/edit?usp=sharing"",""สุพรรณบุรี!S383"")+IMPORTRANGE(""https://docs.google.com/spreadsheets/d/1BmIruG_sIrJLYao_Pdr7zVArWsf"&amp;"oBt2692TMi6x_854/edit?usp=sharing"",""อ่างทอง!S383"")"),0)</f>
        <v>0</v>
      </c>
      <c r="T383" s="135">
        <f t="shared" ca="1" si="278"/>
        <v>0</v>
      </c>
      <c r="U383" s="135">
        <f t="shared" ca="1" si="279"/>
        <v>0</v>
      </c>
    </row>
    <row r="384" spans="1:21" ht="19.5" x14ac:dyDescent="0.3">
      <c r="A384" s="278"/>
      <c r="B384" s="279"/>
      <c r="C384" s="280" t="s">
        <v>18</v>
      </c>
      <c r="D384" s="572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13wPX838HrBrQMCywv1BsuMkt4PEKTChp52zj44s2izQ/edit?usp=sharing"",""กาญจนบุรี!I385"")+IMPORTRANGE(""https://docs.google.com/spreadsheets/d/1ddFKvqj1W1NEiWytbGlB1zMx_ykJDVtmfEQ-6-lIUBA/edit?usp=sharing"","&amp;"""จันทบุรี!I385"")+IMPORTRANGE(""https://docs.google.com/spreadsheets/d/1T1PQvRODqOBZk8BRht_U031fIS1beLA0Ub2CEytj2q0/edit?usp=sharing"",""ฉะเชิงเทรา!I385"")+IMPORTRANGE(""https://docs.google.com/spreadsheets/d/11tr1B-Bhyr79v2bkwVh5h_fR-PStkgjlZtkrZpYurG0/"&amp;"edit?usp=sharing"",""ชลบุรี!I385"")+IMPORTRANGE(""https://docs.google.com/spreadsheets/d/1hh-FVnSX0vozXhGluamEcS54Dw9_zqW0N7qJUWgJ0Sw/edit?usp=sharing"",""ชัยนาท!I385"")+IMPORTRANGE(""https://docs.google.com/spreadsheets/d/1jkqa6GXxSacMcY1eN8AHjMNJ_7dDXMJ"&amp;"VRLDlaFSOdPM/edit?usp=sharing"",""ตราด!I385"")+IMPORTRANGE(""https://docs.google.com/spreadsheets/d/18hSgUJ3VwClqi_qtULmmW3cLr0oe3OKaSYoKzdpTsYQ/edit?usp=sharing"",""นครนายก!I385"")+IMPORTRANGE(""https://docs.google.com/spreadsheets/d/1YTZo6WM2dQ6Ix6FSdnL"&amp;"5P7uVnVKu40sxZu975tgG10E/edit?usp=sharing"",""นครปฐม!I385"")+IMPORTRANGE(""https://docs.google.com/spreadsheets/d/1OYoGg4WDg5RIzwGeB10padOxJF9E_Vljuvvct_M7RDo/edit?usp=sharing"",""ปทุมธานี!I385"")+IMPORTRANGE(""https://docs.google.com/spreadsheets/d/1GbCI"&amp;"E4D4wk9FUozzqk7SxfDMxDVBwVmI5zcaVUSzKAc/edit?usp=sharing"",""ประจวบคีรีขันธ์!I385"")+IMPORTRANGE(""https://docs.google.com/spreadsheets/d/1vVf6wykvW_lAyu7Yo9L4hUTqHqIeP_qcVuxCtosJEbg/edit?usp=sharing"",""ปราจีนบุรี!I385"")+IMPORTRANGE(""https://docs.googl"&amp;"e.com/spreadsheets/d/1BIDqLLg5jk3v59G8NlR8rk5xfQDKne0sAvZHSj7TI6I/edit?usp=sharing"",""พระนครศรีอยุธยา!I385"")+IMPORTRANGE(""https://docs.google.com/spreadsheets/d/1YXvxf8Yu6_rV4hTBrwMqAcAnv6DfhUxh5emyM3CJp_w/edit?usp=sharing"",""เพชรบุรี!I385"")+IMPORTRA"&amp;"NGE(""https://docs.google.com/spreadsheets/d/19KBlQQs7uwvsao6t2n-KvW3Ax8J8uRRfZPq1zPbXgKc/edit?usp=sharing"",""ระยอง!I385"")+IMPORTRANGE(""https://docs.google.com/spreadsheets/d/1jQ6P4QcrGM89YfqcC_PxOHGCMq5ezhucwJd8ci-NHng/edit?usp=sharing"",""ราชบุรี!I38"&amp;"5"")+IMPORTRANGE(""https://docs.google.com/spreadsheets/d/1lufeA2cfFqM-elVq2hznhDzC6Pr7wkJ9ZG_sYNGCMCU/edit?usp=sharing"",""ลพบุรี!I385"")+IMPORTRANGE(""https://docs.google.com/spreadsheets/d/10oOiF7loTyfsTkbd4MpaIm0HQ9SwB7IYHdIUvt-U1Uc/edit?usp=sharing"""&amp;",""สระแก้ว!I385"")+IMPORTRANGE(""https://docs.google.com/spreadsheets/d/1xmPlrr1QbdSIKvl1dWUl9K4PjAfSL9oeMr_37QVzcxc/edit?usp=sharing"",""สระบุรี!I385"")+IMPORTRANGE(""https://docs.google.com/spreadsheets/d/1j51vR6CYVGhABJpv6tkstgok82RLpXieLzW1yOY5rHw/edi"&amp;"t?usp=sharing"",""สิงห์บุรี!I385"")+IMPORTRANGE(""https://docs.google.com/spreadsheets/d/1H1EalTWKUSzO4Z1-1CwzoDUaVffgrThEBe2sl74kKG0/edit?usp=sharing"",""สุพรรณบุรี!I385"")+IMPORTRANGE(""https://docs.google.com/spreadsheets/d/1BmIruG_sIrJLYao_Pdr7zVArWsf"&amp;"oBt2692TMi6x_854/edit?usp=sharing"",""อ่างทอง!I385"")"),3000)</f>
        <v>3000</v>
      </c>
      <c r="J385" s="295">
        <f ca="1">IFERROR(__xludf.DUMMYFUNCTION("IMPORTRANGE(""https://docs.google.com/spreadsheets/d/13wPX838HrBrQMCywv1BsuMkt4PEKTChp52zj44s2izQ/edit?usp=sharing"",""กาญจนบุรี!J385"")+IMPORTRANGE(""https://docs.google.com/spreadsheets/d/1ddFKvqj1W1NEiWytbGlB1zMx_ykJDVtmfEQ-6-lIUBA/edit?usp=sharing"","&amp;"""จันทบุรี!J385"")+IMPORTRANGE(""https://docs.google.com/spreadsheets/d/1T1PQvRODqOBZk8BRht_U031fIS1beLA0Ub2CEytj2q0/edit?usp=sharing"",""ฉะเชิงเทรา!J385"")+IMPORTRANGE(""https://docs.google.com/spreadsheets/d/11tr1B-Bhyr79v2bkwVh5h_fR-PStkgjlZtkrZpYurG0/"&amp;"edit?usp=sharing"",""ชลบุรี!J385"")+IMPORTRANGE(""https://docs.google.com/spreadsheets/d/1hh-FVnSX0vozXhGluamEcS54Dw9_zqW0N7qJUWgJ0Sw/edit?usp=sharing"",""ชัยนาท!J385"")+IMPORTRANGE(""https://docs.google.com/spreadsheets/d/1jkqa6GXxSacMcY1eN8AHjMNJ_7dDXMJ"&amp;"VRLDlaFSOdPM/edit?usp=sharing"",""ตราด!J385"")+IMPORTRANGE(""https://docs.google.com/spreadsheets/d/18hSgUJ3VwClqi_qtULmmW3cLr0oe3OKaSYoKzdpTsYQ/edit?usp=sharing"",""นครนายก!J385"")+IMPORTRANGE(""https://docs.google.com/spreadsheets/d/1YTZo6WM2dQ6Ix6FSdnL"&amp;"5P7uVnVKu40sxZu975tgG10E/edit?usp=sharing"",""นครปฐม!J385"")+IMPORTRANGE(""https://docs.google.com/spreadsheets/d/1OYoGg4WDg5RIzwGeB10padOxJF9E_Vljuvvct_M7RDo/edit?usp=sharing"",""ปทุมธานี!J385"")+IMPORTRANGE(""https://docs.google.com/spreadsheets/d/1GbCI"&amp;"E4D4wk9FUozzqk7SxfDMxDVBwVmI5zcaVUSzKAc/edit?usp=sharing"",""ประจวบคีรีขันธ์!J385"")+IMPORTRANGE(""https://docs.google.com/spreadsheets/d/1vVf6wykvW_lAyu7Yo9L4hUTqHqIeP_qcVuxCtosJEbg/edit?usp=sharing"",""ปราจีนบุรี!J385"")+IMPORTRANGE(""https://docs.googl"&amp;"e.com/spreadsheets/d/1BIDqLLg5jk3v59G8NlR8rk5xfQDKne0sAvZHSj7TI6I/edit?usp=sharing"",""พระนครศรีอยุธยา!J385"")+IMPORTRANGE(""https://docs.google.com/spreadsheets/d/1YXvxf8Yu6_rV4hTBrwMqAcAnv6DfhUxh5emyM3CJp_w/edit?usp=sharing"",""เพชรบุรี!J385"")+IMPORTRA"&amp;"NGE(""https://docs.google.com/spreadsheets/d/19KBlQQs7uwvsao6t2n-KvW3Ax8J8uRRfZPq1zPbXgKc/edit?usp=sharing"",""ระยอง!J385"")+IMPORTRANGE(""https://docs.google.com/spreadsheets/d/1jQ6P4QcrGM89YfqcC_PxOHGCMq5ezhucwJd8ci-NHng/edit?usp=sharing"",""ราชบุรี!J38"&amp;"5"")+IMPORTRANGE(""https://docs.google.com/spreadsheets/d/1lufeA2cfFqM-elVq2hznhDzC6Pr7wkJ9ZG_sYNGCMCU/edit?usp=sharing"",""ลพบุรี!J385"")+IMPORTRANGE(""https://docs.google.com/spreadsheets/d/10oOiF7loTyfsTkbd4MpaIm0HQ9SwB7IYHdIUvt-U1Uc/edit?usp=sharing"""&amp;",""สระแก้ว!J385"")+IMPORTRANGE(""https://docs.google.com/spreadsheets/d/1xmPlrr1QbdSIKvl1dWUl9K4PjAfSL9oeMr_37QVzcxc/edit?usp=sharing"",""สระบุรี!J385"")+IMPORTRANGE(""https://docs.google.com/spreadsheets/d/1j51vR6CYVGhABJpv6tkstgok82RLpXieLzW1yOY5rHw/edi"&amp;"t?usp=sharing"",""สิงห์บุรี!J385"")+IMPORTRANGE(""https://docs.google.com/spreadsheets/d/1H1EalTWKUSzO4Z1-1CwzoDUaVffgrThEBe2sl74kKG0/edit?usp=sharing"",""สุพรรณบุรี!J385"")+IMPORTRANGE(""https://docs.google.com/spreadsheets/d/1BmIruG_sIrJLYao_Pdr7zVArWsf"&amp;"oBt2692TMi6x_854/edit?usp=sharing"",""อ่างทอง!J385"")"),3)</f>
        <v>3</v>
      </c>
      <c r="K385" s="77">
        <f t="shared" ref="K385:K388" ca="1" si="288">IF(I385&gt;0,J385*100/I385,0)</f>
        <v>0.1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13wPX838HrBrQMCywv1BsuMkt4PEKTChp52zj44s2izQ/edit?usp=sharing"",""กาญจนบุรี!I386"")+IMPORTRANGE(""https://docs.google.com/spreadsheets/d/1ddFKvqj1W1NEiWytbGlB1zMx_ykJDVtmfEQ-6-lIUBA/edit?usp=sharing"","&amp;"""จันทบุรี!I386"")+IMPORTRANGE(""https://docs.google.com/spreadsheets/d/1T1PQvRODqOBZk8BRht_U031fIS1beLA0Ub2CEytj2q0/edit?usp=sharing"",""ฉะเชิงเทรา!I386"")+IMPORTRANGE(""https://docs.google.com/spreadsheets/d/11tr1B-Bhyr79v2bkwVh5h_fR-PStkgjlZtkrZpYurG0/"&amp;"edit?usp=sharing"",""ชลบุรี!I386"")+IMPORTRANGE(""https://docs.google.com/spreadsheets/d/1hh-FVnSX0vozXhGluamEcS54Dw9_zqW0N7qJUWgJ0Sw/edit?usp=sharing"",""ชัยนาท!I386"")+IMPORTRANGE(""https://docs.google.com/spreadsheets/d/1jkqa6GXxSacMcY1eN8AHjMNJ_7dDXMJ"&amp;"VRLDlaFSOdPM/edit?usp=sharing"",""ตราด!I386"")+IMPORTRANGE(""https://docs.google.com/spreadsheets/d/18hSgUJ3VwClqi_qtULmmW3cLr0oe3OKaSYoKzdpTsYQ/edit?usp=sharing"",""นครนายก!I386"")+IMPORTRANGE(""https://docs.google.com/spreadsheets/d/1YTZo6WM2dQ6Ix6FSdnL"&amp;"5P7uVnVKu40sxZu975tgG10E/edit?usp=sharing"",""นครปฐม!I386"")+IMPORTRANGE(""https://docs.google.com/spreadsheets/d/1OYoGg4WDg5RIzwGeB10padOxJF9E_Vljuvvct_M7RDo/edit?usp=sharing"",""ปทุมธานี!I386"")+IMPORTRANGE(""https://docs.google.com/spreadsheets/d/1GbCI"&amp;"E4D4wk9FUozzqk7SxfDMxDVBwVmI5zcaVUSzKAc/edit?usp=sharing"",""ประจวบคีรีขันธ์!I386"")+IMPORTRANGE(""https://docs.google.com/spreadsheets/d/1vVf6wykvW_lAyu7Yo9L4hUTqHqIeP_qcVuxCtosJEbg/edit?usp=sharing"",""ปราจีนบุรี!I386"")+IMPORTRANGE(""https://docs.googl"&amp;"e.com/spreadsheets/d/1BIDqLLg5jk3v59G8NlR8rk5xfQDKne0sAvZHSj7TI6I/edit?usp=sharing"",""พระนครศรีอยุธยา!I386"")+IMPORTRANGE(""https://docs.google.com/spreadsheets/d/1YXvxf8Yu6_rV4hTBrwMqAcAnv6DfhUxh5emyM3CJp_w/edit?usp=sharing"",""เพชรบุรี!I386"")+IMPORTRA"&amp;"NGE(""https://docs.google.com/spreadsheets/d/19KBlQQs7uwvsao6t2n-KvW3Ax8J8uRRfZPq1zPbXgKc/edit?usp=sharing"",""ระยอง!I386"")+IMPORTRANGE(""https://docs.google.com/spreadsheets/d/1jQ6P4QcrGM89YfqcC_PxOHGCMq5ezhucwJd8ci-NHng/edit?usp=sharing"",""ราชบุรี!I38"&amp;"6"")+IMPORTRANGE(""https://docs.google.com/spreadsheets/d/1lufeA2cfFqM-elVq2hznhDzC6Pr7wkJ9ZG_sYNGCMCU/edit?usp=sharing"",""ลพบุรี!I386"")+IMPORTRANGE(""https://docs.google.com/spreadsheets/d/10oOiF7loTyfsTkbd4MpaIm0HQ9SwB7IYHdIUvt-U1Uc/edit?usp=sharing"""&amp;",""สระแก้ว!I386"")+IMPORTRANGE(""https://docs.google.com/spreadsheets/d/1xmPlrr1QbdSIKvl1dWUl9K4PjAfSL9oeMr_37QVzcxc/edit?usp=sharing"",""สระบุรี!I386"")+IMPORTRANGE(""https://docs.google.com/spreadsheets/d/1j51vR6CYVGhABJpv6tkstgok82RLpXieLzW1yOY5rHw/edi"&amp;"t?usp=sharing"",""สิงห์บุรี!I386"")+IMPORTRANGE(""https://docs.google.com/spreadsheets/d/1H1EalTWKUSzO4Z1-1CwzoDUaVffgrThEBe2sl74kKG0/edit?usp=sharing"",""สุพรรณบุรี!I386"")+IMPORTRANGE(""https://docs.google.com/spreadsheets/d/1BmIruG_sIrJLYao_Pdr7zVArWsf"&amp;"oBt2692TMi6x_854/edit?usp=sharing"",""อ่างทอง!I386"")"),13800)</f>
        <v>13800</v>
      </c>
      <c r="J386" s="295">
        <f ca="1">IFERROR(__xludf.DUMMYFUNCTION("IMPORTRANGE(""https://docs.google.com/spreadsheets/d/13wPX838HrBrQMCywv1BsuMkt4PEKTChp52zj44s2izQ/edit?usp=sharing"",""กาญจนบุรี!J386"")+IMPORTRANGE(""https://docs.google.com/spreadsheets/d/1ddFKvqj1W1NEiWytbGlB1zMx_ykJDVtmfEQ-6-lIUBA/edit?usp=sharing"","&amp;"""จันทบุรี!J386"")+IMPORTRANGE(""https://docs.google.com/spreadsheets/d/1T1PQvRODqOBZk8BRht_U031fIS1beLA0Ub2CEytj2q0/edit?usp=sharing"",""ฉะเชิงเทรา!J386"")+IMPORTRANGE(""https://docs.google.com/spreadsheets/d/11tr1B-Bhyr79v2bkwVh5h_fR-PStkgjlZtkrZpYurG0/"&amp;"edit?usp=sharing"",""ชลบุรี!J386"")+IMPORTRANGE(""https://docs.google.com/spreadsheets/d/1hh-FVnSX0vozXhGluamEcS54Dw9_zqW0N7qJUWgJ0Sw/edit?usp=sharing"",""ชัยนาท!J386"")+IMPORTRANGE(""https://docs.google.com/spreadsheets/d/1jkqa6GXxSacMcY1eN8AHjMNJ_7dDXMJ"&amp;"VRLDlaFSOdPM/edit?usp=sharing"",""ตราด!J386"")+IMPORTRANGE(""https://docs.google.com/spreadsheets/d/18hSgUJ3VwClqi_qtULmmW3cLr0oe3OKaSYoKzdpTsYQ/edit?usp=sharing"",""นครนายก!J386"")+IMPORTRANGE(""https://docs.google.com/spreadsheets/d/1YTZo6WM2dQ6Ix6FSdnL"&amp;"5P7uVnVKu40sxZu975tgG10E/edit?usp=sharing"",""นครปฐม!J386"")+IMPORTRANGE(""https://docs.google.com/spreadsheets/d/1OYoGg4WDg5RIzwGeB10padOxJF9E_Vljuvvct_M7RDo/edit?usp=sharing"",""ปทุมธานี!J386"")+IMPORTRANGE(""https://docs.google.com/spreadsheets/d/1GbCI"&amp;"E4D4wk9FUozzqk7SxfDMxDVBwVmI5zcaVUSzKAc/edit?usp=sharing"",""ประจวบคีรีขันธ์!J386"")+IMPORTRANGE(""https://docs.google.com/spreadsheets/d/1vVf6wykvW_lAyu7Yo9L4hUTqHqIeP_qcVuxCtosJEbg/edit?usp=sharing"",""ปราจีนบุรี!J386"")+IMPORTRANGE(""https://docs.googl"&amp;"e.com/spreadsheets/d/1BIDqLLg5jk3v59G8NlR8rk5xfQDKne0sAvZHSj7TI6I/edit?usp=sharing"",""พระนครศรีอยุธยา!J386"")+IMPORTRANGE(""https://docs.google.com/spreadsheets/d/1YXvxf8Yu6_rV4hTBrwMqAcAnv6DfhUxh5emyM3CJp_w/edit?usp=sharing"",""เพชรบุรี!J386"")+IMPORTRA"&amp;"NGE(""https://docs.google.com/spreadsheets/d/19KBlQQs7uwvsao6t2n-KvW3Ax8J8uRRfZPq1zPbXgKc/edit?usp=sharing"",""ระยอง!J386"")+IMPORTRANGE(""https://docs.google.com/spreadsheets/d/1jQ6P4QcrGM89YfqcC_PxOHGCMq5ezhucwJd8ci-NHng/edit?usp=sharing"",""ราชบุรี!J38"&amp;"6"")+IMPORTRANGE(""https://docs.google.com/spreadsheets/d/1lufeA2cfFqM-elVq2hznhDzC6Pr7wkJ9ZG_sYNGCMCU/edit?usp=sharing"",""ลพบุรี!J386"")+IMPORTRANGE(""https://docs.google.com/spreadsheets/d/10oOiF7loTyfsTkbd4MpaIm0HQ9SwB7IYHdIUvt-U1Uc/edit?usp=sharing"""&amp;",""สระแก้ว!J386"")+IMPORTRANGE(""https://docs.google.com/spreadsheets/d/1xmPlrr1QbdSIKvl1dWUl9K4PjAfSL9oeMr_37QVzcxc/edit?usp=sharing"",""สระบุรี!J386"")+IMPORTRANGE(""https://docs.google.com/spreadsheets/d/1j51vR6CYVGhABJpv6tkstgok82RLpXieLzW1yOY5rHw/edi"&amp;"t?usp=sharing"",""สิงห์บุรี!J386"")+IMPORTRANGE(""https://docs.google.com/spreadsheets/d/1H1EalTWKUSzO4Z1-1CwzoDUaVffgrThEBe2sl74kKG0/edit?usp=sharing"",""สุพรรณบุรี!J386"")+IMPORTRANGE(""https://docs.google.com/spreadsheets/d/1BmIruG_sIrJLYao_Pdr7zVArWsf"&amp;"oBt2692TMi6x_854/edit?usp=sharing"",""อ่างทอง!J386"")"),32)</f>
        <v>32</v>
      </c>
      <c r="K386" s="77">
        <f t="shared" ca="1" si="288"/>
        <v>0.2318840579710145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f ca="1">IFERROR(__xludf.DUMMYFUNCTION("IMPORTRANGE(""https://docs.google.com/spreadsheets/d/13wPX838HrBrQMCywv1BsuMkt4PEKTChp52zj44s2izQ/edit?usp=sharing"",""กาญจนบุรี!I387"")+IMPORTRANGE(""https://docs.google.com/spreadsheets/d/1ddFKvqj1W1NEiWytbGlB1zMx_ykJDVtmfEQ-6-lIUBA/edit?usp=sharing"","&amp;"""จันทบุรี!I387"")+IMPORTRANGE(""https://docs.google.com/spreadsheets/d/1T1PQvRODqOBZk8BRht_U031fIS1beLA0Ub2CEytj2q0/edit?usp=sharing"",""ฉะเชิงเทรา!I387"")+IMPORTRANGE(""https://docs.google.com/spreadsheets/d/11tr1B-Bhyr79v2bkwVh5h_fR-PStkgjlZtkrZpYurG0/"&amp;"edit?usp=sharing"",""ชลบุรี!I387"")+IMPORTRANGE(""https://docs.google.com/spreadsheets/d/1hh-FVnSX0vozXhGluamEcS54Dw9_zqW0N7qJUWgJ0Sw/edit?usp=sharing"",""ชัยนาท!I387"")+IMPORTRANGE(""https://docs.google.com/spreadsheets/d/1jkqa6GXxSacMcY1eN8AHjMNJ_7dDXMJ"&amp;"VRLDlaFSOdPM/edit?usp=sharing"",""ตราด!I387"")+IMPORTRANGE(""https://docs.google.com/spreadsheets/d/18hSgUJ3VwClqi_qtULmmW3cLr0oe3OKaSYoKzdpTsYQ/edit?usp=sharing"",""นครนายก!I387"")+IMPORTRANGE(""https://docs.google.com/spreadsheets/d/1YTZo6WM2dQ6Ix6FSdnL"&amp;"5P7uVnVKu40sxZu975tgG10E/edit?usp=sharing"",""นครปฐม!I387"")+IMPORTRANGE(""https://docs.google.com/spreadsheets/d/1OYoGg4WDg5RIzwGeB10padOxJF9E_Vljuvvct_M7RDo/edit?usp=sharing"",""ปทุมธานี!I387"")+IMPORTRANGE(""https://docs.google.com/spreadsheets/d/1GbCI"&amp;"E4D4wk9FUozzqk7SxfDMxDVBwVmI5zcaVUSzKAc/edit?usp=sharing"",""ประจวบคีรีขันธ์!I387"")+IMPORTRANGE(""https://docs.google.com/spreadsheets/d/1vVf6wykvW_lAyu7Yo9L4hUTqHqIeP_qcVuxCtosJEbg/edit?usp=sharing"",""ปราจีนบุรี!I387"")+IMPORTRANGE(""https://docs.googl"&amp;"e.com/spreadsheets/d/1BIDqLLg5jk3v59G8NlR8rk5xfQDKne0sAvZHSj7TI6I/edit?usp=sharing"",""พระนครศรีอยุธยา!I387"")+IMPORTRANGE(""https://docs.google.com/spreadsheets/d/1YXvxf8Yu6_rV4hTBrwMqAcAnv6DfhUxh5emyM3CJp_w/edit?usp=sharing"",""เพชรบุรี!I387"")+IMPORTRA"&amp;"NGE(""https://docs.google.com/spreadsheets/d/19KBlQQs7uwvsao6t2n-KvW3Ax8J8uRRfZPq1zPbXgKc/edit?usp=sharing"",""ระยอง!I387"")+IMPORTRANGE(""https://docs.google.com/spreadsheets/d/1jQ6P4QcrGM89YfqcC_PxOHGCMq5ezhucwJd8ci-NHng/edit?usp=sharing"",""ราชบุรี!I38"&amp;"7"")+IMPORTRANGE(""https://docs.google.com/spreadsheets/d/1lufeA2cfFqM-elVq2hznhDzC6Pr7wkJ9ZG_sYNGCMCU/edit?usp=sharing"",""ลพบุรี!I387"")+IMPORTRANGE(""https://docs.google.com/spreadsheets/d/10oOiF7loTyfsTkbd4MpaIm0HQ9SwB7IYHdIUvt-U1Uc/edit?usp=sharing"""&amp;",""สระแก้ว!I387"")+IMPORTRANGE(""https://docs.google.com/spreadsheets/d/1xmPlrr1QbdSIKvl1dWUl9K4PjAfSL9oeMr_37QVzcxc/edit?usp=sharing"",""สระบุรี!I387"")+IMPORTRANGE(""https://docs.google.com/spreadsheets/d/1j51vR6CYVGhABJpv6tkstgok82RLpXieLzW1yOY5rHw/edi"&amp;"t?usp=sharing"",""สิงห์บุรี!I387"")+IMPORTRANGE(""https://docs.google.com/spreadsheets/d/1H1EalTWKUSzO4Z1-1CwzoDUaVffgrThEBe2sl74kKG0/edit?usp=sharing"",""สุพรรณบุรี!I387"")+IMPORTRANGE(""https://docs.google.com/spreadsheets/d/1BmIruG_sIrJLYao_Pdr7zVArWsf"&amp;"oBt2692TMi6x_854/edit?usp=sharing"",""อ่างทอง!I387"")"),0)</f>
        <v>0</v>
      </c>
      <c r="J387" s="574">
        <f ca="1">IFERROR(__xludf.DUMMYFUNCTION("IMPORTRANGE(""https://docs.google.com/spreadsheets/d/13wPX838HrBrQMCywv1BsuMkt4PEKTChp52zj44s2izQ/edit?usp=sharing"",""กาญจนบุรี!J387"")+IMPORTRANGE(""https://docs.google.com/spreadsheets/d/1ddFKvqj1W1NEiWytbGlB1zMx_ykJDVtmfEQ-6-lIUBA/edit?usp=sharing"","&amp;"""จันทบุรี!J387"")+IMPORTRANGE(""https://docs.google.com/spreadsheets/d/1T1PQvRODqOBZk8BRht_U031fIS1beLA0Ub2CEytj2q0/edit?usp=sharing"",""ฉะเชิงเทรา!J387"")+IMPORTRANGE(""https://docs.google.com/spreadsheets/d/11tr1B-Bhyr79v2bkwVh5h_fR-PStkgjlZtkrZpYurG0/"&amp;"edit?usp=sharing"",""ชลบุรี!J387"")+IMPORTRANGE(""https://docs.google.com/spreadsheets/d/1hh-FVnSX0vozXhGluamEcS54Dw9_zqW0N7qJUWgJ0Sw/edit?usp=sharing"",""ชัยนาท!J387"")+IMPORTRANGE(""https://docs.google.com/spreadsheets/d/1jkqa6GXxSacMcY1eN8AHjMNJ_7dDXMJ"&amp;"VRLDlaFSOdPM/edit?usp=sharing"",""ตราด!J387"")+IMPORTRANGE(""https://docs.google.com/spreadsheets/d/18hSgUJ3VwClqi_qtULmmW3cLr0oe3OKaSYoKzdpTsYQ/edit?usp=sharing"",""นครนายก!J387"")+IMPORTRANGE(""https://docs.google.com/spreadsheets/d/1YTZo6WM2dQ6Ix6FSdnL"&amp;"5P7uVnVKu40sxZu975tgG10E/edit?usp=sharing"",""นครปฐม!J387"")+IMPORTRANGE(""https://docs.google.com/spreadsheets/d/1OYoGg4WDg5RIzwGeB10padOxJF9E_Vljuvvct_M7RDo/edit?usp=sharing"",""ปทุมธานี!J387"")+IMPORTRANGE(""https://docs.google.com/spreadsheets/d/1GbCI"&amp;"E4D4wk9FUozzqk7SxfDMxDVBwVmI5zcaVUSzKAc/edit?usp=sharing"",""ประจวบคีรีขันธ์!J387"")+IMPORTRANGE(""https://docs.google.com/spreadsheets/d/1vVf6wykvW_lAyu7Yo9L4hUTqHqIeP_qcVuxCtosJEbg/edit?usp=sharing"",""ปราจีนบุรี!J387"")+IMPORTRANGE(""https://docs.googl"&amp;"e.com/spreadsheets/d/1BIDqLLg5jk3v59G8NlR8rk5xfQDKne0sAvZHSj7TI6I/edit?usp=sharing"",""พระนครศรีอยุธยา!J387"")+IMPORTRANGE(""https://docs.google.com/spreadsheets/d/1YXvxf8Yu6_rV4hTBrwMqAcAnv6DfhUxh5emyM3CJp_w/edit?usp=sharing"",""เพชรบุรี!J387"")+IMPORTRA"&amp;"NGE(""https://docs.google.com/spreadsheets/d/19KBlQQs7uwvsao6t2n-KvW3Ax8J8uRRfZPq1zPbXgKc/edit?usp=sharing"",""ระยอง!J387"")+IMPORTRANGE(""https://docs.google.com/spreadsheets/d/1jQ6P4QcrGM89YfqcC_PxOHGCMq5ezhucwJd8ci-NHng/edit?usp=sharing"",""ราชบุรี!J38"&amp;"7"")+IMPORTRANGE(""https://docs.google.com/spreadsheets/d/1lufeA2cfFqM-elVq2hznhDzC6Pr7wkJ9ZG_sYNGCMCU/edit?usp=sharing"",""ลพบุรี!J387"")+IMPORTRANGE(""https://docs.google.com/spreadsheets/d/10oOiF7loTyfsTkbd4MpaIm0HQ9SwB7IYHdIUvt-U1Uc/edit?usp=sharing"""&amp;",""สระแก้ว!J387"")+IMPORTRANGE(""https://docs.google.com/spreadsheets/d/1xmPlrr1QbdSIKvl1dWUl9K4PjAfSL9oeMr_37QVzcxc/edit?usp=sharing"",""สระบุรี!J387"")+IMPORTRANGE(""https://docs.google.com/spreadsheets/d/1j51vR6CYVGhABJpv6tkstgok82RLpXieLzW1yOY5rHw/edi"&amp;"t?usp=sharing"",""สิงห์บุรี!J387"")+IMPORTRANGE(""https://docs.google.com/spreadsheets/d/1H1EalTWKUSzO4Z1-1CwzoDUaVffgrThEBe2sl74kKG0/edit?usp=sharing"",""สุพรรณบุรี!J387"")+IMPORTRANGE(""https://docs.google.com/spreadsheets/d/1BmIruG_sIrJLYao_Pdr7zVArWsf"&amp;"oBt2692TMi6x_854/edit?usp=sharing"",""อ่างทอง!J387"")"),0)</f>
        <v>0</v>
      </c>
      <c r="K387" s="80">
        <f t="shared" ca="1" si="288"/>
        <v>0</v>
      </c>
      <c r="L387" s="90"/>
      <c r="M387" s="90"/>
      <c r="N387" s="90"/>
      <c r="O387" s="90"/>
      <c r="P387" s="90"/>
      <c r="Q387" s="89"/>
      <c r="R387" s="90"/>
      <c r="S387" s="90"/>
      <c r="T387" s="90"/>
      <c r="U387" s="90"/>
    </row>
    <row r="388" spans="1:21" ht="18.75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f ca="1">IFERROR(__xludf.DUMMYFUNCTION("IMPORTRANGE(""https://docs.google.com/spreadsheets/d/13wPX838HrBrQMCywv1BsuMkt4PEKTChp52zj44s2izQ/edit?usp=sharing"",""กาญจนบุรี!I388"")+IMPORTRANGE(""https://docs.google.com/spreadsheets/d/1ddFKvqj1W1NEiWytbGlB1zMx_ykJDVtmfEQ-6-lIUBA/edit?usp=sharing"","&amp;"""จันทบุรี!I388"")+IMPORTRANGE(""https://docs.google.com/spreadsheets/d/1T1PQvRODqOBZk8BRht_U031fIS1beLA0Ub2CEytj2q0/edit?usp=sharing"",""ฉะเชิงเทรา!I388"")+IMPORTRANGE(""https://docs.google.com/spreadsheets/d/11tr1B-Bhyr79v2bkwVh5h_fR-PStkgjlZtkrZpYurG0/"&amp;"edit?usp=sharing"",""ชลบุรี!I388"")+IMPORTRANGE(""https://docs.google.com/spreadsheets/d/1hh-FVnSX0vozXhGluamEcS54Dw9_zqW0N7qJUWgJ0Sw/edit?usp=sharing"",""ชัยนาท!I388"")+IMPORTRANGE(""https://docs.google.com/spreadsheets/d/1jkqa6GXxSacMcY1eN8AHjMNJ_7dDXMJ"&amp;"VRLDlaFSOdPM/edit?usp=sharing"",""ตราด!I388"")+IMPORTRANGE(""https://docs.google.com/spreadsheets/d/18hSgUJ3VwClqi_qtULmmW3cLr0oe3OKaSYoKzdpTsYQ/edit?usp=sharing"",""นครนายก!I388"")+IMPORTRANGE(""https://docs.google.com/spreadsheets/d/1YTZo6WM2dQ6Ix6FSdnL"&amp;"5P7uVnVKu40sxZu975tgG10E/edit?usp=sharing"",""นครปฐม!I388"")+IMPORTRANGE(""https://docs.google.com/spreadsheets/d/1OYoGg4WDg5RIzwGeB10padOxJF9E_Vljuvvct_M7RDo/edit?usp=sharing"",""ปทุมธานี!I388"")+IMPORTRANGE(""https://docs.google.com/spreadsheets/d/1GbCI"&amp;"E4D4wk9FUozzqk7SxfDMxDVBwVmI5zcaVUSzKAc/edit?usp=sharing"",""ประจวบคีรีขันธ์!I388"")+IMPORTRANGE(""https://docs.google.com/spreadsheets/d/1vVf6wykvW_lAyu7Yo9L4hUTqHqIeP_qcVuxCtosJEbg/edit?usp=sharing"",""ปราจีนบุรี!I388"")+IMPORTRANGE(""https://docs.googl"&amp;"e.com/spreadsheets/d/1BIDqLLg5jk3v59G8NlR8rk5xfQDKne0sAvZHSj7TI6I/edit?usp=sharing"",""พระนครศรีอยุธยา!I388"")+IMPORTRANGE(""https://docs.google.com/spreadsheets/d/1YXvxf8Yu6_rV4hTBrwMqAcAnv6DfhUxh5emyM3CJp_w/edit?usp=sharing"",""เพชรบุรี!I388"")+IMPORTRA"&amp;"NGE(""https://docs.google.com/spreadsheets/d/19KBlQQs7uwvsao6t2n-KvW3Ax8J8uRRfZPq1zPbXgKc/edit?usp=sharing"",""ระยอง!I388"")+IMPORTRANGE(""https://docs.google.com/spreadsheets/d/1jQ6P4QcrGM89YfqcC_PxOHGCMq5ezhucwJd8ci-NHng/edit?usp=sharing"",""ราชบุรี!I38"&amp;"8"")+IMPORTRANGE(""https://docs.google.com/spreadsheets/d/1lufeA2cfFqM-elVq2hznhDzC6Pr7wkJ9ZG_sYNGCMCU/edit?usp=sharing"",""ลพบุรี!I388"")+IMPORTRANGE(""https://docs.google.com/spreadsheets/d/10oOiF7loTyfsTkbd4MpaIm0HQ9SwB7IYHdIUvt-U1Uc/edit?usp=sharing"""&amp;",""สระแก้ว!I388"")+IMPORTRANGE(""https://docs.google.com/spreadsheets/d/1xmPlrr1QbdSIKvl1dWUl9K4PjAfSL9oeMr_37QVzcxc/edit?usp=sharing"",""สระบุรี!I388"")+IMPORTRANGE(""https://docs.google.com/spreadsheets/d/1j51vR6CYVGhABJpv6tkstgok82RLpXieLzW1yOY5rHw/edi"&amp;"t?usp=sharing"",""สิงห์บุรี!I388"")+IMPORTRANGE(""https://docs.google.com/spreadsheets/d/1H1EalTWKUSzO4Z1-1CwzoDUaVffgrThEBe2sl74kKG0/edit?usp=sharing"",""สุพรรณบุรี!I388"")+IMPORTRANGE(""https://docs.google.com/spreadsheets/d/1BmIruG_sIrJLYao_Pdr7zVArWsf"&amp;"oBt2692TMi6x_854/edit?usp=sharing"",""อ่างทอง!I388"")"),0)</f>
        <v>0</v>
      </c>
      <c r="J388" s="574">
        <f ca="1">IFERROR(__xludf.DUMMYFUNCTION("IMPORTRANGE(""https://docs.google.com/spreadsheets/d/13wPX838HrBrQMCywv1BsuMkt4PEKTChp52zj44s2izQ/edit?usp=sharing"",""กาญจนบุรี!J388"")+IMPORTRANGE(""https://docs.google.com/spreadsheets/d/1ddFKvqj1W1NEiWytbGlB1zMx_ykJDVtmfEQ-6-lIUBA/edit?usp=sharing"","&amp;"""จันทบุรี!J388"")+IMPORTRANGE(""https://docs.google.com/spreadsheets/d/1T1PQvRODqOBZk8BRht_U031fIS1beLA0Ub2CEytj2q0/edit?usp=sharing"",""ฉะเชิงเทรา!J388"")+IMPORTRANGE(""https://docs.google.com/spreadsheets/d/11tr1B-Bhyr79v2bkwVh5h_fR-PStkgjlZtkrZpYurG0/"&amp;"edit?usp=sharing"",""ชลบุรี!J388"")+IMPORTRANGE(""https://docs.google.com/spreadsheets/d/1hh-FVnSX0vozXhGluamEcS54Dw9_zqW0N7qJUWgJ0Sw/edit?usp=sharing"",""ชัยนาท!J388"")+IMPORTRANGE(""https://docs.google.com/spreadsheets/d/1jkqa6GXxSacMcY1eN8AHjMNJ_7dDXMJ"&amp;"VRLDlaFSOdPM/edit?usp=sharing"",""ตราด!J388"")+IMPORTRANGE(""https://docs.google.com/spreadsheets/d/18hSgUJ3VwClqi_qtULmmW3cLr0oe3OKaSYoKzdpTsYQ/edit?usp=sharing"",""นครนายก!J388"")+IMPORTRANGE(""https://docs.google.com/spreadsheets/d/1YTZo6WM2dQ6Ix6FSdnL"&amp;"5P7uVnVKu40sxZu975tgG10E/edit?usp=sharing"",""นครปฐม!J388"")+IMPORTRANGE(""https://docs.google.com/spreadsheets/d/1OYoGg4WDg5RIzwGeB10padOxJF9E_Vljuvvct_M7RDo/edit?usp=sharing"",""ปทุมธานี!J388"")+IMPORTRANGE(""https://docs.google.com/spreadsheets/d/1GbCI"&amp;"E4D4wk9FUozzqk7SxfDMxDVBwVmI5zcaVUSzKAc/edit?usp=sharing"",""ประจวบคีรีขันธ์!J388"")+IMPORTRANGE(""https://docs.google.com/spreadsheets/d/1vVf6wykvW_lAyu7Yo9L4hUTqHqIeP_qcVuxCtosJEbg/edit?usp=sharing"",""ปราจีนบุรี!J388"")+IMPORTRANGE(""https://docs.googl"&amp;"e.com/spreadsheets/d/1BIDqLLg5jk3v59G8NlR8rk5xfQDKne0sAvZHSj7TI6I/edit?usp=sharing"",""พระนครศรีอยุธยา!J388"")+IMPORTRANGE(""https://docs.google.com/spreadsheets/d/1YXvxf8Yu6_rV4hTBrwMqAcAnv6DfhUxh5emyM3CJp_w/edit?usp=sharing"",""เพชรบุรี!J388"")+IMPORTRA"&amp;"NGE(""https://docs.google.com/spreadsheets/d/19KBlQQs7uwvsao6t2n-KvW3Ax8J8uRRfZPq1zPbXgKc/edit?usp=sharing"",""ระยอง!J388"")+IMPORTRANGE(""https://docs.google.com/spreadsheets/d/1jQ6P4QcrGM89YfqcC_PxOHGCMq5ezhucwJd8ci-NHng/edit?usp=sharing"",""ราชบุรี!J38"&amp;"8"")+IMPORTRANGE(""https://docs.google.com/spreadsheets/d/1lufeA2cfFqM-elVq2hznhDzC6Pr7wkJ9ZG_sYNGCMCU/edit?usp=sharing"",""ลพบุรี!J388"")+IMPORTRANGE(""https://docs.google.com/spreadsheets/d/10oOiF7loTyfsTkbd4MpaIm0HQ9SwB7IYHdIUvt-U1Uc/edit?usp=sharing"""&amp;",""สระแก้ว!J388"")+IMPORTRANGE(""https://docs.google.com/spreadsheets/d/1xmPlrr1QbdSIKvl1dWUl9K4PjAfSL9oeMr_37QVzcxc/edit?usp=sharing"",""สระบุรี!J388"")+IMPORTRANGE(""https://docs.google.com/spreadsheets/d/1j51vR6CYVGhABJpv6tkstgok82RLpXieLzW1yOY5rHw/edi"&amp;"t?usp=sharing"",""สิงห์บุรี!J388"")+IMPORTRANGE(""https://docs.google.com/spreadsheets/d/1H1EalTWKUSzO4Z1-1CwzoDUaVffgrThEBe2sl74kKG0/edit?usp=sharing"",""สุพรรณบุรี!J388"")+IMPORTRANGE(""https://docs.google.com/spreadsheets/d/1BmIruG_sIrJLYao_Pdr7zVArWsf"&amp;"oBt2692TMi6x_854/edit?usp=sharing"",""อ่างทอง!J388"")"),0)</f>
        <v>0</v>
      </c>
      <c r="K388" s="80">
        <f t="shared" ca="1" si="288"/>
        <v>0</v>
      </c>
      <c r="L388" s="90"/>
      <c r="M388" s="90"/>
      <c r="N388" s="90"/>
      <c r="O388" s="90"/>
      <c r="P388" s="90"/>
      <c r="Q388" s="89"/>
      <c r="R388" s="90"/>
      <c r="S388" s="90"/>
      <c r="T388" s="90"/>
      <c r="U388" s="90"/>
    </row>
    <row r="389" spans="1:21" ht="12.75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592">
        <f t="shared" ref="I391:J391" si="289">I402</f>
        <v>0</v>
      </c>
      <c r="J391" s="592">
        <f t="shared" si="289"/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x14ac:dyDescent="0.3">
      <c r="A392" s="259"/>
      <c r="B392" s="271"/>
      <c r="C392" s="280" t="s">
        <v>18</v>
      </c>
      <c r="D392" s="570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 t="shared" ref="L392:N392" ca="1" si="290">L393+L394</f>
        <v>0</v>
      </c>
      <c r="M392" s="266">
        <f t="shared" ca="1" si="290"/>
        <v>0</v>
      </c>
      <c r="N392" s="266">
        <f t="shared" ca="1" si="290"/>
        <v>0</v>
      </c>
      <c r="O392" s="266">
        <f t="shared" ref="O392:O400" ca="1" si="291">IF(L392&gt;0,N392*100/L392,0)</f>
        <v>0</v>
      </c>
      <c r="P392" s="266">
        <f t="shared" ref="P392:P400" ca="1" si="292">IF(M392&gt;0,N392*100/M392,0)</f>
        <v>0</v>
      </c>
      <c r="Q392" s="216">
        <f t="shared" ref="Q392:S392" ca="1" si="293">Q393+Q394</f>
        <v>0</v>
      </c>
      <c r="R392" s="217">
        <f t="shared" ca="1" si="293"/>
        <v>0</v>
      </c>
      <c r="S392" s="217">
        <f t="shared" ca="1" si="293"/>
        <v>0</v>
      </c>
      <c r="T392" s="217">
        <f t="shared" ref="T392:T400" ca="1" si="294">IF(Q392&gt;0,S392*100/Q392,0)</f>
        <v>0</v>
      </c>
      <c r="U392" s="217">
        <f t="shared" ref="U392:U400" ca="1" si="295">IF(R392&gt;0,S392*100/R392,0)</f>
        <v>0</v>
      </c>
    </row>
    <row r="393" spans="1:21" ht="18.75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 t="shared" ref="L393:N393" ca="1" si="296">L396+L399</f>
        <v>0</v>
      </c>
      <c r="M393" s="80">
        <f t="shared" ca="1" si="296"/>
        <v>0</v>
      </c>
      <c r="N393" s="80">
        <f t="shared" ca="1" si="296"/>
        <v>0</v>
      </c>
      <c r="O393" s="80">
        <f t="shared" ca="1" si="291"/>
        <v>0</v>
      </c>
      <c r="P393" s="80">
        <f t="shared" ca="1" si="292"/>
        <v>0</v>
      </c>
      <c r="Q393" s="219">
        <f t="shared" ref="Q393:S393" ca="1" si="297">Q396+Q399</f>
        <v>0</v>
      </c>
      <c r="R393" s="136">
        <f t="shared" ca="1" si="297"/>
        <v>0</v>
      </c>
      <c r="S393" s="136">
        <f t="shared" ca="1" si="297"/>
        <v>0</v>
      </c>
      <c r="T393" s="136">
        <f t="shared" ca="1" si="294"/>
        <v>0</v>
      </c>
      <c r="U393" s="136">
        <f t="shared" ca="1" si="295"/>
        <v>0</v>
      </c>
    </row>
    <row r="394" spans="1:21" ht="18.75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 t="shared" ref="L394:N394" ca="1" si="298">L397+L400</f>
        <v>0</v>
      </c>
      <c r="M394" s="77">
        <f t="shared" ca="1" si="298"/>
        <v>0</v>
      </c>
      <c r="N394" s="77">
        <f t="shared" ca="1" si="298"/>
        <v>0</v>
      </c>
      <c r="O394" s="77">
        <f t="shared" ca="1" si="291"/>
        <v>0</v>
      </c>
      <c r="P394" s="77">
        <f t="shared" ca="1" si="292"/>
        <v>0</v>
      </c>
      <c r="Q394" s="134">
        <f t="shared" ref="Q394:S394" ca="1" si="299">Q397+Q400</f>
        <v>0</v>
      </c>
      <c r="R394" s="135">
        <f t="shared" ca="1" si="299"/>
        <v>0</v>
      </c>
      <c r="S394" s="135">
        <f t="shared" ca="1" si="299"/>
        <v>0</v>
      </c>
      <c r="T394" s="135">
        <f t="shared" ca="1" si="294"/>
        <v>0</v>
      </c>
      <c r="U394" s="135">
        <f t="shared" ca="1" si="295"/>
        <v>0</v>
      </c>
    </row>
    <row r="395" spans="1:21" ht="18.75" x14ac:dyDescent="0.25">
      <c r="A395" s="259"/>
      <c r="B395" s="271"/>
      <c r="C395" s="271"/>
      <c r="D395" s="276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 t="shared" ref="L395:N395" ca="1" si="300">L396+L397</f>
        <v>0</v>
      </c>
      <c r="M395" s="77">
        <f t="shared" ca="1" si="300"/>
        <v>0</v>
      </c>
      <c r="N395" s="77">
        <f t="shared" ca="1" si="300"/>
        <v>0</v>
      </c>
      <c r="O395" s="77">
        <f t="shared" ca="1" si="291"/>
        <v>0</v>
      </c>
      <c r="P395" s="77">
        <f t="shared" ca="1" si="292"/>
        <v>0</v>
      </c>
      <c r="Q395" s="134">
        <f t="shared" ref="Q395:S395" ca="1" si="301">Q396+Q397</f>
        <v>0</v>
      </c>
      <c r="R395" s="135">
        <f t="shared" ca="1" si="301"/>
        <v>0</v>
      </c>
      <c r="S395" s="135">
        <f t="shared" ca="1" si="301"/>
        <v>0</v>
      </c>
      <c r="T395" s="135">
        <f t="shared" ca="1" si="294"/>
        <v>0</v>
      </c>
      <c r="U395" s="135">
        <f t="shared" ca="1" si="295"/>
        <v>0</v>
      </c>
    </row>
    <row r="396" spans="1:21" ht="18.75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f ca="1">IFERROR(__xludf.DUMMYFUNCTION("IMPORTRANGE(""https://docs.google.com/spreadsheets/d/13wPX838HrBrQMCywv1BsuMkt4PEKTChp52zj44s2izQ/edit?usp=sharing"",""กาญจนบุรี!L396"")+IMPORTRANGE(""https://docs.google.com/spreadsheets/d/1ddFKvqj1W1NEiWytbGlB1zMx_ykJDVtmfEQ-6-lIUBA/edit?usp=sharing"","&amp;"""จันทบุรี!L396"")+IMPORTRANGE(""https://docs.google.com/spreadsheets/d/1T1PQvRODqOBZk8BRht_U031fIS1beLA0Ub2CEytj2q0/edit?usp=sharing"",""ฉะเชิงเทรา!L396"")+IMPORTRANGE(""https://docs.google.com/spreadsheets/d/11tr1B-Bhyr79v2bkwVh5h_fR-PStkgjlZtkrZpYurG0/"&amp;"edit?usp=sharing"",""ชลบุรี!L396"")+IMPORTRANGE(""https://docs.google.com/spreadsheets/d/1hh-FVnSX0vozXhGluamEcS54Dw9_zqW0N7qJUWgJ0Sw/edit?usp=sharing"",""ชัยนาท!L396"")+IMPORTRANGE(""https://docs.google.com/spreadsheets/d/1jkqa6GXxSacMcY1eN8AHjMNJ_7dDXMJ"&amp;"VRLDlaFSOdPM/edit?usp=sharing"",""ตราด!L396"")+IMPORTRANGE(""https://docs.google.com/spreadsheets/d/18hSgUJ3VwClqi_qtULmmW3cLr0oe3OKaSYoKzdpTsYQ/edit?usp=sharing"",""นครนายก!L396"")+IMPORTRANGE(""https://docs.google.com/spreadsheets/d/1YTZo6WM2dQ6Ix6FSdnL"&amp;"5P7uVnVKu40sxZu975tgG10E/edit?usp=sharing"",""นครปฐม!L396"")+IMPORTRANGE(""https://docs.google.com/spreadsheets/d/1OYoGg4WDg5RIzwGeB10padOxJF9E_Vljuvvct_M7RDo/edit?usp=sharing"",""ปทุมธานี!L396"")+IMPORTRANGE(""https://docs.google.com/spreadsheets/d/1GbCI"&amp;"E4D4wk9FUozzqk7SxfDMxDVBwVmI5zcaVUSzKAc/edit?usp=sharing"",""ประจวบคีรีขันธ์!L396"")+IMPORTRANGE(""https://docs.google.com/spreadsheets/d/1vVf6wykvW_lAyu7Yo9L4hUTqHqIeP_qcVuxCtosJEbg/edit?usp=sharing"",""ปราจีนบุรี!L396"")+IMPORTRANGE(""https://docs.googl"&amp;"e.com/spreadsheets/d/1BIDqLLg5jk3v59G8NlR8rk5xfQDKne0sAvZHSj7TI6I/edit?usp=sharing"",""พระนครศรีอยุธยา!L396"")+IMPORTRANGE(""https://docs.google.com/spreadsheets/d/1YXvxf8Yu6_rV4hTBrwMqAcAnv6DfhUxh5emyM3CJp_w/edit?usp=sharing"",""เพชรบุรี!L396"")+IMPORTRA"&amp;"NGE(""https://docs.google.com/spreadsheets/d/19KBlQQs7uwvsao6t2n-KvW3Ax8J8uRRfZPq1zPbXgKc/edit?usp=sharing"",""ระยอง!L396"")+IMPORTRANGE(""https://docs.google.com/spreadsheets/d/1jQ6P4QcrGM89YfqcC_PxOHGCMq5ezhucwJd8ci-NHng/edit?usp=sharing"",""ราชบุรี!L39"&amp;"6"")+IMPORTRANGE(""https://docs.google.com/spreadsheets/d/1lufeA2cfFqM-elVq2hznhDzC6Pr7wkJ9ZG_sYNGCMCU/edit?usp=sharing"",""ลพบุรี!L396"")+IMPORTRANGE(""https://docs.google.com/spreadsheets/d/10oOiF7loTyfsTkbd4MpaIm0HQ9SwB7IYHdIUvt-U1Uc/edit?usp=sharing"""&amp;",""สระแก้ว!L396"")+IMPORTRANGE(""https://docs.google.com/spreadsheets/d/1xmPlrr1QbdSIKvl1dWUl9K4PjAfSL9oeMr_37QVzcxc/edit?usp=sharing"",""สระบุรี!L396"")+IMPORTRANGE(""https://docs.google.com/spreadsheets/d/1j51vR6CYVGhABJpv6tkstgok82RLpXieLzW1yOY5rHw/edi"&amp;"t?usp=sharing"",""สิงห์บุรี!L396"")+IMPORTRANGE(""https://docs.google.com/spreadsheets/d/1H1EalTWKUSzO4Z1-1CwzoDUaVffgrThEBe2sl74kKG0/edit?usp=sharing"",""สุพรรณบุรี!L396"")+IMPORTRANGE(""https://docs.google.com/spreadsheets/d/1BmIruG_sIrJLYao_Pdr7zVArWsf"&amp;"oBt2692TMi6x_854/edit?usp=sharing"",""อ่างทอง!L396"")"),0)</f>
        <v>0</v>
      </c>
      <c r="M396" s="80">
        <f ca="1">IFERROR(__xludf.DUMMYFUNCTION("IMPORTRANGE(""https://docs.google.com/spreadsheets/d/13wPX838HrBrQMCywv1BsuMkt4PEKTChp52zj44s2izQ/edit?usp=sharing"",""กาญจนบุรี!M396"")+IMPORTRANGE(""https://docs.google.com/spreadsheets/d/1ddFKvqj1W1NEiWytbGlB1zMx_ykJDVtmfEQ-6-lIUBA/edit?usp=sharing"","&amp;"""จันทบุรี!M396"")+IMPORTRANGE(""https://docs.google.com/spreadsheets/d/1T1PQvRODqOBZk8BRht_U031fIS1beLA0Ub2CEytj2q0/edit?usp=sharing"",""ฉะเชิงเทรา!M396"")+IMPORTRANGE(""https://docs.google.com/spreadsheets/d/11tr1B-Bhyr79v2bkwVh5h_fR-PStkgjlZtkrZpYurG0/"&amp;"edit?usp=sharing"",""ชลบุรี!M396"")+IMPORTRANGE(""https://docs.google.com/spreadsheets/d/1hh-FVnSX0vozXhGluamEcS54Dw9_zqW0N7qJUWgJ0Sw/edit?usp=sharing"",""ชัยนาท!M396"")+IMPORTRANGE(""https://docs.google.com/spreadsheets/d/1jkqa6GXxSacMcY1eN8AHjMNJ_7dDXMJ"&amp;"VRLDlaFSOdPM/edit?usp=sharing"",""ตราด!M396"")+IMPORTRANGE(""https://docs.google.com/spreadsheets/d/18hSgUJ3VwClqi_qtULmmW3cLr0oe3OKaSYoKzdpTsYQ/edit?usp=sharing"",""นครนายก!M396"")+IMPORTRANGE(""https://docs.google.com/spreadsheets/d/1YTZo6WM2dQ6Ix6FSdnL"&amp;"5P7uVnVKu40sxZu975tgG10E/edit?usp=sharing"",""นครปฐม!M396"")+IMPORTRANGE(""https://docs.google.com/spreadsheets/d/1OYoGg4WDg5RIzwGeB10padOxJF9E_Vljuvvct_M7RDo/edit?usp=sharing"",""ปทุมธานี!M396"")+IMPORTRANGE(""https://docs.google.com/spreadsheets/d/1GbCI"&amp;"E4D4wk9FUozzqk7SxfDMxDVBwVmI5zcaVUSzKAc/edit?usp=sharing"",""ประจวบคีรีขันธ์!M396"")+IMPORTRANGE(""https://docs.google.com/spreadsheets/d/1vVf6wykvW_lAyu7Yo9L4hUTqHqIeP_qcVuxCtosJEbg/edit?usp=sharing"",""ปราจีนบุรี!M396"")+IMPORTRANGE(""https://docs.googl"&amp;"e.com/spreadsheets/d/1BIDqLLg5jk3v59G8NlR8rk5xfQDKne0sAvZHSj7TI6I/edit?usp=sharing"",""พระนครศรีอยุธยา!M396"")+IMPORTRANGE(""https://docs.google.com/spreadsheets/d/1YXvxf8Yu6_rV4hTBrwMqAcAnv6DfhUxh5emyM3CJp_w/edit?usp=sharing"",""เพชรบุรี!M396"")+IMPORTRA"&amp;"NGE(""https://docs.google.com/spreadsheets/d/19KBlQQs7uwvsao6t2n-KvW3Ax8J8uRRfZPq1zPbXgKc/edit?usp=sharing"",""ระยอง!M396"")+IMPORTRANGE(""https://docs.google.com/spreadsheets/d/1jQ6P4QcrGM89YfqcC_PxOHGCMq5ezhucwJd8ci-NHng/edit?usp=sharing"",""ราชบุรี!M39"&amp;"6"")+IMPORTRANGE(""https://docs.google.com/spreadsheets/d/1lufeA2cfFqM-elVq2hznhDzC6Pr7wkJ9ZG_sYNGCMCU/edit?usp=sharing"",""ลพบุรี!M396"")+IMPORTRANGE(""https://docs.google.com/spreadsheets/d/10oOiF7loTyfsTkbd4MpaIm0HQ9SwB7IYHdIUvt-U1Uc/edit?usp=sharing"""&amp;",""สระแก้ว!M396"")+IMPORTRANGE(""https://docs.google.com/spreadsheets/d/1xmPlrr1QbdSIKvl1dWUl9K4PjAfSL9oeMr_37QVzcxc/edit?usp=sharing"",""สระบุรี!M396"")+IMPORTRANGE(""https://docs.google.com/spreadsheets/d/1j51vR6CYVGhABJpv6tkstgok82RLpXieLzW1yOY5rHw/edi"&amp;"t?usp=sharing"",""สิงห์บุรี!M396"")+IMPORTRANGE(""https://docs.google.com/spreadsheets/d/1H1EalTWKUSzO4Z1-1CwzoDUaVffgrThEBe2sl74kKG0/edit?usp=sharing"",""สุพรรณบุรี!M396"")+IMPORTRANGE(""https://docs.google.com/spreadsheets/d/1BmIruG_sIrJLYao_Pdr7zVArWsf"&amp;"oBt2692TMi6x_854/edit?usp=sharing"",""อ่างทอง!M396"")"),0)</f>
        <v>0</v>
      </c>
      <c r="N396" s="80">
        <f ca="1">IFERROR(__xludf.DUMMYFUNCTION("IMPORTRANGE(""https://docs.google.com/spreadsheets/d/13wPX838HrBrQMCywv1BsuMkt4PEKTChp52zj44s2izQ/edit?usp=sharing"",""กาญจนบุรี!N396"")+IMPORTRANGE(""https://docs.google.com/spreadsheets/d/1ddFKvqj1W1NEiWytbGlB1zMx_ykJDVtmfEQ-6-lIUBA/edit?usp=sharing"","&amp;"""จันทบุรี!N396"")+IMPORTRANGE(""https://docs.google.com/spreadsheets/d/1T1PQvRODqOBZk8BRht_U031fIS1beLA0Ub2CEytj2q0/edit?usp=sharing"",""ฉะเชิงเทรา!N396"")+IMPORTRANGE(""https://docs.google.com/spreadsheets/d/11tr1B-Bhyr79v2bkwVh5h_fR-PStkgjlZtkrZpYurG0/"&amp;"edit?usp=sharing"",""ชลบุรี!N396"")+IMPORTRANGE(""https://docs.google.com/spreadsheets/d/1hh-FVnSX0vozXhGluamEcS54Dw9_zqW0N7qJUWgJ0Sw/edit?usp=sharing"",""ชัยนาท!N396"")+IMPORTRANGE(""https://docs.google.com/spreadsheets/d/1jkqa6GXxSacMcY1eN8AHjMNJ_7dDXMJ"&amp;"VRLDlaFSOdPM/edit?usp=sharing"",""ตราด!N396"")+IMPORTRANGE(""https://docs.google.com/spreadsheets/d/18hSgUJ3VwClqi_qtULmmW3cLr0oe3OKaSYoKzdpTsYQ/edit?usp=sharing"",""นครนายก!N396"")+IMPORTRANGE(""https://docs.google.com/spreadsheets/d/1YTZo6WM2dQ6Ix6FSdnL"&amp;"5P7uVnVKu40sxZu975tgG10E/edit?usp=sharing"",""นครปฐม!N396"")+IMPORTRANGE(""https://docs.google.com/spreadsheets/d/1OYoGg4WDg5RIzwGeB10padOxJF9E_Vljuvvct_M7RDo/edit?usp=sharing"",""ปทุมธานี!N396"")+IMPORTRANGE(""https://docs.google.com/spreadsheets/d/1GbCI"&amp;"E4D4wk9FUozzqk7SxfDMxDVBwVmI5zcaVUSzKAc/edit?usp=sharing"",""ประจวบคีรีขันธ์!N396"")+IMPORTRANGE(""https://docs.google.com/spreadsheets/d/1vVf6wykvW_lAyu7Yo9L4hUTqHqIeP_qcVuxCtosJEbg/edit?usp=sharing"",""ปราจีนบุรี!N396"")+IMPORTRANGE(""https://docs.googl"&amp;"e.com/spreadsheets/d/1BIDqLLg5jk3v59G8NlR8rk5xfQDKne0sAvZHSj7TI6I/edit?usp=sharing"",""พระนครศรีอยุธยา!N396"")+IMPORTRANGE(""https://docs.google.com/spreadsheets/d/1YXvxf8Yu6_rV4hTBrwMqAcAnv6DfhUxh5emyM3CJp_w/edit?usp=sharing"",""เพชรบุรี!N396"")+IMPORTRA"&amp;"NGE(""https://docs.google.com/spreadsheets/d/19KBlQQs7uwvsao6t2n-KvW3Ax8J8uRRfZPq1zPbXgKc/edit?usp=sharing"",""ระยอง!N396"")+IMPORTRANGE(""https://docs.google.com/spreadsheets/d/1jQ6P4QcrGM89YfqcC_PxOHGCMq5ezhucwJd8ci-NHng/edit?usp=sharing"",""ราชบุรี!N39"&amp;"6"")+IMPORTRANGE(""https://docs.google.com/spreadsheets/d/1lufeA2cfFqM-elVq2hznhDzC6Pr7wkJ9ZG_sYNGCMCU/edit?usp=sharing"",""ลพบุรี!N396"")+IMPORTRANGE(""https://docs.google.com/spreadsheets/d/10oOiF7loTyfsTkbd4MpaIm0HQ9SwB7IYHdIUvt-U1Uc/edit?usp=sharing"""&amp;",""สระแก้ว!N396"")+IMPORTRANGE(""https://docs.google.com/spreadsheets/d/1xmPlrr1QbdSIKvl1dWUl9K4PjAfSL9oeMr_37QVzcxc/edit?usp=sharing"",""สระบุรี!N396"")+IMPORTRANGE(""https://docs.google.com/spreadsheets/d/1j51vR6CYVGhABJpv6tkstgok82RLpXieLzW1yOY5rHw/edi"&amp;"t?usp=sharing"",""สิงห์บุรี!N396"")+IMPORTRANGE(""https://docs.google.com/spreadsheets/d/1H1EalTWKUSzO4Z1-1CwzoDUaVffgrThEBe2sl74kKG0/edit?usp=sharing"",""สุพรรณบุรี!N396"")+IMPORTRANGE(""https://docs.google.com/spreadsheets/d/1BmIruG_sIrJLYao_Pdr7zVArWsf"&amp;"oBt2692TMi6x_854/edit?usp=sharing"",""อ่างทอง!N396"")"),0)</f>
        <v>0</v>
      </c>
      <c r="O396" s="80">
        <f t="shared" ca="1" si="291"/>
        <v>0</v>
      </c>
      <c r="P396" s="80">
        <f t="shared" ca="1" si="292"/>
        <v>0</v>
      </c>
      <c r="Q396" s="79">
        <f ca="1">IFERROR(__xludf.DUMMYFUNCTION("IMPORTRANGE(""https://docs.google.com/spreadsheets/d/13wPX838HrBrQMCywv1BsuMkt4PEKTChp52zj44s2izQ/edit?usp=sharing"",""กาญจนบุรี!Q396"")+IMPORTRANGE(""https://docs.google.com/spreadsheets/d/1ddFKvqj1W1NEiWytbGlB1zMx_ykJDVtmfEQ-6-lIUBA/edit?usp=sharing"","&amp;"""จันทบุรี!Q396"")+IMPORTRANGE(""https://docs.google.com/spreadsheets/d/1T1PQvRODqOBZk8BRht_U031fIS1beLA0Ub2CEytj2q0/edit?usp=sharing"",""ฉะเชิงเทรา!Q396"")+IMPORTRANGE(""https://docs.google.com/spreadsheets/d/11tr1B-Bhyr79v2bkwVh5h_fR-PStkgjlZtkrZpYurG0/"&amp;"edit?usp=sharing"",""ชลบุรี!Q396"")+IMPORTRANGE(""https://docs.google.com/spreadsheets/d/1hh-FVnSX0vozXhGluamEcS54Dw9_zqW0N7qJUWgJ0Sw/edit?usp=sharing"",""ชัยนาท!Q396"")+IMPORTRANGE(""https://docs.google.com/spreadsheets/d/1jkqa6GXxSacMcY1eN8AHjMNJ_7dDXMJ"&amp;"VRLDlaFSOdPM/edit?usp=sharing"",""ตราด!Q396"")+IMPORTRANGE(""https://docs.google.com/spreadsheets/d/18hSgUJ3VwClqi_qtULmmW3cLr0oe3OKaSYoKzdpTsYQ/edit?usp=sharing"",""นครนายก!Q396"")+IMPORTRANGE(""https://docs.google.com/spreadsheets/d/1YTZo6WM2dQ6Ix6FSdnL"&amp;"5P7uVnVKu40sxZu975tgG10E/edit?usp=sharing"",""นครปฐม!Q396"")+IMPORTRANGE(""https://docs.google.com/spreadsheets/d/1OYoGg4WDg5RIzwGeB10padOxJF9E_Vljuvvct_M7RDo/edit?usp=sharing"",""ปทุมธานี!Q396"")+IMPORTRANGE(""https://docs.google.com/spreadsheets/d/1GbCI"&amp;"E4D4wk9FUozzqk7SxfDMxDVBwVmI5zcaVUSzKAc/edit?usp=sharing"",""ประจวบคีรีขันธ์!Q396"")+IMPORTRANGE(""https://docs.google.com/spreadsheets/d/1vVf6wykvW_lAyu7Yo9L4hUTqHqIeP_qcVuxCtosJEbg/edit?usp=sharing"",""ปราจีนบุรี!Q396"")+IMPORTRANGE(""https://docs.googl"&amp;"e.com/spreadsheets/d/1BIDqLLg5jk3v59G8NlR8rk5xfQDKne0sAvZHSj7TI6I/edit?usp=sharing"",""พระนครศรีอยุธยา!Q396"")+IMPORTRANGE(""https://docs.google.com/spreadsheets/d/1YXvxf8Yu6_rV4hTBrwMqAcAnv6DfhUxh5emyM3CJp_w/edit?usp=sharing"",""เพชรบุรี!Q396"")+IMPORTRA"&amp;"NGE(""https://docs.google.com/spreadsheets/d/19KBlQQs7uwvsao6t2n-KvW3Ax8J8uRRfZPq1zPbXgKc/edit?usp=sharing"",""ระยอง!Q396"")+IMPORTRANGE(""https://docs.google.com/spreadsheets/d/1jQ6P4QcrGM89YfqcC_PxOHGCMq5ezhucwJd8ci-NHng/edit?usp=sharing"",""ราชบุรี!Q39"&amp;"6"")+IMPORTRANGE(""https://docs.google.com/spreadsheets/d/1lufeA2cfFqM-elVq2hznhDzC6Pr7wkJ9ZG_sYNGCMCU/edit?usp=sharing"",""ลพบุรี!Q396"")+IMPORTRANGE(""https://docs.google.com/spreadsheets/d/10oOiF7loTyfsTkbd4MpaIm0HQ9SwB7IYHdIUvt-U1Uc/edit?usp=sharing"""&amp;",""สระแก้ว!Q396"")+IMPORTRANGE(""https://docs.google.com/spreadsheets/d/1xmPlrr1QbdSIKvl1dWUl9K4PjAfSL9oeMr_37QVzcxc/edit?usp=sharing"",""สระบุรี!Q396"")+IMPORTRANGE(""https://docs.google.com/spreadsheets/d/1j51vR6CYVGhABJpv6tkstgok82RLpXieLzW1yOY5rHw/edi"&amp;"t?usp=sharing"",""สิงห์บุรี!Q396"")+IMPORTRANGE(""https://docs.google.com/spreadsheets/d/1H1EalTWKUSzO4Z1-1CwzoDUaVffgrThEBe2sl74kKG0/edit?usp=sharing"",""สุพรรณบุรี!Q396"")+IMPORTRANGE(""https://docs.google.com/spreadsheets/d/1BmIruG_sIrJLYao_Pdr7zVArWsf"&amp;"oBt2692TMi6x_854/edit?usp=sharing"",""อ่างทอง!Q396"")"),0)</f>
        <v>0</v>
      </c>
      <c r="R396" s="80">
        <f ca="1">IFERROR(__xludf.DUMMYFUNCTION("IMPORTRANGE(""https://docs.google.com/spreadsheets/d/13wPX838HrBrQMCywv1BsuMkt4PEKTChp52zj44s2izQ/edit?usp=sharing"",""กาญจนบุรี!R396"")+IMPORTRANGE(""https://docs.google.com/spreadsheets/d/1ddFKvqj1W1NEiWytbGlB1zMx_ykJDVtmfEQ-6-lIUBA/edit?usp=sharing"","&amp;"""จันทบุรี!R396"")+IMPORTRANGE(""https://docs.google.com/spreadsheets/d/1T1PQvRODqOBZk8BRht_U031fIS1beLA0Ub2CEytj2q0/edit?usp=sharing"",""ฉะเชิงเทรา!R396"")+IMPORTRANGE(""https://docs.google.com/spreadsheets/d/11tr1B-Bhyr79v2bkwVh5h_fR-PStkgjlZtkrZpYurG0/"&amp;"edit?usp=sharing"",""ชลบุรี!R396"")+IMPORTRANGE(""https://docs.google.com/spreadsheets/d/1hh-FVnSX0vozXhGluamEcS54Dw9_zqW0N7qJUWgJ0Sw/edit?usp=sharing"",""ชัยนาท!R396"")+IMPORTRANGE(""https://docs.google.com/spreadsheets/d/1jkqa6GXxSacMcY1eN8AHjMNJ_7dDXMJ"&amp;"VRLDlaFSOdPM/edit?usp=sharing"",""ตราด!R396"")+IMPORTRANGE(""https://docs.google.com/spreadsheets/d/18hSgUJ3VwClqi_qtULmmW3cLr0oe3OKaSYoKzdpTsYQ/edit?usp=sharing"",""นครนายก!R396"")+IMPORTRANGE(""https://docs.google.com/spreadsheets/d/1YTZo6WM2dQ6Ix6FSdnL"&amp;"5P7uVnVKu40sxZu975tgG10E/edit?usp=sharing"",""นครปฐม!R396"")+IMPORTRANGE(""https://docs.google.com/spreadsheets/d/1OYoGg4WDg5RIzwGeB10padOxJF9E_Vljuvvct_M7RDo/edit?usp=sharing"",""ปทุมธานี!R396"")+IMPORTRANGE(""https://docs.google.com/spreadsheets/d/1GbCI"&amp;"E4D4wk9FUozzqk7SxfDMxDVBwVmI5zcaVUSzKAc/edit?usp=sharing"",""ประจวบคีรีขันธ์!R396"")+IMPORTRANGE(""https://docs.google.com/spreadsheets/d/1vVf6wykvW_lAyu7Yo9L4hUTqHqIeP_qcVuxCtosJEbg/edit?usp=sharing"",""ปราจีนบุรี!R396"")+IMPORTRANGE(""https://docs.googl"&amp;"e.com/spreadsheets/d/1BIDqLLg5jk3v59G8NlR8rk5xfQDKne0sAvZHSj7TI6I/edit?usp=sharing"",""พระนครศรีอยุธยา!R396"")+IMPORTRANGE(""https://docs.google.com/spreadsheets/d/1YXvxf8Yu6_rV4hTBrwMqAcAnv6DfhUxh5emyM3CJp_w/edit?usp=sharing"",""เพชรบุรี!R396"")+IMPORTRA"&amp;"NGE(""https://docs.google.com/spreadsheets/d/19KBlQQs7uwvsao6t2n-KvW3Ax8J8uRRfZPq1zPbXgKc/edit?usp=sharing"",""ระยอง!R396"")+IMPORTRANGE(""https://docs.google.com/spreadsheets/d/1jQ6P4QcrGM89YfqcC_PxOHGCMq5ezhucwJd8ci-NHng/edit?usp=sharing"",""ราชบุรี!R39"&amp;"6"")+IMPORTRANGE(""https://docs.google.com/spreadsheets/d/1lufeA2cfFqM-elVq2hznhDzC6Pr7wkJ9ZG_sYNGCMCU/edit?usp=sharing"",""ลพบุรี!R396"")+IMPORTRANGE(""https://docs.google.com/spreadsheets/d/10oOiF7loTyfsTkbd4MpaIm0HQ9SwB7IYHdIUvt-U1Uc/edit?usp=sharing"""&amp;",""สระแก้ว!R396"")+IMPORTRANGE(""https://docs.google.com/spreadsheets/d/1xmPlrr1QbdSIKvl1dWUl9K4PjAfSL9oeMr_37QVzcxc/edit?usp=sharing"",""สระบุรี!R396"")+IMPORTRANGE(""https://docs.google.com/spreadsheets/d/1j51vR6CYVGhABJpv6tkstgok82RLpXieLzW1yOY5rHw/edi"&amp;"t?usp=sharing"",""สิงห์บุรี!R396"")+IMPORTRANGE(""https://docs.google.com/spreadsheets/d/1H1EalTWKUSzO4Z1-1CwzoDUaVffgrThEBe2sl74kKG0/edit?usp=sharing"",""สุพรรณบุรี!R396"")+IMPORTRANGE(""https://docs.google.com/spreadsheets/d/1BmIruG_sIrJLYao_Pdr7zVArWsf"&amp;"oBt2692TMi6x_854/edit?usp=sharing"",""อ่างทอง!R396"")"),0)</f>
        <v>0</v>
      </c>
      <c r="S396" s="80">
        <f ca="1">IFERROR(__xludf.DUMMYFUNCTION("IMPORTRANGE(""https://docs.google.com/spreadsheets/d/13wPX838HrBrQMCywv1BsuMkt4PEKTChp52zj44s2izQ/edit?usp=sharing"",""กาญจนบุรี!S396"")+IMPORTRANGE(""https://docs.google.com/spreadsheets/d/1ddFKvqj1W1NEiWytbGlB1zMx_ykJDVtmfEQ-6-lIUBA/edit?usp=sharing"","&amp;"""จันทบุรี!S396"")+IMPORTRANGE(""https://docs.google.com/spreadsheets/d/1T1PQvRODqOBZk8BRht_U031fIS1beLA0Ub2CEytj2q0/edit?usp=sharing"",""ฉะเชิงเทรา!S396"")+IMPORTRANGE(""https://docs.google.com/spreadsheets/d/11tr1B-Bhyr79v2bkwVh5h_fR-PStkgjlZtkrZpYurG0/"&amp;"edit?usp=sharing"",""ชลบุรี!S396"")+IMPORTRANGE(""https://docs.google.com/spreadsheets/d/1hh-FVnSX0vozXhGluamEcS54Dw9_zqW0N7qJUWgJ0Sw/edit?usp=sharing"",""ชัยนาท!S396"")+IMPORTRANGE(""https://docs.google.com/spreadsheets/d/1jkqa6GXxSacMcY1eN8AHjMNJ_7dDXMJ"&amp;"VRLDlaFSOdPM/edit?usp=sharing"",""ตราด!S396"")+IMPORTRANGE(""https://docs.google.com/spreadsheets/d/18hSgUJ3VwClqi_qtULmmW3cLr0oe3OKaSYoKzdpTsYQ/edit?usp=sharing"",""นครนายก!S396"")+IMPORTRANGE(""https://docs.google.com/spreadsheets/d/1YTZo6WM2dQ6Ix6FSdnL"&amp;"5P7uVnVKu40sxZu975tgG10E/edit?usp=sharing"",""นครปฐม!S396"")+IMPORTRANGE(""https://docs.google.com/spreadsheets/d/1OYoGg4WDg5RIzwGeB10padOxJF9E_Vljuvvct_M7RDo/edit?usp=sharing"",""ปทุมธานี!S396"")+IMPORTRANGE(""https://docs.google.com/spreadsheets/d/1GbCI"&amp;"E4D4wk9FUozzqk7SxfDMxDVBwVmI5zcaVUSzKAc/edit?usp=sharing"",""ประจวบคีรีขันธ์!S396"")+IMPORTRANGE(""https://docs.google.com/spreadsheets/d/1vVf6wykvW_lAyu7Yo9L4hUTqHqIeP_qcVuxCtosJEbg/edit?usp=sharing"",""ปราจีนบุรี!S396"")+IMPORTRANGE(""https://docs.googl"&amp;"e.com/spreadsheets/d/1BIDqLLg5jk3v59G8NlR8rk5xfQDKne0sAvZHSj7TI6I/edit?usp=sharing"",""พระนครศรีอยุธยา!S396"")+IMPORTRANGE(""https://docs.google.com/spreadsheets/d/1YXvxf8Yu6_rV4hTBrwMqAcAnv6DfhUxh5emyM3CJp_w/edit?usp=sharing"",""เพชรบุรี!S396"")+IMPORTRA"&amp;"NGE(""https://docs.google.com/spreadsheets/d/19KBlQQs7uwvsao6t2n-KvW3Ax8J8uRRfZPq1zPbXgKc/edit?usp=sharing"",""ระยอง!S396"")+IMPORTRANGE(""https://docs.google.com/spreadsheets/d/1jQ6P4QcrGM89YfqcC_PxOHGCMq5ezhucwJd8ci-NHng/edit?usp=sharing"",""ราชบุรี!S39"&amp;"6"")+IMPORTRANGE(""https://docs.google.com/spreadsheets/d/1lufeA2cfFqM-elVq2hznhDzC6Pr7wkJ9ZG_sYNGCMCU/edit?usp=sharing"",""ลพบุรี!S396"")+IMPORTRANGE(""https://docs.google.com/spreadsheets/d/10oOiF7loTyfsTkbd4MpaIm0HQ9SwB7IYHdIUvt-U1Uc/edit?usp=sharing"""&amp;",""สระแก้ว!S396"")+IMPORTRANGE(""https://docs.google.com/spreadsheets/d/1xmPlrr1QbdSIKvl1dWUl9K4PjAfSL9oeMr_37QVzcxc/edit?usp=sharing"",""สระบุรี!S396"")+IMPORTRANGE(""https://docs.google.com/spreadsheets/d/1j51vR6CYVGhABJpv6tkstgok82RLpXieLzW1yOY5rHw/edi"&amp;"t?usp=sharing"",""สิงห์บุรี!S396"")+IMPORTRANGE(""https://docs.google.com/spreadsheets/d/1H1EalTWKUSzO4Z1-1CwzoDUaVffgrThEBe2sl74kKG0/edit?usp=sharing"",""สุพรรณบุรี!S396"")+IMPORTRANGE(""https://docs.google.com/spreadsheets/d/1BmIruG_sIrJLYao_Pdr7zVArWsf"&amp;"oBt2692TMi6x_854/edit?usp=sharing"",""อ่างทอง!S396"")"),0)</f>
        <v>0</v>
      </c>
      <c r="T396" s="136">
        <f t="shared" ca="1" si="294"/>
        <v>0</v>
      </c>
      <c r="U396" s="136">
        <f t="shared" ca="1" si="295"/>
        <v>0</v>
      </c>
    </row>
    <row r="397" spans="1:21" ht="18.75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f ca="1">IFERROR(__xludf.DUMMYFUNCTION("IMPORTRANGE(""https://docs.google.com/spreadsheets/d/13wPX838HrBrQMCywv1BsuMkt4PEKTChp52zj44s2izQ/edit?usp=sharing"",""กาญจนบุรี!L397"")+IMPORTRANGE(""https://docs.google.com/spreadsheets/d/1ddFKvqj1W1NEiWytbGlB1zMx_ykJDVtmfEQ-6-lIUBA/edit?usp=sharing"","&amp;"""จันทบุรี!L397"")+IMPORTRANGE(""https://docs.google.com/spreadsheets/d/1T1PQvRODqOBZk8BRht_U031fIS1beLA0Ub2CEytj2q0/edit?usp=sharing"",""ฉะเชิงเทรา!L397"")+IMPORTRANGE(""https://docs.google.com/spreadsheets/d/11tr1B-Bhyr79v2bkwVh5h_fR-PStkgjlZtkrZpYurG0/"&amp;"edit?usp=sharing"",""ชลบุรี!L397"")+IMPORTRANGE(""https://docs.google.com/spreadsheets/d/1hh-FVnSX0vozXhGluamEcS54Dw9_zqW0N7qJUWgJ0Sw/edit?usp=sharing"",""ชัยนาท!L397"")+IMPORTRANGE(""https://docs.google.com/spreadsheets/d/1jkqa6GXxSacMcY1eN8AHjMNJ_7dDXMJ"&amp;"VRLDlaFSOdPM/edit?usp=sharing"",""ตราด!L397"")+IMPORTRANGE(""https://docs.google.com/spreadsheets/d/18hSgUJ3VwClqi_qtULmmW3cLr0oe3OKaSYoKzdpTsYQ/edit?usp=sharing"",""นครนายก!L397"")+IMPORTRANGE(""https://docs.google.com/spreadsheets/d/1YTZo6WM2dQ6Ix6FSdnL"&amp;"5P7uVnVKu40sxZu975tgG10E/edit?usp=sharing"",""นครปฐม!L397"")+IMPORTRANGE(""https://docs.google.com/spreadsheets/d/1OYoGg4WDg5RIzwGeB10padOxJF9E_Vljuvvct_M7RDo/edit?usp=sharing"",""ปทุมธานี!L397"")+IMPORTRANGE(""https://docs.google.com/spreadsheets/d/1GbCI"&amp;"E4D4wk9FUozzqk7SxfDMxDVBwVmI5zcaVUSzKAc/edit?usp=sharing"",""ประจวบคีรีขันธ์!L397"")+IMPORTRANGE(""https://docs.google.com/spreadsheets/d/1vVf6wykvW_lAyu7Yo9L4hUTqHqIeP_qcVuxCtosJEbg/edit?usp=sharing"",""ปราจีนบุรี!L397"")+IMPORTRANGE(""https://docs.googl"&amp;"e.com/spreadsheets/d/1BIDqLLg5jk3v59G8NlR8rk5xfQDKne0sAvZHSj7TI6I/edit?usp=sharing"",""พระนครศรีอยุธยา!L397"")+IMPORTRANGE(""https://docs.google.com/spreadsheets/d/1YXvxf8Yu6_rV4hTBrwMqAcAnv6DfhUxh5emyM3CJp_w/edit?usp=sharing"",""เพชรบุรี!L397"")+IMPORTRA"&amp;"NGE(""https://docs.google.com/spreadsheets/d/19KBlQQs7uwvsao6t2n-KvW3Ax8J8uRRfZPq1zPbXgKc/edit?usp=sharing"",""ระยอง!L397"")+IMPORTRANGE(""https://docs.google.com/spreadsheets/d/1jQ6P4QcrGM89YfqcC_PxOHGCMq5ezhucwJd8ci-NHng/edit?usp=sharing"",""ราชบุรี!L39"&amp;"7"")+IMPORTRANGE(""https://docs.google.com/spreadsheets/d/1lufeA2cfFqM-elVq2hznhDzC6Pr7wkJ9ZG_sYNGCMCU/edit?usp=sharing"",""ลพบุรี!L397"")+IMPORTRANGE(""https://docs.google.com/spreadsheets/d/10oOiF7loTyfsTkbd4MpaIm0HQ9SwB7IYHdIUvt-U1Uc/edit?usp=sharing"""&amp;",""สระแก้ว!L397"")+IMPORTRANGE(""https://docs.google.com/spreadsheets/d/1xmPlrr1QbdSIKvl1dWUl9K4PjAfSL9oeMr_37QVzcxc/edit?usp=sharing"",""สระบุรี!L397"")+IMPORTRANGE(""https://docs.google.com/spreadsheets/d/1j51vR6CYVGhABJpv6tkstgok82RLpXieLzW1yOY5rHw/edi"&amp;"t?usp=sharing"",""สิงห์บุรี!L397"")+IMPORTRANGE(""https://docs.google.com/spreadsheets/d/1H1EalTWKUSzO4Z1-1CwzoDUaVffgrThEBe2sl74kKG0/edit?usp=sharing"",""สุพรรณบุรี!L397"")+IMPORTRANGE(""https://docs.google.com/spreadsheets/d/1BmIruG_sIrJLYao_Pdr7zVArWsf"&amp;"oBt2692TMi6x_854/edit?usp=sharing"",""อ่างทอง!L397"")"),0)</f>
        <v>0</v>
      </c>
      <c r="M397" s="77">
        <f ca="1">IFERROR(__xludf.DUMMYFUNCTION("IMPORTRANGE(""https://docs.google.com/spreadsheets/d/13wPX838HrBrQMCywv1BsuMkt4PEKTChp52zj44s2izQ/edit?usp=sharing"",""กาญจนบุรี!M397"")+IMPORTRANGE(""https://docs.google.com/spreadsheets/d/1ddFKvqj1W1NEiWytbGlB1zMx_ykJDVtmfEQ-6-lIUBA/edit?usp=sharing"","&amp;"""จันทบุรี!M397"")+IMPORTRANGE(""https://docs.google.com/spreadsheets/d/1T1PQvRODqOBZk8BRht_U031fIS1beLA0Ub2CEytj2q0/edit?usp=sharing"",""ฉะเชิงเทรา!M397"")+IMPORTRANGE(""https://docs.google.com/spreadsheets/d/11tr1B-Bhyr79v2bkwVh5h_fR-PStkgjlZtkrZpYurG0/"&amp;"edit?usp=sharing"",""ชลบุรี!M397"")+IMPORTRANGE(""https://docs.google.com/spreadsheets/d/1hh-FVnSX0vozXhGluamEcS54Dw9_zqW0N7qJUWgJ0Sw/edit?usp=sharing"",""ชัยนาท!M397"")+IMPORTRANGE(""https://docs.google.com/spreadsheets/d/1jkqa6GXxSacMcY1eN8AHjMNJ_7dDXMJ"&amp;"VRLDlaFSOdPM/edit?usp=sharing"",""ตราด!M397"")+IMPORTRANGE(""https://docs.google.com/spreadsheets/d/18hSgUJ3VwClqi_qtULmmW3cLr0oe3OKaSYoKzdpTsYQ/edit?usp=sharing"",""นครนายก!M397"")+IMPORTRANGE(""https://docs.google.com/spreadsheets/d/1YTZo6WM2dQ6Ix6FSdnL"&amp;"5P7uVnVKu40sxZu975tgG10E/edit?usp=sharing"",""นครปฐม!M397"")+IMPORTRANGE(""https://docs.google.com/spreadsheets/d/1OYoGg4WDg5RIzwGeB10padOxJF9E_Vljuvvct_M7RDo/edit?usp=sharing"",""ปทุมธานี!M397"")+IMPORTRANGE(""https://docs.google.com/spreadsheets/d/1GbCI"&amp;"E4D4wk9FUozzqk7SxfDMxDVBwVmI5zcaVUSzKAc/edit?usp=sharing"",""ประจวบคีรีขันธ์!M397"")+IMPORTRANGE(""https://docs.google.com/spreadsheets/d/1vVf6wykvW_lAyu7Yo9L4hUTqHqIeP_qcVuxCtosJEbg/edit?usp=sharing"",""ปราจีนบุรี!M397"")+IMPORTRANGE(""https://docs.googl"&amp;"e.com/spreadsheets/d/1BIDqLLg5jk3v59G8NlR8rk5xfQDKne0sAvZHSj7TI6I/edit?usp=sharing"",""พระนครศรีอยุธยา!M397"")+IMPORTRANGE(""https://docs.google.com/spreadsheets/d/1YXvxf8Yu6_rV4hTBrwMqAcAnv6DfhUxh5emyM3CJp_w/edit?usp=sharing"",""เพชรบุรี!M397"")+IMPORTRA"&amp;"NGE(""https://docs.google.com/spreadsheets/d/19KBlQQs7uwvsao6t2n-KvW3Ax8J8uRRfZPq1zPbXgKc/edit?usp=sharing"",""ระยอง!M397"")+IMPORTRANGE(""https://docs.google.com/spreadsheets/d/1jQ6P4QcrGM89YfqcC_PxOHGCMq5ezhucwJd8ci-NHng/edit?usp=sharing"",""ราชบุรี!M39"&amp;"7"")+IMPORTRANGE(""https://docs.google.com/spreadsheets/d/1lufeA2cfFqM-elVq2hznhDzC6Pr7wkJ9ZG_sYNGCMCU/edit?usp=sharing"",""ลพบุรี!M397"")+IMPORTRANGE(""https://docs.google.com/spreadsheets/d/10oOiF7loTyfsTkbd4MpaIm0HQ9SwB7IYHdIUvt-U1Uc/edit?usp=sharing"""&amp;",""สระแก้ว!M397"")+IMPORTRANGE(""https://docs.google.com/spreadsheets/d/1xmPlrr1QbdSIKvl1dWUl9K4PjAfSL9oeMr_37QVzcxc/edit?usp=sharing"",""สระบุรี!M397"")+IMPORTRANGE(""https://docs.google.com/spreadsheets/d/1j51vR6CYVGhABJpv6tkstgok82RLpXieLzW1yOY5rHw/edi"&amp;"t?usp=sharing"",""สิงห์บุรี!M397"")+IMPORTRANGE(""https://docs.google.com/spreadsheets/d/1H1EalTWKUSzO4Z1-1CwzoDUaVffgrThEBe2sl74kKG0/edit?usp=sharing"",""สุพรรณบุรี!M397"")+IMPORTRANGE(""https://docs.google.com/spreadsheets/d/1BmIruG_sIrJLYao_Pdr7zVArWsf"&amp;"oBt2692TMi6x_854/edit?usp=sharing"",""อ่างทอง!M397"")"),0)</f>
        <v>0</v>
      </c>
      <c r="N397" s="77">
        <f ca="1">IFERROR(__xludf.DUMMYFUNCTION("IMPORTRANGE(""https://docs.google.com/spreadsheets/d/13wPX838HrBrQMCywv1BsuMkt4PEKTChp52zj44s2izQ/edit?usp=sharing"",""กาญจนบุรี!N397"")+IMPORTRANGE(""https://docs.google.com/spreadsheets/d/1ddFKvqj1W1NEiWytbGlB1zMx_ykJDVtmfEQ-6-lIUBA/edit?usp=sharing"","&amp;"""จันทบุรี!N397"")+IMPORTRANGE(""https://docs.google.com/spreadsheets/d/1T1PQvRODqOBZk8BRht_U031fIS1beLA0Ub2CEytj2q0/edit?usp=sharing"",""ฉะเชิงเทรา!N397"")+IMPORTRANGE(""https://docs.google.com/spreadsheets/d/11tr1B-Bhyr79v2bkwVh5h_fR-PStkgjlZtkrZpYurG0/"&amp;"edit?usp=sharing"",""ชลบุรี!N397"")+IMPORTRANGE(""https://docs.google.com/spreadsheets/d/1hh-FVnSX0vozXhGluamEcS54Dw9_zqW0N7qJUWgJ0Sw/edit?usp=sharing"",""ชัยนาท!N397"")+IMPORTRANGE(""https://docs.google.com/spreadsheets/d/1jkqa6GXxSacMcY1eN8AHjMNJ_7dDXMJ"&amp;"VRLDlaFSOdPM/edit?usp=sharing"",""ตราด!N397"")+IMPORTRANGE(""https://docs.google.com/spreadsheets/d/18hSgUJ3VwClqi_qtULmmW3cLr0oe3OKaSYoKzdpTsYQ/edit?usp=sharing"",""นครนายก!N397"")+IMPORTRANGE(""https://docs.google.com/spreadsheets/d/1YTZo6WM2dQ6Ix6FSdnL"&amp;"5P7uVnVKu40sxZu975tgG10E/edit?usp=sharing"",""นครปฐม!N397"")+IMPORTRANGE(""https://docs.google.com/spreadsheets/d/1OYoGg4WDg5RIzwGeB10padOxJF9E_Vljuvvct_M7RDo/edit?usp=sharing"",""ปทุมธานี!N397"")+IMPORTRANGE(""https://docs.google.com/spreadsheets/d/1GbCI"&amp;"E4D4wk9FUozzqk7SxfDMxDVBwVmI5zcaVUSzKAc/edit?usp=sharing"",""ประจวบคีรีขันธ์!N397"")+IMPORTRANGE(""https://docs.google.com/spreadsheets/d/1vVf6wykvW_lAyu7Yo9L4hUTqHqIeP_qcVuxCtosJEbg/edit?usp=sharing"",""ปราจีนบุรี!N397"")+IMPORTRANGE(""https://docs.googl"&amp;"e.com/spreadsheets/d/1BIDqLLg5jk3v59G8NlR8rk5xfQDKne0sAvZHSj7TI6I/edit?usp=sharing"",""พระนครศรีอยุธยา!N397"")+IMPORTRANGE(""https://docs.google.com/spreadsheets/d/1YXvxf8Yu6_rV4hTBrwMqAcAnv6DfhUxh5emyM3CJp_w/edit?usp=sharing"",""เพชรบุรี!N397"")+IMPORTRA"&amp;"NGE(""https://docs.google.com/spreadsheets/d/19KBlQQs7uwvsao6t2n-KvW3Ax8J8uRRfZPq1zPbXgKc/edit?usp=sharing"",""ระยอง!N397"")+IMPORTRANGE(""https://docs.google.com/spreadsheets/d/1jQ6P4QcrGM89YfqcC_PxOHGCMq5ezhucwJd8ci-NHng/edit?usp=sharing"",""ราชบุรี!N39"&amp;"7"")+IMPORTRANGE(""https://docs.google.com/spreadsheets/d/1lufeA2cfFqM-elVq2hznhDzC6Pr7wkJ9ZG_sYNGCMCU/edit?usp=sharing"",""ลพบุรี!N397"")+IMPORTRANGE(""https://docs.google.com/spreadsheets/d/10oOiF7loTyfsTkbd4MpaIm0HQ9SwB7IYHdIUvt-U1Uc/edit?usp=sharing"""&amp;",""สระแก้ว!N397"")+IMPORTRANGE(""https://docs.google.com/spreadsheets/d/1xmPlrr1QbdSIKvl1dWUl9K4PjAfSL9oeMr_37QVzcxc/edit?usp=sharing"",""สระบุรี!N397"")+IMPORTRANGE(""https://docs.google.com/spreadsheets/d/1j51vR6CYVGhABJpv6tkstgok82RLpXieLzW1yOY5rHw/edi"&amp;"t?usp=sharing"",""สิงห์บุรี!N397"")+IMPORTRANGE(""https://docs.google.com/spreadsheets/d/1H1EalTWKUSzO4Z1-1CwzoDUaVffgrThEBe2sl74kKG0/edit?usp=sharing"",""สุพรรณบุรี!N397"")+IMPORTRANGE(""https://docs.google.com/spreadsheets/d/1BmIruG_sIrJLYao_Pdr7zVArWsf"&amp;"oBt2692TMi6x_854/edit?usp=sharing"",""อ่างทอง!N397"")"),0)</f>
        <v>0</v>
      </c>
      <c r="O397" s="77">
        <f t="shared" ca="1" si="291"/>
        <v>0</v>
      </c>
      <c r="P397" s="77">
        <f t="shared" ca="1" si="292"/>
        <v>0</v>
      </c>
      <c r="Q397" s="76">
        <f ca="1">IFERROR(__xludf.DUMMYFUNCTION("IMPORTRANGE(""https://docs.google.com/spreadsheets/d/13wPX838HrBrQMCywv1BsuMkt4PEKTChp52zj44s2izQ/edit?usp=sharing"",""กาญจนบุรี!Q397"")+IMPORTRANGE(""https://docs.google.com/spreadsheets/d/1ddFKvqj1W1NEiWytbGlB1zMx_ykJDVtmfEQ-6-lIUBA/edit?usp=sharing"","&amp;"""จันทบุรี!Q397"")+IMPORTRANGE(""https://docs.google.com/spreadsheets/d/1T1PQvRODqOBZk8BRht_U031fIS1beLA0Ub2CEytj2q0/edit?usp=sharing"",""ฉะเชิงเทรา!Q397"")+IMPORTRANGE(""https://docs.google.com/spreadsheets/d/11tr1B-Bhyr79v2bkwVh5h_fR-PStkgjlZtkrZpYurG0/"&amp;"edit?usp=sharing"",""ชลบุรี!Q397"")+IMPORTRANGE(""https://docs.google.com/spreadsheets/d/1hh-FVnSX0vozXhGluamEcS54Dw9_zqW0N7qJUWgJ0Sw/edit?usp=sharing"",""ชัยนาท!Q397"")+IMPORTRANGE(""https://docs.google.com/spreadsheets/d/1jkqa6GXxSacMcY1eN8AHjMNJ_7dDXMJ"&amp;"VRLDlaFSOdPM/edit?usp=sharing"",""ตราด!Q397"")+IMPORTRANGE(""https://docs.google.com/spreadsheets/d/18hSgUJ3VwClqi_qtULmmW3cLr0oe3OKaSYoKzdpTsYQ/edit?usp=sharing"",""นครนายก!Q397"")+IMPORTRANGE(""https://docs.google.com/spreadsheets/d/1YTZo6WM2dQ6Ix6FSdnL"&amp;"5P7uVnVKu40sxZu975tgG10E/edit?usp=sharing"",""นครปฐม!Q397"")+IMPORTRANGE(""https://docs.google.com/spreadsheets/d/1OYoGg4WDg5RIzwGeB10padOxJF9E_Vljuvvct_M7RDo/edit?usp=sharing"",""ปทุมธานี!Q397"")+IMPORTRANGE(""https://docs.google.com/spreadsheets/d/1GbCI"&amp;"E4D4wk9FUozzqk7SxfDMxDVBwVmI5zcaVUSzKAc/edit?usp=sharing"",""ประจวบคีรีขันธ์!Q397"")+IMPORTRANGE(""https://docs.google.com/spreadsheets/d/1vVf6wykvW_lAyu7Yo9L4hUTqHqIeP_qcVuxCtosJEbg/edit?usp=sharing"",""ปราจีนบุรี!Q397"")+IMPORTRANGE(""https://docs.googl"&amp;"e.com/spreadsheets/d/1BIDqLLg5jk3v59G8NlR8rk5xfQDKne0sAvZHSj7TI6I/edit?usp=sharing"",""พระนครศรีอยุธยา!Q397"")+IMPORTRANGE(""https://docs.google.com/spreadsheets/d/1YXvxf8Yu6_rV4hTBrwMqAcAnv6DfhUxh5emyM3CJp_w/edit?usp=sharing"",""เพชรบุรี!Q397"")+IMPORTRA"&amp;"NGE(""https://docs.google.com/spreadsheets/d/19KBlQQs7uwvsao6t2n-KvW3Ax8J8uRRfZPq1zPbXgKc/edit?usp=sharing"",""ระยอง!Q397"")+IMPORTRANGE(""https://docs.google.com/spreadsheets/d/1jQ6P4QcrGM89YfqcC_PxOHGCMq5ezhucwJd8ci-NHng/edit?usp=sharing"",""ราชบุรี!Q39"&amp;"7"")+IMPORTRANGE(""https://docs.google.com/spreadsheets/d/1lufeA2cfFqM-elVq2hznhDzC6Pr7wkJ9ZG_sYNGCMCU/edit?usp=sharing"",""ลพบุรี!Q397"")+IMPORTRANGE(""https://docs.google.com/spreadsheets/d/10oOiF7loTyfsTkbd4MpaIm0HQ9SwB7IYHdIUvt-U1Uc/edit?usp=sharing"""&amp;",""สระแก้ว!Q397"")+IMPORTRANGE(""https://docs.google.com/spreadsheets/d/1xmPlrr1QbdSIKvl1dWUl9K4PjAfSL9oeMr_37QVzcxc/edit?usp=sharing"",""สระบุรี!Q397"")+IMPORTRANGE(""https://docs.google.com/spreadsheets/d/1j51vR6CYVGhABJpv6tkstgok82RLpXieLzW1yOY5rHw/edi"&amp;"t?usp=sharing"",""สิงห์บุรี!Q397"")+IMPORTRANGE(""https://docs.google.com/spreadsheets/d/1H1EalTWKUSzO4Z1-1CwzoDUaVffgrThEBe2sl74kKG0/edit?usp=sharing"",""สุพรรณบุรี!Q397"")+IMPORTRANGE(""https://docs.google.com/spreadsheets/d/1BmIruG_sIrJLYao_Pdr7zVArWsf"&amp;"oBt2692TMi6x_854/edit?usp=sharing"",""อ่างทอง!Q397"")"),0)</f>
        <v>0</v>
      </c>
      <c r="R397" s="77">
        <f ca="1">IFERROR(__xludf.DUMMYFUNCTION("IMPORTRANGE(""https://docs.google.com/spreadsheets/d/13wPX838HrBrQMCywv1BsuMkt4PEKTChp52zj44s2izQ/edit?usp=sharing"",""กาญจนบุรี!R397"")+IMPORTRANGE(""https://docs.google.com/spreadsheets/d/1ddFKvqj1W1NEiWytbGlB1zMx_ykJDVtmfEQ-6-lIUBA/edit?usp=sharing"","&amp;"""จันทบุรี!R397"")+IMPORTRANGE(""https://docs.google.com/spreadsheets/d/1T1PQvRODqOBZk8BRht_U031fIS1beLA0Ub2CEytj2q0/edit?usp=sharing"",""ฉะเชิงเทรา!R397"")+IMPORTRANGE(""https://docs.google.com/spreadsheets/d/11tr1B-Bhyr79v2bkwVh5h_fR-PStkgjlZtkrZpYurG0/"&amp;"edit?usp=sharing"",""ชลบุรี!R397"")+IMPORTRANGE(""https://docs.google.com/spreadsheets/d/1hh-FVnSX0vozXhGluamEcS54Dw9_zqW0N7qJUWgJ0Sw/edit?usp=sharing"",""ชัยนาท!R397"")+IMPORTRANGE(""https://docs.google.com/spreadsheets/d/1jkqa6GXxSacMcY1eN8AHjMNJ_7dDXMJ"&amp;"VRLDlaFSOdPM/edit?usp=sharing"",""ตราด!R397"")+IMPORTRANGE(""https://docs.google.com/spreadsheets/d/18hSgUJ3VwClqi_qtULmmW3cLr0oe3OKaSYoKzdpTsYQ/edit?usp=sharing"",""นครนายก!R397"")+IMPORTRANGE(""https://docs.google.com/spreadsheets/d/1YTZo6WM2dQ6Ix6FSdnL"&amp;"5P7uVnVKu40sxZu975tgG10E/edit?usp=sharing"",""นครปฐม!R397"")+IMPORTRANGE(""https://docs.google.com/spreadsheets/d/1OYoGg4WDg5RIzwGeB10padOxJF9E_Vljuvvct_M7RDo/edit?usp=sharing"",""ปทุมธานี!R397"")+IMPORTRANGE(""https://docs.google.com/spreadsheets/d/1GbCI"&amp;"E4D4wk9FUozzqk7SxfDMxDVBwVmI5zcaVUSzKAc/edit?usp=sharing"",""ประจวบคีรีขันธ์!R397"")+IMPORTRANGE(""https://docs.google.com/spreadsheets/d/1vVf6wykvW_lAyu7Yo9L4hUTqHqIeP_qcVuxCtosJEbg/edit?usp=sharing"",""ปราจีนบุรี!R397"")+IMPORTRANGE(""https://docs.googl"&amp;"e.com/spreadsheets/d/1BIDqLLg5jk3v59G8NlR8rk5xfQDKne0sAvZHSj7TI6I/edit?usp=sharing"",""พระนครศรีอยุธยา!R397"")+IMPORTRANGE(""https://docs.google.com/spreadsheets/d/1YXvxf8Yu6_rV4hTBrwMqAcAnv6DfhUxh5emyM3CJp_w/edit?usp=sharing"",""เพชรบุรี!R397"")+IMPORTRA"&amp;"NGE(""https://docs.google.com/spreadsheets/d/19KBlQQs7uwvsao6t2n-KvW3Ax8J8uRRfZPq1zPbXgKc/edit?usp=sharing"",""ระยอง!R397"")+IMPORTRANGE(""https://docs.google.com/spreadsheets/d/1jQ6P4QcrGM89YfqcC_PxOHGCMq5ezhucwJd8ci-NHng/edit?usp=sharing"",""ราชบุรี!R39"&amp;"7"")+IMPORTRANGE(""https://docs.google.com/spreadsheets/d/1lufeA2cfFqM-elVq2hznhDzC6Pr7wkJ9ZG_sYNGCMCU/edit?usp=sharing"",""ลพบุรี!R397"")+IMPORTRANGE(""https://docs.google.com/spreadsheets/d/10oOiF7loTyfsTkbd4MpaIm0HQ9SwB7IYHdIUvt-U1Uc/edit?usp=sharing"""&amp;",""สระแก้ว!R397"")+IMPORTRANGE(""https://docs.google.com/spreadsheets/d/1xmPlrr1QbdSIKvl1dWUl9K4PjAfSL9oeMr_37QVzcxc/edit?usp=sharing"",""สระบุรี!R397"")+IMPORTRANGE(""https://docs.google.com/spreadsheets/d/1j51vR6CYVGhABJpv6tkstgok82RLpXieLzW1yOY5rHw/edi"&amp;"t?usp=sharing"",""สิงห์บุรี!R397"")+IMPORTRANGE(""https://docs.google.com/spreadsheets/d/1H1EalTWKUSzO4Z1-1CwzoDUaVffgrThEBe2sl74kKG0/edit?usp=sharing"",""สุพรรณบุรี!R397"")+IMPORTRANGE(""https://docs.google.com/spreadsheets/d/1BmIruG_sIrJLYao_Pdr7zVArWsf"&amp;"oBt2692TMi6x_854/edit?usp=sharing"",""อ่างทอง!R397"")"),0)</f>
        <v>0</v>
      </c>
      <c r="S397" s="77">
        <f ca="1">IFERROR(__xludf.DUMMYFUNCTION("IMPORTRANGE(""https://docs.google.com/spreadsheets/d/13wPX838HrBrQMCywv1BsuMkt4PEKTChp52zj44s2izQ/edit?usp=sharing"",""กาญจนบุรี!S397"")+IMPORTRANGE(""https://docs.google.com/spreadsheets/d/1ddFKvqj1W1NEiWytbGlB1zMx_ykJDVtmfEQ-6-lIUBA/edit?usp=sharing"","&amp;"""จันทบุรี!S397"")+IMPORTRANGE(""https://docs.google.com/spreadsheets/d/1T1PQvRODqOBZk8BRht_U031fIS1beLA0Ub2CEytj2q0/edit?usp=sharing"",""ฉะเชิงเทรา!S397"")+IMPORTRANGE(""https://docs.google.com/spreadsheets/d/11tr1B-Bhyr79v2bkwVh5h_fR-PStkgjlZtkrZpYurG0/"&amp;"edit?usp=sharing"",""ชลบุรี!S397"")+IMPORTRANGE(""https://docs.google.com/spreadsheets/d/1hh-FVnSX0vozXhGluamEcS54Dw9_zqW0N7qJUWgJ0Sw/edit?usp=sharing"",""ชัยนาท!S397"")+IMPORTRANGE(""https://docs.google.com/spreadsheets/d/1jkqa6GXxSacMcY1eN8AHjMNJ_7dDXMJ"&amp;"VRLDlaFSOdPM/edit?usp=sharing"",""ตราด!S397"")+IMPORTRANGE(""https://docs.google.com/spreadsheets/d/18hSgUJ3VwClqi_qtULmmW3cLr0oe3OKaSYoKzdpTsYQ/edit?usp=sharing"",""นครนายก!S397"")+IMPORTRANGE(""https://docs.google.com/spreadsheets/d/1YTZo6WM2dQ6Ix6FSdnL"&amp;"5P7uVnVKu40sxZu975tgG10E/edit?usp=sharing"",""นครปฐม!S397"")+IMPORTRANGE(""https://docs.google.com/spreadsheets/d/1OYoGg4WDg5RIzwGeB10padOxJF9E_Vljuvvct_M7RDo/edit?usp=sharing"",""ปทุมธานี!S397"")+IMPORTRANGE(""https://docs.google.com/spreadsheets/d/1GbCI"&amp;"E4D4wk9FUozzqk7SxfDMxDVBwVmI5zcaVUSzKAc/edit?usp=sharing"",""ประจวบคีรีขันธ์!S397"")+IMPORTRANGE(""https://docs.google.com/spreadsheets/d/1vVf6wykvW_lAyu7Yo9L4hUTqHqIeP_qcVuxCtosJEbg/edit?usp=sharing"",""ปราจีนบุรี!S397"")+IMPORTRANGE(""https://docs.googl"&amp;"e.com/spreadsheets/d/1BIDqLLg5jk3v59G8NlR8rk5xfQDKne0sAvZHSj7TI6I/edit?usp=sharing"",""พระนครศรีอยุธยา!S397"")+IMPORTRANGE(""https://docs.google.com/spreadsheets/d/1YXvxf8Yu6_rV4hTBrwMqAcAnv6DfhUxh5emyM3CJp_w/edit?usp=sharing"",""เพชรบุรี!S397"")+IMPORTRA"&amp;"NGE(""https://docs.google.com/spreadsheets/d/19KBlQQs7uwvsao6t2n-KvW3Ax8J8uRRfZPq1zPbXgKc/edit?usp=sharing"",""ระยอง!S397"")+IMPORTRANGE(""https://docs.google.com/spreadsheets/d/1jQ6P4QcrGM89YfqcC_PxOHGCMq5ezhucwJd8ci-NHng/edit?usp=sharing"",""ราชบุรี!S39"&amp;"7"")+IMPORTRANGE(""https://docs.google.com/spreadsheets/d/1lufeA2cfFqM-elVq2hznhDzC6Pr7wkJ9ZG_sYNGCMCU/edit?usp=sharing"",""ลพบุรี!S397"")+IMPORTRANGE(""https://docs.google.com/spreadsheets/d/10oOiF7loTyfsTkbd4MpaIm0HQ9SwB7IYHdIUvt-U1Uc/edit?usp=sharing"""&amp;",""สระแก้ว!S397"")+IMPORTRANGE(""https://docs.google.com/spreadsheets/d/1xmPlrr1QbdSIKvl1dWUl9K4PjAfSL9oeMr_37QVzcxc/edit?usp=sharing"",""สระบุรี!S397"")+IMPORTRANGE(""https://docs.google.com/spreadsheets/d/1j51vR6CYVGhABJpv6tkstgok82RLpXieLzW1yOY5rHw/edi"&amp;"t?usp=sharing"",""สิงห์บุรี!S397"")+IMPORTRANGE(""https://docs.google.com/spreadsheets/d/1H1EalTWKUSzO4Z1-1CwzoDUaVffgrThEBe2sl74kKG0/edit?usp=sharing"",""สุพรรณบุรี!S397"")+IMPORTRANGE(""https://docs.google.com/spreadsheets/d/1BmIruG_sIrJLYao_Pdr7zVArWsf"&amp;"oBt2692TMi6x_854/edit?usp=sharing"",""อ่างทอง!S397"")"),0)</f>
        <v>0</v>
      </c>
      <c r="T397" s="135">
        <f t="shared" ca="1" si="294"/>
        <v>0</v>
      </c>
      <c r="U397" s="135">
        <f t="shared" ca="1" si="295"/>
        <v>0</v>
      </c>
    </row>
    <row r="398" spans="1:21" ht="18.75" x14ac:dyDescent="0.25">
      <c r="A398" s="259"/>
      <c r="B398" s="271"/>
      <c r="C398" s="271"/>
      <c r="D398" s="276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 t="shared" ref="L398:N398" ca="1" si="302">L399+L400</f>
        <v>0</v>
      </c>
      <c r="M398" s="77">
        <f t="shared" ca="1" si="302"/>
        <v>0</v>
      </c>
      <c r="N398" s="77">
        <f t="shared" ca="1" si="302"/>
        <v>0</v>
      </c>
      <c r="O398" s="77">
        <f t="shared" ca="1" si="291"/>
        <v>0</v>
      </c>
      <c r="P398" s="77">
        <f t="shared" ca="1" si="292"/>
        <v>0</v>
      </c>
      <c r="Q398" s="134">
        <f t="shared" ref="Q398:S398" ca="1" si="303">Q399+Q400</f>
        <v>0</v>
      </c>
      <c r="R398" s="135">
        <f t="shared" ca="1" si="303"/>
        <v>0</v>
      </c>
      <c r="S398" s="135">
        <f t="shared" ca="1" si="303"/>
        <v>0</v>
      </c>
      <c r="T398" s="135">
        <f t="shared" ca="1" si="294"/>
        <v>0</v>
      </c>
      <c r="U398" s="135">
        <f t="shared" ca="1" si="295"/>
        <v>0</v>
      </c>
    </row>
    <row r="399" spans="1:21" ht="18.75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f ca="1">IFERROR(__xludf.DUMMYFUNCTION("IMPORTRANGE(""https://docs.google.com/spreadsheets/d/13wPX838HrBrQMCywv1BsuMkt4PEKTChp52zj44s2izQ/edit?usp=sharing"",""กาญจนบุรี!L399"")+IMPORTRANGE(""https://docs.google.com/spreadsheets/d/1ddFKvqj1W1NEiWytbGlB1zMx_ykJDVtmfEQ-6-lIUBA/edit?usp=sharing"","&amp;"""จันทบุรี!L399"")+IMPORTRANGE(""https://docs.google.com/spreadsheets/d/1T1PQvRODqOBZk8BRht_U031fIS1beLA0Ub2CEytj2q0/edit?usp=sharing"",""ฉะเชิงเทรา!L399"")+IMPORTRANGE(""https://docs.google.com/spreadsheets/d/11tr1B-Bhyr79v2bkwVh5h_fR-PStkgjlZtkrZpYurG0/"&amp;"edit?usp=sharing"",""ชลบุรี!L399"")+IMPORTRANGE(""https://docs.google.com/spreadsheets/d/1hh-FVnSX0vozXhGluamEcS54Dw9_zqW0N7qJUWgJ0Sw/edit?usp=sharing"",""ชัยนาท!L399"")+IMPORTRANGE(""https://docs.google.com/spreadsheets/d/1jkqa6GXxSacMcY1eN8AHjMNJ_7dDXMJ"&amp;"VRLDlaFSOdPM/edit?usp=sharing"",""ตราด!L399"")+IMPORTRANGE(""https://docs.google.com/spreadsheets/d/18hSgUJ3VwClqi_qtULmmW3cLr0oe3OKaSYoKzdpTsYQ/edit?usp=sharing"",""นครนายก!L399"")+IMPORTRANGE(""https://docs.google.com/spreadsheets/d/1YTZo6WM2dQ6Ix6FSdnL"&amp;"5P7uVnVKu40sxZu975tgG10E/edit?usp=sharing"",""นครปฐม!L399"")+IMPORTRANGE(""https://docs.google.com/spreadsheets/d/1OYoGg4WDg5RIzwGeB10padOxJF9E_Vljuvvct_M7RDo/edit?usp=sharing"",""ปทุมธานี!L399"")+IMPORTRANGE(""https://docs.google.com/spreadsheets/d/1GbCI"&amp;"E4D4wk9FUozzqk7SxfDMxDVBwVmI5zcaVUSzKAc/edit?usp=sharing"",""ประจวบคีรีขันธ์!L399"")+IMPORTRANGE(""https://docs.google.com/spreadsheets/d/1vVf6wykvW_lAyu7Yo9L4hUTqHqIeP_qcVuxCtosJEbg/edit?usp=sharing"",""ปราจีนบุรี!L399"")+IMPORTRANGE(""https://docs.googl"&amp;"e.com/spreadsheets/d/1BIDqLLg5jk3v59G8NlR8rk5xfQDKne0sAvZHSj7TI6I/edit?usp=sharing"",""พระนครศรีอยุธยา!L399"")+IMPORTRANGE(""https://docs.google.com/spreadsheets/d/1YXvxf8Yu6_rV4hTBrwMqAcAnv6DfhUxh5emyM3CJp_w/edit?usp=sharing"",""เพชรบุรี!L399"")+IMPORTRA"&amp;"NGE(""https://docs.google.com/spreadsheets/d/19KBlQQs7uwvsao6t2n-KvW3Ax8J8uRRfZPq1zPbXgKc/edit?usp=sharing"",""ระยอง!L399"")+IMPORTRANGE(""https://docs.google.com/spreadsheets/d/1jQ6P4QcrGM89YfqcC_PxOHGCMq5ezhucwJd8ci-NHng/edit?usp=sharing"",""ราชบุรี!L39"&amp;"9"")+IMPORTRANGE(""https://docs.google.com/spreadsheets/d/1lufeA2cfFqM-elVq2hznhDzC6Pr7wkJ9ZG_sYNGCMCU/edit?usp=sharing"",""ลพบุรี!L399"")+IMPORTRANGE(""https://docs.google.com/spreadsheets/d/10oOiF7loTyfsTkbd4MpaIm0HQ9SwB7IYHdIUvt-U1Uc/edit?usp=sharing"""&amp;",""สระแก้ว!L399"")+IMPORTRANGE(""https://docs.google.com/spreadsheets/d/1xmPlrr1QbdSIKvl1dWUl9K4PjAfSL9oeMr_37QVzcxc/edit?usp=sharing"",""สระบุรี!L399"")+IMPORTRANGE(""https://docs.google.com/spreadsheets/d/1j51vR6CYVGhABJpv6tkstgok82RLpXieLzW1yOY5rHw/edi"&amp;"t?usp=sharing"",""สิงห์บุรี!L399"")+IMPORTRANGE(""https://docs.google.com/spreadsheets/d/1H1EalTWKUSzO4Z1-1CwzoDUaVffgrThEBe2sl74kKG0/edit?usp=sharing"",""สุพรรณบุรี!L399"")+IMPORTRANGE(""https://docs.google.com/spreadsheets/d/1BmIruG_sIrJLYao_Pdr7zVArWsf"&amp;"oBt2692TMi6x_854/edit?usp=sharing"",""อ่างทอง!L399"")"),0)</f>
        <v>0</v>
      </c>
      <c r="M399" s="80">
        <f ca="1">IFERROR(__xludf.DUMMYFUNCTION("IMPORTRANGE(""https://docs.google.com/spreadsheets/d/13wPX838HrBrQMCywv1BsuMkt4PEKTChp52zj44s2izQ/edit?usp=sharing"",""กาญจนบุรี!M399"")+IMPORTRANGE(""https://docs.google.com/spreadsheets/d/1ddFKvqj1W1NEiWytbGlB1zMx_ykJDVtmfEQ-6-lIUBA/edit?usp=sharing"","&amp;"""จันทบุรี!M399"")+IMPORTRANGE(""https://docs.google.com/spreadsheets/d/1T1PQvRODqOBZk8BRht_U031fIS1beLA0Ub2CEytj2q0/edit?usp=sharing"",""ฉะเชิงเทรา!M399"")+IMPORTRANGE(""https://docs.google.com/spreadsheets/d/11tr1B-Bhyr79v2bkwVh5h_fR-PStkgjlZtkrZpYurG0/"&amp;"edit?usp=sharing"",""ชลบุรี!M399"")+IMPORTRANGE(""https://docs.google.com/spreadsheets/d/1hh-FVnSX0vozXhGluamEcS54Dw9_zqW0N7qJUWgJ0Sw/edit?usp=sharing"",""ชัยนาท!M399"")+IMPORTRANGE(""https://docs.google.com/spreadsheets/d/1jkqa6GXxSacMcY1eN8AHjMNJ_7dDXMJ"&amp;"VRLDlaFSOdPM/edit?usp=sharing"",""ตราด!M399"")+IMPORTRANGE(""https://docs.google.com/spreadsheets/d/18hSgUJ3VwClqi_qtULmmW3cLr0oe3OKaSYoKzdpTsYQ/edit?usp=sharing"",""นครนายก!M399"")+IMPORTRANGE(""https://docs.google.com/spreadsheets/d/1YTZo6WM2dQ6Ix6FSdnL"&amp;"5P7uVnVKu40sxZu975tgG10E/edit?usp=sharing"",""นครปฐม!M399"")+IMPORTRANGE(""https://docs.google.com/spreadsheets/d/1OYoGg4WDg5RIzwGeB10padOxJF9E_Vljuvvct_M7RDo/edit?usp=sharing"",""ปทุมธานี!M399"")+IMPORTRANGE(""https://docs.google.com/spreadsheets/d/1GbCI"&amp;"E4D4wk9FUozzqk7SxfDMxDVBwVmI5zcaVUSzKAc/edit?usp=sharing"",""ประจวบคีรีขันธ์!M399"")+IMPORTRANGE(""https://docs.google.com/spreadsheets/d/1vVf6wykvW_lAyu7Yo9L4hUTqHqIeP_qcVuxCtosJEbg/edit?usp=sharing"",""ปราจีนบุรี!M399"")+IMPORTRANGE(""https://docs.googl"&amp;"e.com/spreadsheets/d/1BIDqLLg5jk3v59G8NlR8rk5xfQDKne0sAvZHSj7TI6I/edit?usp=sharing"",""พระนครศรีอยุธยา!M399"")+IMPORTRANGE(""https://docs.google.com/spreadsheets/d/1YXvxf8Yu6_rV4hTBrwMqAcAnv6DfhUxh5emyM3CJp_w/edit?usp=sharing"",""เพชรบุรี!M399"")+IMPORTRA"&amp;"NGE(""https://docs.google.com/spreadsheets/d/19KBlQQs7uwvsao6t2n-KvW3Ax8J8uRRfZPq1zPbXgKc/edit?usp=sharing"",""ระยอง!M399"")+IMPORTRANGE(""https://docs.google.com/spreadsheets/d/1jQ6P4QcrGM89YfqcC_PxOHGCMq5ezhucwJd8ci-NHng/edit?usp=sharing"",""ราชบุรี!M39"&amp;"9"")+IMPORTRANGE(""https://docs.google.com/spreadsheets/d/1lufeA2cfFqM-elVq2hznhDzC6Pr7wkJ9ZG_sYNGCMCU/edit?usp=sharing"",""ลพบุรี!M399"")+IMPORTRANGE(""https://docs.google.com/spreadsheets/d/10oOiF7loTyfsTkbd4MpaIm0HQ9SwB7IYHdIUvt-U1Uc/edit?usp=sharing"""&amp;",""สระแก้ว!M399"")+IMPORTRANGE(""https://docs.google.com/spreadsheets/d/1xmPlrr1QbdSIKvl1dWUl9K4PjAfSL9oeMr_37QVzcxc/edit?usp=sharing"",""สระบุรี!M399"")+IMPORTRANGE(""https://docs.google.com/spreadsheets/d/1j51vR6CYVGhABJpv6tkstgok82RLpXieLzW1yOY5rHw/edi"&amp;"t?usp=sharing"",""สิงห์บุรี!M399"")+IMPORTRANGE(""https://docs.google.com/spreadsheets/d/1H1EalTWKUSzO4Z1-1CwzoDUaVffgrThEBe2sl74kKG0/edit?usp=sharing"",""สุพรรณบุรี!M399"")+IMPORTRANGE(""https://docs.google.com/spreadsheets/d/1BmIruG_sIrJLYao_Pdr7zVArWsf"&amp;"oBt2692TMi6x_854/edit?usp=sharing"",""อ่างทอง!M399"")"),0)</f>
        <v>0</v>
      </c>
      <c r="N399" s="80">
        <f ca="1">IFERROR(__xludf.DUMMYFUNCTION("IMPORTRANGE(""https://docs.google.com/spreadsheets/d/13wPX838HrBrQMCywv1BsuMkt4PEKTChp52zj44s2izQ/edit?usp=sharing"",""กาญจนบุรี!N399"")+IMPORTRANGE(""https://docs.google.com/spreadsheets/d/1ddFKvqj1W1NEiWytbGlB1zMx_ykJDVtmfEQ-6-lIUBA/edit?usp=sharing"","&amp;"""จันทบุรี!N399"")+IMPORTRANGE(""https://docs.google.com/spreadsheets/d/1T1PQvRODqOBZk8BRht_U031fIS1beLA0Ub2CEytj2q0/edit?usp=sharing"",""ฉะเชิงเทรา!N399"")+IMPORTRANGE(""https://docs.google.com/spreadsheets/d/11tr1B-Bhyr79v2bkwVh5h_fR-PStkgjlZtkrZpYurG0/"&amp;"edit?usp=sharing"",""ชลบุรี!N399"")+IMPORTRANGE(""https://docs.google.com/spreadsheets/d/1hh-FVnSX0vozXhGluamEcS54Dw9_zqW0N7qJUWgJ0Sw/edit?usp=sharing"",""ชัยนาท!N399"")+IMPORTRANGE(""https://docs.google.com/spreadsheets/d/1jkqa6GXxSacMcY1eN8AHjMNJ_7dDXMJ"&amp;"VRLDlaFSOdPM/edit?usp=sharing"",""ตราด!N399"")+IMPORTRANGE(""https://docs.google.com/spreadsheets/d/18hSgUJ3VwClqi_qtULmmW3cLr0oe3OKaSYoKzdpTsYQ/edit?usp=sharing"",""นครนายก!N399"")+IMPORTRANGE(""https://docs.google.com/spreadsheets/d/1YTZo6WM2dQ6Ix6FSdnL"&amp;"5P7uVnVKu40sxZu975tgG10E/edit?usp=sharing"",""นครปฐม!N399"")+IMPORTRANGE(""https://docs.google.com/spreadsheets/d/1OYoGg4WDg5RIzwGeB10padOxJF9E_Vljuvvct_M7RDo/edit?usp=sharing"",""ปทุมธานี!N399"")+IMPORTRANGE(""https://docs.google.com/spreadsheets/d/1GbCI"&amp;"E4D4wk9FUozzqk7SxfDMxDVBwVmI5zcaVUSzKAc/edit?usp=sharing"",""ประจวบคีรีขันธ์!N399"")+IMPORTRANGE(""https://docs.google.com/spreadsheets/d/1vVf6wykvW_lAyu7Yo9L4hUTqHqIeP_qcVuxCtosJEbg/edit?usp=sharing"",""ปราจีนบุรี!N399"")+IMPORTRANGE(""https://docs.googl"&amp;"e.com/spreadsheets/d/1BIDqLLg5jk3v59G8NlR8rk5xfQDKne0sAvZHSj7TI6I/edit?usp=sharing"",""พระนครศรีอยุธยา!N399"")+IMPORTRANGE(""https://docs.google.com/spreadsheets/d/1YXvxf8Yu6_rV4hTBrwMqAcAnv6DfhUxh5emyM3CJp_w/edit?usp=sharing"",""เพชรบุรี!N399"")+IMPORTRA"&amp;"NGE(""https://docs.google.com/spreadsheets/d/19KBlQQs7uwvsao6t2n-KvW3Ax8J8uRRfZPq1zPbXgKc/edit?usp=sharing"",""ระยอง!N399"")+IMPORTRANGE(""https://docs.google.com/spreadsheets/d/1jQ6P4QcrGM89YfqcC_PxOHGCMq5ezhucwJd8ci-NHng/edit?usp=sharing"",""ราชบุรี!N39"&amp;"9"")+IMPORTRANGE(""https://docs.google.com/spreadsheets/d/1lufeA2cfFqM-elVq2hznhDzC6Pr7wkJ9ZG_sYNGCMCU/edit?usp=sharing"",""ลพบุรี!N399"")+IMPORTRANGE(""https://docs.google.com/spreadsheets/d/10oOiF7loTyfsTkbd4MpaIm0HQ9SwB7IYHdIUvt-U1Uc/edit?usp=sharing"""&amp;",""สระแก้ว!N399"")+IMPORTRANGE(""https://docs.google.com/spreadsheets/d/1xmPlrr1QbdSIKvl1dWUl9K4PjAfSL9oeMr_37QVzcxc/edit?usp=sharing"",""สระบุรี!N399"")+IMPORTRANGE(""https://docs.google.com/spreadsheets/d/1j51vR6CYVGhABJpv6tkstgok82RLpXieLzW1yOY5rHw/edi"&amp;"t?usp=sharing"",""สิงห์บุรี!N399"")+IMPORTRANGE(""https://docs.google.com/spreadsheets/d/1H1EalTWKUSzO4Z1-1CwzoDUaVffgrThEBe2sl74kKG0/edit?usp=sharing"",""สุพรรณบุรี!N399"")+IMPORTRANGE(""https://docs.google.com/spreadsheets/d/1BmIruG_sIrJLYao_Pdr7zVArWsf"&amp;"oBt2692TMi6x_854/edit?usp=sharing"",""อ่างทอง!N399"")"),0)</f>
        <v>0</v>
      </c>
      <c r="O399" s="80">
        <f t="shared" ca="1" si="291"/>
        <v>0</v>
      </c>
      <c r="P399" s="80">
        <f t="shared" ca="1" si="292"/>
        <v>0</v>
      </c>
      <c r="Q399" s="79">
        <f ca="1">IFERROR(__xludf.DUMMYFUNCTION("IMPORTRANGE(""https://docs.google.com/spreadsheets/d/13wPX838HrBrQMCywv1BsuMkt4PEKTChp52zj44s2izQ/edit?usp=sharing"",""กาญจนบุรี!Q399"")+IMPORTRANGE(""https://docs.google.com/spreadsheets/d/1ddFKvqj1W1NEiWytbGlB1zMx_ykJDVtmfEQ-6-lIUBA/edit?usp=sharing"","&amp;"""จันทบุรี!Q399"")+IMPORTRANGE(""https://docs.google.com/spreadsheets/d/1T1PQvRODqOBZk8BRht_U031fIS1beLA0Ub2CEytj2q0/edit?usp=sharing"",""ฉะเชิงเทรา!Q399"")+IMPORTRANGE(""https://docs.google.com/spreadsheets/d/11tr1B-Bhyr79v2bkwVh5h_fR-PStkgjlZtkrZpYurG0/"&amp;"edit?usp=sharing"",""ชลบุรี!Q399"")+IMPORTRANGE(""https://docs.google.com/spreadsheets/d/1hh-FVnSX0vozXhGluamEcS54Dw9_zqW0N7qJUWgJ0Sw/edit?usp=sharing"",""ชัยนาท!Q399"")+IMPORTRANGE(""https://docs.google.com/spreadsheets/d/1jkqa6GXxSacMcY1eN8AHjMNJ_7dDXMJ"&amp;"VRLDlaFSOdPM/edit?usp=sharing"",""ตราด!Q399"")+IMPORTRANGE(""https://docs.google.com/spreadsheets/d/18hSgUJ3VwClqi_qtULmmW3cLr0oe3OKaSYoKzdpTsYQ/edit?usp=sharing"",""นครนายก!Q399"")+IMPORTRANGE(""https://docs.google.com/spreadsheets/d/1YTZo6WM2dQ6Ix6FSdnL"&amp;"5P7uVnVKu40sxZu975tgG10E/edit?usp=sharing"",""นครปฐม!Q399"")+IMPORTRANGE(""https://docs.google.com/spreadsheets/d/1OYoGg4WDg5RIzwGeB10padOxJF9E_Vljuvvct_M7RDo/edit?usp=sharing"",""ปทุมธานี!Q399"")+IMPORTRANGE(""https://docs.google.com/spreadsheets/d/1GbCI"&amp;"E4D4wk9FUozzqk7SxfDMxDVBwVmI5zcaVUSzKAc/edit?usp=sharing"",""ประจวบคีรีขันธ์!Q399"")+IMPORTRANGE(""https://docs.google.com/spreadsheets/d/1vVf6wykvW_lAyu7Yo9L4hUTqHqIeP_qcVuxCtosJEbg/edit?usp=sharing"",""ปราจีนบุรี!Q399"")+IMPORTRANGE(""https://docs.googl"&amp;"e.com/spreadsheets/d/1BIDqLLg5jk3v59G8NlR8rk5xfQDKne0sAvZHSj7TI6I/edit?usp=sharing"",""พระนครศรีอยุธยา!Q399"")+IMPORTRANGE(""https://docs.google.com/spreadsheets/d/1YXvxf8Yu6_rV4hTBrwMqAcAnv6DfhUxh5emyM3CJp_w/edit?usp=sharing"",""เพชรบุรี!Q399"")+IMPORTRA"&amp;"NGE(""https://docs.google.com/spreadsheets/d/19KBlQQs7uwvsao6t2n-KvW3Ax8J8uRRfZPq1zPbXgKc/edit?usp=sharing"",""ระยอง!Q399"")+IMPORTRANGE(""https://docs.google.com/spreadsheets/d/1jQ6P4QcrGM89YfqcC_PxOHGCMq5ezhucwJd8ci-NHng/edit?usp=sharing"",""ราชบุรี!Q39"&amp;"9"")+IMPORTRANGE(""https://docs.google.com/spreadsheets/d/1lufeA2cfFqM-elVq2hznhDzC6Pr7wkJ9ZG_sYNGCMCU/edit?usp=sharing"",""ลพบุรี!Q399"")+IMPORTRANGE(""https://docs.google.com/spreadsheets/d/10oOiF7loTyfsTkbd4MpaIm0HQ9SwB7IYHdIUvt-U1Uc/edit?usp=sharing"""&amp;",""สระแก้ว!Q399"")+IMPORTRANGE(""https://docs.google.com/spreadsheets/d/1xmPlrr1QbdSIKvl1dWUl9K4PjAfSL9oeMr_37QVzcxc/edit?usp=sharing"",""สระบุรี!Q399"")+IMPORTRANGE(""https://docs.google.com/spreadsheets/d/1j51vR6CYVGhABJpv6tkstgok82RLpXieLzW1yOY5rHw/edi"&amp;"t?usp=sharing"",""สิงห์บุรี!Q399"")+IMPORTRANGE(""https://docs.google.com/spreadsheets/d/1H1EalTWKUSzO4Z1-1CwzoDUaVffgrThEBe2sl74kKG0/edit?usp=sharing"",""สุพรรณบุรี!Q399"")+IMPORTRANGE(""https://docs.google.com/spreadsheets/d/1BmIruG_sIrJLYao_Pdr7zVArWsf"&amp;"oBt2692TMi6x_854/edit?usp=sharing"",""อ่างทอง!Q399"")"),0)</f>
        <v>0</v>
      </c>
      <c r="R399" s="80">
        <f ca="1">IFERROR(__xludf.DUMMYFUNCTION("IMPORTRANGE(""https://docs.google.com/spreadsheets/d/13wPX838HrBrQMCywv1BsuMkt4PEKTChp52zj44s2izQ/edit?usp=sharing"",""กาญจนบุรี!R399"")+IMPORTRANGE(""https://docs.google.com/spreadsheets/d/1ddFKvqj1W1NEiWytbGlB1zMx_ykJDVtmfEQ-6-lIUBA/edit?usp=sharing"","&amp;"""จันทบุรี!R399"")+IMPORTRANGE(""https://docs.google.com/spreadsheets/d/1T1PQvRODqOBZk8BRht_U031fIS1beLA0Ub2CEytj2q0/edit?usp=sharing"",""ฉะเชิงเทรา!R399"")+IMPORTRANGE(""https://docs.google.com/spreadsheets/d/11tr1B-Bhyr79v2bkwVh5h_fR-PStkgjlZtkrZpYurG0/"&amp;"edit?usp=sharing"",""ชลบุรี!R399"")+IMPORTRANGE(""https://docs.google.com/spreadsheets/d/1hh-FVnSX0vozXhGluamEcS54Dw9_zqW0N7qJUWgJ0Sw/edit?usp=sharing"",""ชัยนาท!R399"")+IMPORTRANGE(""https://docs.google.com/spreadsheets/d/1jkqa6GXxSacMcY1eN8AHjMNJ_7dDXMJ"&amp;"VRLDlaFSOdPM/edit?usp=sharing"",""ตราด!R399"")+IMPORTRANGE(""https://docs.google.com/spreadsheets/d/18hSgUJ3VwClqi_qtULmmW3cLr0oe3OKaSYoKzdpTsYQ/edit?usp=sharing"",""นครนายก!R399"")+IMPORTRANGE(""https://docs.google.com/spreadsheets/d/1YTZo6WM2dQ6Ix6FSdnL"&amp;"5P7uVnVKu40sxZu975tgG10E/edit?usp=sharing"",""นครปฐม!R399"")+IMPORTRANGE(""https://docs.google.com/spreadsheets/d/1OYoGg4WDg5RIzwGeB10padOxJF9E_Vljuvvct_M7RDo/edit?usp=sharing"",""ปทุมธานี!R399"")+IMPORTRANGE(""https://docs.google.com/spreadsheets/d/1GbCI"&amp;"E4D4wk9FUozzqk7SxfDMxDVBwVmI5zcaVUSzKAc/edit?usp=sharing"",""ประจวบคีรีขันธ์!R399"")+IMPORTRANGE(""https://docs.google.com/spreadsheets/d/1vVf6wykvW_lAyu7Yo9L4hUTqHqIeP_qcVuxCtosJEbg/edit?usp=sharing"",""ปราจีนบุรี!R399"")+IMPORTRANGE(""https://docs.googl"&amp;"e.com/spreadsheets/d/1BIDqLLg5jk3v59G8NlR8rk5xfQDKne0sAvZHSj7TI6I/edit?usp=sharing"",""พระนครศรีอยุธยา!R399"")+IMPORTRANGE(""https://docs.google.com/spreadsheets/d/1YXvxf8Yu6_rV4hTBrwMqAcAnv6DfhUxh5emyM3CJp_w/edit?usp=sharing"",""เพชรบุรี!R399"")+IMPORTRA"&amp;"NGE(""https://docs.google.com/spreadsheets/d/19KBlQQs7uwvsao6t2n-KvW3Ax8J8uRRfZPq1zPbXgKc/edit?usp=sharing"",""ระยอง!R399"")+IMPORTRANGE(""https://docs.google.com/spreadsheets/d/1jQ6P4QcrGM89YfqcC_PxOHGCMq5ezhucwJd8ci-NHng/edit?usp=sharing"",""ราชบุรี!R39"&amp;"9"")+IMPORTRANGE(""https://docs.google.com/spreadsheets/d/1lufeA2cfFqM-elVq2hznhDzC6Pr7wkJ9ZG_sYNGCMCU/edit?usp=sharing"",""ลพบุรี!R399"")+IMPORTRANGE(""https://docs.google.com/spreadsheets/d/10oOiF7loTyfsTkbd4MpaIm0HQ9SwB7IYHdIUvt-U1Uc/edit?usp=sharing"""&amp;",""สระแก้ว!R399"")+IMPORTRANGE(""https://docs.google.com/spreadsheets/d/1xmPlrr1QbdSIKvl1dWUl9K4PjAfSL9oeMr_37QVzcxc/edit?usp=sharing"",""สระบุรี!R399"")+IMPORTRANGE(""https://docs.google.com/spreadsheets/d/1j51vR6CYVGhABJpv6tkstgok82RLpXieLzW1yOY5rHw/edi"&amp;"t?usp=sharing"",""สิงห์บุรี!R399"")+IMPORTRANGE(""https://docs.google.com/spreadsheets/d/1H1EalTWKUSzO4Z1-1CwzoDUaVffgrThEBe2sl74kKG0/edit?usp=sharing"",""สุพรรณบุรี!R399"")+IMPORTRANGE(""https://docs.google.com/spreadsheets/d/1BmIruG_sIrJLYao_Pdr7zVArWsf"&amp;"oBt2692TMi6x_854/edit?usp=sharing"",""อ่างทอง!R399"")"),0)</f>
        <v>0</v>
      </c>
      <c r="S399" s="80">
        <f ca="1">IFERROR(__xludf.DUMMYFUNCTION("IMPORTRANGE(""https://docs.google.com/spreadsheets/d/13wPX838HrBrQMCywv1BsuMkt4PEKTChp52zj44s2izQ/edit?usp=sharing"",""กาญจนบุรี!S399"")+IMPORTRANGE(""https://docs.google.com/spreadsheets/d/1ddFKvqj1W1NEiWytbGlB1zMx_ykJDVtmfEQ-6-lIUBA/edit?usp=sharing"","&amp;"""จันทบุรี!S399"")+IMPORTRANGE(""https://docs.google.com/spreadsheets/d/1T1PQvRODqOBZk8BRht_U031fIS1beLA0Ub2CEytj2q0/edit?usp=sharing"",""ฉะเชิงเทรา!S399"")+IMPORTRANGE(""https://docs.google.com/spreadsheets/d/11tr1B-Bhyr79v2bkwVh5h_fR-PStkgjlZtkrZpYurG0/"&amp;"edit?usp=sharing"",""ชลบุรี!S399"")+IMPORTRANGE(""https://docs.google.com/spreadsheets/d/1hh-FVnSX0vozXhGluamEcS54Dw9_zqW0N7qJUWgJ0Sw/edit?usp=sharing"",""ชัยนาท!S399"")+IMPORTRANGE(""https://docs.google.com/spreadsheets/d/1jkqa6GXxSacMcY1eN8AHjMNJ_7dDXMJ"&amp;"VRLDlaFSOdPM/edit?usp=sharing"",""ตราด!S399"")+IMPORTRANGE(""https://docs.google.com/spreadsheets/d/18hSgUJ3VwClqi_qtULmmW3cLr0oe3OKaSYoKzdpTsYQ/edit?usp=sharing"",""นครนายก!S399"")+IMPORTRANGE(""https://docs.google.com/spreadsheets/d/1YTZo6WM2dQ6Ix6FSdnL"&amp;"5P7uVnVKu40sxZu975tgG10E/edit?usp=sharing"",""นครปฐม!S399"")+IMPORTRANGE(""https://docs.google.com/spreadsheets/d/1OYoGg4WDg5RIzwGeB10padOxJF9E_Vljuvvct_M7RDo/edit?usp=sharing"",""ปทุมธานี!S399"")+IMPORTRANGE(""https://docs.google.com/spreadsheets/d/1GbCI"&amp;"E4D4wk9FUozzqk7SxfDMxDVBwVmI5zcaVUSzKAc/edit?usp=sharing"",""ประจวบคีรีขันธ์!S399"")+IMPORTRANGE(""https://docs.google.com/spreadsheets/d/1vVf6wykvW_lAyu7Yo9L4hUTqHqIeP_qcVuxCtosJEbg/edit?usp=sharing"",""ปราจีนบุรี!S399"")+IMPORTRANGE(""https://docs.googl"&amp;"e.com/spreadsheets/d/1BIDqLLg5jk3v59G8NlR8rk5xfQDKne0sAvZHSj7TI6I/edit?usp=sharing"",""พระนครศรีอยุธยา!S399"")+IMPORTRANGE(""https://docs.google.com/spreadsheets/d/1YXvxf8Yu6_rV4hTBrwMqAcAnv6DfhUxh5emyM3CJp_w/edit?usp=sharing"",""เพชรบุรี!S399"")+IMPORTRA"&amp;"NGE(""https://docs.google.com/spreadsheets/d/19KBlQQs7uwvsao6t2n-KvW3Ax8J8uRRfZPq1zPbXgKc/edit?usp=sharing"",""ระยอง!S399"")+IMPORTRANGE(""https://docs.google.com/spreadsheets/d/1jQ6P4QcrGM89YfqcC_PxOHGCMq5ezhucwJd8ci-NHng/edit?usp=sharing"",""ราชบุรี!S39"&amp;"9"")+IMPORTRANGE(""https://docs.google.com/spreadsheets/d/1lufeA2cfFqM-elVq2hznhDzC6Pr7wkJ9ZG_sYNGCMCU/edit?usp=sharing"",""ลพบุรี!S399"")+IMPORTRANGE(""https://docs.google.com/spreadsheets/d/10oOiF7loTyfsTkbd4MpaIm0HQ9SwB7IYHdIUvt-U1Uc/edit?usp=sharing"""&amp;",""สระแก้ว!S399"")+IMPORTRANGE(""https://docs.google.com/spreadsheets/d/1xmPlrr1QbdSIKvl1dWUl9K4PjAfSL9oeMr_37QVzcxc/edit?usp=sharing"",""สระบุรี!S399"")+IMPORTRANGE(""https://docs.google.com/spreadsheets/d/1j51vR6CYVGhABJpv6tkstgok82RLpXieLzW1yOY5rHw/edi"&amp;"t?usp=sharing"",""สิงห์บุรี!S399"")+IMPORTRANGE(""https://docs.google.com/spreadsheets/d/1H1EalTWKUSzO4Z1-1CwzoDUaVffgrThEBe2sl74kKG0/edit?usp=sharing"",""สุพรรณบุรี!S399"")+IMPORTRANGE(""https://docs.google.com/spreadsheets/d/1BmIruG_sIrJLYao_Pdr7zVArWsf"&amp;"oBt2692TMi6x_854/edit?usp=sharing"",""อ่างทอง!S399"")"),0)</f>
        <v>0</v>
      </c>
      <c r="T399" s="136">
        <f t="shared" ca="1" si="294"/>
        <v>0</v>
      </c>
      <c r="U399" s="136">
        <f t="shared" ca="1" si="295"/>
        <v>0</v>
      </c>
    </row>
    <row r="400" spans="1:21" ht="18.75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f ca="1">IFERROR(__xludf.DUMMYFUNCTION("IMPORTRANGE(""https://docs.google.com/spreadsheets/d/13wPX838HrBrQMCywv1BsuMkt4PEKTChp52zj44s2izQ/edit?usp=sharing"",""กาญจนบุรี!L400"")+IMPORTRANGE(""https://docs.google.com/spreadsheets/d/1ddFKvqj1W1NEiWytbGlB1zMx_ykJDVtmfEQ-6-lIUBA/edit?usp=sharing"","&amp;"""จันทบุรี!L400"")+IMPORTRANGE(""https://docs.google.com/spreadsheets/d/1T1PQvRODqOBZk8BRht_U031fIS1beLA0Ub2CEytj2q0/edit?usp=sharing"",""ฉะเชิงเทรา!L400"")+IMPORTRANGE(""https://docs.google.com/spreadsheets/d/11tr1B-Bhyr79v2bkwVh5h_fR-PStkgjlZtkrZpYurG0/"&amp;"edit?usp=sharing"",""ชลบุรี!L400"")+IMPORTRANGE(""https://docs.google.com/spreadsheets/d/1hh-FVnSX0vozXhGluamEcS54Dw9_zqW0N7qJUWgJ0Sw/edit?usp=sharing"",""ชัยนาท!L400"")+IMPORTRANGE(""https://docs.google.com/spreadsheets/d/1jkqa6GXxSacMcY1eN8AHjMNJ_7dDXMJ"&amp;"VRLDlaFSOdPM/edit?usp=sharing"",""ตราด!L400"")+IMPORTRANGE(""https://docs.google.com/spreadsheets/d/18hSgUJ3VwClqi_qtULmmW3cLr0oe3OKaSYoKzdpTsYQ/edit?usp=sharing"",""นครนายก!L400"")+IMPORTRANGE(""https://docs.google.com/spreadsheets/d/1YTZo6WM2dQ6Ix6FSdnL"&amp;"5P7uVnVKu40sxZu975tgG10E/edit?usp=sharing"",""นครปฐม!L400"")+IMPORTRANGE(""https://docs.google.com/spreadsheets/d/1OYoGg4WDg5RIzwGeB10padOxJF9E_Vljuvvct_M7RDo/edit?usp=sharing"",""ปทุมธานี!L400"")+IMPORTRANGE(""https://docs.google.com/spreadsheets/d/1GbCI"&amp;"E4D4wk9FUozzqk7SxfDMxDVBwVmI5zcaVUSzKAc/edit?usp=sharing"",""ประจวบคีรีขันธ์!L400"")+IMPORTRANGE(""https://docs.google.com/spreadsheets/d/1vVf6wykvW_lAyu7Yo9L4hUTqHqIeP_qcVuxCtosJEbg/edit?usp=sharing"",""ปราจีนบุรี!L400"")+IMPORTRANGE(""https://docs.googl"&amp;"e.com/spreadsheets/d/1BIDqLLg5jk3v59G8NlR8rk5xfQDKne0sAvZHSj7TI6I/edit?usp=sharing"",""พระนครศรีอยุธยา!L400"")+IMPORTRANGE(""https://docs.google.com/spreadsheets/d/1YXvxf8Yu6_rV4hTBrwMqAcAnv6DfhUxh5emyM3CJp_w/edit?usp=sharing"",""เพชรบุรี!L400"")+IMPORTRA"&amp;"NGE(""https://docs.google.com/spreadsheets/d/19KBlQQs7uwvsao6t2n-KvW3Ax8J8uRRfZPq1zPbXgKc/edit?usp=sharing"",""ระยอง!L400"")+IMPORTRANGE(""https://docs.google.com/spreadsheets/d/1jQ6P4QcrGM89YfqcC_PxOHGCMq5ezhucwJd8ci-NHng/edit?usp=sharing"",""ราชบุรี!L40"&amp;"0"")+IMPORTRANGE(""https://docs.google.com/spreadsheets/d/1lufeA2cfFqM-elVq2hznhDzC6Pr7wkJ9ZG_sYNGCMCU/edit?usp=sharing"",""ลพบุรี!L400"")+IMPORTRANGE(""https://docs.google.com/spreadsheets/d/10oOiF7loTyfsTkbd4MpaIm0HQ9SwB7IYHdIUvt-U1Uc/edit?usp=sharing"""&amp;",""สระแก้ว!L400"")+IMPORTRANGE(""https://docs.google.com/spreadsheets/d/1xmPlrr1QbdSIKvl1dWUl9K4PjAfSL9oeMr_37QVzcxc/edit?usp=sharing"",""สระบุรี!L400"")+IMPORTRANGE(""https://docs.google.com/spreadsheets/d/1j51vR6CYVGhABJpv6tkstgok82RLpXieLzW1yOY5rHw/edi"&amp;"t?usp=sharing"",""สิงห์บุรี!L400"")+IMPORTRANGE(""https://docs.google.com/spreadsheets/d/1H1EalTWKUSzO4Z1-1CwzoDUaVffgrThEBe2sl74kKG0/edit?usp=sharing"",""สุพรรณบุรี!L400"")+IMPORTRANGE(""https://docs.google.com/spreadsheets/d/1BmIruG_sIrJLYao_Pdr7zVArWsf"&amp;"oBt2692TMi6x_854/edit?usp=sharing"",""อ่างทอง!L400"")"),0)</f>
        <v>0</v>
      </c>
      <c r="M400" s="77">
        <f ca="1">IFERROR(__xludf.DUMMYFUNCTION("IMPORTRANGE(""https://docs.google.com/spreadsheets/d/13wPX838HrBrQMCywv1BsuMkt4PEKTChp52zj44s2izQ/edit?usp=sharing"",""กาญจนบุรี!M400"")+IMPORTRANGE(""https://docs.google.com/spreadsheets/d/1ddFKvqj1W1NEiWytbGlB1zMx_ykJDVtmfEQ-6-lIUBA/edit?usp=sharing"","&amp;"""จันทบุรี!M400"")+IMPORTRANGE(""https://docs.google.com/spreadsheets/d/1T1PQvRODqOBZk8BRht_U031fIS1beLA0Ub2CEytj2q0/edit?usp=sharing"",""ฉะเชิงเทรา!M400"")+IMPORTRANGE(""https://docs.google.com/spreadsheets/d/11tr1B-Bhyr79v2bkwVh5h_fR-PStkgjlZtkrZpYurG0/"&amp;"edit?usp=sharing"",""ชลบุรี!M400"")+IMPORTRANGE(""https://docs.google.com/spreadsheets/d/1hh-FVnSX0vozXhGluamEcS54Dw9_zqW0N7qJUWgJ0Sw/edit?usp=sharing"",""ชัยนาท!M400"")+IMPORTRANGE(""https://docs.google.com/spreadsheets/d/1jkqa6GXxSacMcY1eN8AHjMNJ_7dDXMJ"&amp;"VRLDlaFSOdPM/edit?usp=sharing"",""ตราด!M400"")+IMPORTRANGE(""https://docs.google.com/spreadsheets/d/18hSgUJ3VwClqi_qtULmmW3cLr0oe3OKaSYoKzdpTsYQ/edit?usp=sharing"",""นครนายก!M400"")+IMPORTRANGE(""https://docs.google.com/spreadsheets/d/1YTZo6WM2dQ6Ix6FSdnL"&amp;"5P7uVnVKu40sxZu975tgG10E/edit?usp=sharing"",""นครปฐม!M400"")+IMPORTRANGE(""https://docs.google.com/spreadsheets/d/1OYoGg4WDg5RIzwGeB10padOxJF9E_Vljuvvct_M7RDo/edit?usp=sharing"",""ปทุมธานี!M400"")+IMPORTRANGE(""https://docs.google.com/spreadsheets/d/1GbCI"&amp;"E4D4wk9FUozzqk7SxfDMxDVBwVmI5zcaVUSzKAc/edit?usp=sharing"",""ประจวบคีรีขันธ์!M400"")+IMPORTRANGE(""https://docs.google.com/spreadsheets/d/1vVf6wykvW_lAyu7Yo9L4hUTqHqIeP_qcVuxCtosJEbg/edit?usp=sharing"",""ปราจีนบุรี!M400"")+IMPORTRANGE(""https://docs.googl"&amp;"e.com/spreadsheets/d/1BIDqLLg5jk3v59G8NlR8rk5xfQDKne0sAvZHSj7TI6I/edit?usp=sharing"",""พระนครศรีอยุธยา!M400"")+IMPORTRANGE(""https://docs.google.com/spreadsheets/d/1YXvxf8Yu6_rV4hTBrwMqAcAnv6DfhUxh5emyM3CJp_w/edit?usp=sharing"",""เพชรบุรี!M400"")+IMPORTRA"&amp;"NGE(""https://docs.google.com/spreadsheets/d/19KBlQQs7uwvsao6t2n-KvW3Ax8J8uRRfZPq1zPbXgKc/edit?usp=sharing"",""ระยอง!M400"")+IMPORTRANGE(""https://docs.google.com/spreadsheets/d/1jQ6P4QcrGM89YfqcC_PxOHGCMq5ezhucwJd8ci-NHng/edit?usp=sharing"",""ราชบุรี!M40"&amp;"0"")+IMPORTRANGE(""https://docs.google.com/spreadsheets/d/1lufeA2cfFqM-elVq2hznhDzC6Pr7wkJ9ZG_sYNGCMCU/edit?usp=sharing"",""ลพบุรี!M400"")+IMPORTRANGE(""https://docs.google.com/spreadsheets/d/10oOiF7loTyfsTkbd4MpaIm0HQ9SwB7IYHdIUvt-U1Uc/edit?usp=sharing"""&amp;",""สระแก้ว!M400"")+IMPORTRANGE(""https://docs.google.com/spreadsheets/d/1xmPlrr1QbdSIKvl1dWUl9K4PjAfSL9oeMr_37QVzcxc/edit?usp=sharing"",""สระบุรี!M400"")+IMPORTRANGE(""https://docs.google.com/spreadsheets/d/1j51vR6CYVGhABJpv6tkstgok82RLpXieLzW1yOY5rHw/edi"&amp;"t?usp=sharing"",""สิงห์บุรี!M400"")+IMPORTRANGE(""https://docs.google.com/spreadsheets/d/1H1EalTWKUSzO4Z1-1CwzoDUaVffgrThEBe2sl74kKG0/edit?usp=sharing"",""สุพรรณบุรี!M400"")+IMPORTRANGE(""https://docs.google.com/spreadsheets/d/1BmIruG_sIrJLYao_Pdr7zVArWsf"&amp;"oBt2692TMi6x_854/edit?usp=sharing"",""อ่างทอง!M400"")"),0)</f>
        <v>0</v>
      </c>
      <c r="N400" s="77">
        <f ca="1">IFERROR(__xludf.DUMMYFUNCTION("IMPORTRANGE(""https://docs.google.com/spreadsheets/d/13wPX838HrBrQMCywv1BsuMkt4PEKTChp52zj44s2izQ/edit?usp=sharing"",""กาญจนบุรี!N400"")+IMPORTRANGE(""https://docs.google.com/spreadsheets/d/1ddFKvqj1W1NEiWytbGlB1zMx_ykJDVtmfEQ-6-lIUBA/edit?usp=sharing"","&amp;"""จันทบุรี!N400"")+IMPORTRANGE(""https://docs.google.com/spreadsheets/d/1T1PQvRODqOBZk8BRht_U031fIS1beLA0Ub2CEytj2q0/edit?usp=sharing"",""ฉะเชิงเทรา!N400"")+IMPORTRANGE(""https://docs.google.com/spreadsheets/d/11tr1B-Bhyr79v2bkwVh5h_fR-PStkgjlZtkrZpYurG0/"&amp;"edit?usp=sharing"",""ชลบุรี!N400"")+IMPORTRANGE(""https://docs.google.com/spreadsheets/d/1hh-FVnSX0vozXhGluamEcS54Dw9_zqW0N7qJUWgJ0Sw/edit?usp=sharing"",""ชัยนาท!N400"")+IMPORTRANGE(""https://docs.google.com/spreadsheets/d/1jkqa6GXxSacMcY1eN8AHjMNJ_7dDXMJ"&amp;"VRLDlaFSOdPM/edit?usp=sharing"",""ตราด!N400"")+IMPORTRANGE(""https://docs.google.com/spreadsheets/d/18hSgUJ3VwClqi_qtULmmW3cLr0oe3OKaSYoKzdpTsYQ/edit?usp=sharing"",""นครนายก!N400"")+IMPORTRANGE(""https://docs.google.com/spreadsheets/d/1YTZo6WM2dQ6Ix6FSdnL"&amp;"5P7uVnVKu40sxZu975tgG10E/edit?usp=sharing"",""นครปฐม!N400"")+IMPORTRANGE(""https://docs.google.com/spreadsheets/d/1OYoGg4WDg5RIzwGeB10padOxJF9E_Vljuvvct_M7RDo/edit?usp=sharing"",""ปทุมธานี!N400"")+IMPORTRANGE(""https://docs.google.com/spreadsheets/d/1GbCI"&amp;"E4D4wk9FUozzqk7SxfDMxDVBwVmI5zcaVUSzKAc/edit?usp=sharing"",""ประจวบคีรีขันธ์!N400"")+IMPORTRANGE(""https://docs.google.com/spreadsheets/d/1vVf6wykvW_lAyu7Yo9L4hUTqHqIeP_qcVuxCtosJEbg/edit?usp=sharing"",""ปราจีนบุรี!N400"")+IMPORTRANGE(""https://docs.googl"&amp;"e.com/spreadsheets/d/1BIDqLLg5jk3v59G8NlR8rk5xfQDKne0sAvZHSj7TI6I/edit?usp=sharing"",""พระนครศรีอยุธยา!N400"")+IMPORTRANGE(""https://docs.google.com/spreadsheets/d/1YXvxf8Yu6_rV4hTBrwMqAcAnv6DfhUxh5emyM3CJp_w/edit?usp=sharing"",""เพชรบุรี!N400"")+IMPORTRA"&amp;"NGE(""https://docs.google.com/spreadsheets/d/19KBlQQs7uwvsao6t2n-KvW3Ax8J8uRRfZPq1zPbXgKc/edit?usp=sharing"",""ระยอง!N400"")+IMPORTRANGE(""https://docs.google.com/spreadsheets/d/1jQ6P4QcrGM89YfqcC_PxOHGCMq5ezhucwJd8ci-NHng/edit?usp=sharing"",""ราชบุรี!N40"&amp;"0"")+IMPORTRANGE(""https://docs.google.com/spreadsheets/d/1lufeA2cfFqM-elVq2hznhDzC6Pr7wkJ9ZG_sYNGCMCU/edit?usp=sharing"",""ลพบุรี!N400"")+IMPORTRANGE(""https://docs.google.com/spreadsheets/d/10oOiF7loTyfsTkbd4MpaIm0HQ9SwB7IYHdIUvt-U1Uc/edit?usp=sharing"""&amp;",""สระแก้ว!N400"")+IMPORTRANGE(""https://docs.google.com/spreadsheets/d/1xmPlrr1QbdSIKvl1dWUl9K4PjAfSL9oeMr_37QVzcxc/edit?usp=sharing"",""สระบุรี!N400"")+IMPORTRANGE(""https://docs.google.com/spreadsheets/d/1j51vR6CYVGhABJpv6tkstgok82RLpXieLzW1yOY5rHw/edi"&amp;"t?usp=sharing"",""สิงห์บุรี!N400"")+IMPORTRANGE(""https://docs.google.com/spreadsheets/d/1H1EalTWKUSzO4Z1-1CwzoDUaVffgrThEBe2sl74kKG0/edit?usp=sharing"",""สุพรรณบุรี!N400"")+IMPORTRANGE(""https://docs.google.com/spreadsheets/d/1BmIruG_sIrJLYao_Pdr7zVArWsf"&amp;"oBt2692TMi6x_854/edit?usp=sharing"",""อ่างทอง!N400"")"),0)</f>
        <v>0</v>
      </c>
      <c r="O400" s="77">
        <f t="shared" ca="1" si="291"/>
        <v>0</v>
      </c>
      <c r="P400" s="77">
        <f t="shared" ca="1" si="292"/>
        <v>0</v>
      </c>
      <c r="Q400" s="76">
        <f ca="1">IFERROR(__xludf.DUMMYFUNCTION("IMPORTRANGE(""https://docs.google.com/spreadsheets/d/13wPX838HrBrQMCywv1BsuMkt4PEKTChp52zj44s2izQ/edit?usp=sharing"",""กาญจนบุรี!Q400"")+IMPORTRANGE(""https://docs.google.com/spreadsheets/d/1ddFKvqj1W1NEiWytbGlB1zMx_ykJDVtmfEQ-6-lIUBA/edit?usp=sharing"","&amp;"""จันทบุรี!Q400"")+IMPORTRANGE(""https://docs.google.com/spreadsheets/d/1T1PQvRODqOBZk8BRht_U031fIS1beLA0Ub2CEytj2q0/edit?usp=sharing"",""ฉะเชิงเทรา!Q400"")+IMPORTRANGE(""https://docs.google.com/spreadsheets/d/11tr1B-Bhyr79v2bkwVh5h_fR-PStkgjlZtkrZpYurG0/"&amp;"edit?usp=sharing"",""ชลบุรี!Q400"")+IMPORTRANGE(""https://docs.google.com/spreadsheets/d/1hh-FVnSX0vozXhGluamEcS54Dw9_zqW0N7qJUWgJ0Sw/edit?usp=sharing"",""ชัยนาท!Q400"")+IMPORTRANGE(""https://docs.google.com/spreadsheets/d/1jkqa6GXxSacMcY1eN8AHjMNJ_7dDXMJ"&amp;"VRLDlaFSOdPM/edit?usp=sharing"",""ตราด!Q400"")+IMPORTRANGE(""https://docs.google.com/spreadsheets/d/18hSgUJ3VwClqi_qtULmmW3cLr0oe3OKaSYoKzdpTsYQ/edit?usp=sharing"",""นครนายก!Q400"")+IMPORTRANGE(""https://docs.google.com/spreadsheets/d/1YTZo6WM2dQ6Ix6FSdnL"&amp;"5P7uVnVKu40sxZu975tgG10E/edit?usp=sharing"",""นครปฐม!Q400"")+IMPORTRANGE(""https://docs.google.com/spreadsheets/d/1OYoGg4WDg5RIzwGeB10padOxJF9E_Vljuvvct_M7RDo/edit?usp=sharing"",""ปทุมธานี!Q400"")+IMPORTRANGE(""https://docs.google.com/spreadsheets/d/1GbCI"&amp;"E4D4wk9FUozzqk7SxfDMxDVBwVmI5zcaVUSzKAc/edit?usp=sharing"",""ประจวบคีรีขันธ์!Q400"")+IMPORTRANGE(""https://docs.google.com/spreadsheets/d/1vVf6wykvW_lAyu7Yo9L4hUTqHqIeP_qcVuxCtosJEbg/edit?usp=sharing"",""ปราจีนบุรี!Q400"")+IMPORTRANGE(""https://docs.googl"&amp;"e.com/spreadsheets/d/1BIDqLLg5jk3v59G8NlR8rk5xfQDKne0sAvZHSj7TI6I/edit?usp=sharing"",""พระนครศรีอยุธยา!Q400"")+IMPORTRANGE(""https://docs.google.com/spreadsheets/d/1YXvxf8Yu6_rV4hTBrwMqAcAnv6DfhUxh5emyM3CJp_w/edit?usp=sharing"",""เพชรบุรี!Q400"")+IMPORTRA"&amp;"NGE(""https://docs.google.com/spreadsheets/d/19KBlQQs7uwvsao6t2n-KvW3Ax8J8uRRfZPq1zPbXgKc/edit?usp=sharing"",""ระยอง!Q400"")+IMPORTRANGE(""https://docs.google.com/spreadsheets/d/1jQ6P4QcrGM89YfqcC_PxOHGCMq5ezhucwJd8ci-NHng/edit?usp=sharing"",""ราชบุรี!Q40"&amp;"0"")+IMPORTRANGE(""https://docs.google.com/spreadsheets/d/1lufeA2cfFqM-elVq2hznhDzC6Pr7wkJ9ZG_sYNGCMCU/edit?usp=sharing"",""ลพบุรี!Q400"")+IMPORTRANGE(""https://docs.google.com/spreadsheets/d/10oOiF7loTyfsTkbd4MpaIm0HQ9SwB7IYHdIUvt-U1Uc/edit?usp=sharing"""&amp;",""สระแก้ว!Q400"")+IMPORTRANGE(""https://docs.google.com/spreadsheets/d/1xmPlrr1QbdSIKvl1dWUl9K4PjAfSL9oeMr_37QVzcxc/edit?usp=sharing"",""สระบุรี!Q400"")+IMPORTRANGE(""https://docs.google.com/spreadsheets/d/1j51vR6CYVGhABJpv6tkstgok82RLpXieLzW1yOY5rHw/edi"&amp;"t?usp=sharing"",""สิงห์บุรี!Q400"")+IMPORTRANGE(""https://docs.google.com/spreadsheets/d/1H1EalTWKUSzO4Z1-1CwzoDUaVffgrThEBe2sl74kKG0/edit?usp=sharing"",""สุพรรณบุรี!Q400"")+IMPORTRANGE(""https://docs.google.com/spreadsheets/d/1BmIruG_sIrJLYao_Pdr7zVArWsf"&amp;"oBt2692TMi6x_854/edit?usp=sharing"",""อ่างทอง!Q400"")"),0)</f>
        <v>0</v>
      </c>
      <c r="R400" s="77">
        <f ca="1">IFERROR(__xludf.DUMMYFUNCTION("IMPORTRANGE(""https://docs.google.com/spreadsheets/d/13wPX838HrBrQMCywv1BsuMkt4PEKTChp52zj44s2izQ/edit?usp=sharing"",""กาญจนบุรี!R400"")+IMPORTRANGE(""https://docs.google.com/spreadsheets/d/1ddFKvqj1W1NEiWytbGlB1zMx_ykJDVtmfEQ-6-lIUBA/edit?usp=sharing"","&amp;"""จันทบุรี!R400"")+IMPORTRANGE(""https://docs.google.com/spreadsheets/d/1T1PQvRODqOBZk8BRht_U031fIS1beLA0Ub2CEytj2q0/edit?usp=sharing"",""ฉะเชิงเทรา!R400"")+IMPORTRANGE(""https://docs.google.com/spreadsheets/d/11tr1B-Bhyr79v2bkwVh5h_fR-PStkgjlZtkrZpYurG0/"&amp;"edit?usp=sharing"",""ชลบุรี!R400"")+IMPORTRANGE(""https://docs.google.com/spreadsheets/d/1hh-FVnSX0vozXhGluamEcS54Dw9_zqW0N7qJUWgJ0Sw/edit?usp=sharing"",""ชัยนาท!R400"")+IMPORTRANGE(""https://docs.google.com/spreadsheets/d/1jkqa6GXxSacMcY1eN8AHjMNJ_7dDXMJ"&amp;"VRLDlaFSOdPM/edit?usp=sharing"",""ตราด!R400"")+IMPORTRANGE(""https://docs.google.com/spreadsheets/d/18hSgUJ3VwClqi_qtULmmW3cLr0oe3OKaSYoKzdpTsYQ/edit?usp=sharing"",""นครนายก!R400"")+IMPORTRANGE(""https://docs.google.com/spreadsheets/d/1YTZo6WM2dQ6Ix6FSdnL"&amp;"5P7uVnVKu40sxZu975tgG10E/edit?usp=sharing"",""นครปฐม!R400"")+IMPORTRANGE(""https://docs.google.com/spreadsheets/d/1OYoGg4WDg5RIzwGeB10padOxJF9E_Vljuvvct_M7RDo/edit?usp=sharing"",""ปทุมธานี!R400"")+IMPORTRANGE(""https://docs.google.com/spreadsheets/d/1GbCI"&amp;"E4D4wk9FUozzqk7SxfDMxDVBwVmI5zcaVUSzKAc/edit?usp=sharing"",""ประจวบคีรีขันธ์!R400"")+IMPORTRANGE(""https://docs.google.com/spreadsheets/d/1vVf6wykvW_lAyu7Yo9L4hUTqHqIeP_qcVuxCtosJEbg/edit?usp=sharing"",""ปราจีนบุรี!R400"")+IMPORTRANGE(""https://docs.googl"&amp;"e.com/spreadsheets/d/1BIDqLLg5jk3v59G8NlR8rk5xfQDKne0sAvZHSj7TI6I/edit?usp=sharing"",""พระนครศรีอยุธยา!R400"")+IMPORTRANGE(""https://docs.google.com/spreadsheets/d/1YXvxf8Yu6_rV4hTBrwMqAcAnv6DfhUxh5emyM3CJp_w/edit?usp=sharing"",""เพชรบุรี!R400"")+IMPORTRA"&amp;"NGE(""https://docs.google.com/spreadsheets/d/19KBlQQs7uwvsao6t2n-KvW3Ax8J8uRRfZPq1zPbXgKc/edit?usp=sharing"",""ระยอง!R400"")+IMPORTRANGE(""https://docs.google.com/spreadsheets/d/1jQ6P4QcrGM89YfqcC_PxOHGCMq5ezhucwJd8ci-NHng/edit?usp=sharing"",""ราชบุรี!R40"&amp;"0"")+IMPORTRANGE(""https://docs.google.com/spreadsheets/d/1lufeA2cfFqM-elVq2hznhDzC6Pr7wkJ9ZG_sYNGCMCU/edit?usp=sharing"",""ลพบุรี!R400"")+IMPORTRANGE(""https://docs.google.com/spreadsheets/d/10oOiF7loTyfsTkbd4MpaIm0HQ9SwB7IYHdIUvt-U1Uc/edit?usp=sharing"""&amp;",""สระแก้ว!R400"")+IMPORTRANGE(""https://docs.google.com/spreadsheets/d/1xmPlrr1QbdSIKvl1dWUl9K4PjAfSL9oeMr_37QVzcxc/edit?usp=sharing"",""สระบุรี!R400"")+IMPORTRANGE(""https://docs.google.com/spreadsheets/d/1j51vR6CYVGhABJpv6tkstgok82RLpXieLzW1yOY5rHw/edi"&amp;"t?usp=sharing"",""สิงห์บุรี!R400"")+IMPORTRANGE(""https://docs.google.com/spreadsheets/d/1H1EalTWKUSzO4Z1-1CwzoDUaVffgrThEBe2sl74kKG0/edit?usp=sharing"",""สุพรรณบุรี!R400"")+IMPORTRANGE(""https://docs.google.com/spreadsheets/d/1BmIruG_sIrJLYao_Pdr7zVArWsf"&amp;"oBt2692TMi6x_854/edit?usp=sharing"",""อ่างทอง!R400"")"),0)</f>
        <v>0</v>
      </c>
      <c r="S400" s="77">
        <f ca="1">IFERROR(__xludf.DUMMYFUNCTION("IMPORTRANGE(""https://docs.google.com/spreadsheets/d/13wPX838HrBrQMCywv1BsuMkt4PEKTChp52zj44s2izQ/edit?usp=sharing"",""กาญจนบุรี!S400"")+IMPORTRANGE(""https://docs.google.com/spreadsheets/d/1ddFKvqj1W1NEiWytbGlB1zMx_ykJDVtmfEQ-6-lIUBA/edit?usp=sharing"","&amp;"""จันทบุรี!S400"")+IMPORTRANGE(""https://docs.google.com/spreadsheets/d/1T1PQvRODqOBZk8BRht_U031fIS1beLA0Ub2CEytj2q0/edit?usp=sharing"",""ฉะเชิงเทรา!S400"")+IMPORTRANGE(""https://docs.google.com/spreadsheets/d/11tr1B-Bhyr79v2bkwVh5h_fR-PStkgjlZtkrZpYurG0/"&amp;"edit?usp=sharing"",""ชลบุรี!S400"")+IMPORTRANGE(""https://docs.google.com/spreadsheets/d/1hh-FVnSX0vozXhGluamEcS54Dw9_zqW0N7qJUWgJ0Sw/edit?usp=sharing"",""ชัยนาท!S400"")+IMPORTRANGE(""https://docs.google.com/spreadsheets/d/1jkqa6GXxSacMcY1eN8AHjMNJ_7dDXMJ"&amp;"VRLDlaFSOdPM/edit?usp=sharing"",""ตราด!S400"")+IMPORTRANGE(""https://docs.google.com/spreadsheets/d/18hSgUJ3VwClqi_qtULmmW3cLr0oe3OKaSYoKzdpTsYQ/edit?usp=sharing"",""นครนายก!S400"")+IMPORTRANGE(""https://docs.google.com/spreadsheets/d/1YTZo6WM2dQ6Ix6FSdnL"&amp;"5P7uVnVKu40sxZu975tgG10E/edit?usp=sharing"",""นครปฐม!S400"")+IMPORTRANGE(""https://docs.google.com/spreadsheets/d/1OYoGg4WDg5RIzwGeB10padOxJF9E_Vljuvvct_M7RDo/edit?usp=sharing"",""ปทุมธานี!S400"")+IMPORTRANGE(""https://docs.google.com/spreadsheets/d/1GbCI"&amp;"E4D4wk9FUozzqk7SxfDMxDVBwVmI5zcaVUSzKAc/edit?usp=sharing"",""ประจวบคีรีขันธ์!S400"")+IMPORTRANGE(""https://docs.google.com/spreadsheets/d/1vVf6wykvW_lAyu7Yo9L4hUTqHqIeP_qcVuxCtosJEbg/edit?usp=sharing"",""ปราจีนบุรี!S400"")+IMPORTRANGE(""https://docs.googl"&amp;"e.com/spreadsheets/d/1BIDqLLg5jk3v59G8NlR8rk5xfQDKne0sAvZHSj7TI6I/edit?usp=sharing"",""พระนครศรีอยุธยา!S400"")+IMPORTRANGE(""https://docs.google.com/spreadsheets/d/1YXvxf8Yu6_rV4hTBrwMqAcAnv6DfhUxh5emyM3CJp_w/edit?usp=sharing"",""เพชรบุรี!S400"")+IMPORTRA"&amp;"NGE(""https://docs.google.com/spreadsheets/d/19KBlQQs7uwvsao6t2n-KvW3Ax8J8uRRfZPq1zPbXgKc/edit?usp=sharing"",""ระยอง!S400"")+IMPORTRANGE(""https://docs.google.com/spreadsheets/d/1jQ6P4QcrGM89YfqcC_PxOHGCMq5ezhucwJd8ci-NHng/edit?usp=sharing"",""ราชบุรี!S40"&amp;"0"")+IMPORTRANGE(""https://docs.google.com/spreadsheets/d/1lufeA2cfFqM-elVq2hznhDzC6Pr7wkJ9ZG_sYNGCMCU/edit?usp=sharing"",""ลพบุรี!S400"")+IMPORTRANGE(""https://docs.google.com/spreadsheets/d/10oOiF7loTyfsTkbd4MpaIm0HQ9SwB7IYHdIUvt-U1Uc/edit?usp=sharing"""&amp;",""สระแก้ว!S400"")+IMPORTRANGE(""https://docs.google.com/spreadsheets/d/1xmPlrr1QbdSIKvl1dWUl9K4PjAfSL9oeMr_37QVzcxc/edit?usp=sharing"",""สระบุรี!S400"")+IMPORTRANGE(""https://docs.google.com/spreadsheets/d/1j51vR6CYVGhABJpv6tkstgok82RLpXieLzW1yOY5rHw/edi"&amp;"t?usp=sharing"",""สิงห์บุรี!S400"")+IMPORTRANGE(""https://docs.google.com/spreadsheets/d/1H1EalTWKUSzO4Z1-1CwzoDUaVffgrThEBe2sl74kKG0/edit?usp=sharing"",""สุพรรณบุรี!S400"")+IMPORTRANGE(""https://docs.google.com/spreadsheets/d/1BmIruG_sIrJLYao_Pdr7zVArWsf"&amp;"oBt2692TMi6x_854/edit?usp=sharing"",""อ่างทอง!S400"")"),0)</f>
        <v>0</v>
      </c>
      <c r="T400" s="135">
        <f t="shared" ca="1" si="294"/>
        <v>0</v>
      </c>
      <c r="U400" s="135">
        <f t="shared" ca="1" si="295"/>
        <v>0</v>
      </c>
    </row>
    <row r="401" spans="1:21" ht="19.5" x14ac:dyDescent="0.3">
      <c r="A401" s="278"/>
      <c r="B401" s="279"/>
      <c r="C401" s="280" t="s">
        <v>18</v>
      </c>
      <c r="D401" s="572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t="shared" ref="I412:J412" ca="1" si="304">I423</f>
        <v>0</v>
      </c>
      <c r="J412" s="599">
        <f t="shared" ca="1" si="304"/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802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66">
        <f t="shared" ref="L413:N413" ca="1" si="305">L414+L415</f>
        <v>0</v>
      </c>
      <c r="M413" s="266">
        <f t="shared" ca="1" si="305"/>
        <v>0</v>
      </c>
      <c r="N413" s="266">
        <f t="shared" ca="1" si="305"/>
        <v>0</v>
      </c>
      <c r="O413" s="266">
        <f t="shared" ref="O413:O421" ca="1" si="306">IF(L413&gt;0,N413*100/L413,0)</f>
        <v>0</v>
      </c>
      <c r="P413" s="266">
        <f t="shared" ref="P413:P421" ca="1" si="307">IF(M413&gt;0,N413*100/M413,0)</f>
        <v>0</v>
      </c>
      <c r="Q413" s="216">
        <f t="shared" ref="Q413:S413" ca="1" si="308">Q414+Q415</f>
        <v>0</v>
      </c>
      <c r="R413" s="217">
        <f t="shared" ca="1" si="308"/>
        <v>0</v>
      </c>
      <c r="S413" s="217">
        <f t="shared" ca="1" si="308"/>
        <v>0</v>
      </c>
      <c r="T413" s="217">
        <f t="shared" ref="T413:T421" ca="1" si="309">IF(Q413&gt;0,S413*100/Q413,0)</f>
        <v>0</v>
      </c>
      <c r="U413" s="217">
        <f t="shared" ref="U413:U421" ca="1" si="310">IF(R413&gt;0,S413*100/R413,0)</f>
        <v>0</v>
      </c>
    </row>
    <row r="414" spans="1:21" ht="18.75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80">
        <f t="shared" ref="L414:N414" ca="1" si="311">L417+L420</f>
        <v>0</v>
      </c>
      <c r="M414" s="80">
        <f t="shared" ca="1" si="311"/>
        <v>0</v>
      </c>
      <c r="N414" s="80">
        <f t="shared" ca="1" si="311"/>
        <v>0</v>
      </c>
      <c r="O414" s="80">
        <f t="shared" ca="1" si="306"/>
        <v>0</v>
      </c>
      <c r="P414" s="80">
        <f t="shared" ca="1" si="307"/>
        <v>0</v>
      </c>
      <c r="Q414" s="219">
        <f t="shared" ref="Q414:S414" ca="1" si="312">Q417+Q420</f>
        <v>0</v>
      </c>
      <c r="R414" s="136">
        <f t="shared" ca="1" si="312"/>
        <v>0</v>
      </c>
      <c r="S414" s="136">
        <f t="shared" ca="1" si="312"/>
        <v>0</v>
      </c>
      <c r="T414" s="136">
        <f t="shared" ca="1" si="309"/>
        <v>0</v>
      </c>
      <c r="U414" s="136">
        <f t="shared" ca="1" si="310"/>
        <v>0</v>
      </c>
    </row>
    <row r="415" spans="1:21" ht="18.75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 t="shared" ref="L415:N415" ca="1" si="313">L418+L421</f>
        <v>0</v>
      </c>
      <c r="M415" s="77">
        <f t="shared" ca="1" si="313"/>
        <v>0</v>
      </c>
      <c r="N415" s="77">
        <f t="shared" ca="1" si="313"/>
        <v>0</v>
      </c>
      <c r="O415" s="77">
        <f t="shared" ca="1" si="306"/>
        <v>0</v>
      </c>
      <c r="P415" s="77">
        <f t="shared" ca="1" si="307"/>
        <v>0</v>
      </c>
      <c r="Q415" s="134">
        <f t="shared" ref="Q415:S415" ca="1" si="314">Q418+Q421</f>
        <v>0</v>
      </c>
      <c r="R415" s="135">
        <f t="shared" ca="1" si="314"/>
        <v>0</v>
      </c>
      <c r="S415" s="135">
        <f t="shared" ca="1" si="314"/>
        <v>0</v>
      </c>
      <c r="T415" s="135">
        <f t="shared" ca="1" si="309"/>
        <v>0</v>
      </c>
      <c r="U415" s="135">
        <f t="shared" ca="1" si="310"/>
        <v>0</v>
      </c>
    </row>
    <row r="416" spans="1:21" ht="19.5" x14ac:dyDescent="0.3">
      <c r="A416" s="259"/>
      <c r="B416" s="271"/>
      <c r="C416" s="271"/>
      <c r="D416" s="570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 t="shared" ref="L416:N416" ca="1" si="315">L417+L418</f>
        <v>0</v>
      </c>
      <c r="M416" s="77">
        <f t="shared" ca="1" si="315"/>
        <v>0</v>
      </c>
      <c r="N416" s="77">
        <f t="shared" ca="1" si="315"/>
        <v>0</v>
      </c>
      <c r="O416" s="77">
        <f t="shared" ca="1" si="306"/>
        <v>0</v>
      </c>
      <c r="P416" s="77">
        <f t="shared" ca="1" si="307"/>
        <v>0</v>
      </c>
      <c r="Q416" s="134">
        <f t="shared" ref="Q416:S416" ca="1" si="316">Q417+Q418</f>
        <v>0</v>
      </c>
      <c r="R416" s="135">
        <f t="shared" ca="1" si="316"/>
        <v>0</v>
      </c>
      <c r="S416" s="135">
        <f t="shared" ca="1" si="316"/>
        <v>0</v>
      </c>
      <c r="T416" s="135">
        <f t="shared" ca="1" si="309"/>
        <v>0</v>
      </c>
      <c r="U416" s="135">
        <f t="shared" ca="1" si="310"/>
        <v>0</v>
      </c>
    </row>
    <row r="417" spans="1:21" ht="18.75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f ca="1">IFERROR(__xludf.DUMMYFUNCTION("IMPORTRANGE(""https://docs.google.com/spreadsheets/d/13wPX838HrBrQMCywv1BsuMkt4PEKTChp52zj44s2izQ/edit?usp=sharing"",""กาญจนบุรี!L417"")+IMPORTRANGE(""https://docs.google.com/spreadsheets/d/1ddFKvqj1W1NEiWytbGlB1zMx_ykJDVtmfEQ-6-lIUBA/edit?usp=sharing"","&amp;"""จันทบุรี!L417"")+IMPORTRANGE(""https://docs.google.com/spreadsheets/d/1T1PQvRODqOBZk8BRht_U031fIS1beLA0Ub2CEytj2q0/edit?usp=sharing"",""ฉะเชิงเทรา!L417"")+IMPORTRANGE(""https://docs.google.com/spreadsheets/d/11tr1B-Bhyr79v2bkwVh5h_fR-PStkgjlZtkrZpYurG0/"&amp;"edit?usp=sharing"",""ชลบุรี!L417"")+IMPORTRANGE(""https://docs.google.com/spreadsheets/d/1hh-FVnSX0vozXhGluamEcS54Dw9_zqW0N7qJUWgJ0Sw/edit?usp=sharing"",""ชัยนาท!L417"")+IMPORTRANGE(""https://docs.google.com/spreadsheets/d/1jkqa6GXxSacMcY1eN8AHjMNJ_7dDXMJ"&amp;"VRLDlaFSOdPM/edit?usp=sharing"",""ตราด!L417"")+IMPORTRANGE(""https://docs.google.com/spreadsheets/d/18hSgUJ3VwClqi_qtULmmW3cLr0oe3OKaSYoKzdpTsYQ/edit?usp=sharing"",""นครนายก!L417"")+IMPORTRANGE(""https://docs.google.com/spreadsheets/d/1YTZo6WM2dQ6Ix6FSdnL"&amp;"5P7uVnVKu40sxZu975tgG10E/edit?usp=sharing"",""นครปฐม!L417"")+IMPORTRANGE(""https://docs.google.com/spreadsheets/d/1OYoGg4WDg5RIzwGeB10padOxJF9E_Vljuvvct_M7RDo/edit?usp=sharing"",""ปทุมธานี!L417"")+IMPORTRANGE(""https://docs.google.com/spreadsheets/d/1GbCI"&amp;"E4D4wk9FUozzqk7SxfDMxDVBwVmI5zcaVUSzKAc/edit?usp=sharing"",""ประจวบคีรีขันธ์!L417"")+IMPORTRANGE(""https://docs.google.com/spreadsheets/d/1vVf6wykvW_lAyu7Yo9L4hUTqHqIeP_qcVuxCtosJEbg/edit?usp=sharing"",""ปราจีนบุรี!L417"")+IMPORTRANGE(""https://docs.googl"&amp;"e.com/spreadsheets/d/1BIDqLLg5jk3v59G8NlR8rk5xfQDKne0sAvZHSj7TI6I/edit?usp=sharing"",""พระนครศรีอยุธยา!L417"")+IMPORTRANGE(""https://docs.google.com/spreadsheets/d/1YXvxf8Yu6_rV4hTBrwMqAcAnv6DfhUxh5emyM3CJp_w/edit?usp=sharing"",""เพชรบุรี!L417"")+IMPORTRA"&amp;"NGE(""https://docs.google.com/spreadsheets/d/19KBlQQs7uwvsao6t2n-KvW3Ax8J8uRRfZPq1zPbXgKc/edit?usp=sharing"",""ระยอง!L417"")+IMPORTRANGE(""https://docs.google.com/spreadsheets/d/1jQ6P4QcrGM89YfqcC_PxOHGCMq5ezhucwJd8ci-NHng/edit?usp=sharing"",""ราชบุรี!L41"&amp;"7"")+IMPORTRANGE(""https://docs.google.com/spreadsheets/d/1lufeA2cfFqM-elVq2hznhDzC6Pr7wkJ9ZG_sYNGCMCU/edit?usp=sharing"",""ลพบุรี!L417"")+IMPORTRANGE(""https://docs.google.com/spreadsheets/d/10oOiF7loTyfsTkbd4MpaIm0HQ9SwB7IYHdIUvt-U1Uc/edit?usp=sharing"""&amp;",""สระแก้ว!L417"")+IMPORTRANGE(""https://docs.google.com/spreadsheets/d/1xmPlrr1QbdSIKvl1dWUl9K4PjAfSL9oeMr_37QVzcxc/edit?usp=sharing"",""สระบุรี!L417"")+IMPORTRANGE(""https://docs.google.com/spreadsheets/d/1j51vR6CYVGhABJpv6tkstgok82RLpXieLzW1yOY5rHw/edi"&amp;"t?usp=sharing"",""สิงห์บุรี!L417"")+IMPORTRANGE(""https://docs.google.com/spreadsheets/d/1H1EalTWKUSzO4Z1-1CwzoDUaVffgrThEBe2sl74kKG0/edit?usp=sharing"",""สุพรรณบุรี!L417"")+IMPORTRANGE(""https://docs.google.com/spreadsheets/d/1BmIruG_sIrJLYao_Pdr7zVArWsf"&amp;"oBt2692TMi6x_854/edit?usp=sharing"",""อ่างทอง!L417"")"),0)</f>
        <v>0</v>
      </c>
      <c r="M417" s="80">
        <f ca="1">IFERROR(__xludf.DUMMYFUNCTION("IMPORTRANGE(""https://docs.google.com/spreadsheets/d/13wPX838HrBrQMCywv1BsuMkt4PEKTChp52zj44s2izQ/edit?usp=sharing"",""กาญจนบุรี!M417"")+IMPORTRANGE(""https://docs.google.com/spreadsheets/d/1ddFKvqj1W1NEiWytbGlB1zMx_ykJDVtmfEQ-6-lIUBA/edit?usp=sharing"","&amp;"""จันทบุรี!M417"")+IMPORTRANGE(""https://docs.google.com/spreadsheets/d/1T1PQvRODqOBZk8BRht_U031fIS1beLA0Ub2CEytj2q0/edit?usp=sharing"",""ฉะเชิงเทรา!M417"")+IMPORTRANGE(""https://docs.google.com/spreadsheets/d/11tr1B-Bhyr79v2bkwVh5h_fR-PStkgjlZtkrZpYurG0/"&amp;"edit?usp=sharing"",""ชลบุรี!M417"")+IMPORTRANGE(""https://docs.google.com/spreadsheets/d/1hh-FVnSX0vozXhGluamEcS54Dw9_zqW0N7qJUWgJ0Sw/edit?usp=sharing"",""ชัยนาท!M417"")+IMPORTRANGE(""https://docs.google.com/spreadsheets/d/1jkqa6GXxSacMcY1eN8AHjMNJ_7dDXMJ"&amp;"VRLDlaFSOdPM/edit?usp=sharing"",""ตราด!M417"")+IMPORTRANGE(""https://docs.google.com/spreadsheets/d/18hSgUJ3VwClqi_qtULmmW3cLr0oe3OKaSYoKzdpTsYQ/edit?usp=sharing"",""นครนายก!M417"")+IMPORTRANGE(""https://docs.google.com/spreadsheets/d/1YTZo6WM2dQ6Ix6FSdnL"&amp;"5P7uVnVKu40sxZu975tgG10E/edit?usp=sharing"",""นครปฐม!M417"")+IMPORTRANGE(""https://docs.google.com/spreadsheets/d/1OYoGg4WDg5RIzwGeB10padOxJF9E_Vljuvvct_M7RDo/edit?usp=sharing"",""ปทุมธานี!M417"")+IMPORTRANGE(""https://docs.google.com/spreadsheets/d/1GbCI"&amp;"E4D4wk9FUozzqk7SxfDMxDVBwVmI5zcaVUSzKAc/edit?usp=sharing"",""ประจวบคีรีขันธ์!M417"")+IMPORTRANGE(""https://docs.google.com/spreadsheets/d/1vVf6wykvW_lAyu7Yo9L4hUTqHqIeP_qcVuxCtosJEbg/edit?usp=sharing"",""ปราจีนบุรี!M417"")+IMPORTRANGE(""https://docs.googl"&amp;"e.com/spreadsheets/d/1BIDqLLg5jk3v59G8NlR8rk5xfQDKne0sAvZHSj7TI6I/edit?usp=sharing"",""พระนครศรีอยุธยา!M417"")+IMPORTRANGE(""https://docs.google.com/spreadsheets/d/1YXvxf8Yu6_rV4hTBrwMqAcAnv6DfhUxh5emyM3CJp_w/edit?usp=sharing"",""เพชรบุรี!M417"")+IMPORTRA"&amp;"NGE(""https://docs.google.com/spreadsheets/d/19KBlQQs7uwvsao6t2n-KvW3Ax8J8uRRfZPq1zPbXgKc/edit?usp=sharing"",""ระยอง!M417"")+IMPORTRANGE(""https://docs.google.com/spreadsheets/d/1jQ6P4QcrGM89YfqcC_PxOHGCMq5ezhucwJd8ci-NHng/edit?usp=sharing"",""ราชบุรี!M41"&amp;"7"")+IMPORTRANGE(""https://docs.google.com/spreadsheets/d/1lufeA2cfFqM-elVq2hznhDzC6Pr7wkJ9ZG_sYNGCMCU/edit?usp=sharing"",""ลพบุรี!M417"")+IMPORTRANGE(""https://docs.google.com/spreadsheets/d/10oOiF7loTyfsTkbd4MpaIm0HQ9SwB7IYHdIUvt-U1Uc/edit?usp=sharing"""&amp;",""สระแก้ว!M417"")+IMPORTRANGE(""https://docs.google.com/spreadsheets/d/1xmPlrr1QbdSIKvl1dWUl9K4PjAfSL9oeMr_37QVzcxc/edit?usp=sharing"",""สระบุรี!M417"")+IMPORTRANGE(""https://docs.google.com/spreadsheets/d/1j51vR6CYVGhABJpv6tkstgok82RLpXieLzW1yOY5rHw/edi"&amp;"t?usp=sharing"",""สิงห์บุรี!M417"")+IMPORTRANGE(""https://docs.google.com/spreadsheets/d/1H1EalTWKUSzO4Z1-1CwzoDUaVffgrThEBe2sl74kKG0/edit?usp=sharing"",""สุพรรณบุรี!M417"")+IMPORTRANGE(""https://docs.google.com/spreadsheets/d/1BmIruG_sIrJLYao_Pdr7zVArWsf"&amp;"oBt2692TMi6x_854/edit?usp=sharing"",""อ่างทอง!M417"")"),0)</f>
        <v>0</v>
      </c>
      <c r="N417" s="80">
        <f ca="1">IFERROR(__xludf.DUMMYFUNCTION("IMPORTRANGE(""https://docs.google.com/spreadsheets/d/13wPX838HrBrQMCywv1BsuMkt4PEKTChp52zj44s2izQ/edit?usp=sharing"",""กาญจนบุรี!N417"")+IMPORTRANGE(""https://docs.google.com/spreadsheets/d/1ddFKvqj1W1NEiWytbGlB1zMx_ykJDVtmfEQ-6-lIUBA/edit?usp=sharing"","&amp;"""จันทบุรี!N417"")+IMPORTRANGE(""https://docs.google.com/spreadsheets/d/1T1PQvRODqOBZk8BRht_U031fIS1beLA0Ub2CEytj2q0/edit?usp=sharing"",""ฉะเชิงเทรา!N417"")+IMPORTRANGE(""https://docs.google.com/spreadsheets/d/11tr1B-Bhyr79v2bkwVh5h_fR-PStkgjlZtkrZpYurG0/"&amp;"edit?usp=sharing"",""ชลบุรี!N417"")+IMPORTRANGE(""https://docs.google.com/spreadsheets/d/1hh-FVnSX0vozXhGluamEcS54Dw9_zqW0N7qJUWgJ0Sw/edit?usp=sharing"",""ชัยนาท!N417"")+IMPORTRANGE(""https://docs.google.com/spreadsheets/d/1jkqa6GXxSacMcY1eN8AHjMNJ_7dDXMJ"&amp;"VRLDlaFSOdPM/edit?usp=sharing"",""ตราด!N417"")+IMPORTRANGE(""https://docs.google.com/spreadsheets/d/18hSgUJ3VwClqi_qtULmmW3cLr0oe3OKaSYoKzdpTsYQ/edit?usp=sharing"",""นครนายก!N417"")+IMPORTRANGE(""https://docs.google.com/spreadsheets/d/1YTZo6WM2dQ6Ix6FSdnL"&amp;"5P7uVnVKu40sxZu975tgG10E/edit?usp=sharing"",""นครปฐม!N417"")+IMPORTRANGE(""https://docs.google.com/spreadsheets/d/1OYoGg4WDg5RIzwGeB10padOxJF9E_Vljuvvct_M7RDo/edit?usp=sharing"",""ปทุมธานี!N417"")+IMPORTRANGE(""https://docs.google.com/spreadsheets/d/1GbCI"&amp;"E4D4wk9FUozzqk7SxfDMxDVBwVmI5zcaVUSzKAc/edit?usp=sharing"",""ประจวบคีรีขันธ์!N417"")+IMPORTRANGE(""https://docs.google.com/spreadsheets/d/1vVf6wykvW_lAyu7Yo9L4hUTqHqIeP_qcVuxCtosJEbg/edit?usp=sharing"",""ปราจีนบุรี!N417"")+IMPORTRANGE(""https://docs.googl"&amp;"e.com/spreadsheets/d/1BIDqLLg5jk3v59G8NlR8rk5xfQDKne0sAvZHSj7TI6I/edit?usp=sharing"",""พระนครศรีอยุธยา!N417"")+IMPORTRANGE(""https://docs.google.com/spreadsheets/d/1YXvxf8Yu6_rV4hTBrwMqAcAnv6DfhUxh5emyM3CJp_w/edit?usp=sharing"",""เพชรบุรี!N417"")+IMPORTRA"&amp;"NGE(""https://docs.google.com/spreadsheets/d/19KBlQQs7uwvsao6t2n-KvW3Ax8J8uRRfZPq1zPbXgKc/edit?usp=sharing"",""ระยอง!N417"")+IMPORTRANGE(""https://docs.google.com/spreadsheets/d/1jQ6P4QcrGM89YfqcC_PxOHGCMq5ezhucwJd8ci-NHng/edit?usp=sharing"",""ราชบุรี!N41"&amp;"7"")+IMPORTRANGE(""https://docs.google.com/spreadsheets/d/1lufeA2cfFqM-elVq2hznhDzC6Pr7wkJ9ZG_sYNGCMCU/edit?usp=sharing"",""ลพบุรี!N417"")+IMPORTRANGE(""https://docs.google.com/spreadsheets/d/10oOiF7loTyfsTkbd4MpaIm0HQ9SwB7IYHdIUvt-U1Uc/edit?usp=sharing"""&amp;",""สระแก้ว!N417"")+IMPORTRANGE(""https://docs.google.com/spreadsheets/d/1xmPlrr1QbdSIKvl1dWUl9K4PjAfSL9oeMr_37QVzcxc/edit?usp=sharing"",""สระบุรี!N417"")+IMPORTRANGE(""https://docs.google.com/spreadsheets/d/1j51vR6CYVGhABJpv6tkstgok82RLpXieLzW1yOY5rHw/edi"&amp;"t?usp=sharing"",""สิงห์บุรี!N417"")+IMPORTRANGE(""https://docs.google.com/spreadsheets/d/1H1EalTWKUSzO4Z1-1CwzoDUaVffgrThEBe2sl74kKG0/edit?usp=sharing"",""สุพรรณบุรี!N417"")+IMPORTRANGE(""https://docs.google.com/spreadsheets/d/1BmIruG_sIrJLYao_Pdr7zVArWsf"&amp;"oBt2692TMi6x_854/edit?usp=sharing"",""อ่างทอง!N417"")"),0)</f>
        <v>0</v>
      </c>
      <c r="O417" s="80">
        <f t="shared" ca="1" si="306"/>
        <v>0</v>
      </c>
      <c r="P417" s="80">
        <f t="shared" ca="1" si="307"/>
        <v>0</v>
      </c>
      <c r="Q417" s="79">
        <f ca="1">IFERROR(__xludf.DUMMYFUNCTION("IMPORTRANGE(""https://docs.google.com/spreadsheets/d/13wPX838HrBrQMCywv1BsuMkt4PEKTChp52zj44s2izQ/edit?usp=sharing"",""กาญจนบุรี!Q417"")+IMPORTRANGE(""https://docs.google.com/spreadsheets/d/1ddFKvqj1W1NEiWytbGlB1zMx_ykJDVtmfEQ-6-lIUBA/edit?usp=sharing"","&amp;"""จันทบุรี!Q417"")+IMPORTRANGE(""https://docs.google.com/spreadsheets/d/1T1PQvRODqOBZk8BRht_U031fIS1beLA0Ub2CEytj2q0/edit?usp=sharing"",""ฉะเชิงเทรา!Q417"")+IMPORTRANGE(""https://docs.google.com/spreadsheets/d/11tr1B-Bhyr79v2bkwVh5h_fR-PStkgjlZtkrZpYurG0/"&amp;"edit?usp=sharing"",""ชลบุรี!Q417"")+IMPORTRANGE(""https://docs.google.com/spreadsheets/d/1hh-FVnSX0vozXhGluamEcS54Dw9_zqW0N7qJUWgJ0Sw/edit?usp=sharing"",""ชัยนาท!Q417"")+IMPORTRANGE(""https://docs.google.com/spreadsheets/d/1jkqa6GXxSacMcY1eN8AHjMNJ_7dDXMJ"&amp;"VRLDlaFSOdPM/edit?usp=sharing"",""ตราด!Q417"")+IMPORTRANGE(""https://docs.google.com/spreadsheets/d/18hSgUJ3VwClqi_qtULmmW3cLr0oe3OKaSYoKzdpTsYQ/edit?usp=sharing"",""นครนายก!Q417"")+IMPORTRANGE(""https://docs.google.com/spreadsheets/d/1YTZo6WM2dQ6Ix6FSdnL"&amp;"5P7uVnVKu40sxZu975tgG10E/edit?usp=sharing"",""นครปฐม!Q417"")+IMPORTRANGE(""https://docs.google.com/spreadsheets/d/1OYoGg4WDg5RIzwGeB10padOxJF9E_Vljuvvct_M7RDo/edit?usp=sharing"",""ปทุมธานี!Q417"")+IMPORTRANGE(""https://docs.google.com/spreadsheets/d/1GbCI"&amp;"E4D4wk9FUozzqk7SxfDMxDVBwVmI5zcaVUSzKAc/edit?usp=sharing"",""ประจวบคีรีขันธ์!Q417"")+IMPORTRANGE(""https://docs.google.com/spreadsheets/d/1vVf6wykvW_lAyu7Yo9L4hUTqHqIeP_qcVuxCtosJEbg/edit?usp=sharing"",""ปราจีนบุรี!Q417"")+IMPORTRANGE(""https://docs.googl"&amp;"e.com/spreadsheets/d/1BIDqLLg5jk3v59G8NlR8rk5xfQDKne0sAvZHSj7TI6I/edit?usp=sharing"",""พระนครศรีอยุธยา!Q417"")+IMPORTRANGE(""https://docs.google.com/spreadsheets/d/1YXvxf8Yu6_rV4hTBrwMqAcAnv6DfhUxh5emyM3CJp_w/edit?usp=sharing"",""เพชรบุรี!Q417"")+IMPORTRA"&amp;"NGE(""https://docs.google.com/spreadsheets/d/19KBlQQs7uwvsao6t2n-KvW3Ax8J8uRRfZPq1zPbXgKc/edit?usp=sharing"",""ระยอง!Q417"")+IMPORTRANGE(""https://docs.google.com/spreadsheets/d/1jQ6P4QcrGM89YfqcC_PxOHGCMq5ezhucwJd8ci-NHng/edit?usp=sharing"",""ราชบุรี!Q41"&amp;"7"")+IMPORTRANGE(""https://docs.google.com/spreadsheets/d/1lufeA2cfFqM-elVq2hznhDzC6Pr7wkJ9ZG_sYNGCMCU/edit?usp=sharing"",""ลพบุรี!Q417"")+IMPORTRANGE(""https://docs.google.com/spreadsheets/d/10oOiF7loTyfsTkbd4MpaIm0HQ9SwB7IYHdIUvt-U1Uc/edit?usp=sharing"""&amp;",""สระแก้ว!Q417"")+IMPORTRANGE(""https://docs.google.com/spreadsheets/d/1xmPlrr1QbdSIKvl1dWUl9K4PjAfSL9oeMr_37QVzcxc/edit?usp=sharing"",""สระบุรี!Q417"")+IMPORTRANGE(""https://docs.google.com/spreadsheets/d/1j51vR6CYVGhABJpv6tkstgok82RLpXieLzW1yOY5rHw/edi"&amp;"t?usp=sharing"",""สิงห์บุรี!Q417"")+IMPORTRANGE(""https://docs.google.com/spreadsheets/d/1H1EalTWKUSzO4Z1-1CwzoDUaVffgrThEBe2sl74kKG0/edit?usp=sharing"",""สุพรรณบุรี!Q417"")+IMPORTRANGE(""https://docs.google.com/spreadsheets/d/1BmIruG_sIrJLYao_Pdr7zVArWsf"&amp;"oBt2692TMi6x_854/edit?usp=sharing"",""อ่างทอง!Q417"")"),0)</f>
        <v>0</v>
      </c>
      <c r="R417" s="80">
        <f ca="1">IFERROR(__xludf.DUMMYFUNCTION("IMPORTRANGE(""https://docs.google.com/spreadsheets/d/13wPX838HrBrQMCywv1BsuMkt4PEKTChp52zj44s2izQ/edit?usp=sharing"",""กาญจนบุรี!R417"")+IMPORTRANGE(""https://docs.google.com/spreadsheets/d/1ddFKvqj1W1NEiWytbGlB1zMx_ykJDVtmfEQ-6-lIUBA/edit?usp=sharing"","&amp;"""จันทบุรี!R417"")+IMPORTRANGE(""https://docs.google.com/spreadsheets/d/1T1PQvRODqOBZk8BRht_U031fIS1beLA0Ub2CEytj2q0/edit?usp=sharing"",""ฉะเชิงเทรา!R417"")+IMPORTRANGE(""https://docs.google.com/spreadsheets/d/11tr1B-Bhyr79v2bkwVh5h_fR-PStkgjlZtkrZpYurG0/"&amp;"edit?usp=sharing"",""ชลบุรี!R417"")+IMPORTRANGE(""https://docs.google.com/spreadsheets/d/1hh-FVnSX0vozXhGluamEcS54Dw9_zqW0N7qJUWgJ0Sw/edit?usp=sharing"",""ชัยนาท!R417"")+IMPORTRANGE(""https://docs.google.com/spreadsheets/d/1jkqa6GXxSacMcY1eN8AHjMNJ_7dDXMJ"&amp;"VRLDlaFSOdPM/edit?usp=sharing"",""ตราด!R417"")+IMPORTRANGE(""https://docs.google.com/spreadsheets/d/18hSgUJ3VwClqi_qtULmmW3cLr0oe3OKaSYoKzdpTsYQ/edit?usp=sharing"",""นครนายก!R417"")+IMPORTRANGE(""https://docs.google.com/spreadsheets/d/1YTZo6WM2dQ6Ix6FSdnL"&amp;"5P7uVnVKu40sxZu975tgG10E/edit?usp=sharing"",""นครปฐม!R417"")+IMPORTRANGE(""https://docs.google.com/spreadsheets/d/1OYoGg4WDg5RIzwGeB10padOxJF9E_Vljuvvct_M7RDo/edit?usp=sharing"",""ปทุมธานี!R417"")+IMPORTRANGE(""https://docs.google.com/spreadsheets/d/1GbCI"&amp;"E4D4wk9FUozzqk7SxfDMxDVBwVmI5zcaVUSzKAc/edit?usp=sharing"",""ประจวบคีรีขันธ์!R417"")+IMPORTRANGE(""https://docs.google.com/spreadsheets/d/1vVf6wykvW_lAyu7Yo9L4hUTqHqIeP_qcVuxCtosJEbg/edit?usp=sharing"",""ปราจีนบุรี!R417"")+IMPORTRANGE(""https://docs.googl"&amp;"e.com/spreadsheets/d/1BIDqLLg5jk3v59G8NlR8rk5xfQDKne0sAvZHSj7TI6I/edit?usp=sharing"",""พระนครศรีอยุธยา!R417"")+IMPORTRANGE(""https://docs.google.com/spreadsheets/d/1YXvxf8Yu6_rV4hTBrwMqAcAnv6DfhUxh5emyM3CJp_w/edit?usp=sharing"",""เพชรบุรี!R417"")+IMPORTRA"&amp;"NGE(""https://docs.google.com/spreadsheets/d/19KBlQQs7uwvsao6t2n-KvW3Ax8J8uRRfZPq1zPbXgKc/edit?usp=sharing"",""ระยอง!R417"")+IMPORTRANGE(""https://docs.google.com/spreadsheets/d/1jQ6P4QcrGM89YfqcC_PxOHGCMq5ezhucwJd8ci-NHng/edit?usp=sharing"",""ราชบุรี!R41"&amp;"7"")+IMPORTRANGE(""https://docs.google.com/spreadsheets/d/1lufeA2cfFqM-elVq2hznhDzC6Pr7wkJ9ZG_sYNGCMCU/edit?usp=sharing"",""ลพบุรี!R417"")+IMPORTRANGE(""https://docs.google.com/spreadsheets/d/10oOiF7loTyfsTkbd4MpaIm0HQ9SwB7IYHdIUvt-U1Uc/edit?usp=sharing"""&amp;",""สระแก้ว!R417"")+IMPORTRANGE(""https://docs.google.com/spreadsheets/d/1xmPlrr1QbdSIKvl1dWUl9K4PjAfSL9oeMr_37QVzcxc/edit?usp=sharing"",""สระบุรี!R417"")+IMPORTRANGE(""https://docs.google.com/spreadsheets/d/1j51vR6CYVGhABJpv6tkstgok82RLpXieLzW1yOY5rHw/edi"&amp;"t?usp=sharing"",""สิงห์บุรี!R417"")+IMPORTRANGE(""https://docs.google.com/spreadsheets/d/1H1EalTWKUSzO4Z1-1CwzoDUaVffgrThEBe2sl74kKG0/edit?usp=sharing"",""สุพรรณบุรี!R417"")+IMPORTRANGE(""https://docs.google.com/spreadsheets/d/1BmIruG_sIrJLYao_Pdr7zVArWsf"&amp;"oBt2692TMi6x_854/edit?usp=sharing"",""อ่างทอง!R417"")"),0)</f>
        <v>0</v>
      </c>
      <c r="S417" s="80">
        <f ca="1">IFERROR(__xludf.DUMMYFUNCTION("IMPORTRANGE(""https://docs.google.com/spreadsheets/d/13wPX838HrBrQMCywv1BsuMkt4PEKTChp52zj44s2izQ/edit?usp=sharing"",""กาญจนบุรี!S417"")+IMPORTRANGE(""https://docs.google.com/spreadsheets/d/1ddFKvqj1W1NEiWytbGlB1zMx_ykJDVtmfEQ-6-lIUBA/edit?usp=sharing"","&amp;"""จันทบุรี!S417"")+IMPORTRANGE(""https://docs.google.com/spreadsheets/d/1T1PQvRODqOBZk8BRht_U031fIS1beLA0Ub2CEytj2q0/edit?usp=sharing"",""ฉะเชิงเทรา!S417"")+IMPORTRANGE(""https://docs.google.com/spreadsheets/d/11tr1B-Bhyr79v2bkwVh5h_fR-PStkgjlZtkrZpYurG0/"&amp;"edit?usp=sharing"",""ชลบุรี!S417"")+IMPORTRANGE(""https://docs.google.com/spreadsheets/d/1hh-FVnSX0vozXhGluamEcS54Dw9_zqW0N7qJUWgJ0Sw/edit?usp=sharing"",""ชัยนาท!S417"")+IMPORTRANGE(""https://docs.google.com/spreadsheets/d/1jkqa6GXxSacMcY1eN8AHjMNJ_7dDXMJ"&amp;"VRLDlaFSOdPM/edit?usp=sharing"",""ตราด!S417"")+IMPORTRANGE(""https://docs.google.com/spreadsheets/d/18hSgUJ3VwClqi_qtULmmW3cLr0oe3OKaSYoKzdpTsYQ/edit?usp=sharing"",""นครนายก!S417"")+IMPORTRANGE(""https://docs.google.com/spreadsheets/d/1YTZo6WM2dQ6Ix6FSdnL"&amp;"5P7uVnVKu40sxZu975tgG10E/edit?usp=sharing"",""นครปฐม!S417"")+IMPORTRANGE(""https://docs.google.com/spreadsheets/d/1OYoGg4WDg5RIzwGeB10padOxJF9E_Vljuvvct_M7RDo/edit?usp=sharing"",""ปทุมธานี!S417"")+IMPORTRANGE(""https://docs.google.com/spreadsheets/d/1GbCI"&amp;"E4D4wk9FUozzqk7SxfDMxDVBwVmI5zcaVUSzKAc/edit?usp=sharing"",""ประจวบคีรีขันธ์!S417"")+IMPORTRANGE(""https://docs.google.com/spreadsheets/d/1vVf6wykvW_lAyu7Yo9L4hUTqHqIeP_qcVuxCtosJEbg/edit?usp=sharing"",""ปราจีนบุรี!S417"")+IMPORTRANGE(""https://docs.googl"&amp;"e.com/spreadsheets/d/1BIDqLLg5jk3v59G8NlR8rk5xfQDKne0sAvZHSj7TI6I/edit?usp=sharing"",""พระนครศรีอยุธยา!S417"")+IMPORTRANGE(""https://docs.google.com/spreadsheets/d/1YXvxf8Yu6_rV4hTBrwMqAcAnv6DfhUxh5emyM3CJp_w/edit?usp=sharing"",""เพชรบุรี!S417"")+IMPORTRA"&amp;"NGE(""https://docs.google.com/spreadsheets/d/19KBlQQs7uwvsao6t2n-KvW3Ax8J8uRRfZPq1zPbXgKc/edit?usp=sharing"",""ระยอง!S417"")+IMPORTRANGE(""https://docs.google.com/spreadsheets/d/1jQ6P4QcrGM89YfqcC_PxOHGCMq5ezhucwJd8ci-NHng/edit?usp=sharing"",""ราชบุรี!S41"&amp;"7"")+IMPORTRANGE(""https://docs.google.com/spreadsheets/d/1lufeA2cfFqM-elVq2hznhDzC6Pr7wkJ9ZG_sYNGCMCU/edit?usp=sharing"",""ลพบุรี!S417"")+IMPORTRANGE(""https://docs.google.com/spreadsheets/d/10oOiF7loTyfsTkbd4MpaIm0HQ9SwB7IYHdIUvt-U1Uc/edit?usp=sharing"""&amp;",""สระแก้ว!S417"")+IMPORTRANGE(""https://docs.google.com/spreadsheets/d/1xmPlrr1QbdSIKvl1dWUl9K4PjAfSL9oeMr_37QVzcxc/edit?usp=sharing"",""สระบุรี!S417"")+IMPORTRANGE(""https://docs.google.com/spreadsheets/d/1j51vR6CYVGhABJpv6tkstgok82RLpXieLzW1yOY5rHw/edi"&amp;"t?usp=sharing"",""สิงห์บุรี!S417"")+IMPORTRANGE(""https://docs.google.com/spreadsheets/d/1H1EalTWKUSzO4Z1-1CwzoDUaVffgrThEBe2sl74kKG0/edit?usp=sharing"",""สุพรรณบุรี!S417"")+IMPORTRANGE(""https://docs.google.com/spreadsheets/d/1BmIruG_sIrJLYao_Pdr7zVArWsf"&amp;"oBt2692TMi6x_854/edit?usp=sharing"",""อ่างทอง!S417"")"),0)</f>
        <v>0</v>
      </c>
      <c r="T417" s="136">
        <f t="shared" ca="1" si="309"/>
        <v>0</v>
      </c>
      <c r="U417" s="136">
        <f t="shared" ca="1" si="310"/>
        <v>0</v>
      </c>
    </row>
    <row r="418" spans="1:21" ht="18.75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f ca="1">IFERROR(__xludf.DUMMYFUNCTION("IMPORTRANGE(""https://docs.google.com/spreadsheets/d/13wPX838HrBrQMCywv1BsuMkt4PEKTChp52zj44s2izQ/edit?usp=sharing"",""กาญจนบุรี!L418"")+IMPORTRANGE(""https://docs.google.com/spreadsheets/d/1ddFKvqj1W1NEiWytbGlB1zMx_ykJDVtmfEQ-6-lIUBA/edit?usp=sharing"","&amp;"""จันทบุรี!L418"")+IMPORTRANGE(""https://docs.google.com/spreadsheets/d/1T1PQvRODqOBZk8BRht_U031fIS1beLA0Ub2CEytj2q0/edit?usp=sharing"",""ฉะเชิงเทรา!L418"")+IMPORTRANGE(""https://docs.google.com/spreadsheets/d/11tr1B-Bhyr79v2bkwVh5h_fR-PStkgjlZtkrZpYurG0/"&amp;"edit?usp=sharing"",""ชลบุรี!L418"")+IMPORTRANGE(""https://docs.google.com/spreadsheets/d/1hh-FVnSX0vozXhGluamEcS54Dw9_zqW0N7qJUWgJ0Sw/edit?usp=sharing"",""ชัยนาท!L418"")+IMPORTRANGE(""https://docs.google.com/spreadsheets/d/1jkqa6GXxSacMcY1eN8AHjMNJ_7dDXMJ"&amp;"VRLDlaFSOdPM/edit?usp=sharing"",""ตราด!L418"")+IMPORTRANGE(""https://docs.google.com/spreadsheets/d/18hSgUJ3VwClqi_qtULmmW3cLr0oe3OKaSYoKzdpTsYQ/edit?usp=sharing"",""นครนายก!L418"")+IMPORTRANGE(""https://docs.google.com/spreadsheets/d/1YTZo6WM2dQ6Ix6FSdnL"&amp;"5P7uVnVKu40sxZu975tgG10E/edit?usp=sharing"",""นครปฐม!L418"")+IMPORTRANGE(""https://docs.google.com/spreadsheets/d/1OYoGg4WDg5RIzwGeB10padOxJF9E_Vljuvvct_M7RDo/edit?usp=sharing"",""ปทุมธานี!L418"")+IMPORTRANGE(""https://docs.google.com/spreadsheets/d/1GbCI"&amp;"E4D4wk9FUozzqk7SxfDMxDVBwVmI5zcaVUSzKAc/edit?usp=sharing"",""ประจวบคีรีขันธ์!L418"")+IMPORTRANGE(""https://docs.google.com/spreadsheets/d/1vVf6wykvW_lAyu7Yo9L4hUTqHqIeP_qcVuxCtosJEbg/edit?usp=sharing"",""ปราจีนบุรี!L418"")+IMPORTRANGE(""https://docs.googl"&amp;"e.com/spreadsheets/d/1BIDqLLg5jk3v59G8NlR8rk5xfQDKne0sAvZHSj7TI6I/edit?usp=sharing"",""พระนครศรีอยุธยา!L418"")+IMPORTRANGE(""https://docs.google.com/spreadsheets/d/1YXvxf8Yu6_rV4hTBrwMqAcAnv6DfhUxh5emyM3CJp_w/edit?usp=sharing"",""เพชรบุรี!L418"")+IMPORTRA"&amp;"NGE(""https://docs.google.com/spreadsheets/d/19KBlQQs7uwvsao6t2n-KvW3Ax8J8uRRfZPq1zPbXgKc/edit?usp=sharing"",""ระยอง!L418"")+IMPORTRANGE(""https://docs.google.com/spreadsheets/d/1jQ6P4QcrGM89YfqcC_PxOHGCMq5ezhucwJd8ci-NHng/edit?usp=sharing"",""ราชบุรี!L41"&amp;"8"")+IMPORTRANGE(""https://docs.google.com/spreadsheets/d/1lufeA2cfFqM-elVq2hznhDzC6Pr7wkJ9ZG_sYNGCMCU/edit?usp=sharing"",""ลพบุรี!L418"")+IMPORTRANGE(""https://docs.google.com/spreadsheets/d/10oOiF7loTyfsTkbd4MpaIm0HQ9SwB7IYHdIUvt-U1Uc/edit?usp=sharing"""&amp;",""สระแก้ว!L418"")+IMPORTRANGE(""https://docs.google.com/spreadsheets/d/1xmPlrr1QbdSIKvl1dWUl9K4PjAfSL9oeMr_37QVzcxc/edit?usp=sharing"",""สระบุรี!L418"")+IMPORTRANGE(""https://docs.google.com/spreadsheets/d/1j51vR6CYVGhABJpv6tkstgok82RLpXieLzW1yOY5rHw/edi"&amp;"t?usp=sharing"",""สิงห์บุรี!L418"")+IMPORTRANGE(""https://docs.google.com/spreadsheets/d/1H1EalTWKUSzO4Z1-1CwzoDUaVffgrThEBe2sl74kKG0/edit?usp=sharing"",""สุพรรณบุรี!L418"")+IMPORTRANGE(""https://docs.google.com/spreadsheets/d/1BmIruG_sIrJLYao_Pdr7zVArWsf"&amp;"oBt2692TMi6x_854/edit?usp=sharing"",""อ่างทอง!L418"")"),0)</f>
        <v>0</v>
      </c>
      <c r="M418" s="77">
        <f ca="1">IFERROR(__xludf.DUMMYFUNCTION("IMPORTRANGE(""https://docs.google.com/spreadsheets/d/13wPX838HrBrQMCywv1BsuMkt4PEKTChp52zj44s2izQ/edit?usp=sharing"",""กาญจนบุรี!M418"")+IMPORTRANGE(""https://docs.google.com/spreadsheets/d/1ddFKvqj1W1NEiWytbGlB1zMx_ykJDVtmfEQ-6-lIUBA/edit?usp=sharing"","&amp;"""จันทบุรี!M418"")+IMPORTRANGE(""https://docs.google.com/spreadsheets/d/1T1PQvRODqOBZk8BRht_U031fIS1beLA0Ub2CEytj2q0/edit?usp=sharing"",""ฉะเชิงเทรา!M418"")+IMPORTRANGE(""https://docs.google.com/spreadsheets/d/11tr1B-Bhyr79v2bkwVh5h_fR-PStkgjlZtkrZpYurG0/"&amp;"edit?usp=sharing"",""ชลบุรี!M418"")+IMPORTRANGE(""https://docs.google.com/spreadsheets/d/1hh-FVnSX0vozXhGluamEcS54Dw9_zqW0N7qJUWgJ0Sw/edit?usp=sharing"",""ชัยนาท!M418"")+IMPORTRANGE(""https://docs.google.com/spreadsheets/d/1jkqa6GXxSacMcY1eN8AHjMNJ_7dDXMJ"&amp;"VRLDlaFSOdPM/edit?usp=sharing"",""ตราด!M418"")+IMPORTRANGE(""https://docs.google.com/spreadsheets/d/18hSgUJ3VwClqi_qtULmmW3cLr0oe3OKaSYoKzdpTsYQ/edit?usp=sharing"",""นครนายก!M418"")+IMPORTRANGE(""https://docs.google.com/spreadsheets/d/1YTZo6WM2dQ6Ix6FSdnL"&amp;"5P7uVnVKu40sxZu975tgG10E/edit?usp=sharing"",""นครปฐม!M418"")+IMPORTRANGE(""https://docs.google.com/spreadsheets/d/1OYoGg4WDg5RIzwGeB10padOxJF9E_Vljuvvct_M7RDo/edit?usp=sharing"",""ปทุมธานี!M418"")+IMPORTRANGE(""https://docs.google.com/spreadsheets/d/1GbCI"&amp;"E4D4wk9FUozzqk7SxfDMxDVBwVmI5zcaVUSzKAc/edit?usp=sharing"",""ประจวบคีรีขันธ์!M418"")+IMPORTRANGE(""https://docs.google.com/spreadsheets/d/1vVf6wykvW_lAyu7Yo9L4hUTqHqIeP_qcVuxCtosJEbg/edit?usp=sharing"",""ปราจีนบุรี!M418"")+IMPORTRANGE(""https://docs.googl"&amp;"e.com/spreadsheets/d/1BIDqLLg5jk3v59G8NlR8rk5xfQDKne0sAvZHSj7TI6I/edit?usp=sharing"",""พระนครศรีอยุธยา!M418"")+IMPORTRANGE(""https://docs.google.com/spreadsheets/d/1YXvxf8Yu6_rV4hTBrwMqAcAnv6DfhUxh5emyM3CJp_w/edit?usp=sharing"",""เพชรบุรี!M418"")+IMPORTRA"&amp;"NGE(""https://docs.google.com/spreadsheets/d/19KBlQQs7uwvsao6t2n-KvW3Ax8J8uRRfZPq1zPbXgKc/edit?usp=sharing"",""ระยอง!M418"")+IMPORTRANGE(""https://docs.google.com/spreadsheets/d/1jQ6P4QcrGM89YfqcC_PxOHGCMq5ezhucwJd8ci-NHng/edit?usp=sharing"",""ราชบุรี!M41"&amp;"8"")+IMPORTRANGE(""https://docs.google.com/spreadsheets/d/1lufeA2cfFqM-elVq2hznhDzC6Pr7wkJ9ZG_sYNGCMCU/edit?usp=sharing"",""ลพบุรี!M418"")+IMPORTRANGE(""https://docs.google.com/spreadsheets/d/10oOiF7loTyfsTkbd4MpaIm0HQ9SwB7IYHdIUvt-U1Uc/edit?usp=sharing"""&amp;",""สระแก้ว!M418"")+IMPORTRANGE(""https://docs.google.com/spreadsheets/d/1xmPlrr1QbdSIKvl1dWUl9K4PjAfSL9oeMr_37QVzcxc/edit?usp=sharing"",""สระบุรี!M418"")+IMPORTRANGE(""https://docs.google.com/spreadsheets/d/1j51vR6CYVGhABJpv6tkstgok82RLpXieLzW1yOY5rHw/edi"&amp;"t?usp=sharing"",""สิงห์บุรี!M418"")+IMPORTRANGE(""https://docs.google.com/spreadsheets/d/1H1EalTWKUSzO4Z1-1CwzoDUaVffgrThEBe2sl74kKG0/edit?usp=sharing"",""สุพรรณบุรี!M418"")+IMPORTRANGE(""https://docs.google.com/spreadsheets/d/1BmIruG_sIrJLYao_Pdr7zVArWsf"&amp;"oBt2692TMi6x_854/edit?usp=sharing"",""อ่างทอง!M418"")"),0)</f>
        <v>0</v>
      </c>
      <c r="N418" s="77">
        <f ca="1">IFERROR(__xludf.DUMMYFUNCTION("IMPORTRANGE(""https://docs.google.com/spreadsheets/d/13wPX838HrBrQMCywv1BsuMkt4PEKTChp52zj44s2izQ/edit?usp=sharing"",""กาญจนบุรี!N418"")+IMPORTRANGE(""https://docs.google.com/spreadsheets/d/1ddFKvqj1W1NEiWytbGlB1zMx_ykJDVtmfEQ-6-lIUBA/edit?usp=sharing"","&amp;"""จันทบุรี!N418"")+IMPORTRANGE(""https://docs.google.com/spreadsheets/d/1T1PQvRODqOBZk8BRht_U031fIS1beLA0Ub2CEytj2q0/edit?usp=sharing"",""ฉะเชิงเทรา!N418"")+IMPORTRANGE(""https://docs.google.com/spreadsheets/d/11tr1B-Bhyr79v2bkwVh5h_fR-PStkgjlZtkrZpYurG0/"&amp;"edit?usp=sharing"",""ชลบุรี!N418"")+IMPORTRANGE(""https://docs.google.com/spreadsheets/d/1hh-FVnSX0vozXhGluamEcS54Dw9_zqW0N7qJUWgJ0Sw/edit?usp=sharing"",""ชัยนาท!N418"")+IMPORTRANGE(""https://docs.google.com/spreadsheets/d/1jkqa6GXxSacMcY1eN8AHjMNJ_7dDXMJ"&amp;"VRLDlaFSOdPM/edit?usp=sharing"",""ตราด!N418"")+IMPORTRANGE(""https://docs.google.com/spreadsheets/d/18hSgUJ3VwClqi_qtULmmW3cLr0oe3OKaSYoKzdpTsYQ/edit?usp=sharing"",""นครนายก!N418"")+IMPORTRANGE(""https://docs.google.com/spreadsheets/d/1YTZo6WM2dQ6Ix6FSdnL"&amp;"5P7uVnVKu40sxZu975tgG10E/edit?usp=sharing"",""นครปฐม!N418"")+IMPORTRANGE(""https://docs.google.com/spreadsheets/d/1OYoGg4WDg5RIzwGeB10padOxJF9E_Vljuvvct_M7RDo/edit?usp=sharing"",""ปทุมธานี!N418"")+IMPORTRANGE(""https://docs.google.com/spreadsheets/d/1GbCI"&amp;"E4D4wk9FUozzqk7SxfDMxDVBwVmI5zcaVUSzKAc/edit?usp=sharing"",""ประจวบคีรีขันธ์!N418"")+IMPORTRANGE(""https://docs.google.com/spreadsheets/d/1vVf6wykvW_lAyu7Yo9L4hUTqHqIeP_qcVuxCtosJEbg/edit?usp=sharing"",""ปราจีนบุรี!N418"")+IMPORTRANGE(""https://docs.googl"&amp;"e.com/spreadsheets/d/1BIDqLLg5jk3v59G8NlR8rk5xfQDKne0sAvZHSj7TI6I/edit?usp=sharing"",""พระนครศรีอยุธยา!N418"")+IMPORTRANGE(""https://docs.google.com/spreadsheets/d/1YXvxf8Yu6_rV4hTBrwMqAcAnv6DfhUxh5emyM3CJp_w/edit?usp=sharing"",""เพชรบุรี!N418"")+IMPORTRA"&amp;"NGE(""https://docs.google.com/spreadsheets/d/19KBlQQs7uwvsao6t2n-KvW3Ax8J8uRRfZPq1zPbXgKc/edit?usp=sharing"",""ระยอง!N418"")+IMPORTRANGE(""https://docs.google.com/spreadsheets/d/1jQ6P4QcrGM89YfqcC_PxOHGCMq5ezhucwJd8ci-NHng/edit?usp=sharing"",""ราชบุรี!N41"&amp;"8"")+IMPORTRANGE(""https://docs.google.com/spreadsheets/d/1lufeA2cfFqM-elVq2hznhDzC6Pr7wkJ9ZG_sYNGCMCU/edit?usp=sharing"",""ลพบุรี!N418"")+IMPORTRANGE(""https://docs.google.com/spreadsheets/d/10oOiF7loTyfsTkbd4MpaIm0HQ9SwB7IYHdIUvt-U1Uc/edit?usp=sharing"""&amp;",""สระแก้ว!N418"")+IMPORTRANGE(""https://docs.google.com/spreadsheets/d/1xmPlrr1QbdSIKvl1dWUl9K4PjAfSL9oeMr_37QVzcxc/edit?usp=sharing"",""สระบุรี!N418"")+IMPORTRANGE(""https://docs.google.com/spreadsheets/d/1j51vR6CYVGhABJpv6tkstgok82RLpXieLzW1yOY5rHw/edi"&amp;"t?usp=sharing"",""สิงห์บุรี!N418"")+IMPORTRANGE(""https://docs.google.com/spreadsheets/d/1H1EalTWKUSzO4Z1-1CwzoDUaVffgrThEBe2sl74kKG0/edit?usp=sharing"",""สุพรรณบุรี!N418"")+IMPORTRANGE(""https://docs.google.com/spreadsheets/d/1BmIruG_sIrJLYao_Pdr7zVArWsf"&amp;"oBt2692TMi6x_854/edit?usp=sharing"",""อ่างทอง!N418"")"),0)</f>
        <v>0</v>
      </c>
      <c r="O418" s="77">
        <f t="shared" ca="1" si="306"/>
        <v>0</v>
      </c>
      <c r="P418" s="77">
        <f t="shared" ca="1" si="307"/>
        <v>0</v>
      </c>
      <c r="Q418" s="134">
        <f ca="1">IFERROR(__xludf.DUMMYFUNCTION("IMPORTRANGE(""https://docs.google.com/spreadsheets/d/13wPX838HrBrQMCywv1BsuMkt4PEKTChp52zj44s2izQ/edit?usp=sharing"",""กาญจนบุรี!Q418"")+IMPORTRANGE(""https://docs.google.com/spreadsheets/d/1ddFKvqj1W1NEiWytbGlB1zMx_ykJDVtmfEQ-6-lIUBA/edit?usp=sharing"","&amp;"""จันทบุรี!Q418"")+IMPORTRANGE(""https://docs.google.com/spreadsheets/d/1T1PQvRODqOBZk8BRht_U031fIS1beLA0Ub2CEytj2q0/edit?usp=sharing"",""ฉะเชิงเทรา!Q418"")+IMPORTRANGE(""https://docs.google.com/spreadsheets/d/11tr1B-Bhyr79v2bkwVh5h_fR-PStkgjlZtkrZpYurG0/"&amp;"edit?usp=sharing"",""ชลบุรี!Q418"")+IMPORTRANGE(""https://docs.google.com/spreadsheets/d/1hh-FVnSX0vozXhGluamEcS54Dw9_zqW0N7qJUWgJ0Sw/edit?usp=sharing"",""ชัยนาท!Q418"")+IMPORTRANGE(""https://docs.google.com/spreadsheets/d/1jkqa6GXxSacMcY1eN8AHjMNJ_7dDXMJ"&amp;"VRLDlaFSOdPM/edit?usp=sharing"",""ตราด!Q418"")+IMPORTRANGE(""https://docs.google.com/spreadsheets/d/18hSgUJ3VwClqi_qtULmmW3cLr0oe3OKaSYoKzdpTsYQ/edit?usp=sharing"",""นครนายก!Q418"")+IMPORTRANGE(""https://docs.google.com/spreadsheets/d/1YTZo6WM2dQ6Ix6FSdnL"&amp;"5P7uVnVKu40sxZu975tgG10E/edit?usp=sharing"",""นครปฐม!Q418"")+IMPORTRANGE(""https://docs.google.com/spreadsheets/d/1OYoGg4WDg5RIzwGeB10padOxJF9E_Vljuvvct_M7RDo/edit?usp=sharing"",""ปทุมธานี!Q418"")+IMPORTRANGE(""https://docs.google.com/spreadsheets/d/1GbCI"&amp;"E4D4wk9FUozzqk7SxfDMxDVBwVmI5zcaVUSzKAc/edit?usp=sharing"",""ประจวบคีรีขันธ์!Q418"")+IMPORTRANGE(""https://docs.google.com/spreadsheets/d/1vVf6wykvW_lAyu7Yo9L4hUTqHqIeP_qcVuxCtosJEbg/edit?usp=sharing"",""ปราจีนบุรี!Q418"")+IMPORTRANGE(""https://docs.googl"&amp;"e.com/spreadsheets/d/1BIDqLLg5jk3v59G8NlR8rk5xfQDKne0sAvZHSj7TI6I/edit?usp=sharing"",""พระนครศรีอยุธยา!Q418"")+IMPORTRANGE(""https://docs.google.com/spreadsheets/d/1YXvxf8Yu6_rV4hTBrwMqAcAnv6DfhUxh5emyM3CJp_w/edit?usp=sharing"",""เพชรบุรี!Q418"")+IMPORTRA"&amp;"NGE(""https://docs.google.com/spreadsheets/d/19KBlQQs7uwvsao6t2n-KvW3Ax8J8uRRfZPq1zPbXgKc/edit?usp=sharing"",""ระยอง!Q418"")+IMPORTRANGE(""https://docs.google.com/spreadsheets/d/1jQ6P4QcrGM89YfqcC_PxOHGCMq5ezhucwJd8ci-NHng/edit?usp=sharing"",""ราชบุรี!Q41"&amp;"8"")+IMPORTRANGE(""https://docs.google.com/spreadsheets/d/1lufeA2cfFqM-elVq2hznhDzC6Pr7wkJ9ZG_sYNGCMCU/edit?usp=sharing"",""ลพบุรี!Q418"")+IMPORTRANGE(""https://docs.google.com/spreadsheets/d/10oOiF7loTyfsTkbd4MpaIm0HQ9SwB7IYHdIUvt-U1Uc/edit?usp=sharing"""&amp;",""สระแก้ว!Q418"")+IMPORTRANGE(""https://docs.google.com/spreadsheets/d/1xmPlrr1QbdSIKvl1dWUl9K4PjAfSL9oeMr_37QVzcxc/edit?usp=sharing"",""สระบุรี!Q418"")+IMPORTRANGE(""https://docs.google.com/spreadsheets/d/1j51vR6CYVGhABJpv6tkstgok82RLpXieLzW1yOY5rHw/edi"&amp;"t?usp=sharing"",""สิงห์บุรี!Q418"")+IMPORTRANGE(""https://docs.google.com/spreadsheets/d/1H1EalTWKUSzO4Z1-1CwzoDUaVffgrThEBe2sl74kKG0/edit?usp=sharing"",""สุพรรณบุรี!Q418"")+IMPORTRANGE(""https://docs.google.com/spreadsheets/d/1BmIruG_sIrJLYao_Pdr7zVArWsf"&amp;"oBt2692TMi6x_854/edit?usp=sharing"",""อ่างทอง!Q418"")"),0)</f>
        <v>0</v>
      </c>
      <c r="R418" s="135">
        <f ca="1">IFERROR(__xludf.DUMMYFUNCTION("IMPORTRANGE(""https://docs.google.com/spreadsheets/d/13wPX838HrBrQMCywv1BsuMkt4PEKTChp52zj44s2izQ/edit?usp=sharing"",""กาญจนบุรี!R418"")+IMPORTRANGE(""https://docs.google.com/spreadsheets/d/1ddFKvqj1W1NEiWytbGlB1zMx_ykJDVtmfEQ-6-lIUBA/edit?usp=sharing"","&amp;"""จันทบุรี!R418"")+IMPORTRANGE(""https://docs.google.com/spreadsheets/d/1T1PQvRODqOBZk8BRht_U031fIS1beLA0Ub2CEytj2q0/edit?usp=sharing"",""ฉะเชิงเทรา!R418"")+IMPORTRANGE(""https://docs.google.com/spreadsheets/d/11tr1B-Bhyr79v2bkwVh5h_fR-PStkgjlZtkrZpYurG0/"&amp;"edit?usp=sharing"",""ชลบุรี!R418"")+IMPORTRANGE(""https://docs.google.com/spreadsheets/d/1hh-FVnSX0vozXhGluamEcS54Dw9_zqW0N7qJUWgJ0Sw/edit?usp=sharing"",""ชัยนาท!R418"")+IMPORTRANGE(""https://docs.google.com/spreadsheets/d/1jkqa6GXxSacMcY1eN8AHjMNJ_7dDXMJ"&amp;"VRLDlaFSOdPM/edit?usp=sharing"",""ตราด!R418"")+IMPORTRANGE(""https://docs.google.com/spreadsheets/d/18hSgUJ3VwClqi_qtULmmW3cLr0oe3OKaSYoKzdpTsYQ/edit?usp=sharing"",""นครนายก!R418"")+IMPORTRANGE(""https://docs.google.com/spreadsheets/d/1YTZo6WM2dQ6Ix6FSdnL"&amp;"5P7uVnVKu40sxZu975tgG10E/edit?usp=sharing"",""นครปฐม!R418"")+IMPORTRANGE(""https://docs.google.com/spreadsheets/d/1OYoGg4WDg5RIzwGeB10padOxJF9E_Vljuvvct_M7RDo/edit?usp=sharing"",""ปทุมธานี!R418"")+IMPORTRANGE(""https://docs.google.com/spreadsheets/d/1GbCI"&amp;"E4D4wk9FUozzqk7SxfDMxDVBwVmI5zcaVUSzKAc/edit?usp=sharing"",""ประจวบคีรีขันธ์!R418"")+IMPORTRANGE(""https://docs.google.com/spreadsheets/d/1vVf6wykvW_lAyu7Yo9L4hUTqHqIeP_qcVuxCtosJEbg/edit?usp=sharing"",""ปราจีนบุรี!R418"")+IMPORTRANGE(""https://docs.googl"&amp;"e.com/spreadsheets/d/1BIDqLLg5jk3v59G8NlR8rk5xfQDKne0sAvZHSj7TI6I/edit?usp=sharing"",""พระนครศรีอยุธยา!R418"")+IMPORTRANGE(""https://docs.google.com/spreadsheets/d/1YXvxf8Yu6_rV4hTBrwMqAcAnv6DfhUxh5emyM3CJp_w/edit?usp=sharing"",""เพชรบุรี!R418"")+IMPORTRA"&amp;"NGE(""https://docs.google.com/spreadsheets/d/19KBlQQs7uwvsao6t2n-KvW3Ax8J8uRRfZPq1zPbXgKc/edit?usp=sharing"",""ระยอง!R418"")+IMPORTRANGE(""https://docs.google.com/spreadsheets/d/1jQ6P4QcrGM89YfqcC_PxOHGCMq5ezhucwJd8ci-NHng/edit?usp=sharing"",""ราชบุรี!R41"&amp;"8"")+IMPORTRANGE(""https://docs.google.com/spreadsheets/d/1lufeA2cfFqM-elVq2hznhDzC6Pr7wkJ9ZG_sYNGCMCU/edit?usp=sharing"",""ลพบุรี!R418"")+IMPORTRANGE(""https://docs.google.com/spreadsheets/d/10oOiF7loTyfsTkbd4MpaIm0HQ9SwB7IYHdIUvt-U1Uc/edit?usp=sharing"""&amp;",""สระแก้ว!R418"")+IMPORTRANGE(""https://docs.google.com/spreadsheets/d/1xmPlrr1QbdSIKvl1dWUl9K4PjAfSL9oeMr_37QVzcxc/edit?usp=sharing"",""สระบุรี!R418"")+IMPORTRANGE(""https://docs.google.com/spreadsheets/d/1j51vR6CYVGhABJpv6tkstgok82RLpXieLzW1yOY5rHw/edi"&amp;"t?usp=sharing"",""สิงห์บุรี!R418"")+IMPORTRANGE(""https://docs.google.com/spreadsheets/d/1H1EalTWKUSzO4Z1-1CwzoDUaVffgrThEBe2sl74kKG0/edit?usp=sharing"",""สุพรรณบุรี!R418"")+IMPORTRANGE(""https://docs.google.com/spreadsheets/d/1BmIruG_sIrJLYao_Pdr7zVArWsf"&amp;"oBt2692TMi6x_854/edit?usp=sharing"",""อ่างทอง!R418"")"),0)</f>
        <v>0</v>
      </c>
      <c r="S418" s="135">
        <f ca="1">IFERROR(__xludf.DUMMYFUNCTION("IMPORTRANGE(""https://docs.google.com/spreadsheets/d/13wPX838HrBrQMCywv1BsuMkt4PEKTChp52zj44s2izQ/edit?usp=sharing"",""กาญจนบุรี!S418"")+IMPORTRANGE(""https://docs.google.com/spreadsheets/d/1ddFKvqj1W1NEiWytbGlB1zMx_ykJDVtmfEQ-6-lIUBA/edit?usp=sharing"","&amp;"""จันทบุรี!S418"")+IMPORTRANGE(""https://docs.google.com/spreadsheets/d/1T1PQvRODqOBZk8BRht_U031fIS1beLA0Ub2CEytj2q0/edit?usp=sharing"",""ฉะเชิงเทรา!S418"")+IMPORTRANGE(""https://docs.google.com/spreadsheets/d/11tr1B-Bhyr79v2bkwVh5h_fR-PStkgjlZtkrZpYurG0/"&amp;"edit?usp=sharing"",""ชลบุรี!S418"")+IMPORTRANGE(""https://docs.google.com/spreadsheets/d/1hh-FVnSX0vozXhGluamEcS54Dw9_zqW0N7qJUWgJ0Sw/edit?usp=sharing"",""ชัยนาท!S418"")+IMPORTRANGE(""https://docs.google.com/spreadsheets/d/1jkqa6GXxSacMcY1eN8AHjMNJ_7dDXMJ"&amp;"VRLDlaFSOdPM/edit?usp=sharing"",""ตราด!S418"")+IMPORTRANGE(""https://docs.google.com/spreadsheets/d/18hSgUJ3VwClqi_qtULmmW3cLr0oe3OKaSYoKzdpTsYQ/edit?usp=sharing"",""นครนายก!S418"")+IMPORTRANGE(""https://docs.google.com/spreadsheets/d/1YTZo6WM2dQ6Ix6FSdnL"&amp;"5P7uVnVKu40sxZu975tgG10E/edit?usp=sharing"",""นครปฐม!S418"")+IMPORTRANGE(""https://docs.google.com/spreadsheets/d/1OYoGg4WDg5RIzwGeB10padOxJF9E_Vljuvvct_M7RDo/edit?usp=sharing"",""ปทุมธานี!S418"")+IMPORTRANGE(""https://docs.google.com/spreadsheets/d/1GbCI"&amp;"E4D4wk9FUozzqk7SxfDMxDVBwVmI5zcaVUSzKAc/edit?usp=sharing"",""ประจวบคีรีขันธ์!S418"")+IMPORTRANGE(""https://docs.google.com/spreadsheets/d/1vVf6wykvW_lAyu7Yo9L4hUTqHqIeP_qcVuxCtosJEbg/edit?usp=sharing"",""ปราจีนบุรี!S418"")+IMPORTRANGE(""https://docs.googl"&amp;"e.com/spreadsheets/d/1BIDqLLg5jk3v59G8NlR8rk5xfQDKne0sAvZHSj7TI6I/edit?usp=sharing"",""พระนครศรีอยุธยา!S418"")+IMPORTRANGE(""https://docs.google.com/spreadsheets/d/1YXvxf8Yu6_rV4hTBrwMqAcAnv6DfhUxh5emyM3CJp_w/edit?usp=sharing"",""เพชรบุรี!S418"")+IMPORTRA"&amp;"NGE(""https://docs.google.com/spreadsheets/d/19KBlQQs7uwvsao6t2n-KvW3Ax8J8uRRfZPq1zPbXgKc/edit?usp=sharing"",""ระยอง!S418"")+IMPORTRANGE(""https://docs.google.com/spreadsheets/d/1jQ6P4QcrGM89YfqcC_PxOHGCMq5ezhucwJd8ci-NHng/edit?usp=sharing"",""ราชบุรี!S41"&amp;"8"")+IMPORTRANGE(""https://docs.google.com/spreadsheets/d/1lufeA2cfFqM-elVq2hznhDzC6Pr7wkJ9ZG_sYNGCMCU/edit?usp=sharing"",""ลพบุรี!S418"")+IMPORTRANGE(""https://docs.google.com/spreadsheets/d/10oOiF7loTyfsTkbd4MpaIm0HQ9SwB7IYHdIUvt-U1Uc/edit?usp=sharing"""&amp;",""สระแก้ว!S418"")+IMPORTRANGE(""https://docs.google.com/spreadsheets/d/1xmPlrr1QbdSIKvl1dWUl9K4PjAfSL9oeMr_37QVzcxc/edit?usp=sharing"",""สระบุรี!S418"")+IMPORTRANGE(""https://docs.google.com/spreadsheets/d/1j51vR6CYVGhABJpv6tkstgok82RLpXieLzW1yOY5rHw/edi"&amp;"t?usp=sharing"",""สิงห์บุรี!S418"")+IMPORTRANGE(""https://docs.google.com/spreadsheets/d/1H1EalTWKUSzO4Z1-1CwzoDUaVffgrThEBe2sl74kKG0/edit?usp=sharing"",""สุพรรณบุรี!S418"")+IMPORTRANGE(""https://docs.google.com/spreadsheets/d/1BmIruG_sIrJLYao_Pdr7zVArWsf"&amp;"oBt2692TMi6x_854/edit?usp=sharing"",""อ่างทอง!S418"")"),0)</f>
        <v>0</v>
      </c>
      <c r="T418" s="135">
        <f t="shared" ca="1" si="309"/>
        <v>0</v>
      </c>
      <c r="U418" s="135">
        <f t="shared" ca="1" si="310"/>
        <v>0</v>
      </c>
    </row>
    <row r="419" spans="1:21" ht="19.5" x14ac:dyDescent="0.3">
      <c r="A419" s="259"/>
      <c r="B419" s="271"/>
      <c r="C419" s="271"/>
      <c r="D419" s="570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 t="shared" ref="L419:N419" ca="1" si="317">L420+L421</f>
        <v>0</v>
      </c>
      <c r="M419" s="77">
        <f t="shared" ca="1" si="317"/>
        <v>0</v>
      </c>
      <c r="N419" s="77">
        <f t="shared" ca="1" si="317"/>
        <v>0</v>
      </c>
      <c r="O419" s="77">
        <f t="shared" ca="1" si="306"/>
        <v>0</v>
      </c>
      <c r="P419" s="77">
        <f t="shared" ca="1" si="307"/>
        <v>0</v>
      </c>
      <c r="Q419" s="134">
        <f t="shared" ref="Q419:S419" ca="1" si="318">Q420+Q421</f>
        <v>0</v>
      </c>
      <c r="R419" s="135">
        <f t="shared" ca="1" si="318"/>
        <v>0</v>
      </c>
      <c r="S419" s="135">
        <f t="shared" ca="1" si="318"/>
        <v>0</v>
      </c>
      <c r="T419" s="135">
        <f t="shared" ca="1" si="309"/>
        <v>0</v>
      </c>
      <c r="U419" s="135">
        <f t="shared" ca="1" si="310"/>
        <v>0</v>
      </c>
    </row>
    <row r="420" spans="1:21" ht="18.75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f ca="1">IFERROR(__xludf.DUMMYFUNCTION("IMPORTRANGE(""https://docs.google.com/spreadsheets/d/13wPX838HrBrQMCywv1BsuMkt4PEKTChp52zj44s2izQ/edit?usp=sharing"",""กาญจนบุรี!L420"")+IMPORTRANGE(""https://docs.google.com/spreadsheets/d/1ddFKvqj1W1NEiWytbGlB1zMx_ykJDVtmfEQ-6-lIUBA/edit?usp=sharing"","&amp;"""จันทบุรี!L420"")+IMPORTRANGE(""https://docs.google.com/spreadsheets/d/1T1PQvRODqOBZk8BRht_U031fIS1beLA0Ub2CEytj2q0/edit?usp=sharing"",""ฉะเชิงเทรา!L420"")+IMPORTRANGE(""https://docs.google.com/spreadsheets/d/11tr1B-Bhyr79v2bkwVh5h_fR-PStkgjlZtkrZpYurG0/"&amp;"edit?usp=sharing"",""ชลบุรี!L420"")+IMPORTRANGE(""https://docs.google.com/spreadsheets/d/1hh-FVnSX0vozXhGluamEcS54Dw9_zqW0N7qJUWgJ0Sw/edit?usp=sharing"",""ชัยนาท!L420"")+IMPORTRANGE(""https://docs.google.com/spreadsheets/d/1jkqa6GXxSacMcY1eN8AHjMNJ_7dDXMJ"&amp;"VRLDlaFSOdPM/edit?usp=sharing"",""ตราด!L420"")+IMPORTRANGE(""https://docs.google.com/spreadsheets/d/18hSgUJ3VwClqi_qtULmmW3cLr0oe3OKaSYoKzdpTsYQ/edit?usp=sharing"",""นครนายก!L420"")+IMPORTRANGE(""https://docs.google.com/spreadsheets/d/1YTZo6WM2dQ6Ix6FSdnL"&amp;"5P7uVnVKu40sxZu975tgG10E/edit?usp=sharing"",""นครปฐม!L420"")+IMPORTRANGE(""https://docs.google.com/spreadsheets/d/1OYoGg4WDg5RIzwGeB10padOxJF9E_Vljuvvct_M7RDo/edit?usp=sharing"",""ปทุมธานี!L420"")+IMPORTRANGE(""https://docs.google.com/spreadsheets/d/1GbCI"&amp;"E4D4wk9FUozzqk7SxfDMxDVBwVmI5zcaVUSzKAc/edit?usp=sharing"",""ประจวบคีรีขันธ์!L420"")+IMPORTRANGE(""https://docs.google.com/spreadsheets/d/1vVf6wykvW_lAyu7Yo9L4hUTqHqIeP_qcVuxCtosJEbg/edit?usp=sharing"",""ปราจีนบุรี!L420"")+IMPORTRANGE(""https://docs.googl"&amp;"e.com/spreadsheets/d/1BIDqLLg5jk3v59G8NlR8rk5xfQDKne0sAvZHSj7TI6I/edit?usp=sharing"",""พระนครศรีอยุธยา!L420"")+IMPORTRANGE(""https://docs.google.com/spreadsheets/d/1YXvxf8Yu6_rV4hTBrwMqAcAnv6DfhUxh5emyM3CJp_w/edit?usp=sharing"",""เพชรบุรี!L420"")+IMPORTRA"&amp;"NGE(""https://docs.google.com/spreadsheets/d/19KBlQQs7uwvsao6t2n-KvW3Ax8J8uRRfZPq1zPbXgKc/edit?usp=sharing"",""ระยอง!L420"")+IMPORTRANGE(""https://docs.google.com/spreadsheets/d/1jQ6P4QcrGM89YfqcC_PxOHGCMq5ezhucwJd8ci-NHng/edit?usp=sharing"",""ราชบุรี!L42"&amp;"0"")+IMPORTRANGE(""https://docs.google.com/spreadsheets/d/1lufeA2cfFqM-elVq2hznhDzC6Pr7wkJ9ZG_sYNGCMCU/edit?usp=sharing"",""ลพบุรี!L420"")+IMPORTRANGE(""https://docs.google.com/spreadsheets/d/10oOiF7loTyfsTkbd4MpaIm0HQ9SwB7IYHdIUvt-U1Uc/edit?usp=sharing"""&amp;",""สระแก้ว!L420"")+IMPORTRANGE(""https://docs.google.com/spreadsheets/d/1xmPlrr1QbdSIKvl1dWUl9K4PjAfSL9oeMr_37QVzcxc/edit?usp=sharing"",""สระบุรี!L420"")+IMPORTRANGE(""https://docs.google.com/spreadsheets/d/1j51vR6CYVGhABJpv6tkstgok82RLpXieLzW1yOY5rHw/edi"&amp;"t?usp=sharing"",""สิงห์บุรี!L420"")+IMPORTRANGE(""https://docs.google.com/spreadsheets/d/1H1EalTWKUSzO4Z1-1CwzoDUaVffgrThEBe2sl74kKG0/edit?usp=sharing"",""สุพรรณบุรี!L420"")+IMPORTRANGE(""https://docs.google.com/spreadsheets/d/1BmIruG_sIrJLYao_Pdr7zVArWsf"&amp;"oBt2692TMi6x_854/edit?usp=sharing"",""อ่างทอง!L420"")"),0)</f>
        <v>0</v>
      </c>
      <c r="M420" s="80">
        <f ca="1">IFERROR(__xludf.DUMMYFUNCTION("IMPORTRANGE(""https://docs.google.com/spreadsheets/d/13wPX838HrBrQMCywv1BsuMkt4PEKTChp52zj44s2izQ/edit?usp=sharing"",""กาญจนบุรี!M420"")+IMPORTRANGE(""https://docs.google.com/spreadsheets/d/1ddFKvqj1W1NEiWytbGlB1zMx_ykJDVtmfEQ-6-lIUBA/edit?usp=sharing"","&amp;"""จันทบุรี!M420"")+IMPORTRANGE(""https://docs.google.com/spreadsheets/d/1T1PQvRODqOBZk8BRht_U031fIS1beLA0Ub2CEytj2q0/edit?usp=sharing"",""ฉะเชิงเทรา!M420"")+IMPORTRANGE(""https://docs.google.com/spreadsheets/d/11tr1B-Bhyr79v2bkwVh5h_fR-PStkgjlZtkrZpYurG0/"&amp;"edit?usp=sharing"",""ชลบุรี!M420"")+IMPORTRANGE(""https://docs.google.com/spreadsheets/d/1hh-FVnSX0vozXhGluamEcS54Dw9_zqW0N7qJUWgJ0Sw/edit?usp=sharing"",""ชัยนาท!M420"")+IMPORTRANGE(""https://docs.google.com/spreadsheets/d/1jkqa6GXxSacMcY1eN8AHjMNJ_7dDXMJ"&amp;"VRLDlaFSOdPM/edit?usp=sharing"",""ตราด!M420"")+IMPORTRANGE(""https://docs.google.com/spreadsheets/d/18hSgUJ3VwClqi_qtULmmW3cLr0oe3OKaSYoKzdpTsYQ/edit?usp=sharing"",""นครนายก!M420"")+IMPORTRANGE(""https://docs.google.com/spreadsheets/d/1YTZo6WM2dQ6Ix6FSdnL"&amp;"5P7uVnVKu40sxZu975tgG10E/edit?usp=sharing"",""นครปฐม!M420"")+IMPORTRANGE(""https://docs.google.com/spreadsheets/d/1OYoGg4WDg5RIzwGeB10padOxJF9E_Vljuvvct_M7RDo/edit?usp=sharing"",""ปทุมธานี!M420"")+IMPORTRANGE(""https://docs.google.com/spreadsheets/d/1GbCI"&amp;"E4D4wk9FUozzqk7SxfDMxDVBwVmI5zcaVUSzKAc/edit?usp=sharing"",""ประจวบคีรีขันธ์!M420"")+IMPORTRANGE(""https://docs.google.com/spreadsheets/d/1vVf6wykvW_lAyu7Yo9L4hUTqHqIeP_qcVuxCtosJEbg/edit?usp=sharing"",""ปราจีนบุรี!M420"")+IMPORTRANGE(""https://docs.googl"&amp;"e.com/spreadsheets/d/1BIDqLLg5jk3v59G8NlR8rk5xfQDKne0sAvZHSj7TI6I/edit?usp=sharing"",""พระนครศรีอยุธยา!M420"")+IMPORTRANGE(""https://docs.google.com/spreadsheets/d/1YXvxf8Yu6_rV4hTBrwMqAcAnv6DfhUxh5emyM3CJp_w/edit?usp=sharing"",""เพชรบุรี!M420"")+IMPORTRA"&amp;"NGE(""https://docs.google.com/spreadsheets/d/19KBlQQs7uwvsao6t2n-KvW3Ax8J8uRRfZPq1zPbXgKc/edit?usp=sharing"",""ระยอง!M420"")+IMPORTRANGE(""https://docs.google.com/spreadsheets/d/1jQ6P4QcrGM89YfqcC_PxOHGCMq5ezhucwJd8ci-NHng/edit?usp=sharing"",""ราชบุรี!M42"&amp;"0"")+IMPORTRANGE(""https://docs.google.com/spreadsheets/d/1lufeA2cfFqM-elVq2hznhDzC6Pr7wkJ9ZG_sYNGCMCU/edit?usp=sharing"",""ลพบุรี!M420"")+IMPORTRANGE(""https://docs.google.com/spreadsheets/d/10oOiF7loTyfsTkbd4MpaIm0HQ9SwB7IYHdIUvt-U1Uc/edit?usp=sharing"""&amp;",""สระแก้ว!M420"")+IMPORTRANGE(""https://docs.google.com/spreadsheets/d/1xmPlrr1QbdSIKvl1dWUl9K4PjAfSL9oeMr_37QVzcxc/edit?usp=sharing"",""สระบุรี!M420"")+IMPORTRANGE(""https://docs.google.com/spreadsheets/d/1j51vR6CYVGhABJpv6tkstgok82RLpXieLzW1yOY5rHw/edi"&amp;"t?usp=sharing"",""สิงห์บุรี!M420"")+IMPORTRANGE(""https://docs.google.com/spreadsheets/d/1H1EalTWKUSzO4Z1-1CwzoDUaVffgrThEBe2sl74kKG0/edit?usp=sharing"",""สุพรรณบุรี!M420"")+IMPORTRANGE(""https://docs.google.com/spreadsheets/d/1BmIruG_sIrJLYao_Pdr7zVArWsf"&amp;"oBt2692TMi6x_854/edit?usp=sharing"",""อ่างทอง!M420"")"),0)</f>
        <v>0</v>
      </c>
      <c r="N420" s="80">
        <f ca="1">IFERROR(__xludf.DUMMYFUNCTION("IMPORTRANGE(""https://docs.google.com/spreadsheets/d/13wPX838HrBrQMCywv1BsuMkt4PEKTChp52zj44s2izQ/edit?usp=sharing"",""กาญจนบุรี!N420"")+IMPORTRANGE(""https://docs.google.com/spreadsheets/d/1ddFKvqj1W1NEiWytbGlB1zMx_ykJDVtmfEQ-6-lIUBA/edit?usp=sharing"","&amp;"""จันทบุรี!N420"")+IMPORTRANGE(""https://docs.google.com/spreadsheets/d/1T1PQvRODqOBZk8BRht_U031fIS1beLA0Ub2CEytj2q0/edit?usp=sharing"",""ฉะเชิงเทรา!N420"")+IMPORTRANGE(""https://docs.google.com/spreadsheets/d/11tr1B-Bhyr79v2bkwVh5h_fR-PStkgjlZtkrZpYurG0/"&amp;"edit?usp=sharing"",""ชลบุรี!N420"")+IMPORTRANGE(""https://docs.google.com/spreadsheets/d/1hh-FVnSX0vozXhGluamEcS54Dw9_zqW0N7qJUWgJ0Sw/edit?usp=sharing"",""ชัยนาท!N420"")+IMPORTRANGE(""https://docs.google.com/spreadsheets/d/1jkqa6GXxSacMcY1eN8AHjMNJ_7dDXMJ"&amp;"VRLDlaFSOdPM/edit?usp=sharing"",""ตราด!N420"")+IMPORTRANGE(""https://docs.google.com/spreadsheets/d/18hSgUJ3VwClqi_qtULmmW3cLr0oe3OKaSYoKzdpTsYQ/edit?usp=sharing"",""นครนายก!N420"")+IMPORTRANGE(""https://docs.google.com/spreadsheets/d/1YTZo6WM2dQ6Ix6FSdnL"&amp;"5P7uVnVKu40sxZu975tgG10E/edit?usp=sharing"",""นครปฐม!N420"")+IMPORTRANGE(""https://docs.google.com/spreadsheets/d/1OYoGg4WDg5RIzwGeB10padOxJF9E_Vljuvvct_M7RDo/edit?usp=sharing"",""ปทุมธานี!N420"")+IMPORTRANGE(""https://docs.google.com/spreadsheets/d/1GbCI"&amp;"E4D4wk9FUozzqk7SxfDMxDVBwVmI5zcaVUSzKAc/edit?usp=sharing"",""ประจวบคีรีขันธ์!N420"")+IMPORTRANGE(""https://docs.google.com/spreadsheets/d/1vVf6wykvW_lAyu7Yo9L4hUTqHqIeP_qcVuxCtosJEbg/edit?usp=sharing"",""ปราจีนบุรี!N420"")+IMPORTRANGE(""https://docs.googl"&amp;"e.com/spreadsheets/d/1BIDqLLg5jk3v59G8NlR8rk5xfQDKne0sAvZHSj7TI6I/edit?usp=sharing"",""พระนครศรีอยุธยา!N420"")+IMPORTRANGE(""https://docs.google.com/spreadsheets/d/1YXvxf8Yu6_rV4hTBrwMqAcAnv6DfhUxh5emyM3CJp_w/edit?usp=sharing"",""เพชรบุรี!N420"")+IMPORTRA"&amp;"NGE(""https://docs.google.com/spreadsheets/d/19KBlQQs7uwvsao6t2n-KvW3Ax8J8uRRfZPq1zPbXgKc/edit?usp=sharing"",""ระยอง!N420"")+IMPORTRANGE(""https://docs.google.com/spreadsheets/d/1jQ6P4QcrGM89YfqcC_PxOHGCMq5ezhucwJd8ci-NHng/edit?usp=sharing"",""ราชบุรี!N42"&amp;"0"")+IMPORTRANGE(""https://docs.google.com/spreadsheets/d/1lufeA2cfFqM-elVq2hznhDzC6Pr7wkJ9ZG_sYNGCMCU/edit?usp=sharing"",""ลพบุรี!N420"")+IMPORTRANGE(""https://docs.google.com/spreadsheets/d/10oOiF7loTyfsTkbd4MpaIm0HQ9SwB7IYHdIUvt-U1Uc/edit?usp=sharing"""&amp;",""สระแก้ว!N420"")+IMPORTRANGE(""https://docs.google.com/spreadsheets/d/1xmPlrr1QbdSIKvl1dWUl9K4PjAfSL9oeMr_37QVzcxc/edit?usp=sharing"",""สระบุรี!N420"")+IMPORTRANGE(""https://docs.google.com/spreadsheets/d/1j51vR6CYVGhABJpv6tkstgok82RLpXieLzW1yOY5rHw/edi"&amp;"t?usp=sharing"",""สิงห์บุรี!N420"")+IMPORTRANGE(""https://docs.google.com/spreadsheets/d/1H1EalTWKUSzO4Z1-1CwzoDUaVffgrThEBe2sl74kKG0/edit?usp=sharing"",""สุพรรณบุรี!N420"")+IMPORTRANGE(""https://docs.google.com/spreadsheets/d/1BmIruG_sIrJLYao_Pdr7zVArWsf"&amp;"oBt2692TMi6x_854/edit?usp=sharing"",""อ่างทอง!N420"")"),0)</f>
        <v>0</v>
      </c>
      <c r="O420" s="80">
        <f t="shared" ca="1" si="306"/>
        <v>0</v>
      </c>
      <c r="P420" s="80">
        <f t="shared" ca="1" si="307"/>
        <v>0</v>
      </c>
      <c r="Q420" s="79">
        <f ca="1">IFERROR(__xludf.DUMMYFUNCTION("IMPORTRANGE(""https://docs.google.com/spreadsheets/d/13wPX838HrBrQMCywv1BsuMkt4PEKTChp52zj44s2izQ/edit?usp=sharing"",""กาญจนบุรี!Q420"")+IMPORTRANGE(""https://docs.google.com/spreadsheets/d/1ddFKvqj1W1NEiWytbGlB1zMx_ykJDVtmfEQ-6-lIUBA/edit?usp=sharing"","&amp;"""จันทบุรี!Q420"")+IMPORTRANGE(""https://docs.google.com/spreadsheets/d/1T1PQvRODqOBZk8BRht_U031fIS1beLA0Ub2CEytj2q0/edit?usp=sharing"",""ฉะเชิงเทรา!Q420"")+IMPORTRANGE(""https://docs.google.com/spreadsheets/d/11tr1B-Bhyr79v2bkwVh5h_fR-PStkgjlZtkrZpYurG0/"&amp;"edit?usp=sharing"",""ชลบุรี!Q420"")+IMPORTRANGE(""https://docs.google.com/spreadsheets/d/1hh-FVnSX0vozXhGluamEcS54Dw9_zqW0N7qJUWgJ0Sw/edit?usp=sharing"",""ชัยนาท!Q420"")+IMPORTRANGE(""https://docs.google.com/spreadsheets/d/1jkqa6GXxSacMcY1eN8AHjMNJ_7dDXMJ"&amp;"VRLDlaFSOdPM/edit?usp=sharing"",""ตราด!Q420"")+IMPORTRANGE(""https://docs.google.com/spreadsheets/d/18hSgUJ3VwClqi_qtULmmW3cLr0oe3OKaSYoKzdpTsYQ/edit?usp=sharing"",""นครนายก!Q420"")+IMPORTRANGE(""https://docs.google.com/spreadsheets/d/1YTZo6WM2dQ6Ix6FSdnL"&amp;"5P7uVnVKu40sxZu975tgG10E/edit?usp=sharing"",""นครปฐม!Q420"")+IMPORTRANGE(""https://docs.google.com/spreadsheets/d/1OYoGg4WDg5RIzwGeB10padOxJF9E_Vljuvvct_M7RDo/edit?usp=sharing"",""ปทุมธานี!Q420"")+IMPORTRANGE(""https://docs.google.com/spreadsheets/d/1GbCI"&amp;"E4D4wk9FUozzqk7SxfDMxDVBwVmI5zcaVUSzKAc/edit?usp=sharing"",""ประจวบคีรีขันธ์!Q420"")+IMPORTRANGE(""https://docs.google.com/spreadsheets/d/1vVf6wykvW_lAyu7Yo9L4hUTqHqIeP_qcVuxCtosJEbg/edit?usp=sharing"",""ปราจีนบุรี!Q420"")+IMPORTRANGE(""https://docs.googl"&amp;"e.com/spreadsheets/d/1BIDqLLg5jk3v59G8NlR8rk5xfQDKne0sAvZHSj7TI6I/edit?usp=sharing"",""พระนครศรีอยุธยา!Q420"")+IMPORTRANGE(""https://docs.google.com/spreadsheets/d/1YXvxf8Yu6_rV4hTBrwMqAcAnv6DfhUxh5emyM3CJp_w/edit?usp=sharing"",""เพชรบุรี!Q420"")+IMPORTRA"&amp;"NGE(""https://docs.google.com/spreadsheets/d/19KBlQQs7uwvsao6t2n-KvW3Ax8J8uRRfZPq1zPbXgKc/edit?usp=sharing"",""ระยอง!Q420"")+IMPORTRANGE(""https://docs.google.com/spreadsheets/d/1jQ6P4QcrGM89YfqcC_PxOHGCMq5ezhucwJd8ci-NHng/edit?usp=sharing"",""ราชบุรี!Q42"&amp;"0"")+IMPORTRANGE(""https://docs.google.com/spreadsheets/d/1lufeA2cfFqM-elVq2hznhDzC6Pr7wkJ9ZG_sYNGCMCU/edit?usp=sharing"",""ลพบุรี!Q420"")+IMPORTRANGE(""https://docs.google.com/spreadsheets/d/10oOiF7loTyfsTkbd4MpaIm0HQ9SwB7IYHdIUvt-U1Uc/edit?usp=sharing"""&amp;",""สระแก้ว!Q420"")+IMPORTRANGE(""https://docs.google.com/spreadsheets/d/1xmPlrr1QbdSIKvl1dWUl9K4PjAfSL9oeMr_37QVzcxc/edit?usp=sharing"",""สระบุรี!Q420"")+IMPORTRANGE(""https://docs.google.com/spreadsheets/d/1j51vR6CYVGhABJpv6tkstgok82RLpXieLzW1yOY5rHw/edi"&amp;"t?usp=sharing"",""สิงห์บุรี!Q420"")+IMPORTRANGE(""https://docs.google.com/spreadsheets/d/1H1EalTWKUSzO4Z1-1CwzoDUaVffgrThEBe2sl74kKG0/edit?usp=sharing"",""สุพรรณบุรี!Q420"")+IMPORTRANGE(""https://docs.google.com/spreadsheets/d/1BmIruG_sIrJLYao_Pdr7zVArWsf"&amp;"oBt2692TMi6x_854/edit?usp=sharing"",""อ่างทอง!Q420"")"),0)</f>
        <v>0</v>
      </c>
      <c r="R420" s="80">
        <f ca="1">IFERROR(__xludf.DUMMYFUNCTION("IMPORTRANGE(""https://docs.google.com/spreadsheets/d/13wPX838HrBrQMCywv1BsuMkt4PEKTChp52zj44s2izQ/edit?usp=sharing"",""กาญจนบุรี!R420"")+IMPORTRANGE(""https://docs.google.com/spreadsheets/d/1ddFKvqj1W1NEiWytbGlB1zMx_ykJDVtmfEQ-6-lIUBA/edit?usp=sharing"","&amp;"""จันทบุรี!R420"")+IMPORTRANGE(""https://docs.google.com/spreadsheets/d/1T1PQvRODqOBZk8BRht_U031fIS1beLA0Ub2CEytj2q0/edit?usp=sharing"",""ฉะเชิงเทรา!R420"")+IMPORTRANGE(""https://docs.google.com/spreadsheets/d/11tr1B-Bhyr79v2bkwVh5h_fR-PStkgjlZtkrZpYurG0/"&amp;"edit?usp=sharing"",""ชลบุรี!R420"")+IMPORTRANGE(""https://docs.google.com/spreadsheets/d/1hh-FVnSX0vozXhGluamEcS54Dw9_zqW0N7qJUWgJ0Sw/edit?usp=sharing"",""ชัยนาท!R420"")+IMPORTRANGE(""https://docs.google.com/spreadsheets/d/1jkqa6GXxSacMcY1eN8AHjMNJ_7dDXMJ"&amp;"VRLDlaFSOdPM/edit?usp=sharing"",""ตราด!R420"")+IMPORTRANGE(""https://docs.google.com/spreadsheets/d/18hSgUJ3VwClqi_qtULmmW3cLr0oe3OKaSYoKzdpTsYQ/edit?usp=sharing"",""นครนายก!R420"")+IMPORTRANGE(""https://docs.google.com/spreadsheets/d/1YTZo6WM2dQ6Ix6FSdnL"&amp;"5P7uVnVKu40sxZu975tgG10E/edit?usp=sharing"",""นครปฐม!R420"")+IMPORTRANGE(""https://docs.google.com/spreadsheets/d/1OYoGg4WDg5RIzwGeB10padOxJF9E_Vljuvvct_M7RDo/edit?usp=sharing"",""ปทุมธานี!R420"")+IMPORTRANGE(""https://docs.google.com/spreadsheets/d/1GbCI"&amp;"E4D4wk9FUozzqk7SxfDMxDVBwVmI5zcaVUSzKAc/edit?usp=sharing"",""ประจวบคีรีขันธ์!R420"")+IMPORTRANGE(""https://docs.google.com/spreadsheets/d/1vVf6wykvW_lAyu7Yo9L4hUTqHqIeP_qcVuxCtosJEbg/edit?usp=sharing"",""ปราจีนบุรี!R420"")+IMPORTRANGE(""https://docs.googl"&amp;"e.com/spreadsheets/d/1BIDqLLg5jk3v59G8NlR8rk5xfQDKne0sAvZHSj7TI6I/edit?usp=sharing"",""พระนครศรีอยุธยา!R420"")+IMPORTRANGE(""https://docs.google.com/spreadsheets/d/1YXvxf8Yu6_rV4hTBrwMqAcAnv6DfhUxh5emyM3CJp_w/edit?usp=sharing"",""เพชรบุรี!R420"")+IMPORTRA"&amp;"NGE(""https://docs.google.com/spreadsheets/d/19KBlQQs7uwvsao6t2n-KvW3Ax8J8uRRfZPq1zPbXgKc/edit?usp=sharing"",""ระยอง!R420"")+IMPORTRANGE(""https://docs.google.com/spreadsheets/d/1jQ6P4QcrGM89YfqcC_PxOHGCMq5ezhucwJd8ci-NHng/edit?usp=sharing"",""ราชบุรี!R42"&amp;"0"")+IMPORTRANGE(""https://docs.google.com/spreadsheets/d/1lufeA2cfFqM-elVq2hznhDzC6Pr7wkJ9ZG_sYNGCMCU/edit?usp=sharing"",""ลพบุรี!R420"")+IMPORTRANGE(""https://docs.google.com/spreadsheets/d/10oOiF7loTyfsTkbd4MpaIm0HQ9SwB7IYHdIUvt-U1Uc/edit?usp=sharing"""&amp;",""สระแก้ว!R420"")+IMPORTRANGE(""https://docs.google.com/spreadsheets/d/1xmPlrr1QbdSIKvl1dWUl9K4PjAfSL9oeMr_37QVzcxc/edit?usp=sharing"",""สระบุรี!R420"")+IMPORTRANGE(""https://docs.google.com/spreadsheets/d/1j51vR6CYVGhABJpv6tkstgok82RLpXieLzW1yOY5rHw/edi"&amp;"t?usp=sharing"",""สิงห์บุรี!R420"")+IMPORTRANGE(""https://docs.google.com/spreadsheets/d/1H1EalTWKUSzO4Z1-1CwzoDUaVffgrThEBe2sl74kKG0/edit?usp=sharing"",""สุพรรณบุรี!R420"")+IMPORTRANGE(""https://docs.google.com/spreadsheets/d/1BmIruG_sIrJLYao_Pdr7zVArWsf"&amp;"oBt2692TMi6x_854/edit?usp=sharing"",""อ่างทอง!R420"")"),0)</f>
        <v>0</v>
      </c>
      <c r="S420" s="80">
        <f ca="1">IFERROR(__xludf.DUMMYFUNCTION("IMPORTRANGE(""https://docs.google.com/spreadsheets/d/13wPX838HrBrQMCywv1BsuMkt4PEKTChp52zj44s2izQ/edit?usp=sharing"",""กาญจนบุรี!S420"")+IMPORTRANGE(""https://docs.google.com/spreadsheets/d/1ddFKvqj1W1NEiWytbGlB1zMx_ykJDVtmfEQ-6-lIUBA/edit?usp=sharing"","&amp;"""จันทบุรี!S420"")+IMPORTRANGE(""https://docs.google.com/spreadsheets/d/1T1PQvRODqOBZk8BRht_U031fIS1beLA0Ub2CEytj2q0/edit?usp=sharing"",""ฉะเชิงเทรา!S420"")+IMPORTRANGE(""https://docs.google.com/spreadsheets/d/11tr1B-Bhyr79v2bkwVh5h_fR-PStkgjlZtkrZpYurG0/"&amp;"edit?usp=sharing"",""ชลบุรี!S420"")+IMPORTRANGE(""https://docs.google.com/spreadsheets/d/1hh-FVnSX0vozXhGluamEcS54Dw9_zqW0N7qJUWgJ0Sw/edit?usp=sharing"",""ชัยนาท!S420"")+IMPORTRANGE(""https://docs.google.com/spreadsheets/d/1jkqa6GXxSacMcY1eN8AHjMNJ_7dDXMJ"&amp;"VRLDlaFSOdPM/edit?usp=sharing"",""ตราด!S420"")+IMPORTRANGE(""https://docs.google.com/spreadsheets/d/18hSgUJ3VwClqi_qtULmmW3cLr0oe3OKaSYoKzdpTsYQ/edit?usp=sharing"",""นครนายก!S420"")+IMPORTRANGE(""https://docs.google.com/spreadsheets/d/1YTZo6WM2dQ6Ix6FSdnL"&amp;"5P7uVnVKu40sxZu975tgG10E/edit?usp=sharing"",""นครปฐม!S420"")+IMPORTRANGE(""https://docs.google.com/spreadsheets/d/1OYoGg4WDg5RIzwGeB10padOxJF9E_Vljuvvct_M7RDo/edit?usp=sharing"",""ปทุมธานี!S420"")+IMPORTRANGE(""https://docs.google.com/spreadsheets/d/1GbCI"&amp;"E4D4wk9FUozzqk7SxfDMxDVBwVmI5zcaVUSzKAc/edit?usp=sharing"",""ประจวบคีรีขันธ์!S420"")+IMPORTRANGE(""https://docs.google.com/spreadsheets/d/1vVf6wykvW_lAyu7Yo9L4hUTqHqIeP_qcVuxCtosJEbg/edit?usp=sharing"",""ปราจีนบุรี!S420"")+IMPORTRANGE(""https://docs.googl"&amp;"e.com/spreadsheets/d/1BIDqLLg5jk3v59G8NlR8rk5xfQDKne0sAvZHSj7TI6I/edit?usp=sharing"",""พระนครศรีอยุธยา!S420"")+IMPORTRANGE(""https://docs.google.com/spreadsheets/d/1YXvxf8Yu6_rV4hTBrwMqAcAnv6DfhUxh5emyM3CJp_w/edit?usp=sharing"",""เพชรบุรี!S420"")+IMPORTRA"&amp;"NGE(""https://docs.google.com/spreadsheets/d/19KBlQQs7uwvsao6t2n-KvW3Ax8J8uRRfZPq1zPbXgKc/edit?usp=sharing"",""ระยอง!S420"")+IMPORTRANGE(""https://docs.google.com/spreadsheets/d/1jQ6P4QcrGM89YfqcC_PxOHGCMq5ezhucwJd8ci-NHng/edit?usp=sharing"",""ราชบุรี!S42"&amp;"0"")+IMPORTRANGE(""https://docs.google.com/spreadsheets/d/1lufeA2cfFqM-elVq2hznhDzC6Pr7wkJ9ZG_sYNGCMCU/edit?usp=sharing"",""ลพบุรี!S420"")+IMPORTRANGE(""https://docs.google.com/spreadsheets/d/10oOiF7loTyfsTkbd4MpaIm0HQ9SwB7IYHdIUvt-U1Uc/edit?usp=sharing"""&amp;",""สระแก้ว!S420"")+IMPORTRANGE(""https://docs.google.com/spreadsheets/d/1xmPlrr1QbdSIKvl1dWUl9K4PjAfSL9oeMr_37QVzcxc/edit?usp=sharing"",""สระบุรี!S420"")+IMPORTRANGE(""https://docs.google.com/spreadsheets/d/1j51vR6CYVGhABJpv6tkstgok82RLpXieLzW1yOY5rHw/edi"&amp;"t?usp=sharing"",""สิงห์บุรี!S420"")+IMPORTRANGE(""https://docs.google.com/spreadsheets/d/1H1EalTWKUSzO4Z1-1CwzoDUaVffgrThEBe2sl74kKG0/edit?usp=sharing"",""สุพรรณบุรี!S420"")+IMPORTRANGE(""https://docs.google.com/spreadsheets/d/1BmIruG_sIrJLYao_Pdr7zVArWsf"&amp;"oBt2692TMi6x_854/edit?usp=sharing"",""อ่างทอง!S420"")"),0)</f>
        <v>0</v>
      </c>
      <c r="T420" s="136">
        <f t="shared" ca="1" si="309"/>
        <v>0</v>
      </c>
      <c r="U420" s="136">
        <f t="shared" ca="1" si="310"/>
        <v>0</v>
      </c>
    </row>
    <row r="421" spans="1:21" ht="18.75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f ca="1">IFERROR(__xludf.DUMMYFUNCTION("IMPORTRANGE(""https://docs.google.com/spreadsheets/d/13wPX838HrBrQMCywv1BsuMkt4PEKTChp52zj44s2izQ/edit?usp=sharing"",""กาญจนบุรี!L421"")+IMPORTRANGE(""https://docs.google.com/spreadsheets/d/1ddFKvqj1W1NEiWytbGlB1zMx_ykJDVtmfEQ-6-lIUBA/edit?usp=sharing"","&amp;"""จันทบุรี!L421"")+IMPORTRANGE(""https://docs.google.com/spreadsheets/d/1T1PQvRODqOBZk8BRht_U031fIS1beLA0Ub2CEytj2q0/edit?usp=sharing"",""ฉะเชิงเทรา!L421"")+IMPORTRANGE(""https://docs.google.com/spreadsheets/d/11tr1B-Bhyr79v2bkwVh5h_fR-PStkgjlZtkrZpYurG0/"&amp;"edit?usp=sharing"",""ชลบุรี!L421"")+IMPORTRANGE(""https://docs.google.com/spreadsheets/d/1hh-FVnSX0vozXhGluamEcS54Dw9_zqW0N7qJUWgJ0Sw/edit?usp=sharing"",""ชัยนาท!L421"")+IMPORTRANGE(""https://docs.google.com/spreadsheets/d/1jkqa6GXxSacMcY1eN8AHjMNJ_7dDXMJ"&amp;"VRLDlaFSOdPM/edit?usp=sharing"",""ตราด!L421"")+IMPORTRANGE(""https://docs.google.com/spreadsheets/d/18hSgUJ3VwClqi_qtULmmW3cLr0oe3OKaSYoKzdpTsYQ/edit?usp=sharing"",""นครนายก!L421"")+IMPORTRANGE(""https://docs.google.com/spreadsheets/d/1YTZo6WM2dQ6Ix6FSdnL"&amp;"5P7uVnVKu40sxZu975tgG10E/edit?usp=sharing"",""นครปฐม!L421"")+IMPORTRANGE(""https://docs.google.com/spreadsheets/d/1OYoGg4WDg5RIzwGeB10padOxJF9E_Vljuvvct_M7RDo/edit?usp=sharing"",""ปทุมธานี!L421"")+IMPORTRANGE(""https://docs.google.com/spreadsheets/d/1GbCI"&amp;"E4D4wk9FUozzqk7SxfDMxDVBwVmI5zcaVUSzKAc/edit?usp=sharing"",""ประจวบคีรีขันธ์!L421"")+IMPORTRANGE(""https://docs.google.com/spreadsheets/d/1vVf6wykvW_lAyu7Yo9L4hUTqHqIeP_qcVuxCtosJEbg/edit?usp=sharing"",""ปราจีนบุรี!L421"")+IMPORTRANGE(""https://docs.googl"&amp;"e.com/spreadsheets/d/1BIDqLLg5jk3v59G8NlR8rk5xfQDKne0sAvZHSj7TI6I/edit?usp=sharing"",""พระนครศรีอยุธยา!L421"")+IMPORTRANGE(""https://docs.google.com/spreadsheets/d/1YXvxf8Yu6_rV4hTBrwMqAcAnv6DfhUxh5emyM3CJp_w/edit?usp=sharing"",""เพชรบุรี!L421"")+IMPORTRA"&amp;"NGE(""https://docs.google.com/spreadsheets/d/19KBlQQs7uwvsao6t2n-KvW3Ax8J8uRRfZPq1zPbXgKc/edit?usp=sharing"",""ระยอง!L421"")+IMPORTRANGE(""https://docs.google.com/spreadsheets/d/1jQ6P4QcrGM89YfqcC_PxOHGCMq5ezhucwJd8ci-NHng/edit?usp=sharing"",""ราชบุรี!L42"&amp;"1"")+IMPORTRANGE(""https://docs.google.com/spreadsheets/d/1lufeA2cfFqM-elVq2hznhDzC6Pr7wkJ9ZG_sYNGCMCU/edit?usp=sharing"",""ลพบุรี!L421"")+IMPORTRANGE(""https://docs.google.com/spreadsheets/d/10oOiF7loTyfsTkbd4MpaIm0HQ9SwB7IYHdIUvt-U1Uc/edit?usp=sharing"""&amp;",""สระแก้ว!L421"")+IMPORTRANGE(""https://docs.google.com/spreadsheets/d/1xmPlrr1QbdSIKvl1dWUl9K4PjAfSL9oeMr_37QVzcxc/edit?usp=sharing"",""สระบุรี!L421"")+IMPORTRANGE(""https://docs.google.com/spreadsheets/d/1j51vR6CYVGhABJpv6tkstgok82RLpXieLzW1yOY5rHw/edi"&amp;"t?usp=sharing"",""สิงห์บุรี!L421"")+IMPORTRANGE(""https://docs.google.com/spreadsheets/d/1H1EalTWKUSzO4Z1-1CwzoDUaVffgrThEBe2sl74kKG0/edit?usp=sharing"",""สุพรรณบุรี!L421"")+IMPORTRANGE(""https://docs.google.com/spreadsheets/d/1BmIruG_sIrJLYao_Pdr7zVArWsf"&amp;"oBt2692TMi6x_854/edit?usp=sharing"",""อ่างทอง!L421"")"),0)</f>
        <v>0</v>
      </c>
      <c r="M421" s="77">
        <f ca="1">IFERROR(__xludf.DUMMYFUNCTION("IMPORTRANGE(""https://docs.google.com/spreadsheets/d/13wPX838HrBrQMCywv1BsuMkt4PEKTChp52zj44s2izQ/edit?usp=sharing"",""กาญจนบุรี!M421"")+IMPORTRANGE(""https://docs.google.com/spreadsheets/d/1ddFKvqj1W1NEiWytbGlB1zMx_ykJDVtmfEQ-6-lIUBA/edit?usp=sharing"","&amp;"""จันทบุรี!M421"")+IMPORTRANGE(""https://docs.google.com/spreadsheets/d/1T1PQvRODqOBZk8BRht_U031fIS1beLA0Ub2CEytj2q0/edit?usp=sharing"",""ฉะเชิงเทรา!M421"")+IMPORTRANGE(""https://docs.google.com/spreadsheets/d/11tr1B-Bhyr79v2bkwVh5h_fR-PStkgjlZtkrZpYurG0/"&amp;"edit?usp=sharing"",""ชลบุรี!M421"")+IMPORTRANGE(""https://docs.google.com/spreadsheets/d/1hh-FVnSX0vozXhGluamEcS54Dw9_zqW0N7qJUWgJ0Sw/edit?usp=sharing"",""ชัยนาท!M421"")+IMPORTRANGE(""https://docs.google.com/spreadsheets/d/1jkqa6GXxSacMcY1eN8AHjMNJ_7dDXMJ"&amp;"VRLDlaFSOdPM/edit?usp=sharing"",""ตราด!M421"")+IMPORTRANGE(""https://docs.google.com/spreadsheets/d/18hSgUJ3VwClqi_qtULmmW3cLr0oe3OKaSYoKzdpTsYQ/edit?usp=sharing"",""นครนายก!M421"")+IMPORTRANGE(""https://docs.google.com/spreadsheets/d/1YTZo6WM2dQ6Ix6FSdnL"&amp;"5P7uVnVKu40sxZu975tgG10E/edit?usp=sharing"",""นครปฐม!M421"")+IMPORTRANGE(""https://docs.google.com/spreadsheets/d/1OYoGg4WDg5RIzwGeB10padOxJF9E_Vljuvvct_M7RDo/edit?usp=sharing"",""ปทุมธานี!M421"")+IMPORTRANGE(""https://docs.google.com/spreadsheets/d/1GbCI"&amp;"E4D4wk9FUozzqk7SxfDMxDVBwVmI5zcaVUSzKAc/edit?usp=sharing"",""ประจวบคีรีขันธ์!M421"")+IMPORTRANGE(""https://docs.google.com/spreadsheets/d/1vVf6wykvW_lAyu7Yo9L4hUTqHqIeP_qcVuxCtosJEbg/edit?usp=sharing"",""ปราจีนบุรี!M421"")+IMPORTRANGE(""https://docs.googl"&amp;"e.com/spreadsheets/d/1BIDqLLg5jk3v59G8NlR8rk5xfQDKne0sAvZHSj7TI6I/edit?usp=sharing"",""พระนครศรีอยุธยา!M421"")+IMPORTRANGE(""https://docs.google.com/spreadsheets/d/1YXvxf8Yu6_rV4hTBrwMqAcAnv6DfhUxh5emyM3CJp_w/edit?usp=sharing"",""เพชรบุรี!M421"")+IMPORTRA"&amp;"NGE(""https://docs.google.com/spreadsheets/d/19KBlQQs7uwvsao6t2n-KvW3Ax8J8uRRfZPq1zPbXgKc/edit?usp=sharing"",""ระยอง!M421"")+IMPORTRANGE(""https://docs.google.com/spreadsheets/d/1jQ6P4QcrGM89YfqcC_PxOHGCMq5ezhucwJd8ci-NHng/edit?usp=sharing"",""ราชบุรี!M42"&amp;"1"")+IMPORTRANGE(""https://docs.google.com/spreadsheets/d/1lufeA2cfFqM-elVq2hznhDzC6Pr7wkJ9ZG_sYNGCMCU/edit?usp=sharing"",""ลพบุรี!M421"")+IMPORTRANGE(""https://docs.google.com/spreadsheets/d/10oOiF7loTyfsTkbd4MpaIm0HQ9SwB7IYHdIUvt-U1Uc/edit?usp=sharing"""&amp;",""สระแก้ว!M421"")+IMPORTRANGE(""https://docs.google.com/spreadsheets/d/1xmPlrr1QbdSIKvl1dWUl9K4PjAfSL9oeMr_37QVzcxc/edit?usp=sharing"",""สระบุรี!M421"")+IMPORTRANGE(""https://docs.google.com/spreadsheets/d/1j51vR6CYVGhABJpv6tkstgok82RLpXieLzW1yOY5rHw/edi"&amp;"t?usp=sharing"",""สิงห์บุรี!M421"")+IMPORTRANGE(""https://docs.google.com/spreadsheets/d/1H1EalTWKUSzO4Z1-1CwzoDUaVffgrThEBe2sl74kKG0/edit?usp=sharing"",""สุพรรณบุรี!M421"")+IMPORTRANGE(""https://docs.google.com/spreadsheets/d/1BmIruG_sIrJLYao_Pdr7zVArWsf"&amp;"oBt2692TMi6x_854/edit?usp=sharing"",""อ่างทอง!M421"")"),0)</f>
        <v>0</v>
      </c>
      <c r="N421" s="77">
        <f ca="1">IFERROR(__xludf.DUMMYFUNCTION("IMPORTRANGE(""https://docs.google.com/spreadsheets/d/13wPX838HrBrQMCywv1BsuMkt4PEKTChp52zj44s2izQ/edit?usp=sharing"",""กาญจนบุรี!N421"")+IMPORTRANGE(""https://docs.google.com/spreadsheets/d/1ddFKvqj1W1NEiWytbGlB1zMx_ykJDVtmfEQ-6-lIUBA/edit?usp=sharing"","&amp;"""จันทบุรี!N421"")+IMPORTRANGE(""https://docs.google.com/spreadsheets/d/1T1PQvRODqOBZk8BRht_U031fIS1beLA0Ub2CEytj2q0/edit?usp=sharing"",""ฉะเชิงเทรา!N421"")+IMPORTRANGE(""https://docs.google.com/spreadsheets/d/11tr1B-Bhyr79v2bkwVh5h_fR-PStkgjlZtkrZpYurG0/"&amp;"edit?usp=sharing"",""ชลบุรี!N421"")+IMPORTRANGE(""https://docs.google.com/spreadsheets/d/1hh-FVnSX0vozXhGluamEcS54Dw9_zqW0N7qJUWgJ0Sw/edit?usp=sharing"",""ชัยนาท!N421"")+IMPORTRANGE(""https://docs.google.com/spreadsheets/d/1jkqa6GXxSacMcY1eN8AHjMNJ_7dDXMJ"&amp;"VRLDlaFSOdPM/edit?usp=sharing"",""ตราด!N421"")+IMPORTRANGE(""https://docs.google.com/spreadsheets/d/18hSgUJ3VwClqi_qtULmmW3cLr0oe3OKaSYoKzdpTsYQ/edit?usp=sharing"",""นครนายก!N421"")+IMPORTRANGE(""https://docs.google.com/spreadsheets/d/1YTZo6WM2dQ6Ix6FSdnL"&amp;"5P7uVnVKu40sxZu975tgG10E/edit?usp=sharing"",""นครปฐม!N421"")+IMPORTRANGE(""https://docs.google.com/spreadsheets/d/1OYoGg4WDg5RIzwGeB10padOxJF9E_Vljuvvct_M7RDo/edit?usp=sharing"",""ปทุมธานี!N421"")+IMPORTRANGE(""https://docs.google.com/spreadsheets/d/1GbCI"&amp;"E4D4wk9FUozzqk7SxfDMxDVBwVmI5zcaVUSzKAc/edit?usp=sharing"",""ประจวบคีรีขันธ์!N421"")+IMPORTRANGE(""https://docs.google.com/spreadsheets/d/1vVf6wykvW_lAyu7Yo9L4hUTqHqIeP_qcVuxCtosJEbg/edit?usp=sharing"",""ปราจีนบุรี!N421"")+IMPORTRANGE(""https://docs.googl"&amp;"e.com/spreadsheets/d/1BIDqLLg5jk3v59G8NlR8rk5xfQDKne0sAvZHSj7TI6I/edit?usp=sharing"",""พระนครศรีอยุธยา!N421"")+IMPORTRANGE(""https://docs.google.com/spreadsheets/d/1YXvxf8Yu6_rV4hTBrwMqAcAnv6DfhUxh5emyM3CJp_w/edit?usp=sharing"",""เพชรบุรี!N421"")+IMPORTRA"&amp;"NGE(""https://docs.google.com/spreadsheets/d/19KBlQQs7uwvsao6t2n-KvW3Ax8J8uRRfZPq1zPbXgKc/edit?usp=sharing"",""ระยอง!N421"")+IMPORTRANGE(""https://docs.google.com/spreadsheets/d/1jQ6P4QcrGM89YfqcC_PxOHGCMq5ezhucwJd8ci-NHng/edit?usp=sharing"",""ราชบุรี!N42"&amp;"1"")+IMPORTRANGE(""https://docs.google.com/spreadsheets/d/1lufeA2cfFqM-elVq2hznhDzC6Pr7wkJ9ZG_sYNGCMCU/edit?usp=sharing"",""ลพบุรี!N421"")+IMPORTRANGE(""https://docs.google.com/spreadsheets/d/10oOiF7loTyfsTkbd4MpaIm0HQ9SwB7IYHdIUvt-U1Uc/edit?usp=sharing"""&amp;",""สระแก้ว!N421"")+IMPORTRANGE(""https://docs.google.com/spreadsheets/d/1xmPlrr1QbdSIKvl1dWUl9K4PjAfSL9oeMr_37QVzcxc/edit?usp=sharing"",""สระบุรี!N421"")+IMPORTRANGE(""https://docs.google.com/spreadsheets/d/1j51vR6CYVGhABJpv6tkstgok82RLpXieLzW1yOY5rHw/edi"&amp;"t?usp=sharing"",""สิงห์บุรี!N421"")+IMPORTRANGE(""https://docs.google.com/spreadsheets/d/1H1EalTWKUSzO4Z1-1CwzoDUaVffgrThEBe2sl74kKG0/edit?usp=sharing"",""สุพรรณบุรี!N421"")+IMPORTRANGE(""https://docs.google.com/spreadsheets/d/1BmIruG_sIrJLYao_Pdr7zVArWsf"&amp;"oBt2692TMi6x_854/edit?usp=sharing"",""อ่างทอง!N421"")"),0)</f>
        <v>0</v>
      </c>
      <c r="O421" s="77">
        <f t="shared" ca="1" si="306"/>
        <v>0</v>
      </c>
      <c r="P421" s="77">
        <f t="shared" ca="1" si="307"/>
        <v>0</v>
      </c>
      <c r="Q421" s="76">
        <f ca="1">IFERROR(__xludf.DUMMYFUNCTION("IMPORTRANGE(""https://docs.google.com/spreadsheets/d/13wPX838HrBrQMCywv1BsuMkt4PEKTChp52zj44s2izQ/edit?usp=sharing"",""กาญจนบุรี!Q421"")+IMPORTRANGE(""https://docs.google.com/spreadsheets/d/1ddFKvqj1W1NEiWytbGlB1zMx_ykJDVtmfEQ-6-lIUBA/edit?usp=sharing"","&amp;"""จันทบุรี!Q421"")+IMPORTRANGE(""https://docs.google.com/spreadsheets/d/1T1PQvRODqOBZk8BRht_U031fIS1beLA0Ub2CEytj2q0/edit?usp=sharing"",""ฉะเชิงเทรา!Q421"")+IMPORTRANGE(""https://docs.google.com/spreadsheets/d/11tr1B-Bhyr79v2bkwVh5h_fR-PStkgjlZtkrZpYurG0/"&amp;"edit?usp=sharing"",""ชลบุรี!Q421"")+IMPORTRANGE(""https://docs.google.com/spreadsheets/d/1hh-FVnSX0vozXhGluamEcS54Dw9_zqW0N7qJUWgJ0Sw/edit?usp=sharing"",""ชัยนาท!Q421"")+IMPORTRANGE(""https://docs.google.com/spreadsheets/d/1jkqa6GXxSacMcY1eN8AHjMNJ_7dDXMJ"&amp;"VRLDlaFSOdPM/edit?usp=sharing"",""ตราด!Q421"")+IMPORTRANGE(""https://docs.google.com/spreadsheets/d/18hSgUJ3VwClqi_qtULmmW3cLr0oe3OKaSYoKzdpTsYQ/edit?usp=sharing"",""นครนายก!Q421"")+IMPORTRANGE(""https://docs.google.com/spreadsheets/d/1YTZo6WM2dQ6Ix6FSdnL"&amp;"5P7uVnVKu40sxZu975tgG10E/edit?usp=sharing"",""นครปฐม!Q421"")+IMPORTRANGE(""https://docs.google.com/spreadsheets/d/1OYoGg4WDg5RIzwGeB10padOxJF9E_Vljuvvct_M7RDo/edit?usp=sharing"",""ปทุมธานี!Q421"")+IMPORTRANGE(""https://docs.google.com/spreadsheets/d/1GbCI"&amp;"E4D4wk9FUozzqk7SxfDMxDVBwVmI5zcaVUSzKAc/edit?usp=sharing"",""ประจวบคีรีขันธ์!Q421"")+IMPORTRANGE(""https://docs.google.com/spreadsheets/d/1vVf6wykvW_lAyu7Yo9L4hUTqHqIeP_qcVuxCtosJEbg/edit?usp=sharing"",""ปราจีนบุรี!Q421"")+IMPORTRANGE(""https://docs.googl"&amp;"e.com/spreadsheets/d/1BIDqLLg5jk3v59G8NlR8rk5xfQDKne0sAvZHSj7TI6I/edit?usp=sharing"",""พระนครศรีอยุธยา!Q421"")+IMPORTRANGE(""https://docs.google.com/spreadsheets/d/1YXvxf8Yu6_rV4hTBrwMqAcAnv6DfhUxh5emyM3CJp_w/edit?usp=sharing"",""เพชรบุรี!Q421"")+IMPORTRA"&amp;"NGE(""https://docs.google.com/spreadsheets/d/19KBlQQs7uwvsao6t2n-KvW3Ax8J8uRRfZPq1zPbXgKc/edit?usp=sharing"",""ระยอง!Q421"")+IMPORTRANGE(""https://docs.google.com/spreadsheets/d/1jQ6P4QcrGM89YfqcC_PxOHGCMq5ezhucwJd8ci-NHng/edit?usp=sharing"",""ราชบุรี!Q42"&amp;"1"")+IMPORTRANGE(""https://docs.google.com/spreadsheets/d/1lufeA2cfFqM-elVq2hznhDzC6Pr7wkJ9ZG_sYNGCMCU/edit?usp=sharing"",""ลพบุรี!Q421"")+IMPORTRANGE(""https://docs.google.com/spreadsheets/d/10oOiF7loTyfsTkbd4MpaIm0HQ9SwB7IYHdIUvt-U1Uc/edit?usp=sharing"""&amp;",""สระแก้ว!Q421"")+IMPORTRANGE(""https://docs.google.com/spreadsheets/d/1xmPlrr1QbdSIKvl1dWUl9K4PjAfSL9oeMr_37QVzcxc/edit?usp=sharing"",""สระบุรี!Q421"")+IMPORTRANGE(""https://docs.google.com/spreadsheets/d/1j51vR6CYVGhABJpv6tkstgok82RLpXieLzW1yOY5rHw/edi"&amp;"t?usp=sharing"",""สิงห์บุรี!Q421"")+IMPORTRANGE(""https://docs.google.com/spreadsheets/d/1H1EalTWKUSzO4Z1-1CwzoDUaVffgrThEBe2sl74kKG0/edit?usp=sharing"",""สุพรรณบุรี!Q421"")+IMPORTRANGE(""https://docs.google.com/spreadsheets/d/1BmIruG_sIrJLYao_Pdr7zVArWsf"&amp;"oBt2692TMi6x_854/edit?usp=sharing"",""อ่างทอง!Q421"")"),0)</f>
        <v>0</v>
      </c>
      <c r="R421" s="77">
        <f ca="1">IFERROR(__xludf.DUMMYFUNCTION("IMPORTRANGE(""https://docs.google.com/spreadsheets/d/13wPX838HrBrQMCywv1BsuMkt4PEKTChp52zj44s2izQ/edit?usp=sharing"",""กาญจนบุรี!R421"")+IMPORTRANGE(""https://docs.google.com/spreadsheets/d/1ddFKvqj1W1NEiWytbGlB1zMx_ykJDVtmfEQ-6-lIUBA/edit?usp=sharing"","&amp;"""จันทบุรี!R421"")+IMPORTRANGE(""https://docs.google.com/spreadsheets/d/1T1PQvRODqOBZk8BRht_U031fIS1beLA0Ub2CEytj2q0/edit?usp=sharing"",""ฉะเชิงเทรา!R421"")+IMPORTRANGE(""https://docs.google.com/spreadsheets/d/11tr1B-Bhyr79v2bkwVh5h_fR-PStkgjlZtkrZpYurG0/"&amp;"edit?usp=sharing"",""ชลบุรี!R421"")+IMPORTRANGE(""https://docs.google.com/spreadsheets/d/1hh-FVnSX0vozXhGluamEcS54Dw9_zqW0N7qJUWgJ0Sw/edit?usp=sharing"",""ชัยนาท!R421"")+IMPORTRANGE(""https://docs.google.com/spreadsheets/d/1jkqa6GXxSacMcY1eN8AHjMNJ_7dDXMJ"&amp;"VRLDlaFSOdPM/edit?usp=sharing"",""ตราด!R421"")+IMPORTRANGE(""https://docs.google.com/spreadsheets/d/18hSgUJ3VwClqi_qtULmmW3cLr0oe3OKaSYoKzdpTsYQ/edit?usp=sharing"",""นครนายก!R421"")+IMPORTRANGE(""https://docs.google.com/spreadsheets/d/1YTZo6WM2dQ6Ix6FSdnL"&amp;"5P7uVnVKu40sxZu975tgG10E/edit?usp=sharing"",""นครปฐม!R421"")+IMPORTRANGE(""https://docs.google.com/spreadsheets/d/1OYoGg4WDg5RIzwGeB10padOxJF9E_Vljuvvct_M7RDo/edit?usp=sharing"",""ปทุมธานี!R421"")+IMPORTRANGE(""https://docs.google.com/spreadsheets/d/1GbCI"&amp;"E4D4wk9FUozzqk7SxfDMxDVBwVmI5zcaVUSzKAc/edit?usp=sharing"",""ประจวบคีรีขันธ์!R421"")+IMPORTRANGE(""https://docs.google.com/spreadsheets/d/1vVf6wykvW_lAyu7Yo9L4hUTqHqIeP_qcVuxCtosJEbg/edit?usp=sharing"",""ปราจีนบุรี!R421"")+IMPORTRANGE(""https://docs.googl"&amp;"e.com/spreadsheets/d/1BIDqLLg5jk3v59G8NlR8rk5xfQDKne0sAvZHSj7TI6I/edit?usp=sharing"",""พระนครศรีอยุธยา!R421"")+IMPORTRANGE(""https://docs.google.com/spreadsheets/d/1YXvxf8Yu6_rV4hTBrwMqAcAnv6DfhUxh5emyM3CJp_w/edit?usp=sharing"",""เพชรบุรี!R421"")+IMPORTRA"&amp;"NGE(""https://docs.google.com/spreadsheets/d/19KBlQQs7uwvsao6t2n-KvW3Ax8J8uRRfZPq1zPbXgKc/edit?usp=sharing"",""ระยอง!R421"")+IMPORTRANGE(""https://docs.google.com/spreadsheets/d/1jQ6P4QcrGM89YfqcC_PxOHGCMq5ezhucwJd8ci-NHng/edit?usp=sharing"",""ราชบุรี!R42"&amp;"1"")+IMPORTRANGE(""https://docs.google.com/spreadsheets/d/1lufeA2cfFqM-elVq2hznhDzC6Pr7wkJ9ZG_sYNGCMCU/edit?usp=sharing"",""ลพบุรี!R421"")+IMPORTRANGE(""https://docs.google.com/spreadsheets/d/10oOiF7loTyfsTkbd4MpaIm0HQ9SwB7IYHdIUvt-U1Uc/edit?usp=sharing"""&amp;",""สระแก้ว!R421"")+IMPORTRANGE(""https://docs.google.com/spreadsheets/d/1xmPlrr1QbdSIKvl1dWUl9K4PjAfSL9oeMr_37QVzcxc/edit?usp=sharing"",""สระบุรี!R421"")+IMPORTRANGE(""https://docs.google.com/spreadsheets/d/1j51vR6CYVGhABJpv6tkstgok82RLpXieLzW1yOY5rHw/edi"&amp;"t?usp=sharing"",""สิงห์บุรี!R421"")+IMPORTRANGE(""https://docs.google.com/spreadsheets/d/1H1EalTWKUSzO4Z1-1CwzoDUaVffgrThEBe2sl74kKG0/edit?usp=sharing"",""สุพรรณบุรี!R421"")+IMPORTRANGE(""https://docs.google.com/spreadsheets/d/1BmIruG_sIrJLYao_Pdr7zVArWsf"&amp;"oBt2692TMi6x_854/edit?usp=sharing"",""อ่างทอง!R421"")"),0)</f>
        <v>0</v>
      </c>
      <c r="S421" s="77">
        <f ca="1">IFERROR(__xludf.DUMMYFUNCTION("IMPORTRANGE(""https://docs.google.com/spreadsheets/d/13wPX838HrBrQMCywv1BsuMkt4PEKTChp52zj44s2izQ/edit?usp=sharing"",""กาญจนบุรี!S421"")+IMPORTRANGE(""https://docs.google.com/spreadsheets/d/1ddFKvqj1W1NEiWytbGlB1zMx_ykJDVtmfEQ-6-lIUBA/edit?usp=sharing"","&amp;"""จันทบุรี!S421"")+IMPORTRANGE(""https://docs.google.com/spreadsheets/d/1T1PQvRODqOBZk8BRht_U031fIS1beLA0Ub2CEytj2q0/edit?usp=sharing"",""ฉะเชิงเทรา!S421"")+IMPORTRANGE(""https://docs.google.com/spreadsheets/d/11tr1B-Bhyr79v2bkwVh5h_fR-PStkgjlZtkrZpYurG0/"&amp;"edit?usp=sharing"",""ชลบุรี!S421"")+IMPORTRANGE(""https://docs.google.com/spreadsheets/d/1hh-FVnSX0vozXhGluamEcS54Dw9_zqW0N7qJUWgJ0Sw/edit?usp=sharing"",""ชัยนาท!S421"")+IMPORTRANGE(""https://docs.google.com/spreadsheets/d/1jkqa6GXxSacMcY1eN8AHjMNJ_7dDXMJ"&amp;"VRLDlaFSOdPM/edit?usp=sharing"",""ตราด!S421"")+IMPORTRANGE(""https://docs.google.com/spreadsheets/d/18hSgUJ3VwClqi_qtULmmW3cLr0oe3OKaSYoKzdpTsYQ/edit?usp=sharing"",""นครนายก!S421"")+IMPORTRANGE(""https://docs.google.com/spreadsheets/d/1YTZo6WM2dQ6Ix6FSdnL"&amp;"5P7uVnVKu40sxZu975tgG10E/edit?usp=sharing"",""นครปฐม!S421"")+IMPORTRANGE(""https://docs.google.com/spreadsheets/d/1OYoGg4WDg5RIzwGeB10padOxJF9E_Vljuvvct_M7RDo/edit?usp=sharing"",""ปทุมธานี!S421"")+IMPORTRANGE(""https://docs.google.com/spreadsheets/d/1GbCI"&amp;"E4D4wk9FUozzqk7SxfDMxDVBwVmI5zcaVUSzKAc/edit?usp=sharing"",""ประจวบคีรีขันธ์!S421"")+IMPORTRANGE(""https://docs.google.com/spreadsheets/d/1vVf6wykvW_lAyu7Yo9L4hUTqHqIeP_qcVuxCtosJEbg/edit?usp=sharing"",""ปราจีนบุรี!S421"")+IMPORTRANGE(""https://docs.googl"&amp;"e.com/spreadsheets/d/1BIDqLLg5jk3v59G8NlR8rk5xfQDKne0sAvZHSj7TI6I/edit?usp=sharing"",""พระนครศรีอยุธยา!S421"")+IMPORTRANGE(""https://docs.google.com/spreadsheets/d/1YXvxf8Yu6_rV4hTBrwMqAcAnv6DfhUxh5emyM3CJp_w/edit?usp=sharing"",""เพชรบุรี!S421"")+IMPORTRA"&amp;"NGE(""https://docs.google.com/spreadsheets/d/19KBlQQs7uwvsao6t2n-KvW3Ax8J8uRRfZPq1zPbXgKc/edit?usp=sharing"",""ระยอง!S421"")+IMPORTRANGE(""https://docs.google.com/spreadsheets/d/1jQ6P4QcrGM89YfqcC_PxOHGCMq5ezhucwJd8ci-NHng/edit?usp=sharing"",""ราชบุรี!S42"&amp;"1"")+IMPORTRANGE(""https://docs.google.com/spreadsheets/d/1lufeA2cfFqM-elVq2hznhDzC6Pr7wkJ9ZG_sYNGCMCU/edit?usp=sharing"",""ลพบุรี!S421"")+IMPORTRANGE(""https://docs.google.com/spreadsheets/d/10oOiF7loTyfsTkbd4MpaIm0HQ9SwB7IYHdIUvt-U1Uc/edit?usp=sharing"""&amp;",""สระแก้ว!S421"")+IMPORTRANGE(""https://docs.google.com/spreadsheets/d/1xmPlrr1QbdSIKvl1dWUl9K4PjAfSL9oeMr_37QVzcxc/edit?usp=sharing"",""สระบุรี!S421"")+IMPORTRANGE(""https://docs.google.com/spreadsheets/d/1j51vR6CYVGhABJpv6tkstgok82RLpXieLzW1yOY5rHw/edi"&amp;"t?usp=sharing"",""สิงห์บุรี!S421"")+IMPORTRANGE(""https://docs.google.com/spreadsheets/d/1H1EalTWKUSzO4Z1-1CwzoDUaVffgrThEBe2sl74kKG0/edit?usp=sharing"",""สุพรรณบุรี!S421"")+IMPORTRANGE(""https://docs.google.com/spreadsheets/d/1BmIruG_sIrJLYao_Pdr7zVArWsf"&amp;"oBt2692TMi6x_854/edit?usp=sharing"",""อ่างทอง!S421"")"),0)</f>
        <v>0</v>
      </c>
      <c r="T421" s="135">
        <f t="shared" ca="1" si="309"/>
        <v>0</v>
      </c>
      <c r="U421" s="135">
        <f t="shared" ca="1" si="310"/>
        <v>0</v>
      </c>
    </row>
    <row r="422" spans="1:21" ht="19.5" x14ac:dyDescent="0.3">
      <c r="A422" s="533"/>
      <c r="B422" s="271"/>
      <c r="C422" s="600" t="s">
        <v>18</v>
      </c>
      <c r="D422" s="602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t="shared" ref="I423:J423" ca="1" si="319">I440</f>
        <v>0</v>
      </c>
      <c r="J423" s="603">
        <f t="shared" ca="1" si="319"/>
        <v>0</v>
      </c>
      <c r="K423" s="266">
        <f t="shared" ref="K423:K425" ca="1" si="320">IF(I423&gt;0,J423*100/I423,0)</f>
        <v>0</v>
      </c>
      <c r="L423" s="90"/>
      <c r="M423" s="90"/>
      <c r="N423" s="90"/>
      <c r="O423" s="90"/>
      <c r="P423" s="90"/>
      <c r="Q423" s="89"/>
      <c r="R423" s="90"/>
      <c r="S423" s="90"/>
      <c r="T423" s="90"/>
      <c r="U423" s="90"/>
    </row>
    <row r="424" spans="1:21" ht="19.5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IFERROR(__xludf.DUMMYFUNCTION("IMPORTRANGE(""https://docs.google.com/spreadsheets/d/1eHaY18a8A9IcSdp1K8H6x8fbOy06t2VsZHhMHf-1x7Y/edit?usp=sharing"",""แผน!HJ55"")"),0)</f>
        <v>0</v>
      </c>
      <c r="J424" s="603">
        <f t="shared" ref="J424:J425" ca="1" si="321">J426+J428+J430</f>
        <v>0</v>
      </c>
      <c r="K424" s="266">
        <f t="shared" ca="1" si="320"/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IFERROR(__xludf.DUMMYFUNCTION("IMPORTRANGE(""https://docs.google.com/spreadsheets/d/1eHaY18a8A9IcSdp1K8H6x8fbOy06t2VsZHhMHf-1x7Y/edit?usp=sharing"",""แผน!HK55"")"),0)</f>
        <v>0</v>
      </c>
      <c r="J425" s="603">
        <f t="shared" ca="1" si="321"/>
        <v>0</v>
      </c>
      <c r="K425" s="266">
        <f t="shared" ca="1" si="320"/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604">
        <f ca="1">IFERROR(__xludf.DUMMYFUNCTION("IMPORTRANGE(""https://docs.google.com/spreadsheets/d/13wPX838HrBrQMCywv1BsuMkt4PEKTChp52zj44s2izQ/edit?usp=sharing"",""กาญจนบุรี!J426"")+IMPORTRANGE(""https://docs.google.com/spreadsheets/d/1ddFKvqj1W1NEiWytbGlB1zMx_ykJDVtmfEQ-6-lIUBA/edit?usp=sharing"","&amp;"""จันทบุรี!J426"")+IMPORTRANGE(""https://docs.google.com/spreadsheets/d/1T1PQvRODqOBZk8BRht_U031fIS1beLA0Ub2CEytj2q0/edit?usp=sharing"",""ฉะเชิงเทรา!J426"")+IMPORTRANGE(""https://docs.google.com/spreadsheets/d/11tr1B-Bhyr79v2bkwVh5h_fR-PStkgjlZtkrZpYurG0/"&amp;"edit?usp=sharing"",""ชลบุรี!J426"")+IMPORTRANGE(""https://docs.google.com/spreadsheets/d/1hh-FVnSX0vozXhGluamEcS54Dw9_zqW0N7qJUWgJ0Sw/edit?usp=sharing"",""ชัยนาท!J426"")+IMPORTRANGE(""https://docs.google.com/spreadsheets/d/1jkqa6GXxSacMcY1eN8AHjMNJ_7dDXMJ"&amp;"VRLDlaFSOdPM/edit?usp=sharing"",""ตราด!J426"")+IMPORTRANGE(""https://docs.google.com/spreadsheets/d/18hSgUJ3VwClqi_qtULmmW3cLr0oe3OKaSYoKzdpTsYQ/edit?usp=sharing"",""นครนายก!J426"")+IMPORTRANGE(""https://docs.google.com/spreadsheets/d/1YTZo6WM2dQ6Ix6FSdnL"&amp;"5P7uVnVKu40sxZu975tgG10E/edit?usp=sharing"",""นครปฐม!J426"")+IMPORTRANGE(""https://docs.google.com/spreadsheets/d/1OYoGg4WDg5RIzwGeB10padOxJF9E_Vljuvvct_M7RDo/edit?usp=sharing"",""ปทุมธานี!J426"")+IMPORTRANGE(""https://docs.google.com/spreadsheets/d/1GbCI"&amp;"E4D4wk9FUozzqk7SxfDMxDVBwVmI5zcaVUSzKAc/edit?usp=sharing"",""ประจวบคีรีขันธ์!J426"")+IMPORTRANGE(""https://docs.google.com/spreadsheets/d/1vVf6wykvW_lAyu7Yo9L4hUTqHqIeP_qcVuxCtosJEbg/edit?usp=sharing"",""ปราจีนบุรี!J426"")+IMPORTRANGE(""https://docs.googl"&amp;"e.com/spreadsheets/d/1BIDqLLg5jk3v59G8NlR8rk5xfQDKne0sAvZHSj7TI6I/edit?usp=sharing"",""พระนครศรีอยุธยา!J426"")+IMPORTRANGE(""https://docs.google.com/spreadsheets/d/1YXvxf8Yu6_rV4hTBrwMqAcAnv6DfhUxh5emyM3CJp_w/edit?usp=sharing"",""เพชรบุรี!J426"")+IMPORTRA"&amp;"NGE(""https://docs.google.com/spreadsheets/d/19KBlQQs7uwvsao6t2n-KvW3Ax8J8uRRfZPq1zPbXgKc/edit?usp=sharing"",""ระยอง!J426"")+IMPORTRANGE(""https://docs.google.com/spreadsheets/d/1jQ6P4QcrGM89YfqcC_PxOHGCMq5ezhucwJd8ci-NHng/edit?usp=sharing"",""ราชบุรี!J42"&amp;"6"")+IMPORTRANGE(""https://docs.google.com/spreadsheets/d/1lufeA2cfFqM-elVq2hznhDzC6Pr7wkJ9ZG_sYNGCMCU/edit?usp=sharing"",""ลพบุรี!J426"")+IMPORTRANGE(""https://docs.google.com/spreadsheets/d/10oOiF7loTyfsTkbd4MpaIm0HQ9SwB7IYHdIUvt-U1Uc/edit?usp=sharing"""&amp;",""สระแก้ว!J426"")+IMPORTRANGE(""https://docs.google.com/spreadsheets/d/1xmPlrr1QbdSIKvl1dWUl9K4PjAfSL9oeMr_37QVzcxc/edit?usp=sharing"",""สระบุรี!J426"")+IMPORTRANGE(""https://docs.google.com/spreadsheets/d/1j51vR6CYVGhABJpv6tkstgok82RLpXieLzW1yOY5rHw/edi"&amp;"t?usp=sharing"",""สิงห์บุรี!J426"")+IMPORTRANGE(""https://docs.google.com/spreadsheets/d/1H1EalTWKUSzO4Z1-1CwzoDUaVffgrThEBe2sl74kKG0/edit?usp=sharing"",""สุพรรณบุรี!J426"")+IMPORTRANGE(""https://docs.google.com/spreadsheets/d/1BmIruG_sIrJLYao_Pdr7zVArWsf"&amp;"oBt2692TMi6x_854/edit?usp=sharing"",""อ่างทอง!J426"")"),0)</f>
        <v>0</v>
      </c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604">
        <f ca="1">IFERROR(__xludf.DUMMYFUNCTION("IMPORTRANGE(""https://docs.google.com/spreadsheets/d/13wPX838HrBrQMCywv1BsuMkt4PEKTChp52zj44s2izQ/edit?usp=sharing"",""กาญจนบุรี!J427"")+IMPORTRANGE(""https://docs.google.com/spreadsheets/d/1ddFKvqj1W1NEiWytbGlB1zMx_ykJDVtmfEQ-6-lIUBA/edit?usp=sharing"","&amp;"""จันทบุรี!J427"")+IMPORTRANGE(""https://docs.google.com/spreadsheets/d/1T1PQvRODqOBZk8BRht_U031fIS1beLA0Ub2CEytj2q0/edit?usp=sharing"",""ฉะเชิงเทรา!J427"")+IMPORTRANGE(""https://docs.google.com/spreadsheets/d/11tr1B-Bhyr79v2bkwVh5h_fR-PStkgjlZtkrZpYurG0/"&amp;"edit?usp=sharing"",""ชลบุรี!J427"")+IMPORTRANGE(""https://docs.google.com/spreadsheets/d/1hh-FVnSX0vozXhGluamEcS54Dw9_zqW0N7qJUWgJ0Sw/edit?usp=sharing"",""ชัยนาท!J427"")+IMPORTRANGE(""https://docs.google.com/spreadsheets/d/1jkqa6GXxSacMcY1eN8AHjMNJ_7dDXMJ"&amp;"VRLDlaFSOdPM/edit?usp=sharing"",""ตราด!J427"")+IMPORTRANGE(""https://docs.google.com/spreadsheets/d/18hSgUJ3VwClqi_qtULmmW3cLr0oe3OKaSYoKzdpTsYQ/edit?usp=sharing"",""นครนายก!J427"")+IMPORTRANGE(""https://docs.google.com/spreadsheets/d/1YTZo6WM2dQ6Ix6FSdnL"&amp;"5P7uVnVKu40sxZu975tgG10E/edit?usp=sharing"",""นครปฐม!J427"")+IMPORTRANGE(""https://docs.google.com/spreadsheets/d/1OYoGg4WDg5RIzwGeB10padOxJF9E_Vljuvvct_M7RDo/edit?usp=sharing"",""ปทุมธานี!J427"")+IMPORTRANGE(""https://docs.google.com/spreadsheets/d/1GbCI"&amp;"E4D4wk9FUozzqk7SxfDMxDVBwVmI5zcaVUSzKAc/edit?usp=sharing"",""ประจวบคีรีขันธ์!J427"")+IMPORTRANGE(""https://docs.google.com/spreadsheets/d/1vVf6wykvW_lAyu7Yo9L4hUTqHqIeP_qcVuxCtosJEbg/edit?usp=sharing"",""ปราจีนบุรี!J427"")+IMPORTRANGE(""https://docs.googl"&amp;"e.com/spreadsheets/d/1BIDqLLg5jk3v59G8NlR8rk5xfQDKne0sAvZHSj7TI6I/edit?usp=sharing"",""พระนครศรีอยุธยา!J427"")+IMPORTRANGE(""https://docs.google.com/spreadsheets/d/1YXvxf8Yu6_rV4hTBrwMqAcAnv6DfhUxh5emyM3CJp_w/edit?usp=sharing"",""เพชรบุรี!J427"")+IMPORTRA"&amp;"NGE(""https://docs.google.com/spreadsheets/d/19KBlQQs7uwvsao6t2n-KvW3Ax8J8uRRfZPq1zPbXgKc/edit?usp=sharing"",""ระยอง!J427"")+IMPORTRANGE(""https://docs.google.com/spreadsheets/d/1jQ6P4QcrGM89YfqcC_PxOHGCMq5ezhucwJd8ci-NHng/edit?usp=sharing"",""ราชบุรี!J42"&amp;"7"")+IMPORTRANGE(""https://docs.google.com/spreadsheets/d/1lufeA2cfFqM-elVq2hznhDzC6Pr7wkJ9ZG_sYNGCMCU/edit?usp=sharing"",""ลพบุรี!J427"")+IMPORTRANGE(""https://docs.google.com/spreadsheets/d/10oOiF7loTyfsTkbd4MpaIm0HQ9SwB7IYHdIUvt-U1Uc/edit?usp=sharing"""&amp;",""สระแก้ว!J427"")+IMPORTRANGE(""https://docs.google.com/spreadsheets/d/1xmPlrr1QbdSIKvl1dWUl9K4PjAfSL9oeMr_37QVzcxc/edit?usp=sharing"",""สระบุรี!J427"")+IMPORTRANGE(""https://docs.google.com/spreadsheets/d/1j51vR6CYVGhABJpv6tkstgok82RLpXieLzW1yOY5rHw/edi"&amp;"t?usp=sharing"",""สิงห์บุรี!J427"")+IMPORTRANGE(""https://docs.google.com/spreadsheets/d/1H1EalTWKUSzO4Z1-1CwzoDUaVffgrThEBe2sl74kKG0/edit?usp=sharing"",""สุพรรณบุรี!J427"")+IMPORTRANGE(""https://docs.google.com/spreadsheets/d/1BmIruG_sIrJLYao_Pdr7zVArWsf"&amp;"oBt2692TMi6x_854/edit?usp=sharing"",""อ่างทอง!J427"")"),0)</f>
        <v>0</v>
      </c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604">
        <f ca="1">IFERROR(__xludf.DUMMYFUNCTION("IMPORTRANGE(""https://docs.google.com/spreadsheets/d/13wPX838HrBrQMCywv1BsuMkt4PEKTChp52zj44s2izQ/edit?usp=sharing"",""กาญจนบุรี!J428"")+IMPORTRANGE(""https://docs.google.com/spreadsheets/d/1ddFKvqj1W1NEiWytbGlB1zMx_ykJDVtmfEQ-6-lIUBA/edit?usp=sharing"","&amp;"""จันทบุรี!J428"")+IMPORTRANGE(""https://docs.google.com/spreadsheets/d/1T1PQvRODqOBZk8BRht_U031fIS1beLA0Ub2CEytj2q0/edit?usp=sharing"",""ฉะเชิงเทรา!J428"")+IMPORTRANGE(""https://docs.google.com/spreadsheets/d/11tr1B-Bhyr79v2bkwVh5h_fR-PStkgjlZtkrZpYurG0/"&amp;"edit?usp=sharing"",""ชลบุรี!J428"")+IMPORTRANGE(""https://docs.google.com/spreadsheets/d/1hh-FVnSX0vozXhGluamEcS54Dw9_zqW0N7qJUWgJ0Sw/edit?usp=sharing"",""ชัยนาท!J428"")+IMPORTRANGE(""https://docs.google.com/spreadsheets/d/1jkqa6GXxSacMcY1eN8AHjMNJ_7dDXMJ"&amp;"VRLDlaFSOdPM/edit?usp=sharing"",""ตราด!J428"")+IMPORTRANGE(""https://docs.google.com/spreadsheets/d/18hSgUJ3VwClqi_qtULmmW3cLr0oe3OKaSYoKzdpTsYQ/edit?usp=sharing"",""นครนายก!J428"")+IMPORTRANGE(""https://docs.google.com/spreadsheets/d/1YTZo6WM2dQ6Ix6FSdnL"&amp;"5P7uVnVKu40sxZu975tgG10E/edit?usp=sharing"",""นครปฐม!J428"")+IMPORTRANGE(""https://docs.google.com/spreadsheets/d/1OYoGg4WDg5RIzwGeB10padOxJF9E_Vljuvvct_M7RDo/edit?usp=sharing"",""ปทุมธานี!J428"")+IMPORTRANGE(""https://docs.google.com/spreadsheets/d/1GbCI"&amp;"E4D4wk9FUozzqk7SxfDMxDVBwVmI5zcaVUSzKAc/edit?usp=sharing"",""ประจวบคีรีขันธ์!J428"")+IMPORTRANGE(""https://docs.google.com/spreadsheets/d/1vVf6wykvW_lAyu7Yo9L4hUTqHqIeP_qcVuxCtosJEbg/edit?usp=sharing"",""ปราจีนบุรี!J428"")+IMPORTRANGE(""https://docs.googl"&amp;"e.com/spreadsheets/d/1BIDqLLg5jk3v59G8NlR8rk5xfQDKne0sAvZHSj7TI6I/edit?usp=sharing"",""พระนครศรีอยุธยา!J428"")+IMPORTRANGE(""https://docs.google.com/spreadsheets/d/1YXvxf8Yu6_rV4hTBrwMqAcAnv6DfhUxh5emyM3CJp_w/edit?usp=sharing"",""เพชรบุรี!J428"")+IMPORTRA"&amp;"NGE(""https://docs.google.com/spreadsheets/d/19KBlQQs7uwvsao6t2n-KvW3Ax8J8uRRfZPq1zPbXgKc/edit?usp=sharing"",""ระยอง!J428"")+IMPORTRANGE(""https://docs.google.com/spreadsheets/d/1jQ6P4QcrGM89YfqcC_PxOHGCMq5ezhucwJd8ci-NHng/edit?usp=sharing"",""ราชบุรี!J42"&amp;"8"")+IMPORTRANGE(""https://docs.google.com/spreadsheets/d/1lufeA2cfFqM-elVq2hznhDzC6Pr7wkJ9ZG_sYNGCMCU/edit?usp=sharing"",""ลพบุรี!J428"")+IMPORTRANGE(""https://docs.google.com/spreadsheets/d/10oOiF7loTyfsTkbd4MpaIm0HQ9SwB7IYHdIUvt-U1Uc/edit?usp=sharing"""&amp;",""สระแก้ว!J428"")+IMPORTRANGE(""https://docs.google.com/spreadsheets/d/1xmPlrr1QbdSIKvl1dWUl9K4PjAfSL9oeMr_37QVzcxc/edit?usp=sharing"",""สระบุรี!J428"")+IMPORTRANGE(""https://docs.google.com/spreadsheets/d/1j51vR6CYVGhABJpv6tkstgok82RLpXieLzW1yOY5rHw/edi"&amp;"t?usp=sharing"",""สิงห์บุรี!J428"")+IMPORTRANGE(""https://docs.google.com/spreadsheets/d/1H1EalTWKUSzO4Z1-1CwzoDUaVffgrThEBe2sl74kKG0/edit?usp=sharing"",""สุพรรณบุรี!J428"")+IMPORTRANGE(""https://docs.google.com/spreadsheets/d/1BmIruG_sIrJLYao_Pdr7zVArWsf"&amp;"oBt2692TMi6x_854/edit?usp=sharing"",""อ่างทอง!J428"")"),0)</f>
        <v>0</v>
      </c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604">
        <f ca="1">IFERROR(__xludf.DUMMYFUNCTION("IMPORTRANGE(""https://docs.google.com/spreadsheets/d/13wPX838HrBrQMCywv1BsuMkt4PEKTChp52zj44s2izQ/edit?usp=sharing"",""กาญจนบุรี!J429"")+IMPORTRANGE(""https://docs.google.com/spreadsheets/d/1ddFKvqj1W1NEiWytbGlB1zMx_ykJDVtmfEQ-6-lIUBA/edit?usp=sharing"","&amp;"""จันทบุรี!J429"")+IMPORTRANGE(""https://docs.google.com/spreadsheets/d/1T1PQvRODqOBZk8BRht_U031fIS1beLA0Ub2CEytj2q0/edit?usp=sharing"",""ฉะเชิงเทรา!J429"")+IMPORTRANGE(""https://docs.google.com/spreadsheets/d/11tr1B-Bhyr79v2bkwVh5h_fR-PStkgjlZtkrZpYurG0/"&amp;"edit?usp=sharing"",""ชลบุรี!J429"")+IMPORTRANGE(""https://docs.google.com/spreadsheets/d/1hh-FVnSX0vozXhGluamEcS54Dw9_zqW0N7qJUWgJ0Sw/edit?usp=sharing"",""ชัยนาท!J429"")+IMPORTRANGE(""https://docs.google.com/spreadsheets/d/1jkqa6GXxSacMcY1eN8AHjMNJ_7dDXMJ"&amp;"VRLDlaFSOdPM/edit?usp=sharing"",""ตราด!J429"")+IMPORTRANGE(""https://docs.google.com/spreadsheets/d/18hSgUJ3VwClqi_qtULmmW3cLr0oe3OKaSYoKzdpTsYQ/edit?usp=sharing"",""นครนายก!J429"")+IMPORTRANGE(""https://docs.google.com/spreadsheets/d/1YTZo6WM2dQ6Ix6FSdnL"&amp;"5P7uVnVKu40sxZu975tgG10E/edit?usp=sharing"",""นครปฐม!J429"")+IMPORTRANGE(""https://docs.google.com/spreadsheets/d/1OYoGg4WDg5RIzwGeB10padOxJF9E_Vljuvvct_M7RDo/edit?usp=sharing"",""ปทุมธานี!J429"")+IMPORTRANGE(""https://docs.google.com/spreadsheets/d/1GbCI"&amp;"E4D4wk9FUozzqk7SxfDMxDVBwVmI5zcaVUSzKAc/edit?usp=sharing"",""ประจวบคีรีขันธ์!J429"")+IMPORTRANGE(""https://docs.google.com/spreadsheets/d/1vVf6wykvW_lAyu7Yo9L4hUTqHqIeP_qcVuxCtosJEbg/edit?usp=sharing"",""ปราจีนบุรี!J429"")+IMPORTRANGE(""https://docs.googl"&amp;"e.com/spreadsheets/d/1BIDqLLg5jk3v59G8NlR8rk5xfQDKne0sAvZHSj7TI6I/edit?usp=sharing"",""พระนครศรีอยุธยา!J429"")+IMPORTRANGE(""https://docs.google.com/spreadsheets/d/1YXvxf8Yu6_rV4hTBrwMqAcAnv6DfhUxh5emyM3CJp_w/edit?usp=sharing"",""เพชรบุรี!J429"")+IMPORTRA"&amp;"NGE(""https://docs.google.com/spreadsheets/d/19KBlQQs7uwvsao6t2n-KvW3Ax8J8uRRfZPq1zPbXgKc/edit?usp=sharing"",""ระยอง!J429"")+IMPORTRANGE(""https://docs.google.com/spreadsheets/d/1jQ6P4QcrGM89YfqcC_PxOHGCMq5ezhucwJd8ci-NHng/edit?usp=sharing"",""ราชบุรี!J42"&amp;"9"")+IMPORTRANGE(""https://docs.google.com/spreadsheets/d/1lufeA2cfFqM-elVq2hznhDzC6Pr7wkJ9ZG_sYNGCMCU/edit?usp=sharing"",""ลพบุรี!J429"")+IMPORTRANGE(""https://docs.google.com/spreadsheets/d/10oOiF7loTyfsTkbd4MpaIm0HQ9SwB7IYHdIUvt-U1Uc/edit?usp=sharing"""&amp;",""สระแก้ว!J429"")+IMPORTRANGE(""https://docs.google.com/spreadsheets/d/1xmPlrr1QbdSIKvl1dWUl9K4PjAfSL9oeMr_37QVzcxc/edit?usp=sharing"",""สระบุรี!J429"")+IMPORTRANGE(""https://docs.google.com/spreadsheets/d/1j51vR6CYVGhABJpv6tkstgok82RLpXieLzW1yOY5rHw/edi"&amp;"t?usp=sharing"",""สิงห์บุรี!J429"")+IMPORTRANGE(""https://docs.google.com/spreadsheets/d/1H1EalTWKUSzO4Z1-1CwzoDUaVffgrThEBe2sl74kKG0/edit?usp=sharing"",""สุพรรณบุรี!J429"")+IMPORTRANGE(""https://docs.google.com/spreadsheets/d/1BmIruG_sIrJLYao_Pdr7zVArWsf"&amp;"oBt2692TMi6x_854/edit?usp=sharing"",""อ่างทอง!J429"")"),0)</f>
        <v>0</v>
      </c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604">
        <f ca="1">IFERROR(__xludf.DUMMYFUNCTION("IMPORTRANGE(""https://docs.google.com/spreadsheets/d/13wPX838HrBrQMCywv1BsuMkt4PEKTChp52zj44s2izQ/edit?usp=sharing"",""กาญจนบุรี!J430"")+IMPORTRANGE(""https://docs.google.com/spreadsheets/d/1ddFKvqj1W1NEiWytbGlB1zMx_ykJDVtmfEQ-6-lIUBA/edit?usp=sharing"","&amp;"""จันทบุรี!J430"")+IMPORTRANGE(""https://docs.google.com/spreadsheets/d/1T1PQvRODqOBZk8BRht_U031fIS1beLA0Ub2CEytj2q0/edit?usp=sharing"",""ฉะเชิงเทรา!J430"")+IMPORTRANGE(""https://docs.google.com/spreadsheets/d/11tr1B-Bhyr79v2bkwVh5h_fR-PStkgjlZtkrZpYurG0/"&amp;"edit?usp=sharing"",""ชลบุรี!J430"")+IMPORTRANGE(""https://docs.google.com/spreadsheets/d/1hh-FVnSX0vozXhGluamEcS54Dw9_zqW0N7qJUWgJ0Sw/edit?usp=sharing"",""ชัยนาท!J430"")+IMPORTRANGE(""https://docs.google.com/spreadsheets/d/1jkqa6GXxSacMcY1eN8AHjMNJ_7dDXMJ"&amp;"VRLDlaFSOdPM/edit?usp=sharing"",""ตราด!J430"")+IMPORTRANGE(""https://docs.google.com/spreadsheets/d/18hSgUJ3VwClqi_qtULmmW3cLr0oe3OKaSYoKzdpTsYQ/edit?usp=sharing"",""นครนายก!J430"")+IMPORTRANGE(""https://docs.google.com/spreadsheets/d/1YTZo6WM2dQ6Ix6FSdnL"&amp;"5P7uVnVKu40sxZu975tgG10E/edit?usp=sharing"",""นครปฐม!J430"")+IMPORTRANGE(""https://docs.google.com/spreadsheets/d/1OYoGg4WDg5RIzwGeB10padOxJF9E_Vljuvvct_M7RDo/edit?usp=sharing"",""ปทุมธานี!J430"")+IMPORTRANGE(""https://docs.google.com/spreadsheets/d/1GbCI"&amp;"E4D4wk9FUozzqk7SxfDMxDVBwVmI5zcaVUSzKAc/edit?usp=sharing"",""ประจวบคีรีขันธ์!J430"")+IMPORTRANGE(""https://docs.google.com/spreadsheets/d/1vVf6wykvW_lAyu7Yo9L4hUTqHqIeP_qcVuxCtosJEbg/edit?usp=sharing"",""ปราจีนบุรี!J430"")+IMPORTRANGE(""https://docs.googl"&amp;"e.com/spreadsheets/d/1BIDqLLg5jk3v59G8NlR8rk5xfQDKne0sAvZHSj7TI6I/edit?usp=sharing"",""พระนครศรีอยุธยา!J430"")+IMPORTRANGE(""https://docs.google.com/spreadsheets/d/1YXvxf8Yu6_rV4hTBrwMqAcAnv6DfhUxh5emyM3CJp_w/edit?usp=sharing"",""เพชรบุรี!J430"")+IMPORTRA"&amp;"NGE(""https://docs.google.com/spreadsheets/d/19KBlQQs7uwvsao6t2n-KvW3Ax8J8uRRfZPq1zPbXgKc/edit?usp=sharing"",""ระยอง!J430"")+IMPORTRANGE(""https://docs.google.com/spreadsheets/d/1jQ6P4QcrGM89YfqcC_PxOHGCMq5ezhucwJd8ci-NHng/edit?usp=sharing"",""ราชบุรี!J43"&amp;"0"")+IMPORTRANGE(""https://docs.google.com/spreadsheets/d/1lufeA2cfFqM-elVq2hznhDzC6Pr7wkJ9ZG_sYNGCMCU/edit?usp=sharing"",""ลพบุรี!J430"")+IMPORTRANGE(""https://docs.google.com/spreadsheets/d/10oOiF7loTyfsTkbd4MpaIm0HQ9SwB7IYHdIUvt-U1Uc/edit?usp=sharing"""&amp;",""สระแก้ว!J430"")+IMPORTRANGE(""https://docs.google.com/spreadsheets/d/1xmPlrr1QbdSIKvl1dWUl9K4PjAfSL9oeMr_37QVzcxc/edit?usp=sharing"",""สระบุรี!J430"")+IMPORTRANGE(""https://docs.google.com/spreadsheets/d/1j51vR6CYVGhABJpv6tkstgok82RLpXieLzW1yOY5rHw/edi"&amp;"t?usp=sharing"",""สิงห์บุรี!J430"")+IMPORTRANGE(""https://docs.google.com/spreadsheets/d/1H1EalTWKUSzO4Z1-1CwzoDUaVffgrThEBe2sl74kKG0/edit?usp=sharing"",""สุพรรณบุรี!J430"")+IMPORTRANGE(""https://docs.google.com/spreadsheets/d/1BmIruG_sIrJLYao_Pdr7zVArWsf"&amp;"oBt2692TMi6x_854/edit?usp=sharing"",""อ่างทอง!J430"")"),0)</f>
        <v>0</v>
      </c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604">
        <f ca="1">IFERROR(__xludf.DUMMYFUNCTION("IMPORTRANGE(""https://docs.google.com/spreadsheets/d/13wPX838HrBrQMCywv1BsuMkt4PEKTChp52zj44s2izQ/edit?usp=sharing"",""กาญจนบุรี!J431"")+IMPORTRANGE(""https://docs.google.com/spreadsheets/d/1ddFKvqj1W1NEiWytbGlB1zMx_ykJDVtmfEQ-6-lIUBA/edit?usp=sharing"","&amp;"""จันทบุรี!J431"")+IMPORTRANGE(""https://docs.google.com/spreadsheets/d/1T1PQvRODqOBZk8BRht_U031fIS1beLA0Ub2CEytj2q0/edit?usp=sharing"",""ฉะเชิงเทรา!J431"")+IMPORTRANGE(""https://docs.google.com/spreadsheets/d/11tr1B-Bhyr79v2bkwVh5h_fR-PStkgjlZtkrZpYurG0/"&amp;"edit?usp=sharing"",""ชลบุรี!J431"")+IMPORTRANGE(""https://docs.google.com/spreadsheets/d/1hh-FVnSX0vozXhGluamEcS54Dw9_zqW0N7qJUWgJ0Sw/edit?usp=sharing"",""ชัยนาท!J431"")+IMPORTRANGE(""https://docs.google.com/spreadsheets/d/1jkqa6GXxSacMcY1eN8AHjMNJ_7dDXMJ"&amp;"VRLDlaFSOdPM/edit?usp=sharing"",""ตราด!J431"")+IMPORTRANGE(""https://docs.google.com/spreadsheets/d/18hSgUJ3VwClqi_qtULmmW3cLr0oe3OKaSYoKzdpTsYQ/edit?usp=sharing"",""นครนายก!J431"")+IMPORTRANGE(""https://docs.google.com/spreadsheets/d/1YTZo6WM2dQ6Ix6FSdnL"&amp;"5P7uVnVKu40sxZu975tgG10E/edit?usp=sharing"",""นครปฐม!J431"")+IMPORTRANGE(""https://docs.google.com/spreadsheets/d/1OYoGg4WDg5RIzwGeB10padOxJF9E_Vljuvvct_M7RDo/edit?usp=sharing"",""ปทุมธานี!J431"")+IMPORTRANGE(""https://docs.google.com/spreadsheets/d/1GbCI"&amp;"E4D4wk9FUozzqk7SxfDMxDVBwVmI5zcaVUSzKAc/edit?usp=sharing"",""ประจวบคีรีขันธ์!J431"")+IMPORTRANGE(""https://docs.google.com/spreadsheets/d/1vVf6wykvW_lAyu7Yo9L4hUTqHqIeP_qcVuxCtosJEbg/edit?usp=sharing"",""ปราจีนบุรี!J431"")+IMPORTRANGE(""https://docs.googl"&amp;"e.com/spreadsheets/d/1BIDqLLg5jk3v59G8NlR8rk5xfQDKne0sAvZHSj7TI6I/edit?usp=sharing"",""พระนครศรีอยุธยา!J431"")+IMPORTRANGE(""https://docs.google.com/spreadsheets/d/1YXvxf8Yu6_rV4hTBrwMqAcAnv6DfhUxh5emyM3CJp_w/edit?usp=sharing"",""เพชรบุรี!J431"")+IMPORTRA"&amp;"NGE(""https://docs.google.com/spreadsheets/d/19KBlQQs7uwvsao6t2n-KvW3Ax8J8uRRfZPq1zPbXgKc/edit?usp=sharing"",""ระยอง!J431"")+IMPORTRANGE(""https://docs.google.com/spreadsheets/d/1jQ6P4QcrGM89YfqcC_PxOHGCMq5ezhucwJd8ci-NHng/edit?usp=sharing"",""ราชบุรี!J43"&amp;"1"")+IMPORTRANGE(""https://docs.google.com/spreadsheets/d/1lufeA2cfFqM-elVq2hznhDzC6Pr7wkJ9ZG_sYNGCMCU/edit?usp=sharing"",""ลพบุรี!J431"")+IMPORTRANGE(""https://docs.google.com/spreadsheets/d/10oOiF7loTyfsTkbd4MpaIm0HQ9SwB7IYHdIUvt-U1Uc/edit?usp=sharing"""&amp;",""สระแก้ว!J431"")+IMPORTRANGE(""https://docs.google.com/spreadsheets/d/1xmPlrr1QbdSIKvl1dWUl9K4PjAfSL9oeMr_37QVzcxc/edit?usp=sharing"",""สระบุรี!J431"")+IMPORTRANGE(""https://docs.google.com/spreadsheets/d/1j51vR6CYVGhABJpv6tkstgok82RLpXieLzW1yOY5rHw/edi"&amp;"t?usp=sharing"",""สิงห์บุรี!J431"")+IMPORTRANGE(""https://docs.google.com/spreadsheets/d/1H1EalTWKUSzO4Z1-1CwzoDUaVffgrThEBe2sl74kKG0/edit?usp=sharing"",""สุพรรณบุรี!J431"")+IMPORTRANGE(""https://docs.google.com/spreadsheets/d/1BmIruG_sIrJLYao_Pdr7zVArWsf"&amp;"oBt2692TMi6x_854/edit?usp=sharing"",""อ่างทอง!J431"")"),0)</f>
        <v>0</v>
      </c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IFERROR(__xludf.DUMMYFUNCTION("IMPORTRANGE(""https://docs.google.com/spreadsheets/d/1eHaY18a8A9IcSdp1K8H6x8fbOy06t2VsZHhMHf-1x7Y/edit?usp=sharing"",""แผน!HJ55"")"),0)</f>
        <v>0</v>
      </c>
      <c r="J432" s="603">
        <f t="shared" ref="J432:J433" ca="1" si="322">J434+J436+J438</f>
        <v>0</v>
      </c>
      <c r="K432" s="266">
        <f t="shared" ref="K432:K433" ca="1" si="323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IFERROR(__xludf.DUMMYFUNCTION("IMPORTRANGE(""https://docs.google.com/spreadsheets/d/1eHaY18a8A9IcSdp1K8H6x8fbOy06t2VsZHhMHf-1x7Y/edit?usp=sharing"",""แผน!HK55"")"),0)</f>
        <v>0</v>
      </c>
      <c r="J433" s="603">
        <f t="shared" ca="1" si="322"/>
        <v>0</v>
      </c>
      <c r="K433" s="266">
        <f t="shared" ca="1" si="323"/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604">
        <f ca="1">IFERROR(__xludf.DUMMYFUNCTION("IMPORTRANGE(""https://docs.google.com/spreadsheets/d/13wPX838HrBrQMCywv1BsuMkt4PEKTChp52zj44s2izQ/edit?usp=sharing"",""กาญจนบุรี!J434"")+IMPORTRANGE(""https://docs.google.com/spreadsheets/d/1ddFKvqj1W1NEiWytbGlB1zMx_ykJDVtmfEQ-6-lIUBA/edit?usp=sharing"","&amp;"""จันทบุรี!J434"")+IMPORTRANGE(""https://docs.google.com/spreadsheets/d/1T1PQvRODqOBZk8BRht_U031fIS1beLA0Ub2CEytj2q0/edit?usp=sharing"",""ฉะเชิงเทรา!J434"")+IMPORTRANGE(""https://docs.google.com/spreadsheets/d/11tr1B-Bhyr79v2bkwVh5h_fR-PStkgjlZtkrZpYurG0/"&amp;"edit?usp=sharing"",""ชลบุรี!J434"")+IMPORTRANGE(""https://docs.google.com/spreadsheets/d/1hh-FVnSX0vozXhGluamEcS54Dw9_zqW0N7qJUWgJ0Sw/edit?usp=sharing"",""ชัยนาท!J434"")+IMPORTRANGE(""https://docs.google.com/spreadsheets/d/1jkqa6GXxSacMcY1eN8AHjMNJ_7dDXMJ"&amp;"VRLDlaFSOdPM/edit?usp=sharing"",""ตราด!J434"")+IMPORTRANGE(""https://docs.google.com/spreadsheets/d/18hSgUJ3VwClqi_qtULmmW3cLr0oe3OKaSYoKzdpTsYQ/edit?usp=sharing"",""นครนายก!J434"")+IMPORTRANGE(""https://docs.google.com/spreadsheets/d/1YTZo6WM2dQ6Ix6FSdnL"&amp;"5P7uVnVKu40sxZu975tgG10E/edit?usp=sharing"",""นครปฐม!J434"")+IMPORTRANGE(""https://docs.google.com/spreadsheets/d/1OYoGg4WDg5RIzwGeB10padOxJF9E_Vljuvvct_M7RDo/edit?usp=sharing"",""ปทุมธานี!J434"")+IMPORTRANGE(""https://docs.google.com/spreadsheets/d/1GbCI"&amp;"E4D4wk9FUozzqk7SxfDMxDVBwVmI5zcaVUSzKAc/edit?usp=sharing"",""ประจวบคีรีขันธ์!J434"")+IMPORTRANGE(""https://docs.google.com/spreadsheets/d/1vVf6wykvW_lAyu7Yo9L4hUTqHqIeP_qcVuxCtosJEbg/edit?usp=sharing"",""ปราจีนบุรี!J434"")+IMPORTRANGE(""https://docs.googl"&amp;"e.com/spreadsheets/d/1BIDqLLg5jk3v59G8NlR8rk5xfQDKne0sAvZHSj7TI6I/edit?usp=sharing"",""พระนครศรีอยุธยา!J434"")+IMPORTRANGE(""https://docs.google.com/spreadsheets/d/1YXvxf8Yu6_rV4hTBrwMqAcAnv6DfhUxh5emyM3CJp_w/edit?usp=sharing"",""เพชรบุรี!J434"")+IMPORTRA"&amp;"NGE(""https://docs.google.com/spreadsheets/d/19KBlQQs7uwvsao6t2n-KvW3Ax8J8uRRfZPq1zPbXgKc/edit?usp=sharing"",""ระยอง!J434"")+IMPORTRANGE(""https://docs.google.com/spreadsheets/d/1jQ6P4QcrGM89YfqcC_PxOHGCMq5ezhucwJd8ci-NHng/edit?usp=sharing"",""ราชบุรี!J43"&amp;"4"")+IMPORTRANGE(""https://docs.google.com/spreadsheets/d/1lufeA2cfFqM-elVq2hznhDzC6Pr7wkJ9ZG_sYNGCMCU/edit?usp=sharing"",""ลพบุรี!J434"")+IMPORTRANGE(""https://docs.google.com/spreadsheets/d/10oOiF7loTyfsTkbd4MpaIm0HQ9SwB7IYHdIUvt-U1Uc/edit?usp=sharing"""&amp;",""สระแก้ว!J434"")+IMPORTRANGE(""https://docs.google.com/spreadsheets/d/1xmPlrr1QbdSIKvl1dWUl9K4PjAfSL9oeMr_37QVzcxc/edit?usp=sharing"",""สระบุรี!J434"")+IMPORTRANGE(""https://docs.google.com/spreadsheets/d/1j51vR6CYVGhABJpv6tkstgok82RLpXieLzW1yOY5rHw/edi"&amp;"t?usp=sharing"",""สิงห์บุรี!J434"")+IMPORTRANGE(""https://docs.google.com/spreadsheets/d/1H1EalTWKUSzO4Z1-1CwzoDUaVffgrThEBe2sl74kKG0/edit?usp=sharing"",""สุพรรณบุรี!J434"")+IMPORTRANGE(""https://docs.google.com/spreadsheets/d/1BmIruG_sIrJLYao_Pdr7zVArWsf"&amp;"oBt2692TMi6x_854/edit?usp=sharing"",""อ่างทอง!J434"")"),0)</f>
        <v>0</v>
      </c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604">
        <f ca="1">IFERROR(__xludf.DUMMYFUNCTION("IMPORTRANGE(""https://docs.google.com/spreadsheets/d/13wPX838HrBrQMCywv1BsuMkt4PEKTChp52zj44s2izQ/edit?usp=sharing"",""กาญจนบุรี!J435"")+IMPORTRANGE(""https://docs.google.com/spreadsheets/d/1ddFKvqj1W1NEiWytbGlB1zMx_ykJDVtmfEQ-6-lIUBA/edit?usp=sharing"","&amp;"""จันทบุรี!J435"")+IMPORTRANGE(""https://docs.google.com/spreadsheets/d/1T1PQvRODqOBZk8BRht_U031fIS1beLA0Ub2CEytj2q0/edit?usp=sharing"",""ฉะเชิงเทรา!J435"")+IMPORTRANGE(""https://docs.google.com/spreadsheets/d/11tr1B-Bhyr79v2bkwVh5h_fR-PStkgjlZtkrZpYurG0/"&amp;"edit?usp=sharing"",""ชลบุรี!J435"")+IMPORTRANGE(""https://docs.google.com/spreadsheets/d/1hh-FVnSX0vozXhGluamEcS54Dw9_zqW0N7qJUWgJ0Sw/edit?usp=sharing"",""ชัยนาท!J435"")+IMPORTRANGE(""https://docs.google.com/spreadsheets/d/1jkqa6GXxSacMcY1eN8AHjMNJ_7dDXMJ"&amp;"VRLDlaFSOdPM/edit?usp=sharing"",""ตราด!J435"")+IMPORTRANGE(""https://docs.google.com/spreadsheets/d/18hSgUJ3VwClqi_qtULmmW3cLr0oe3OKaSYoKzdpTsYQ/edit?usp=sharing"",""นครนายก!J435"")+IMPORTRANGE(""https://docs.google.com/spreadsheets/d/1YTZo6WM2dQ6Ix6FSdnL"&amp;"5P7uVnVKu40sxZu975tgG10E/edit?usp=sharing"",""นครปฐม!J435"")+IMPORTRANGE(""https://docs.google.com/spreadsheets/d/1OYoGg4WDg5RIzwGeB10padOxJF9E_Vljuvvct_M7RDo/edit?usp=sharing"",""ปทุมธานี!J435"")+IMPORTRANGE(""https://docs.google.com/spreadsheets/d/1GbCI"&amp;"E4D4wk9FUozzqk7SxfDMxDVBwVmI5zcaVUSzKAc/edit?usp=sharing"",""ประจวบคีรีขันธ์!J435"")+IMPORTRANGE(""https://docs.google.com/spreadsheets/d/1vVf6wykvW_lAyu7Yo9L4hUTqHqIeP_qcVuxCtosJEbg/edit?usp=sharing"",""ปราจีนบุรี!J435"")+IMPORTRANGE(""https://docs.googl"&amp;"e.com/spreadsheets/d/1BIDqLLg5jk3v59G8NlR8rk5xfQDKne0sAvZHSj7TI6I/edit?usp=sharing"",""พระนครศรีอยุธยา!J435"")+IMPORTRANGE(""https://docs.google.com/spreadsheets/d/1YXvxf8Yu6_rV4hTBrwMqAcAnv6DfhUxh5emyM3CJp_w/edit?usp=sharing"",""เพชรบุรี!J435"")+IMPORTRA"&amp;"NGE(""https://docs.google.com/spreadsheets/d/19KBlQQs7uwvsao6t2n-KvW3Ax8J8uRRfZPq1zPbXgKc/edit?usp=sharing"",""ระยอง!J435"")+IMPORTRANGE(""https://docs.google.com/spreadsheets/d/1jQ6P4QcrGM89YfqcC_PxOHGCMq5ezhucwJd8ci-NHng/edit?usp=sharing"",""ราชบุรี!J43"&amp;"5"")+IMPORTRANGE(""https://docs.google.com/spreadsheets/d/1lufeA2cfFqM-elVq2hznhDzC6Pr7wkJ9ZG_sYNGCMCU/edit?usp=sharing"",""ลพบุรี!J435"")+IMPORTRANGE(""https://docs.google.com/spreadsheets/d/10oOiF7loTyfsTkbd4MpaIm0HQ9SwB7IYHdIUvt-U1Uc/edit?usp=sharing"""&amp;",""สระแก้ว!J435"")+IMPORTRANGE(""https://docs.google.com/spreadsheets/d/1xmPlrr1QbdSIKvl1dWUl9K4PjAfSL9oeMr_37QVzcxc/edit?usp=sharing"",""สระบุรี!J435"")+IMPORTRANGE(""https://docs.google.com/spreadsheets/d/1j51vR6CYVGhABJpv6tkstgok82RLpXieLzW1yOY5rHw/edi"&amp;"t?usp=sharing"",""สิงห์บุรี!J435"")+IMPORTRANGE(""https://docs.google.com/spreadsheets/d/1H1EalTWKUSzO4Z1-1CwzoDUaVffgrThEBe2sl74kKG0/edit?usp=sharing"",""สุพรรณบุรี!J435"")+IMPORTRANGE(""https://docs.google.com/spreadsheets/d/1BmIruG_sIrJLYao_Pdr7zVArWsf"&amp;"oBt2692TMi6x_854/edit?usp=sharing"",""อ่างทอง!J435"")"),0)</f>
        <v>0</v>
      </c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604">
        <f ca="1">IFERROR(__xludf.DUMMYFUNCTION("IMPORTRANGE(""https://docs.google.com/spreadsheets/d/13wPX838HrBrQMCywv1BsuMkt4PEKTChp52zj44s2izQ/edit?usp=sharing"",""กาญจนบุรี!J436"")+IMPORTRANGE(""https://docs.google.com/spreadsheets/d/1ddFKvqj1W1NEiWytbGlB1zMx_ykJDVtmfEQ-6-lIUBA/edit?usp=sharing"","&amp;"""จันทบุรี!J436"")+IMPORTRANGE(""https://docs.google.com/spreadsheets/d/1T1PQvRODqOBZk8BRht_U031fIS1beLA0Ub2CEytj2q0/edit?usp=sharing"",""ฉะเชิงเทรา!J436"")+IMPORTRANGE(""https://docs.google.com/spreadsheets/d/11tr1B-Bhyr79v2bkwVh5h_fR-PStkgjlZtkrZpYurG0/"&amp;"edit?usp=sharing"",""ชลบุรี!J436"")+IMPORTRANGE(""https://docs.google.com/spreadsheets/d/1hh-FVnSX0vozXhGluamEcS54Dw9_zqW0N7qJUWgJ0Sw/edit?usp=sharing"",""ชัยนาท!J436"")+IMPORTRANGE(""https://docs.google.com/spreadsheets/d/1jkqa6GXxSacMcY1eN8AHjMNJ_7dDXMJ"&amp;"VRLDlaFSOdPM/edit?usp=sharing"",""ตราด!J436"")+IMPORTRANGE(""https://docs.google.com/spreadsheets/d/18hSgUJ3VwClqi_qtULmmW3cLr0oe3OKaSYoKzdpTsYQ/edit?usp=sharing"",""นครนายก!J436"")+IMPORTRANGE(""https://docs.google.com/spreadsheets/d/1YTZo6WM2dQ6Ix6FSdnL"&amp;"5P7uVnVKu40sxZu975tgG10E/edit?usp=sharing"",""นครปฐม!J436"")+IMPORTRANGE(""https://docs.google.com/spreadsheets/d/1OYoGg4WDg5RIzwGeB10padOxJF9E_Vljuvvct_M7RDo/edit?usp=sharing"",""ปทุมธานี!J436"")+IMPORTRANGE(""https://docs.google.com/spreadsheets/d/1GbCI"&amp;"E4D4wk9FUozzqk7SxfDMxDVBwVmI5zcaVUSzKAc/edit?usp=sharing"",""ประจวบคีรีขันธ์!J436"")+IMPORTRANGE(""https://docs.google.com/spreadsheets/d/1vVf6wykvW_lAyu7Yo9L4hUTqHqIeP_qcVuxCtosJEbg/edit?usp=sharing"",""ปราจีนบุรี!J436"")+IMPORTRANGE(""https://docs.googl"&amp;"e.com/spreadsheets/d/1BIDqLLg5jk3v59G8NlR8rk5xfQDKne0sAvZHSj7TI6I/edit?usp=sharing"",""พระนครศรีอยุธยา!J436"")+IMPORTRANGE(""https://docs.google.com/spreadsheets/d/1YXvxf8Yu6_rV4hTBrwMqAcAnv6DfhUxh5emyM3CJp_w/edit?usp=sharing"",""เพชรบุรี!J436"")+IMPORTRA"&amp;"NGE(""https://docs.google.com/spreadsheets/d/19KBlQQs7uwvsao6t2n-KvW3Ax8J8uRRfZPq1zPbXgKc/edit?usp=sharing"",""ระยอง!J436"")+IMPORTRANGE(""https://docs.google.com/spreadsheets/d/1jQ6P4QcrGM89YfqcC_PxOHGCMq5ezhucwJd8ci-NHng/edit?usp=sharing"",""ราชบุรี!J43"&amp;"6"")+IMPORTRANGE(""https://docs.google.com/spreadsheets/d/1lufeA2cfFqM-elVq2hznhDzC6Pr7wkJ9ZG_sYNGCMCU/edit?usp=sharing"",""ลพบุรี!J436"")+IMPORTRANGE(""https://docs.google.com/spreadsheets/d/10oOiF7loTyfsTkbd4MpaIm0HQ9SwB7IYHdIUvt-U1Uc/edit?usp=sharing"""&amp;",""สระแก้ว!J436"")+IMPORTRANGE(""https://docs.google.com/spreadsheets/d/1xmPlrr1QbdSIKvl1dWUl9K4PjAfSL9oeMr_37QVzcxc/edit?usp=sharing"",""สระบุรี!J436"")+IMPORTRANGE(""https://docs.google.com/spreadsheets/d/1j51vR6CYVGhABJpv6tkstgok82RLpXieLzW1yOY5rHw/edi"&amp;"t?usp=sharing"",""สิงห์บุรี!J436"")+IMPORTRANGE(""https://docs.google.com/spreadsheets/d/1H1EalTWKUSzO4Z1-1CwzoDUaVffgrThEBe2sl74kKG0/edit?usp=sharing"",""สุพรรณบุรี!J436"")+IMPORTRANGE(""https://docs.google.com/spreadsheets/d/1BmIruG_sIrJLYao_Pdr7zVArWsf"&amp;"oBt2692TMi6x_854/edit?usp=sharing"",""อ่างทอง!J436"")"),0)</f>
        <v>0</v>
      </c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604">
        <f ca="1">IFERROR(__xludf.DUMMYFUNCTION("IMPORTRANGE(""https://docs.google.com/spreadsheets/d/13wPX838HrBrQMCywv1BsuMkt4PEKTChp52zj44s2izQ/edit?usp=sharing"",""กาญจนบุรี!J437"")+IMPORTRANGE(""https://docs.google.com/spreadsheets/d/1ddFKvqj1W1NEiWytbGlB1zMx_ykJDVtmfEQ-6-lIUBA/edit?usp=sharing"","&amp;"""จันทบุรี!J437"")+IMPORTRANGE(""https://docs.google.com/spreadsheets/d/1T1PQvRODqOBZk8BRht_U031fIS1beLA0Ub2CEytj2q0/edit?usp=sharing"",""ฉะเชิงเทรา!J437"")+IMPORTRANGE(""https://docs.google.com/spreadsheets/d/11tr1B-Bhyr79v2bkwVh5h_fR-PStkgjlZtkrZpYurG0/"&amp;"edit?usp=sharing"",""ชลบุรี!J437"")+IMPORTRANGE(""https://docs.google.com/spreadsheets/d/1hh-FVnSX0vozXhGluamEcS54Dw9_zqW0N7qJUWgJ0Sw/edit?usp=sharing"",""ชัยนาท!J437"")+IMPORTRANGE(""https://docs.google.com/spreadsheets/d/1jkqa6GXxSacMcY1eN8AHjMNJ_7dDXMJ"&amp;"VRLDlaFSOdPM/edit?usp=sharing"",""ตราด!J437"")+IMPORTRANGE(""https://docs.google.com/spreadsheets/d/18hSgUJ3VwClqi_qtULmmW3cLr0oe3OKaSYoKzdpTsYQ/edit?usp=sharing"",""นครนายก!J437"")+IMPORTRANGE(""https://docs.google.com/spreadsheets/d/1YTZo6WM2dQ6Ix6FSdnL"&amp;"5P7uVnVKu40sxZu975tgG10E/edit?usp=sharing"",""นครปฐม!J437"")+IMPORTRANGE(""https://docs.google.com/spreadsheets/d/1OYoGg4WDg5RIzwGeB10padOxJF9E_Vljuvvct_M7RDo/edit?usp=sharing"",""ปทุมธานี!J437"")+IMPORTRANGE(""https://docs.google.com/spreadsheets/d/1GbCI"&amp;"E4D4wk9FUozzqk7SxfDMxDVBwVmI5zcaVUSzKAc/edit?usp=sharing"",""ประจวบคีรีขันธ์!J437"")+IMPORTRANGE(""https://docs.google.com/spreadsheets/d/1vVf6wykvW_lAyu7Yo9L4hUTqHqIeP_qcVuxCtosJEbg/edit?usp=sharing"",""ปราจีนบุรี!J437"")+IMPORTRANGE(""https://docs.googl"&amp;"e.com/spreadsheets/d/1BIDqLLg5jk3v59G8NlR8rk5xfQDKne0sAvZHSj7TI6I/edit?usp=sharing"",""พระนครศรีอยุธยา!J437"")+IMPORTRANGE(""https://docs.google.com/spreadsheets/d/1YXvxf8Yu6_rV4hTBrwMqAcAnv6DfhUxh5emyM3CJp_w/edit?usp=sharing"",""เพชรบุรี!J437"")+IMPORTRA"&amp;"NGE(""https://docs.google.com/spreadsheets/d/19KBlQQs7uwvsao6t2n-KvW3Ax8J8uRRfZPq1zPbXgKc/edit?usp=sharing"",""ระยอง!J437"")+IMPORTRANGE(""https://docs.google.com/spreadsheets/d/1jQ6P4QcrGM89YfqcC_PxOHGCMq5ezhucwJd8ci-NHng/edit?usp=sharing"",""ราชบุรี!J43"&amp;"7"")+IMPORTRANGE(""https://docs.google.com/spreadsheets/d/1lufeA2cfFqM-elVq2hznhDzC6Pr7wkJ9ZG_sYNGCMCU/edit?usp=sharing"",""ลพบุรี!J437"")+IMPORTRANGE(""https://docs.google.com/spreadsheets/d/10oOiF7loTyfsTkbd4MpaIm0HQ9SwB7IYHdIUvt-U1Uc/edit?usp=sharing"""&amp;",""สระแก้ว!J437"")+IMPORTRANGE(""https://docs.google.com/spreadsheets/d/1xmPlrr1QbdSIKvl1dWUl9K4PjAfSL9oeMr_37QVzcxc/edit?usp=sharing"",""สระบุรี!J437"")+IMPORTRANGE(""https://docs.google.com/spreadsheets/d/1j51vR6CYVGhABJpv6tkstgok82RLpXieLzW1yOY5rHw/edi"&amp;"t?usp=sharing"",""สิงห์บุรี!J437"")+IMPORTRANGE(""https://docs.google.com/spreadsheets/d/1H1EalTWKUSzO4Z1-1CwzoDUaVffgrThEBe2sl74kKG0/edit?usp=sharing"",""สุพรรณบุรี!J437"")+IMPORTRANGE(""https://docs.google.com/spreadsheets/d/1BmIruG_sIrJLYao_Pdr7zVArWsf"&amp;"oBt2692TMi6x_854/edit?usp=sharing"",""อ่างทอง!J437"")"),0)</f>
        <v>0</v>
      </c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604">
        <f ca="1">IFERROR(__xludf.DUMMYFUNCTION("IMPORTRANGE(""https://docs.google.com/spreadsheets/d/13wPX838HrBrQMCywv1BsuMkt4PEKTChp52zj44s2izQ/edit?usp=sharing"",""กาญจนบุรี!J438"")+IMPORTRANGE(""https://docs.google.com/spreadsheets/d/1ddFKvqj1W1NEiWytbGlB1zMx_ykJDVtmfEQ-6-lIUBA/edit?usp=sharing"","&amp;"""จันทบุรี!J438"")+IMPORTRANGE(""https://docs.google.com/spreadsheets/d/1T1PQvRODqOBZk8BRht_U031fIS1beLA0Ub2CEytj2q0/edit?usp=sharing"",""ฉะเชิงเทรา!J438"")+IMPORTRANGE(""https://docs.google.com/spreadsheets/d/11tr1B-Bhyr79v2bkwVh5h_fR-PStkgjlZtkrZpYurG0/"&amp;"edit?usp=sharing"",""ชลบุรี!J438"")+IMPORTRANGE(""https://docs.google.com/spreadsheets/d/1hh-FVnSX0vozXhGluamEcS54Dw9_zqW0N7qJUWgJ0Sw/edit?usp=sharing"",""ชัยนาท!J438"")+IMPORTRANGE(""https://docs.google.com/spreadsheets/d/1jkqa6GXxSacMcY1eN8AHjMNJ_7dDXMJ"&amp;"VRLDlaFSOdPM/edit?usp=sharing"",""ตราด!J438"")+IMPORTRANGE(""https://docs.google.com/spreadsheets/d/18hSgUJ3VwClqi_qtULmmW3cLr0oe3OKaSYoKzdpTsYQ/edit?usp=sharing"",""นครนายก!J438"")+IMPORTRANGE(""https://docs.google.com/spreadsheets/d/1YTZo6WM2dQ6Ix6FSdnL"&amp;"5P7uVnVKu40sxZu975tgG10E/edit?usp=sharing"",""นครปฐม!J438"")+IMPORTRANGE(""https://docs.google.com/spreadsheets/d/1OYoGg4WDg5RIzwGeB10padOxJF9E_Vljuvvct_M7RDo/edit?usp=sharing"",""ปทุมธานี!J438"")+IMPORTRANGE(""https://docs.google.com/spreadsheets/d/1GbCI"&amp;"E4D4wk9FUozzqk7SxfDMxDVBwVmI5zcaVUSzKAc/edit?usp=sharing"",""ประจวบคีรีขันธ์!J438"")+IMPORTRANGE(""https://docs.google.com/spreadsheets/d/1vVf6wykvW_lAyu7Yo9L4hUTqHqIeP_qcVuxCtosJEbg/edit?usp=sharing"",""ปราจีนบุรี!J438"")+IMPORTRANGE(""https://docs.googl"&amp;"e.com/spreadsheets/d/1BIDqLLg5jk3v59G8NlR8rk5xfQDKne0sAvZHSj7TI6I/edit?usp=sharing"",""พระนครศรีอยุธยา!J438"")+IMPORTRANGE(""https://docs.google.com/spreadsheets/d/1YXvxf8Yu6_rV4hTBrwMqAcAnv6DfhUxh5emyM3CJp_w/edit?usp=sharing"",""เพชรบุรี!J438"")+IMPORTRA"&amp;"NGE(""https://docs.google.com/spreadsheets/d/19KBlQQs7uwvsao6t2n-KvW3Ax8J8uRRfZPq1zPbXgKc/edit?usp=sharing"",""ระยอง!J438"")+IMPORTRANGE(""https://docs.google.com/spreadsheets/d/1jQ6P4QcrGM89YfqcC_PxOHGCMq5ezhucwJd8ci-NHng/edit?usp=sharing"",""ราชบุรี!J43"&amp;"8"")+IMPORTRANGE(""https://docs.google.com/spreadsheets/d/1lufeA2cfFqM-elVq2hznhDzC6Pr7wkJ9ZG_sYNGCMCU/edit?usp=sharing"",""ลพบุรี!J438"")+IMPORTRANGE(""https://docs.google.com/spreadsheets/d/10oOiF7loTyfsTkbd4MpaIm0HQ9SwB7IYHdIUvt-U1Uc/edit?usp=sharing"""&amp;",""สระแก้ว!J438"")+IMPORTRANGE(""https://docs.google.com/spreadsheets/d/1xmPlrr1QbdSIKvl1dWUl9K4PjAfSL9oeMr_37QVzcxc/edit?usp=sharing"",""สระบุรี!J438"")+IMPORTRANGE(""https://docs.google.com/spreadsheets/d/1j51vR6CYVGhABJpv6tkstgok82RLpXieLzW1yOY5rHw/edi"&amp;"t?usp=sharing"",""สิงห์บุรี!J438"")+IMPORTRANGE(""https://docs.google.com/spreadsheets/d/1H1EalTWKUSzO4Z1-1CwzoDUaVffgrThEBe2sl74kKG0/edit?usp=sharing"",""สุพรรณบุรี!J438"")+IMPORTRANGE(""https://docs.google.com/spreadsheets/d/1BmIruG_sIrJLYao_Pdr7zVArWsf"&amp;"oBt2692TMi6x_854/edit?usp=sharing"",""อ่างทอง!J438"")"),0)</f>
        <v>0</v>
      </c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604">
        <f ca="1">IFERROR(__xludf.DUMMYFUNCTION("IMPORTRANGE(""https://docs.google.com/spreadsheets/d/13wPX838HrBrQMCywv1BsuMkt4PEKTChp52zj44s2izQ/edit?usp=sharing"",""กาญจนบุรี!J439"")+IMPORTRANGE(""https://docs.google.com/spreadsheets/d/1ddFKvqj1W1NEiWytbGlB1zMx_ykJDVtmfEQ-6-lIUBA/edit?usp=sharing"","&amp;"""จันทบุรี!J439"")+IMPORTRANGE(""https://docs.google.com/spreadsheets/d/1T1PQvRODqOBZk8BRht_U031fIS1beLA0Ub2CEytj2q0/edit?usp=sharing"",""ฉะเชิงเทรา!J439"")+IMPORTRANGE(""https://docs.google.com/spreadsheets/d/11tr1B-Bhyr79v2bkwVh5h_fR-PStkgjlZtkrZpYurG0/"&amp;"edit?usp=sharing"",""ชลบุรี!J439"")+IMPORTRANGE(""https://docs.google.com/spreadsheets/d/1hh-FVnSX0vozXhGluamEcS54Dw9_zqW0N7qJUWgJ0Sw/edit?usp=sharing"",""ชัยนาท!J439"")+IMPORTRANGE(""https://docs.google.com/spreadsheets/d/1jkqa6GXxSacMcY1eN8AHjMNJ_7dDXMJ"&amp;"VRLDlaFSOdPM/edit?usp=sharing"",""ตราด!J439"")+IMPORTRANGE(""https://docs.google.com/spreadsheets/d/18hSgUJ3VwClqi_qtULmmW3cLr0oe3OKaSYoKzdpTsYQ/edit?usp=sharing"",""นครนายก!J439"")+IMPORTRANGE(""https://docs.google.com/spreadsheets/d/1YTZo6WM2dQ6Ix6FSdnL"&amp;"5P7uVnVKu40sxZu975tgG10E/edit?usp=sharing"",""นครปฐม!J439"")+IMPORTRANGE(""https://docs.google.com/spreadsheets/d/1OYoGg4WDg5RIzwGeB10padOxJF9E_Vljuvvct_M7RDo/edit?usp=sharing"",""ปทุมธานี!J439"")+IMPORTRANGE(""https://docs.google.com/spreadsheets/d/1GbCI"&amp;"E4D4wk9FUozzqk7SxfDMxDVBwVmI5zcaVUSzKAc/edit?usp=sharing"",""ประจวบคีรีขันธ์!J439"")+IMPORTRANGE(""https://docs.google.com/spreadsheets/d/1vVf6wykvW_lAyu7Yo9L4hUTqHqIeP_qcVuxCtosJEbg/edit?usp=sharing"",""ปราจีนบุรี!J439"")+IMPORTRANGE(""https://docs.googl"&amp;"e.com/spreadsheets/d/1BIDqLLg5jk3v59G8NlR8rk5xfQDKne0sAvZHSj7TI6I/edit?usp=sharing"",""พระนครศรีอยุธยา!J439"")+IMPORTRANGE(""https://docs.google.com/spreadsheets/d/1YXvxf8Yu6_rV4hTBrwMqAcAnv6DfhUxh5emyM3CJp_w/edit?usp=sharing"",""เพชรบุรี!J439"")+IMPORTRA"&amp;"NGE(""https://docs.google.com/spreadsheets/d/19KBlQQs7uwvsao6t2n-KvW3Ax8J8uRRfZPq1zPbXgKc/edit?usp=sharing"",""ระยอง!J439"")+IMPORTRANGE(""https://docs.google.com/spreadsheets/d/1jQ6P4QcrGM89YfqcC_PxOHGCMq5ezhucwJd8ci-NHng/edit?usp=sharing"",""ราชบุรี!J43"&amp;"9"")+IMPORTRANGE(""https://docs.google.com/spreadsheets/d/1lufeA2cfFqM-elVq2hznhDzC6Pr7wkJ9ZG_sYNGCMCU/edit?usp=sharing"",""ลพบุรี!J439"")+IMPORTRANGE(""https://docs.google.com/spreadsheets/d/10oOiF7loTyfsTkbd4MpaIm0HQ9SwB7IYHdIUvt-U1Uc/edit?usp=sharing"""&amp;",""สระแก้ว!J439"")+IMPORTRANGE(""https://docs.google.com/spreadsheets/d/1xmPlrr1QbdSIKvl1dWUl9K4PjAfSL9oeMr_37QVzcxc/edit?usp=sharing"",""สระบุรี!J439"")+IMPORTRANGE(""https://docs.google.com/spreadsheets/d/1j51vR6CYVGhABJpv6tkstgok82RLpXieLzW1yOY5rHw/edi"&amp;"t?usp=sharing"",""สิงห์บุรี!J439"")+IMPORTRANGE(""https://docs.google.com/spreadsheets/d/1H1EalTWKUSzO4Z1-1CwzoDUaVffgrThEBe2sl74kKG0/edit?usp=sharing"",""สุพรรณบุรี!J439"")+IMPORTRANGE(""https://docs.google.com/spreadsheets/d/1BmIruG_sIrJLYao_Pdr7zVArWsf"&amp;"oBt2692TMi6x_854/edit?usp=sharing"",""อ่างทอง!J439"")"),0)</f>
        <v>0</v>
      </c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IFERROR(__xludf.DUMMYFUNCTION("IMPORTRANGE(""https://docs.google.com/spreadsheets/d/1eHaY18a8A9IcSdp1K8H6x8fbOy06t2VsZHhMHf-1x7Y/edit?usp=sharing"",""แผน!HJ55"")"),0)</f>
        <v>0</v>
      </c>
      <c r="J440" s="603">
        <f t="shared" ref="J440:J441" ca="1" si="324">J442+J444+J446+J452+J454</f>
        <v>0</v>
      </c>
      <c r="K440" s="266">
        <f t="shared" ref="K440:K441" ca="1" si="325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IFERROR(__xludf.DUMMYFUNCTION("IMPORTRANGE(""https://docs.google.com/spreadsheets/d/1eHaY18a8A9IcSdp1K8H6x8fbOy06t2VsZHhMHf-1x7Y/edit?usp=sharing"",""แผน!HK55"")"),0)</f>
        <v>0</v>
      </c>
      <c r="J441" s="603">
        <f t="shared" ca="1" si="324"/>
        <v>0</v>
      </c>
      <c r="K441" s="266">
        <f t="shared" ca="1" si="325"/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604">
        <f ca="1">IFERROR(__xludf.DUMMYFUNCTION("IMPORTRANGE(""https://docs.google.com/spreadsheets/d/13wPX838HrBrQMCywv1BsuMkt4PEKTChp52zj44s2izQ/edit?usp=sharing"",""กาญจนบุรี!J442"")+IMPORTRANGE(""https://docs.google.com/spreadsheets/d/1ddFKvqj1W1NEiWytbGlB1zMx_ykJDVtmfEQ-6-lIUBA/edit?usp=sharing"","&amp;"""จันทบุรี!J442"")+IMPORTRANGE(""https://docs.google.com/spreadsheets/d/1T1PQvRODqOBZk8BRht_U031fIS1beLA0Ub2CEytj2q0/edit?usp=sharing"",""ฉะเชิงเทรา!J442"")+IMPORTRANGE(""https://docs.google.com/spreadsheets/d/11tr1B-Bhyr79v2bkwVh5h_fR-PStkgjlZtkrZpYurG0/"&amp;"edit?usp=sharing"",""ชลบุรี!J442"")+IMPORTRANGE(""https://docs.google.com/spreadsheets/d/1hh-FVnSX0vozXhGluamEcS54Dw9_zqW0N7qJUWgJ0Sw/edit?usp=sharing"",""ชัยนาท!J442"")+IMPORTRANGE(""https://docs.google.com/spreadsheets/d/1jkqa6GXxSacMcY1eN8AHjMNJ_7dDXMJ"&amp;"VRLDlaFSOdPM/edit?usp=sharing"",""ตราด!J442"")+IMPORTRANGE(""https://docs.google.com/spreadsheets/d/18hSgUJ3VwClqi_qtULmmW3cLr0oe3OKaSYoKzdpTsYQ/edit?usp=sharing"",""นครนายก!J442"")+IMPORTRANGE(""https://docs.google.com/spreadsheets/d/1YTZo6WM2dQ6Ix6FSdnL"&amp;"5P7uVnVKu40sxZu975tgG10E/edit?usp=sharing"",""นครปฐม!J442"")+IMPORTRANGE(""https://docs.google.com/spreadsheets/d/1OYoGg4WDg5RIzwGeB10padOxJF9E_Vljuvvct_M7RDo/edit?usp=sharing"",""ปทุมธานี!J442"")+IMPORTRANGE(""https://docs.google.com/spreadsheets/d/1GbCI"&amp;"E4D4wk9FUozzqk7SxfDMxDVBwVmI5zcaVUSzKAc/edit?usp=sharing"",""ประจวบคีรีขันธ์!J442"")+IMPORTRANGE(""https://docs.google.com/spreadsheets/d/1vVf6wykvW_lAyu7Yo9L4hUTqHqIeP_qcVuxCtosJEbg/edit?usp=sharing"",""ปราจีนบุรี!J442"")+IMPORTRANGE(""https://docs.googl"&amp;"e.com/spreadsheets/d/1BIDqLLg5jk3v59G8NlR8rk5xfQDKne0sAvZHSj7TI6I/edit?usp=sharing"",""พระนครศรีอยุธยา!J442"")+IMPORTRANGE(""https://docs.google.com/spreadsheets/d/1YXvxf8Yu6_rV4hTBrwMqAcAnv6DfhUxh5emyM3CJp_w/edit?usp=sharing"",""เพชรบุรี!J442"")+IMPORTRA"&amp;"NGE(""https://docs.google.com/spreadsheets/d/19KBlQQs7uwvsao6t2n-KvW3Ax8J8uRRfZPq1zPbXgKc/edit?usp=sharing"",""ระยอง!J442"")+IMPORTRANGE(""https://docs.google.com/spreadsheets/d/1jQ6P4QcrGM89YfqcC_PxOHGCMq5ezhucwJd8ci-NHng/edit?usp=sharing"",""ราชบุรี!J44"&amp;"2"")+IMPORTRANGE(""https://docs.google.com/spreadsheets/d/1lufeA2cfFqM-elVq2hznhDzC6Pr7wkJ9ZG_sYNGCMCU/edit?usp=sharing"",""ลพบุรี!J442"")+IMPORTRANGE(""https://docs.google.com/spreadsheets/d/10oOiF7loTyfsTkbd4MpaIm0HQ9SwB7IYHdIUvt-U1Uc/edit?usp=sharing"""&amp;",""สระแก้ว!J442"")+IMPORTRANGE(""https://docs.google.com/spreadsheets/d/1xmPlrr1QbdSIKvl1dWUl9K4PjAfSL9oeMr_37QVzcxc/edit?usp=sharing"",""สระบุรี!J442"")+IMPORTRANGE(""https://docs.google.com/spreadsheets/d/1j51vR6CYVGhABJpv6tkstgok82RLpXieLzW1yOY5rHw/edi"&amp;"t?usp=sharing"",""สิงห์บุรี!J442"")+IMPORTRANGE(""https://docs.google.com/spreadsheets/d/1H1EalTWKUSzO4Z1-1CwzoDUaVffgrThEBe2sl74kKG0/edit?usp=sharing"",""สุพรรณบุรี!J442"")+IMPORTRANGE(""https://docs.google.com/spreadsheets/d/1BmIruG_sIrJLYao_Pdr7zVArWsf"&amp;"oBt2692TMi6x_854/edit?usp=sharing"",""อ่างทอง!J442"")"),0)</f>
        <v>0</v>
      </c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604">
        <f ca="1">IFERROR(__xludf.DUMMYFUNCTION("IMPORTRANGE(""https://docs.google.com/spreadsheets/d/13wPX838HrBrQMCywv1BsuMkt4PEKTChp52zj44s2izQ/edit?usp=sharing"",""กาญจนบุรี!J443"")+IMPORTRANGE(""https://docs.google.com/spreadsheets/d/1ddFKvqj1W1NEiWytbGlB1zMx_ykJDVtmfEQ-6-lIUBA/edit?usp=sharing"","&amp;"""จันทบุรี!J443"")+IMPORTRANGE(""https://docs.google.com/spreadsheets/d/1T1PQvRODqOBZk8BRht_U031fIS1beLA0Ub2CEytj2q0/edit?usp=sharing"",""ฉะเชิงเทรา!J443"")+IMPORTRANGE(""https://docs.google.com/spreadsheets/d/11tr1B-Bhyr79v2bkwVh5h_fR-PStkgjlZtkrZpYurG0/"&amp;"edit?usp=sharing"",""ชลบุรี!J443"")+IMPORTRANGE(""https://docs.google.com/spreadsheets/d/1hh-FVnSX0vozXhGluamEcS54Dw9_zqW0N7qJUWgJ0Sw/edit?usp=sharing"",""ชัยนาท!J443"")+IMPORTRANGE(""https://docs.google.com/spreadsheets/d/1jkqa6GXxSacMcY1eN8AHjMNJ_7dDXMJ"&amp;"VRLDlaFSOdPM/edit?usp=sharing"",""ตราด!J443"")+IMPORTRANGE(""https://docs.google.com/spreadsheets/d/18hSgUJ3VwClqi_qtULmmW3cLr0oe3OKaSYoKzdpTsYQ/edit?usp=sharing"",""นครนายก!J443"")+IMPORTRANGE(""https://docs.google.com/spreadsheets/d/1YTZo6WM2dQ6Ix6FSdnL"&amp;"5P7uVnVKu40sxZu975tgG10E/edit?usp=sharing"",""นครปฐม!J443"")+IMPORTRANGE(""https://docs.google.com/spreadsheets/d/1OYoGg4WDg5RIzwGeB10padOxJF9E_Vljuvvct_M7RDo/edit?usp=sharing"",""ปทุมธานี!J443"")+IMPORTRANGE(""https://docs.google.com/spreadsheets/d/1GbCI"&amp;"E4D4wk9FUozzqk7SxfDMxDVBwVmI5zcaVUSzKAc/edit?usp=sharing"",""ประจวบคีรีขันธ์!J443"")+IMPORTRANGE(""https://docs.google.com/spreadsheets/d/1vVf6wykvW_lAyu7Yo9L4hUTqHqIeP_qcVuxCtosJEbg/edit?usp=sharing"",""ปราจีนบุรี!J443"")+IMPORTRANGE(""https://docs.googl"&amp;"e.com/spreadsheets/d/1BIDqLLg5jk3v59G8NlR8rk5xfQDKne0sAvZHSj7TI6I/edit?usp=sharing"",""พระนครศรีอยุธยา!J443"")+IMPORTRANGE(""https://docs.google.com/spreadsheets/d/1YXvxf8Yu6_rV4hTBrwMqAcAnv6DfhUxh5emyM3CJp_w/edit?usp=sharing"",""เพชรบุรี!J443"")+IMPORTRA"&amp;"NGE(""https://docs.google.com/spreadsheets/d/19KBlQQs7uwvsao6t2n-KvW3Ax8J8uRRfZPq1zPbXgKc/edit?usp=sharing"",""ระยอง!J443"")+IMPORTRANGE(""https://docs.google.com/spreadsheets/d/1jQ6P4QcrGM89YfqcC_PxOHGCMq5ezhucwJd8ci-NHng/edit?usp=sharing"",""ราชบุรี!J44"&amp;"3"")+IMPORTRANGE(""https://docs.google.com/spreadsheets/d/1lufeA2cfFqM-elVq2hznhDzC6Pr7wkJ9ZG_sYNGCMCU/edit?usp=sharing"",""ลพบุรี!J443"")+IMPORTRANGE(""https://docs.google.com/spreadsheets/d/10oOiF7loTyfsTkbd4MpaIm0HQ9SwB7IYHdIUvt-U1Uc/edit?usp=sharing"""&amp;",""สระแก้ว!J443"")+IMPORTRANGE(""https://docs.google.com/spreadsheets/d/1xmPlrr1QbdSIKvl1dWUl9K4PjAfSL9oeMr_37QVzcxc/edit?usp=sharing"",""สระบุรี!J443"")+IMPORTRANGE(""https://docs.google.com/spreadsheets/d/1j51vR6CYVGhABJpv6tkstgok82RLpXieLzW1yOY5rHw/edi"&amp;"t?usp=sharing"",""สิงห์บุรี!J443"")+IMPORTRANGE(""https://docs.google.com/spreadsheets/d/1H1EalTWKUSzO4Z1-1CwzoDUaVffgrThEBe2sl74kKG0/edit?usp=sharing"",""สุพรรณบุรี!J443"")+IMPORTRANGE(""https://docs.google.com/spreadsheets/d/1BmIruG_sIrJLYao_Pdr7zVArWsf"&amp;"oBt2692TMi6x_854/edit?usp=sharing"",""อ่างทอง!J443"")"),0)</f>
        <v>0</v>
      </c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604">
        <f ca="1">IFERROR(__xludf.DUMMYFUNCTION("IMPORTRANGE(""https://docs.google.com/spreadsheets/d/13wPX838HrBrQMCywv1BsuMkt4PEKTChp52zj44s2izQ/edit?usp=sharing"",""กาญจนบุรี!J444"")+IMPORTRANGE(""https://docs.google.com/spreadsheets/d/1ddFKvqj1W1NEiWytbGlB1zMx_ykJDVtmfEQ-6-lIUBA/edit?usp=sharing"","&amp;"""จันทบุรี!J444"")+IMPORTRANGE(""https://docs.google.com/spreadsheets/d/1T1PQvRODqOBZk8BRht_U031fIS1beLA0Ub2CEytj2q0/edit?usp=sharing"",""ฉะเชิงเทรา!J444"")+IMPORTRANGE(""https://docs.google.com/spreadsheets/d/11tr1B-Bhyr79v2bkwVh5h_fR-PStkgjlZtkrZpYurG0/"&amp;"edit?usp=sharing"",""ชลบุรี!J444"")+IMPORTRANGE(""https://docs.google.com/spreadsheets/d/1hh-FVnSX0vozXhGluamEcS54Dw9_zqW0N7qJUWgJ0Sw/edit?usp=sharing"",""ชัยนาท!J444"")+IMPORTRANGE(""https://docs.google.com/spreadsheets/d/1jkqa6GXxSacMcY1eN8AHjMNJ_7dDXMJ"&amp;"VRLDlaFSOdPM/edit?usp=sharing"",""ตราด!J444"")+IMPORTRANGE(""https://docs.google.com/spreadsheets/d/18hSgUJ3VwClqi_qtULmmW3cLr0oe3OKaSYoKzdpTsYQ/edit?usp=sharing"",""นครนายก!J444"")+IMPORTRANGE(""https://docs.google.com/spreadsheets/d/1YTZo6WM2dQ6Ix6FSdnL"&amp;"5P7uVnVKu40sxZu975tgG10E/edit?usp=sharing"",""นครปฐม!J444"")+IMPORTRANGE(""https://docs.google.com/spreadsheets/d/1OYoGg4WDg5RIzwGeB10padOxJF9E_Vljuvvct_M7RDo/edit?usp=sharing"",""ปทุมธานี!J444"")+IMPORTRANGE(""https://docs.google.com/spreadsheets/d/1GbCI"&amp;"E4D4wk9FUozzqk7SxfDMxDVBwVmI5zcaVUSzKAc/edit?usp=sharing"",""ประจวบคีรีขันธ์!J444"")+IMPORTRANGE(""https://docs.google.com/spreadsheets/d/1vVf6wykvW_lAyu7Yo9L4hUTqHqIeP_qcVuxCtosJEbg/edit?usp=sharing"",""ปราจีนบุรี!J444"")+IMPORTRANGE(""https://docs.googl"&amp;"e.com/spreadsheets/d/1BIDqLLg5jk3v59G8NlR8rk5xfQDKne0sAvZHSj7TI6I/edit?usp=sharing"",""พระนครศรีอยุธยา!J444"")+IMPORTRANGE(""https://docs.google.com/spreadsheets/d/1YXvxf8Yu6_rV4hTBrwMqAcAnv6DfhUxh5emyM3CJp_w/edit?usp=sharing"",""เพชรบุรี!J444"")+IMPORTRA"&amp;"NGE(""https://docs.google.com/spreadsheets/d/19KBlQQs7uwvsao6t2n-KvW3Ax8J8uRRfZPq1zPbXgKc/edit?usp=sharing"",""ระยอง!J444"")+IMPORTRANGE(""https://docs.google.com/spreadsheets/d/1jQ6P4QcrGM89YfqcC_PxOHGCMq5ezhucwJd8ci-NHng/edit?usp=sharing"",""ราชบุรี!J44"&amp;"4"")+IMPORTRANGE(""https://docs.google.com/spreadsheets/d/1lufeA2cfFqM-elVq2hznhDzC6Pr7wkJ9ZG_sYNGCMCU/edit?usp=sharing"",""ลพบุรี!J444"")+IMPORTRANGE(""https://docs.google.com/spreadsheets/d/10oOiF7loTyfsTkbd4MpaIm0HQ9SwB7IYHdIUvt-U1Uc/edit?usp=sharing"""&amp;",""สระแก้ว!J444"")+IMPORTRANGE(""https://docs.google.com/spreadsheets/d/1xmPlrr1QbdSIKvl1dWUl9K4PjAfSL9oeMr_37QVzcxc/edit?usp=sharing"",""สระบุรี!J444"")+IMPORTRANGE(""https://docs.google.com/spreadsheets/d/1j51vR6CYVGhABJpv6tkstgok82RLpXieLzW1yOY5rHw/edi"&amp;"t?usp=sharing"",""สิงห์บุรี!J444"")+IMPORTRANGE(""https://docs.google.com/spreadsheets/d/1H1EalTWKUSzO4Z1-1CwzoDUaVffgrThEBe2sl74kKG0/edit?usp=sharing"",""สุพรรณบุรี!J444"")+IMPORTRANGE(""https://docs.google.com/spreadsheets/d/1BmIruG_sIrJLYao_Pdr7zVArWsf"&amp;"oBt2692TMi6x_854/edit?usp=sharing"",""อ่างทอง!J444"")"),0)</f>
        <v>0</v>
      </c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604">
        <f ca="1">IFERROR(__xludf.DUMMYFUNCTION("IMPORTRANGE(""https://docs.google.com/spreadsheets/d/13wPX838HrBrQMCywv1BsuMkt4PEKTChp52zj44s2izQ/edit?usp=sharing"",""กาญจนบุรี!J445"")+IMPORTRANGE(""https://docs.google.com/spreadsheets/d/1ddFKvqj1W1NEiWytbGlB1zMx_ykJDVtmfEQ-6-lIUBA/edit?usp=sharing"","&amp;"""จันทบุรี!J445"")+IMPORTRANGE(""https://docs.google.com/spreadsheets/d/1T1PQvRODqOBZk8BRht_U031fIS1beLA0Ub2CEytj2q0/edit?usp=sharing"",""ฉะเชิงเทรา!J445"")+IMPORTRANGE(""https://docs.google.com/spreadsheets/d/11tr1B-Bhyr79v2bkwVh5h_fR-PStkgjlZtkrZpYurG0/"&amp;"edit?usp=sharing"",""ชลบุรี!J445"")+IMPORTRANGE(""https://docs.google.com/spreadsheets/d/1hh-FVnSX0vozXhGluamEcS54Dw9_zqW0N7qJUWgJ0Sw/edit?usp=sharing"",""ชัยนาท!J445"")+IMPORTRANGE(""https://docs.google.com/spreadsheets/d/1jkqa6GXxSacMcY1eN8AHjMNJ_7dDXMJ"&amp;"VRLDlaFSOdPM/edit?usp=sharing"",""ตราด!J445"")+IMPORTRANGE(""https://docs.google.com/spreadsheets/d/18hSgUJ3VwClqi_qtULmmW3cLr0oe3OKaSYoKzdpTsYQ/edit?usp=sharing"",""นครนายก!J445"")+IMPORTRANGE(""https://docs.google.com/spreadsheets/d/1YTZo6WM2dQ6Ix6FSdnL"&amp;"5P7uVnVKu40sxZu975tgG10E/edit?usp=sharing"",""นครปฐม!J445"")+IMPORTRANGE(""https://docs.google.com/spreadsheets/d/1OYoGg4WDg5RIzwGeB10padOxJF9E_Vljuvvct_M7RDo/edit?usp=sharing"",""ปทุมธานี!J445"")+IMPORTRANGE(""https://docs.google.com/spreadsheets/d/1GbCI"&amp;"E4D4wk9FUozzqk7SxfDMxDVBwVmI5zcaVUSzKAc/edit?usp=sharing"",""ประจวบคีรีขันธ์!J445"")+IMPORTRANGE(""https://docs.google.com/spreadsheets/d/1vVf6wykvW_lAyu7Yo9L4hUTqHqIeP_qcVuxCtosJEbg/edit?usp=sharing"",""ปราจีนบุรี!J445"")+IMPORTRANGE(""https://docs.googl"&amp;"e.com/spreadsheets/d/1BIDqLLg5jk3v59G8NlR8rk5xfQDKne0sAvZHSj7TI6I/edit?usp=sharing"",""พระนครศรีอยุธยา!J445"")+IMPORTRANGE(""https://docs.google.com/spreadsheets/d/1YXvxf8Yu6_rV4hTBrwMqAcAnv6DfhUxh5emyM3CJp_w/edit?usp=sharing"",""เพชรบุรี!J445"")+IMPORTRA"&amp;"NGE(""https://docs.google.com/spreadsheets/d/19KBlQQs7uwvsao6t2n-KvW3Ax8J8uRRfZPq1zPbXgKc/edit?usp=sharing"",""ระยอง!J445"")+IMPORTRANGE(""https://docs.google.com/spreadsheets/d/1jQ6P4QcrGM89YfqcC_PxOHGCMq5ezhucwJd8ci-NHng/edit?usp=sharing"",""ราชบุรี!J44"&amp;"5"")+IMPORTRANGE(""https://docs.google.com/spreadsheets/d/1lufeA2cfFqM-elVq2hznhDzC6Pr7wkJ9ZG_sYNGCMCU/edit?usp=sharing"",""ลพบุรี!J445"")+IMPORTRANGE(""https://docs.google.com/spreadsheets/d/10oOiF7loTyfsTkbd4MpaIm0HQ9SwB7IYHdIUvt-U1Uc/edit?usp=sharing"""&amp;",""สระแก้ว!J445"")+IMPORTRANGE(""https://docs.google.com/spreadsheets/d/1xmPlrr1QbdSIKvl1dWUl9K4PjAfSL9oeMr_37QVzcxc/edit?usp=sharing"",""สระบุรี!J445"")+IMPORTRANGE(""https://docs.google.com/spreadsheets/d/1j51vR6CYVGhABJpv6tkstgok82RLpXieLzW1yOY5rHw/edi"&amp;"t?usp=sharing"",""สิงห์บุรี!J445"")+IMPORTRANGE(""https://docs.google.com/spreadsheets/d/1H1EalTWKUSzO4Z1-1CwzoDUaVffgrThEBe2sl74kKG0/edit?usp=sharing"",""สุพรรณบุรี!J445"")+IMPORTRANGE(""https://docs.google.com/spreadsheets/d/1BmIruG_sIrJLYao_Pdr7zVArWsf"&amp;"oBt2692TMi6x_854/edit?usp=sharing"",""อ่างทอง!J445"")"),0)</f>
        <v>0</v>
      </c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 t="shared" ref="J446:J447" ca="1" si="326"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 t="shared" ca="1" si="326"/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604">
        <f ca="1">IFERROR(__xludf.DUMMYFUNCTION("IMPORTRANGE(""https://docs.google.com/spreadsheets/d/13wPX838HrBrQMCywv1BsuMkt4PEKTChp52zj44s2izQ/edit?usp=sharing"",""กาญจนบุรี!J448"")+IMPORTRANGE(""https://docs.google.com/spreadsheets/d/1ddFKvqj1W1NEiWytbGlB1zMx_ykJDVtmfEQ-6-lIUBA/edit?usp=sharing"","&amp;"""จันทบุรี!J448"")+IMPORTRANGE(""https://docs.google.com/spreadsheets/d/1T1PQvRODqOBZk8BRht_U031fIS1beLA0Ub2CEytj2q0/edit?usp=sharing"",""ฉะเชิงเทรา!J448"")+IMPORTRANGE(""https://docs.google.com/spreadsheets/d/11tr1B-Bhyr79v2bkwVh5h_fR-PStkgjlZtkrZpYurG0/"&amp;"edit?usp=sharing"",""ชลบุรี!J448"")+IMPORTRANGE(""https://docs.google.com/spreadsheets/d/1hh-FVnSX0vozXhGluamEcS54Dw9_zqW0N7qJUWgJ0Sw/edit?usp=sharing"",""ชัยนาท!J448"")+IMPORTRANGE(""https://docs.google.com/spreadsheets/d/1jkqa6GXxSacMcY1eN8AHjMNJ_7dDXMJ"&amp;"VRLDlaFSOdPM/edit?usp=sharing"",""ตราด!J448"")+IMPORTRANGE(""https://docs.google.com/spreadsheets/d/18hSgUJ3VwClqi_qtULmmW3cLr0oe3OKaSYoKzdpTsYQ/edit?usp=sharing"",""นครนายก!J448"")+IMPORTRANGE(""https://docs.google.com/spreadsheets/d/1YTZo6WM2dQ6Ix6FSdnL"&amp;"5P7uVnVKu40sxZu975tgG10E/edit?usp=sharing"",""นครปฐม!J448"")+IMPORTRANGE(""https://docs.google.com/spreadsheets/d/1OYoGg4WDg5RIzwGeB10padOxJF9E_Vljuvvct_M7RDo/edit?usp=sharing"",""ปทุมธานี!J448"")+IMPORTRANGE(""https://docs.google.com/spreadsheets/d/1GbCI"&amp;"E4D4wk9FUozzqk7SxfDMxDVBwVmI5zcaVUSzKAc/edit?usp=sharing"",""ประจวบคีรีขันธ์!J448"")+IMPORTRANGE(""https://docs.google.com/spreadsheets/d/1vVf6wykvW_lAyu7Yo9L4hUTqHqIeP_qcVuxCtosJEbg/edit?usp=sharing"",""ปราจีนบุรี!J448"")+IMPORTRANGE(""https://docs.googl"&amp;"e.com/spreadsheets/d/1BIDqLLg5jk3v59G8NlR8rk5xfQDKne0sAvZHSj7TI6I/edit?usp=sharing"",""พระนครศรีอยุธยา!J448"")+IMPORTRANGE(""https://docs.google.com/spreadsheets/d/1YXvxf8Yu6_rV4hTBrwMqAcAnv6DfhUxh5emyM3CJp_w/edit?usp=sharing"",""เพชรบุรี!J448"")+IMPORTRA"&amp;"NGE(""https://docs.google.com/spreadsheets/d/19KBlQQs7uwvsao6t2n-KvW3Ax8J8uRRfZPq1zPbXgKc/edit?usp=sharing"",""ระยอง!J448"")+IMPORTRANGE(""https://docs.google.com/spreadsheets/d/1jQ6P4QcrGM89YfqcC_PxOHGCMq5ezhucwJd8ci-NHng/edit?usp=sharing"",""ราชบุรี!J44"&amp;"8"")+IMPORTRANGE(""https://docs.google.com/spreadsheets/d/1lufeA2cfFqM-elVq2hznhDzC6Pr7wkJ9ZG_sYNGCMCU/edit?usp=sharing"",""ลพบุรี!J448"")+IMPORTRANGE(""https://docs.google.com/spreadsheets/d/10oOiF7loTyfsTkbd4MpaIm0HQ9SwB7IYHdIUvt-U1Uc/edit?usp=sharing"""&amp;",""สระแก้ว!J448"")+IMPORTRANGE(""https://docs.google.com/spreadsheets/d/1xmPlrr1QbdSIKvl1dWUl9K4PjAfSL9oeMr_37QVzcxc/edit?usp=sharing"",""สระบุรี!J448"")+IMPORTRANGE(""https://docs.google.com/spreadsheets/d/1j51vR6CYVGhABJpv6tkstgok82RLpXieLzW1yOY5rHw/edi"&amp;"t?usp=sharing"",""สิงห์บุรี!J448"")+IMPORTRANGE(""https://docs.google.com/spreadsheets/d/1H1EalTWKUSzO4Z1-1CwzoDUaVffgrThEBe2sl74kKG0/edit?usp=sharing"",""สุพรรณบุรี!J448"")+IMPORTRANGE(""https://docs.google.com/spreadsheets/d/1BmIruG_sIrJLYao_Pdr7zVArWsf"&amp;"oBt2692TMi6x_854/edit?usp=sharing"",""อ่างทอง!J448"")"),0)</f>
        <v>0</v>
      </c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604">
        <f ca="1">IFERROR(__xludf.DUMMYFUNCTION("IMPORTRANGE(""https://docs.google.com/spreadsheets/d/13wPX838HrBrQMCywv1BsuMkt4PEKTChp52zj44s2izQ/edit?usp=sharing"",""กาญจนบุรี!J449"")+IMPORTRANGE(""https://docs.google.com/spreadsheets/d/1ddFKvqj1W1NEiWytbGlB1zMx_ykJDVtmfEQ-6-lIUBA/edit?usp=sharing"","&amp;"""จันทบุรี!J449"")+IMPORTRANGE(""https://docs.google.com/spreadsheets/d/1T1PQvRODqOBZk8BRht_U031fIS1beLA0Ub2CEytj2q0/edit?usp=sharing"",""ฉะเชิงเทรา!J449"")+IMPORTRANGE(""https://docs.google.com/spreadsheets/d/11tr1B-Bhyr79v2bkwVh5h_fR-PStkgjlZtkrZpYurG0/"&amp;"edit?usp=sharing"",""ชลบุรี!J449"")+IMPORTRANGE(""https://docs.google.com/spreadsheets/d/1hh-FVnSX0vozXhGluamEcS54Dw9_zqW0N7qJUWgJ0Sw/edit?usp=sharing"",""ชัยนาท!J449"")+IMPORTRANGE(""https://docs.google.com/spreadsheets/d/1jkqa6GXxSacMcY1eN8AHjMNJ_7dDXMJ"&amp;"VRLDlaFSOdPM/edit?usp=sharing"",""ตราด!J449"")+IMPORTRANGE(""https://docs.google.com/spreadsheets/d/18hSgUJ3VwClqi_qtULmmW3cLr0oe3OKaSYoKzdpTsYQ/edit?usp=sharing"",""นครนายก!J449"")+IMPORTRANGE(""https://docs.google.com/spreadsheets/d/1YTZo6WM2dQ6Ix6FSdnL"&amp;"5P7uVnVKu40sxZu975tgG10E/edit?usp=sharing"",""นครปฐม!J449"")+IMPORTRANGE(""https://docs.google.com/spreadsheets/d/1OYoGg4WDg5RIzwGeB10padOxJF9E_Vljuvvct_M7RDo/edit?usp=sharing"",""ปทุมธานี!J449"")+IMPORTRANGE(""https://docs.google.com/spreadsheets/d/1GbCI"&amp;"E4D4wk9FUozzqk7SxfDMxDVBwVmI5zcaVUSzKAc/edit?usp=sharing"",""ประจวบคีรีขันธ์!J449"")+IMPORTRANGE(""https://docs.google.com/spreadsheets/d/1vVf6wykvW_lAyu7Yo9L4hUTqHqIeP_qcVuxCtosJEbg/edit?usp=sharing"",""ปราจีนบุรี!J449"")+IMPORTRANGE(""https://docs.googl"&amp;"e.com/spreadsheets/d/1BIDqLLg5jk3v59G8NlR8rk5xfQDKne0sAvZHSj7TI6I/edit?usp=sharing"",""พระนครศรีอยุธยา!J449"")+IMPORTRANGE(""https://docs.google.com/spreadsheets/d/1YXvxf8Yu6_rV4hTBrwMqAcAnv6DfhUxh5emyM3CJp_w/edit?usp=sharing"",""เพชรบุรี!J449"")+IMPORTRA"&amp;"NGE(""https://docs.google.com/spreadsheets/d/19KBlQQs7uwvsao6t2n-KvW3Ax8J8uRRfZPq1zPbXgKc/edit?usp=sharing"",""ระยอง!J449"")+IMPORTRANGE(""https://docs.google.com/spreadsheets/d/1jQ6P4QcrGM89YfqcC_PxOHGCMq5ezhucwJd8ci-NHng/edit?usp=sharing"",""ราชบุรี!J44"&amp;"9"")+IMPORTRANGE(""https://docs.google.com/spreadsheets/d/1lufeA2cfFqM-elVq2hznhDzC6Pr7wkJ9ZG_sYNGCMCU/edit?usp=sharing"",""ลพบุรี!J449"")+IMPORTRANGE(""https://docs.google.com/spreadsheets/d/10oOiF7loTyfsTkbd4MpaIm0HQ9SwB7IYHdIUvt-U1Uc/edit?usp=sharing"""&amp;",""สระแก้ว!J449"")+IMPORTRANGE(""https://docs.google.com/spreadsheets/d/1xmPlrr1QbdSIKvl1dWUl9K4PjAfSL9oeMr_37QVzcxc/edit?usp=sharing"",""สระบุรี!J449"")+IMPORTRANGE(""https://docs.google.com/spreadsheets/d/1j51vR6CYVGhABJpv6tkstgok82RLpXieLzW1yOY5rHw/edi"&amp;"t?usp=sharing"",""สิงห์บุรี!J449"")+IMPORTRANGE(""https://docs.google.com/spreadsheets/d/1H1EalTWKUSzO4Z1-1CwzoDUaVffgrThEBe2sl74kKG0/edit?usp=sharing"",""สุพรรณบุรี!J449"")+IMPORTRANGE(""https://docs.google.com/spreadsheets/d/1BmIruG_sIrJLYao_Pdr7zVArWsf"&amp;"oBt2692TMi6x_854/edit?usp=sharing"",""อ่างทอง!J449"")"),0)</f>
        <v>0</v>
      </c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604">
        <f ca="1">IFERROR(__xludf.DUMMYFUNCTION("IMPORTRANGE(""https://docs.google.com/spreadsheets/d/13wPX838HrBrQMCywv1BsuMkt4PEKTChp52zj44s2izQ/edit?usp=sharing"",""กาญจนบุรี!J450"")+IMPORTRANGE(""https://docs.google.com/spreadsheets/d/1ddFKvqj1W1NEiWytbGlB1zMx_ykJDVtmfEQ-6-lIUBA/edit?usp=sharing"","&amp;"""จันทบุรี!J450"")+IMPORTRANGE(""https://docs.google.com/spreadsheets/d/1T1PQvRODqOBZk8BRht_U031fIS1beLA0Ub2CEytj2q0/edit?usp=sharing"",""ฉะเชิงเทรา!J450"")+IMPORTRANGE(""https://docs.google.com/spreadsheets/d/11tr1B-Bhyr79v2bkwVh5h_fR-PStkgjlZtkrZpYurG0/"&amp;"edit?usp=sharing"",""ชลบุรี!J450"")+IMPORTRANGE(""https://docs.google.com/spreadsheets/d/1hh-FVnSX0vozXhGluamEcS54Dw9_zqW0N7qJUWgJ0Sw/edit?usp=sharing"",""ชัยนาท!J450"")+IMPORTRANGE(""https://docs.google.com/spreadsheets/d/1jkqa6GXxSacMcY1eN8AHjMNJ_7dDXMJ"&amp;"VRLDlaFSOdPM/edit?usp=sharing"",""ตราด!J450"")+IMPORTRANGE(""https://docs.google.com/spreadsheets/d/18hSgUJ3VwClqi_qtULmmW3cLr0oe3OKaSYoKzdpTsYQ/edit?usp=sharing"",""นครนายก!J450"")+IMPORTRANGE(""https://docs.google.com/spreadsheets/d/1YTZo6WM2dQ6Ix6FSdnL"&amp;"5P7uVnVKu40sxZu975tgG10E/edit?usp=sharing"",""นครปฐม!J450"")+IMPORTRANGE(""https://docs.google.com/spreadsheets/d/1OYoGg4WDg5RIzwGeB10padOxJF9E_Vljuvvct_M7RDo/edit?usp=sharing"",""ปทุมธานี!J450"")+IMPORTRANGE(""https://docs.google.com/spreadsheets/d/1GbCI"&amp;"E4D4wk9FUozzqk7SxfDMxDVBwVmI5zcaVUSzKAc/edit?usp=sharing"",""ประจวบคีรีขันธ์!J450"")+IMPORTRANGE(""https://docs.google.com/spreadsheets/d/1vVf6wykvW_lAyu7Yo9L4hUTqHqIeP_qcVuxCtosJEbg/edit?usp=sharing"",""ปราจีนบุรี!J450"")+IMPORTRANGE(""https://docs.googl"&amp;"e.com/spreadsheets/d/1BIDqLLg5jk3v59G8NlR8rk5xfQDKne0sAvZHSj7TI6I/edit?usp=sharing"",""พระนครศรีอยุธยา!J450"")+IMPORTRANGE(""https://docs.google.com/spreadsheets/d/1YXvxf8Yu6_rV4hTBrwMqAcAnv6DfhUxh5emyM3CJp_w/edit?usp=sharing"",""เพชรบุรี!J450"")+IMPORTRA"&amp;"NGE(""https://docs.google.com/spreadsheets/d/19KBlQQs7uwvsao6t2n-KvW3Ax8J8uRRfZPq1zPbXgKc/edit?usp=sharing"",""ระยอง!J450"")+IMPORTRANGE(""https://docs.google.com/spreadsheets/d/1jQ6P4QcrGM89YfqcC_PxOHGCMq5ezhucwJd8ci-NHng/edit?usp=sharing"",""ราชบุรี!J45"&amp;"0"")+IMPORTRANGE(""https://docs.google.com/spreadsheets/d/1lufeA2cfFqM-elVq2hznhDzC6Pr7wkJ9ZG_sYNGCMCU/edit?usp=sharing"",""ลพบุรี!J450"")+IMPORTRANGE(""https://docs.google.com/spreadsheets/d/10oOiF7loTyfsTkbd4MpaIm0HQ9SwB7IYHdIUvt-U1Uc/edit?usp=sharing"""&amp;",""สระแก้ว!J450"")+IMPORTRANGE(""https://docs.google.com/spreadsheets/d/1xmPlrr1QbdSIKvl1dWUl9K4PjAfSL9oeMr_37QVzcxc/edit?usp=sharing"",""สระบุรี!J450"")+IMPORTRANGE(""https://docs.google.com/spreadsheets/d/1j51vR6CYVGhABJpv6tkstgok82RLpXieLzW1yOY5rHw/edi"&amp;"t?usp=sharing"",""สิงห์บุรี!J450"")+IMPORTRANGE(""https://docs.google.com/spreadsheets/d/1H1EalTWKUSzO4Z1-1CwzoDUaVffgrThEBe2sl74kKG0/edit?usp=sharing"",""สุพรรณบุรี!J450"")+IMPORTRANGE(""https://docs.google.com/spreadsheets/d/1BmIruG_sIrJLYao_Pdr7zVArWsf"&amp;"oBt2692TMi6x_854/edit?usp=sharing"",""อ่างทอง!J450"")"),0)</f>
        <v>0</v>
      </c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604">
        <f ca="1">IFERROR(__xludf.DUMMYFUNCTION("IMPORTRANGE(""https://docs.google.com/spreadsheets/d/13wPX838HrBrQMCywv1BsuMkt4PEKTChp52zj44s2izQ/edit?usp=sharing"",""กาญจนบุรี!J451"")+IMPORTRANGE(""https://docs.google.com/spreadsheets/d/1ddFKvqj1W1NEiWytbGlB1zMx_ykJDVtmfEQ-6-lIUBA/edit?usp=sharing"","&amp;"""จันทบุรี!J451"")+IMPORTRANGE(""https://docs.google.com/spreadsheets/d/1T1PQvRODqOBZk8BRht_U031fIS1beLA0Ub2CEytj2q0/edit?usp=sharing"",""ฉะเชิงเทรา!J451"")+IMPORTRANGE(""https://docs.google.com/spreadsheets/d/11tr1B-Bhyr79v2bkwVh5h_fR-PStkgjlZtkrZpYurG0/"&amp;"edit?usp=sharing"",""ชลบุรี!J451"")+IMPORTRANGE(""https://docs.google.com/spreadsheets/d/1hh-FVnSX0vozXhGluamEcS54Dw9_zqW0N7qJUWgJ0Sw/edit?usp=sharing"",""ชัยนาท!J451"")+IMPORTRANGE(""https://docs.google.com/spreadsheets/d/1jkqa6GXxSacMcY1eN8AHjMNJ_7dDXMJ"&amp;"VRLDlaFSOdPM/edit?usp=sharing"",""ตราด!J451"")+IMPORTRANGE(""https://docs.google.com/spreadsheets/d/18hSgUJ3VwClqi_qtULmmW3cLr0oe3OKaSYoKzdpTsYQ/edit?usp=sharing"",""นครนายก!J451"")+IMPORTRANGE(""https://docs.google.com/spreadsheets/d/1YTZo6WM2dQ6Ix6FSdnL"&amp;"5P7uVnVKu40sxZu975tgG10E/edit?usp=sharing"",""นครปฐม!J451"")+IMPORTRANGE(""https://docs.google.com/spreadsheets/d/1OYoGg4WDg5RIzwGeB10padOxJF9E_Vljuvvct_M7RDo/edit?usp=sharing"",""ปทุมธานี!J451"")+IMPORTRANGE(""https://docs.google.com/spreadsheets/d/1GbCI"&amp;"E4D4wk9FUozzqk7SxfDMxDVBwVmI5zcaVUSzKAc/edit?usp=sharing"",""ประจวบคีรีขันธ์!J451"")+IMPORTRANGE(""https://docs.google.com/spreadsheets/d/1vVf6wykvW_lAyu7Yo9L4hUTqHqIeP_qcVuxCtosJEbg/edit?usp=sharing"",""ปราจีนบุรี!J451"")+IMPORTRANGE(""https://docs.googl"&amp;"e.com/spreadsheets/d/1BIDqLLg5jk3v59G8NlR8rk5xfQDKne0sAvZHSj7TI6I/edit?usp=sharing"",""พระนครศรีอยุธยา!J451"")+IMPORTRANGE(""https://docs.google.com/spreadsheets/d/1YXvxf8Yu6_rV4hTBrwMqAcAnv6DfhUxh5emyM3CJp_w/edit?usp=sharing"",""เพชรบุรี!J451"")+IMPORTRA"&amp;"NGE(""https://docs.google.com/spreadsheets/d/19KBlQQs7uwvsao6t2n-KvW3Ax8J8uRRfZPq1zPbXgKc/edit?usp=sharing"",""ระยอง!J451"")+IMPORTRANGE(""https://docs.google.com/spreadsheets/d/1jQ6P4QcrGM89YfqcC_PxOHGCMq5ezhucwJd8ci-NHng/edit?usp=sharing"",""ราชบุรี!J45"&amp;"1"")+IMPORTRANGE(""https://docs.google.com/spreadsheets/d/1lufeA2cfFqM-elVq2hznhDzC6Pr7wkJ9ZG_sYNGCMCU/edit?usp=sharing"",""ลพบุรี!J451"")+IMPORTRANGE(""https://docs.google.com/spreadsheets/d/10oOiF7loTyfsTkbd4MpaIm0HQ9SwB7IYHdIUvt-U1Uc/edit?usp=sharing"""&amp;",""สระแก้ว!J451"")+IMPORTRANGE(""https://docs.google.com/spreadsheets/d/1xmPlrr1QbdSIKvl1dWUl9K4PjAfSL9oeMr_37QVzcxc/edit?usp=sharing"",""สระบุรี!J451"")+IMPORTRANGE(""https://docs.google.com/spreadsheets/d/1j51vR6CYVGhABJpv6tkstgok82RLpXieLzW1yOY5rHw/edi"&amp;"t?usp=sharing"",""สิงห์บุรี!J451"")+IMPORTRANGE(""https://docs.google.com/spreadsheets/d/1H1EalTWKUSzO4Z1-1CwzoDUaVffgrThEBe2sl74kKG0/edit?usp=sharing"",""สุพรรณบุรี!J451"")+IMPORTRANGE(""https://docs.google.com/spreadsheets/d/1BmIruG_sIrJLYao_Pdr7zVArWsf"&amp;"oBt2692TMi6x_854/edit?usp=sharing"",""อ่างทอง!J451"")"),0)</f>
        <v>0</v>
      </c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604">
        <f ca="1">IFERROR(__xludf.DUMMYFUNCTION("IMPORTRANGE(""https://docs.google.com/spreadsheets/d/13wPX838HrBrQMCywv1BsuMkt4PEKTChp52zj44s2izQ/edit?usp=sharing"",""กาญจนบุรี!J452"")+IMPORTRANGE(""https://docs.google.com/spreadsheets/d/1ddFKvqj1W1NEiWytbGlB1zMx_ykJDVtmfEQ-6-lIUBA/edit?usp=sharing"","&amp;"""จันทบุรี!J452"")+IMPORTRANGE(""https://docs.google.com/spreadsheets/d/1T1PQvRODqOBZk8BRht_U031fIS1beLA0Ub2CEytj2q0/edit?usp=sharing"",""ฉะเชิงเทรา!J452"")+IMPORTRANGE(""https://docs.google.com/spreadsheets/d/11tr1B-Bhyr79v2bkwVh5h_fR-PStkgjlZtkrZpYurG0/"&amp;"edit?usp=sharing"",""ชลบุรี!J452"")+IMPORTRANGE(""https://docs.google.com/spreadsheets/d/1hh-FVnSX0vozXhGluamEcS54Dw9_zqW0N7qJUWgJ0Sw/edit?usp=sharing"",""ชัยนาท!J452"")+IMPORTRANGE(""https://docs.google.com/spreadsheets/d/1jkqa6GXxSacMcY1eN8AHjMNJ_7dDXMJ"&amp;"VRLDlaFSOdPM/edit?usp=sharing"",""ตราด!J452"")+IMPORTRANGE(""https://docs.google.com/spreadsheets/d/18hSgUJ3VwClqi_qtULmmW3cLr0oe3OKaSYoKzdpTsYQ/edit?usp=sharing"",""นครนายก!J452"")+IMPORTRANGE(""https://docs.google.com/spreadsheets/d/1YTZo6WM2dQ6Ix6FSdnL"&amp;"5P7uVnVKu40sxZu975tgG10E/edit?usp=sharing"",""นครปฐม!J452"")+IMPORTRANGE(""https://docs.google.com/spreadsheets/d/1OYoGg4WDg5RIzwGeB10padOxJF9E_Vljuvvct_M7RDo/edit?usp=sharing"",""ปทุมธานี!J452"")+IMPORTRANGE(""https://docs.google.com/spreadsheets/d/1GbCI"&amp;"E4D4wk9FUozzqk7SxfDMxDVBwVmI5zcaVUSzKAc/edit?usp=sharing"",""ประจวบคีรีขันธ์!J452"")+IMPORTRANGE(""https://docs.google.com/spreadsheets/d/1vVf6wykvW_lAyu7Yo9L4hUTqHqIeP_qcVuxCtosJEbg/edit?usp=sharing"",""ปราจีนบุรี!J452"")+IMPORTRANGE(""https://docs.googl"&amp;"e.com/spreadsheets/d/1BIDqLLg5jk3v59G8NlR8rk5xfQDKne0sAvZHSj7TI6I/edit?usp=sharing"",""พระนครศรีอยุธยา!J452"")+IMPORTRANGE(""https://docs.google.com/spreadsheets/d/1YXvxf8Yu6_rV4hTBrwMqAcAnv6DfhUxh5emyM3CJp_w/edit?usp=sharing"",""เพชรบุรี!J452"")+IMPORTRA"&amp;"NGE(""https://docs.google.com/spreadsheets/d/19KBlQQs7uwvsao6t2n-KvW3Ax8J8uRRfZPq1zPbXgKc/edit?usp=sharing"",""ระยอง!J452"")+IMPORTRANGE(""https://docs.google.com/spreadsheets/d/1jQ6P4QcrGM89YfqcC_PxOHGCMq5ezhucwJd8ci-NHng/edit?usp=sharing"",""ราชบุรี!J45"&amp;"2"")+IMPORTRANGE(""https://docs.google.com/spreadsheets/d/1lufeA2cfFqM-elVq2hznhDzC6Pr7wkJ9ZG_sYNGCMCU/edit?usp=sharing"",""ลพบุรี!J452"")+IMPORTRANGE(""https://docs.google.com/spreadsheets/d/10oOiF7loTyfsTkbd4MpaIm0HQ9SwB7IYHdIUvt-U1Uc/edit?usp=sharing"""&amp;",""สระแก้ว!J452"")+IMPORTRANGE(""https://docs.google.com/spreadsheets/d/1xmPlrr1QbdSIKvl1dWUl9K4PjAfSL9oeMr_37QVzcxc/edit?usp=sharing"",""สระบุรี!J452"")+IMPORTRANGE(""https://docs.google.com/spreadsheets/d/1j51vR6CYVGhABJpv6tkstgok82RLpXieLzW1yOY5rHw/edi"&amp;"t?usp=sharing"",""สิงห์บุรี!J452"")+IMPORTRANGE(""https://docs.google.com/spreadsheets/d/1H1EalTWKUSzO4Z1-1CwzoDUaVffgrThEBe2sl74kKG0/edit?usp=sharing"",""สุพรรณบุรี!J452"")+IMPORTRANGE(""https://docs.google.com/spreadsheets/d/1BmIruG_sIrJLYao_Pdr7zVArWsf"&amp;"oBt2692TMi6x_854/edit?usp=sharing"",""อ่างทอง!J452"")"),0)</f>
        <v>0</v>
      </c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604">
        <f ca="1">IFERROR(__xludf.DUMMYFUNCTION("IMPORTRANGE(""https://docs.google.com/spreadsheets/d/13wPX838HrBrQMCywv1BsuMkt4PEKTChp52zj44s2izQ/edit?usp=sharing"",""กาญจนบุรี!J453"")+IMPORTRANGE(""https://docs.google.com/spreadsheets/d/1ddFKvqj1W1NEiWytbGlB1zMx_ykJDVtmfEQ-6-lIUBA/edit?usp=sharing"","&amp;"""จันทบุรี!J453"")+IMPORTRANGE(""https://docs.google.com/spreadsheets/d/1T1PQvRODqOBZk8BRht_U031fIS1beLA0Ub2CEytj2q0/edit?usp=sharing"",""ฉะเชิงเทรา!J453"")+IMPORTRANGE(""https://docs.google.com/spreadsheets/d/11tr1B-Bhyr79v2bkwVh5h_fR-PStkgjlZtkrZpYurG0/"&amp;"edit?usp=sharing"",""ชลบุรี!J453"")+IMPORTRANGE(""https://docs.google.com/spreadsheets/d/1hh-FVnSX0vozXhGluamEcS54Dw9_zqW0N7qJUWgJ0Sw/edit?usp=sharing"",""ชัยนาท!J453"")+IMPORTRANGE(""https://docs.google.com/spreadsheets/d/1jkqa6GXxSacMcY1eN8AHjMNJ_7dDXMJ"&amp;"VRLDlaFSOdPM/edit?usp=sharing"",""ตราด!J453"")+IMPORTRANGE(""https://docs.google.com/spreadsheets/d/18hSgUJ3VwClqi_qtULmmW3cLr0oe3OKaSYoKzdpTsYQ/edit?usp=sharing"",""นครนายก!J453"")+IMPORTRANGE(""https://docs.google.com/spreadsheets/d/1YTZo6WM2dQ6Ix6FSdnL"&amp;"5P7uVnVKu40sxZu975tgG10E/edit?usp=sharing"",""นครปฐม!J453"")+IMPORTRANGE(""https://docs.google.com/spreadsheets/d/1OYoGg4WDg5RIzwGeB10padOxJF9E_Vljuvvct_M7RDo/edit?usp=sharing"",""ปทุมธานี!J453"")+IMPORTRANGE(""https://docs.google.com/spreadsheets/d/1GbCI"&amp;"E4D4wk9FUozzqk7SxfDMxDVBwVmI5zcaVUSzKAc/edit?usp=sharing"",""ประจวบคีรีขันธ์!J453"")+IMPORTRANGE(""https://docs.google.com/spreadsheets/d/1vVf6wykvW_lAyu7Yo9L4hUTqHqIeP_qcVuxCtosJEbg/edit?usp=sharing"",""ปราจีนบุรี!J453"")+IMPORTRANGE(""https://docs.googl"&amp;"e.com/spreadsheets/d/1BIDqLLg5jk3v59G8NlR8rk5xfQDKne0sAvZHSj7TI6I/edit?usp=sharing"",""พระนครศรีอยุธยา!J453"")+IMPORTRANGE(""https://docs.google.com/spreadsheets/d/1YXvxf8Yu6_rV4hTBrwMqAcAnv6DfhUxh5emyM3CJp_w/edit?usp=sharing"",""เพชรบุรี!J453"")+IMPORTRA"&amp;"NGE(""https://docs.google.com/spreadsheets/d/19KBlQQs7uwvsao6t2n-KvW3Ax8J8uRRfZPq1zPbXgKc/edit?usp=sharing"",""ระยอง!J453"")+IMPORTRANGE(""https://docs.google.com/spreadsheets/d/1jQ6P4QcrGM89YfqcC_PxOHGCMq5ezhucwJd8ci-NHng/edit?usp=sharing"",""ราชบุรี!J45"&amp;"3"")+IMPORTRANGE(""https://docs.google.com/spreadsheets/d/1lufeA2cfFqM-elVq2hznhDzC6Pr7wkJ9ZG_sYNGCMCU/edit?usp=sharing"",""ลพบุรี!J453"")+IMPORTRANGE(""https://docs.google.com/spreadsheets/d/10oOiF7loTyfsTkbd4MpaIm0HQ9SwB7IYHdIUvt-U1Uc/edit?usp=sharing"""&amp;",""สระแก้ว!J453"")+IMPORTRANGE(""https://docs.google.com/spreadsheets/d/1xmPlrr1QbdSIKvl1dWUl9K4PjAfSL9oeMr_37QVzcxc/edit?usp=sharing"",""สระบุรี!J453"")+IMPORTRANGE(""https://docs.google.com/spreadsheets/d/1j51vR6CYVGhABJpv6tkstgok82RLpXieLzW1yOY5rHw/edi"&amp;"t?usp=sharing"",""สิงห์บุรี!J453"")+IMPORTRANGE(""https://docs.google.com/spreadsheets/d/1H1EalTWKUSzO4Z1-1CwzoDUaVffgrThEBe2sl74kKG0/edit?usp=sharing"",""สุพรรณบุรี!J453"")+IMPORTRANGE(""https://docs.google.com/spreadsheets/d/1BmIruG_sIrJLYao_Pdr7zVArWsf"&amp;"oBt2692TMi6x_854/edit?usp=sharing"",""อ่างทอง!J453"")"),0)</f>
        <v>0</v>
      </c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605">
        <f ca="1">IFERROR(__xludf.DUMMYFUNCTION("IMPORTRANGE(""https://docs.google.com/spreadsheets/d/13wPX838HrBrQMCywv1BsuMkt4PEKTChp52zj44s2izQ/edit?usp=sharing"",""กาญจนบุรี!J454"")+IMPORTRANGE(""https://docs.google.com/spreadsheets/d/1ddFKvqj1W1NEiWytbGlB1zMx_ykJDVtmfEQ-6-lIUBA/edit?usp=sharing"","&amp;"""จันทบุรี!J454"")+IMPORTRANGE(""https://docs.google.com/spreadsheets/d/1T1PQvRODqOBZk8BRht_U031fIS1beLA0Ub2CEytj2q0/edit?usp=sharing"",""ฉะเชิงเทรา!J454"")+IMPORTRANGE(""https://docs.google.com/spreadsheets/d/11tr1B-Bhyr79v2bkwVh5h_fR-PStkgjlZtkrZpYurG0/"&amp;"edit?usp=sharing"",""ชลบุรี!J454"")+IMPORTRANGE(""https://docs.google.com/spreadsheets/d/1hh-FVnSX0vozXhGluamEcS54Dw9_zqW0N7qJUWgJ0Sw/edit?usp=sharing"",""ชัยนาท!J454"")+IMPORTRANGE(""https://docs.google.com/spreadsheets/d/1jkqa6GXxSacMcY1eN8AHjMNJ_7dDXMJ"&amp;"VRLDlaFSOdPM/edit?usp=sharing"",""ตราด!J454"")+IMPORTRANGE(""https://docs.google.com/spreadsheets/d/18hSgUJ3VwClqi_qtULmmW3cLr0oe3OKaSYoKzdpTsYQ/edit?usp=sharing"",""นครนายก!J454"")+IMPORTRANGE(""https://docs.google.com/spreadsheets/d/1YTZo6WM2dQ6Ix6FSdnL"&amp;"5P7uVnVKu40sxZu975tgG10E/edit?usp=sharing"",""นครปฐม!J454"")+IMPORTRANGE(""https://docs.google.com/spreadsheets/d/1OYoGg4WDg5RIzwGeB10padOxJF9E_Vljuvvct_M7RDo/edit?usp=sharing"",""ปทุมธานี!J454"")+IMPORTRANGE(""https://docs.google.com/spreadsheets/d/1GbCI"&amp;"E4D4wk9FUozzqk7SxfDMxDVBwVmI5zcaVUSzKAc/edit?usp=sharing"",""ประจวบคีรีขันธ์!J454"")+IMPORTRANGE(""https://docs.google.com/spreadsheets/d/1vVf6wykvW_lAyu7Yo9L4hUTqHqIeP_qcVuxCtosJEbg/edit?usp=sharing"",""ปราจีนบุรี!J454"")+IMPORTRANGE(""https://docs.googl"&amp;"e.com/spreadsheets/d/1BIDqLLg5jk3v59G8NlR8rk5xfQDKne0sAvZHSj7TI6I/edit?usp=sharing"",""พระนครศรีอยุธยา!J454"")+IMPORTRANGE(""https://docs.google.com/spreadsheets/d/1YXvxf8Yu6_rV4hTBrwMqAcAnv6DfhUxh5emyM3CJp_w/edit?usp=sharing"",""เพชรบุรี!J454"")+IMPORTRA"&amp;"NGE(""https://docs.google.com/spreadsheets/d/19KBlQQs7uwvsao6t2n-KvW3Ax8J8uRRfZPq1zPbXgKc/edit?usp=sharing"",""ระยอง!J454"")+IMPORTRANGE(""https://docs.google.com/spreadsheets/d/1jQ6P4QcrGM89YfqcC_PxOHGCMq5ezhucwJd8ci-NHng/edit?usp=sharing"",""ราชบุรี!J45"&amp;"4"")+IMPORTRANGE(""https://docs.google.com/spreadsheets/d/1lufeA2cfFqM-elVq2hznhDzC6Pr7wkJ9ZG_sYNGCMCU/edit?usp=sharing"",""ลพบุรี!J454"")+IMPORTRANGE(""https://docs.google.com/spreadsheets/d/10oOiF7loTyfsTkbd4MpaIm0HQ9SwB7IYHdIUvt-U1Uc/edit?usp=sharing"""&amp;",""สระแก้ว!J454"")+IMPORTRANGE(""https://docs.google.com/spreadsheets/d/1xmPlrr1QbdSIKvl1dWUl9K4PjAfSL9oeMr_37QVzcxc/edit?usp=sharing"",""สระบุรี!J454"")+IMPORTRANGE(""https://docs.google.com/spreadsheets/d/1j51vR6CYVGhABJpv6tkstgok82RLpXieLzW1yOY5rHw/edi"&amp;"t?usp=sharing"",""สิงห์บุรี!J454"")+IMPORTRANGE(""https://docs.google.com/spreadsheets/d/1H1EalTWKUSzO4Z1-1CwzoDUaVffgrThEBe2sl74kKG0/edit?usp=sharing"",""สุพรรณบุรี!J454"")+IMPORTRANGE(""https://docs.google.com/spreadsheets/d/1BmIruG_sIrJLYao_Pdr7zVArWsf"&amp;"oBt2692TMi6x_854/edit?usp=sharing"",""อ่างทอง!J454"")"),0)</f>
        <v>0</v>
      </c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604">
        <f ca="1">IFERROR(__xludf.DUMMYFUNCTION("IMPORTRANGE(""https://docs.google.com/spreadsheets/d/13wPX838HrBrQMCywv1BsuMkt4PEKTChp52zj44s2izQ/edit?usp=sharing"",""กาญจนบุรี!J455"")+IMPORTRANGE(""https://docs.google.com/spreadsheets/d/1ddFKvqj1W1NEiWytbGlB1zMx_ykJDVtmfEQ-6-lIUBA/edit?usp=sharing"","&amp;"""จันทบุรี!J455"")+IMPORTRANGE(""https://docs.google.com/spreadsheets/d/1T1PQvRODqOBZk8BRht_U031fIS1beLA0Ub2CEytj2q0/edit?usp=sharing"",""ฉะเชิงเทรา!J455"")+IMPORTRANGE(""https://docs.google.com/spreadsheets/d/11tr1B-Bhyr79v2bkwVh5h_fR-PStkgjlZtkrZpYurG0/"&amp;"edit?usp=sharing"",""ชลบุรี!J455"")+IMPORTRANGE(""https://docs.google.com/spreadsheets/d/1hh-FVnSX0vozXhGluamEcS54Dw9_zqW0N7qJUWgJ0Sw/edit?usp=sharing"",""ชัยนาท!J455"")+IMPORTRANGE(""https://docs.google.com/spreadsheets/d/1jkqa6GXxSacMcY1eN8AHjMNJ_7dDXMJ"&amp;"VRLDlaFSOdPM/edit?usp=sharing"",""ตราด!J455"")+IMPORTRANGE(""https://docs.google.com/spreadsheets/d/18hSgUJ3VwClqi_qtULmmW3cLr0oe3OKaSYoKzdpTsYQ/edit?usp=sharing"",""นครนายก!J455"")+IMPORTRANGE(""https://docs.google.com/spreadsheets/d/1YTZo6WM2dQ6Ix6FSdnL"&amp;"5P7uVnVKu40sxZu975tgG10E/edit?usp=sharing"",""นครปฐม!J455"")+IMPORTRANGE(""https://docs.google.com/spreadsheets/d/1OYoGg4WDg5RIzwGeB10padOxJF9E_Vljuvvct_M7RDo/edit?usp=sharing"",""ปทุมธานี!J455"")+IMPORTRANGE(""https://docs.google.com/spreadsheets/d/1GbCI"&amp;"E4D4wk9FUozzqk7SxfDMxDVBwVmI5zcaVUSzKAc/edit?usp=sharing"",""ประจวบคีรีขันธ์!J455"")+IMPORTRANGE(""https://docs.google.com/spreadsheets/d/1vVf6wykvW_lAyu7Yo9L4hUTqHqIeP_qcVuxCtosJEbg/edit?usp=sharing"",""ปราจีนบุรี!J455"")+IMPORTRANGE(""https://docs.googl"&amp;"e.com/spreadsheets/d/1BIDqLLg5jk3v59G8NlR8rk5xfQDKne0sAvZHSj7TI6I/edit?usp=sharing"",""พระนครศรีอยุธยา!J455"")+IMPORTRANGE(""https://docs.google.com/spreadsheets/d/1YXvxf8Yu6_rV4hTBrwMqAcAnv6DfhUxh5emyM3CJp_w/edit?usp=sharing"",""เพชรบุรี!J455"")+IMPORTRA"&amp;"NGE(""https://docs.google.com/spreadsheets/d/19KBlQQs7uwvsao6t2n-KvW3Ax8J8uRRfZPq1zPbXgKc/edit?usp=sharing"",""ระยอง!J455"")+IMPORTRANGE(""https://docs.google.com/spreadsheets/d/1jQ6P4QcrGM89YfqcC_PxOHGCMq5ezhucwJd8ci-NHng/edit?usp=sharing"",""ราชบุรี!J45"&amp;"5"")+IMPORTRANGE(""https://docs.google.com/spreadsheets/d/1lufeA2cfFqM-elVq2hznhDzC6Pr7wkJ9ZG_sYNGCMCU/edit?usp=sharing"",""ลพบุรี!J455"")+IMPORTRANGE(""https://docs.google.com/spreadsheets/d/10oOiF7loTyfsTkbd4MpaIm0HQ9SwB7IYHdIUvt-U1Uc/edit?usp=sharing"""&amp;",""สระแก้ว!J455"")+IMPORTRANGE(""https://docs.google.com/spreadsheets/d/1xmPlrr1QbdSIKvl1dWUl9K4PjAfSL9oeMr_37QVzcxc/edit?usp=sharing"",""สระบุรี!J455"")+IMPORTRANGE(""https://docs.google.com/spreadsheets/d/1j51vR6CYVGhABJpv6tkstgok82RLpXieLzW1yOY5rHw/edi"&amp;"t?usp=sharing"",""สิงห์บุรี!J455"")+IMPORTRANGE(""https://docs.google.com/spreadsheets/d/1H1EalTWKUSzO4Z1-1CwzoDUaVffgrThEBe2sl74kKG0/edit?usp=sharing"",""สุพรรณบุรี!J455"")+IMPORTRANGE(""https://docs.google.com/spreadsheets/d/1BmIruG_sIrJLYao_Pdr7zVArWsf"&amp;"oBt2692TMi6x_854/edit?usp=sharing"",""อ่างทอง!J455"")"),0)</f>
        <v>0</v>
      </c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t="shared" ref="I456:J456" ca="1" si="327">I457</f>
        <v>0</v>
      </c>
      <c r="J456" s="603">
        <f t="shared" ca="1" si="327"/>
        <v>0</v>
      </c>
      <c r="K456" s="266">
        <f t="shared" ref="K456:K458" ca="1" si="328">IF(I456&gt;0,J456*100/I456,0)</f>
        <v>0</v>
      </c>
      <c r="L456" s="90"/>
      <c r="M456" s="90"/>
      <c r="N456" s="90"/>
      <c r="O456" s="90"/>
      <c r="P456" s="90"/>
      <c r="Q456" s="89"/>
      <c r="R456" s="90"/>
      <c r="S456" s="90"/>
      <c r="T456" s="90"/>
      <c r="U456" s="90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13wPX838HrBrQMCywv1BsuMkt4PEKTChp52zj44s2izQ/edit?usp=sharing"",""กาญจนบุรี!I457"")+IMPORTRANGE(""https://docs.google.com/spreadsheets/d/1ddFKvqj1W1NEiWytbGlB1zMx_ykJDVtmfEQ-6-lIUBA/edit?usp=sharing"","&amp;"""จันทบุรี!I457"")+IMPORTRANGE(""https://docs.google.com/spreadsheets/d/1T1PQvRODqOBZk8BRht_U031fIS1beLA0Ub2CEytj2q0/edit?usp=sharing"",""ฉะเชิงเทรา!I457"")+IMPORTRANGE(""https://docs.google.com/spreadsheets/d/11tr1B-Bhyr79v2bkwVh5h_fR-PStkgjlZtkrZpYurG0/"&amp;"edit?usp=sharing"",""ชลบุรี!I457"")+IMPORTRANGE(""https://docs.google.com/spreadsheets/d/1hh-FVnSX0vozXhGluamEcS54Dw9_zqW0N7qJUWgJ0Sw/edit?usp=sharing"",""ชัยนาท!I457"")+IMPORTRANGE(""https://docs.google.com/spreadsheets/d/1jkqa6GXxSacMcY1eN8AHjMNJ_7dDXMJ"&amp;"VRLDlaFSOdPM/edit?usp=sharing"",""ตราด!I457"")+IMPORTRANGE(""https://docs.google.com/spreadsheets/d/18hSgUJ3VwClqi_qtULmmW3cLr0oe3OKaSYoKzdpTsYQ/edit?usp=sharing"",""นครนายก!I457"")+IMPORTRANGE(""https://docs.google.com/spreadsheets/d/1YTZo6WM2dQ6Ix6FSdnL"&amp;"5P7uVnVKu40sxZu975tgG10E/edit?usp=sharing"",""นครปฐม!I457"")+IMPORTRANGE(""https://docs.google.com/spreadsheets/d/1OYoGg4WDg5RIzwGeB10padOxJF9E_Vljuvvct_M7RDo/edit?usp=sharing"",""ปทุมธานี!I457"")+IMPORTRANGE(""https://docs.google.com/spreadsheets/d/1GbCI"&amp;"E4D4wk9FUozzqk7SxfDMxDVBwVmI5zcaVUSzKAc/edit?usp=sharing"",""ประจวบคีรีขันธ์!I457"")+IMPORTRANGE(""https://docs.google.com/spreadsheets/d/1vVf6wykvW_lAyu7Yo9L4hUTqHqIeP_qcVuxCtosJEbg/edit?usp=sharing"",""ปราจีนบุรี!I457"")+IMPORTRANGE(""https://docs.googl"&amp;"e.com/spreadsheets/d/1BIDqLLg5jk3v59G8NlR8rk5xfQDKne0sAvZHSj7TI6I/edit?usp=sharing"",""พระนครศรีอยุธยา!I457"")+IMPORTRANGE(""https://docs.google.com/spreadsheets/d/1YXvxf8Yu6_rV4hTBrwMqAcAnv6DfhUxh5emyM3CJp_w/edit?usp=sharing"",""เพชรบุรี!I457"")+IMPORTRA"&amp;"NGE(""https://docs.google.com/spreadsheets/d/19KBlQQs7uwvsao6t2n-KvW3Ax8J8uRRfZPq1zPbXgKc/edit?usp=sharing"",""ระยอง!I457"")+IMPORTRANGE(""https://docs.google.com/spreadsheets/d/1jQ6P4QcrGM89YfqcC_PxOHGCMq5ezhucwJd8ci-NHng/edit?usp=sharing"",""ราชบุรี!I45"&amp;"7"")+IMPORTRANGE(""https://docs.google.com/spreadsheets/d/1lufeA2cfFqM-elVq2hznhDzC6Pr7wkJ9ZG_sYNGCMCU/edit?usp=sharing"",""ลพบุรี!I457"")+IMPORTRANGE(""https://docs.google.com/spreadsheets/d/10oOiF7loTyfsTkbd4MpaIm0HQ9SwB7IYHdIUvt-U1Uc/edit?usp=sharing"""&amp;",""สระแก้ว!I457"")+IMPORTRANGE(""https://docs.google.com/spreadsheets/d/1xmPlrr1QbdSIKvl1dWUl9K4PjAfSL9oeMr_37QVzcxc/edit?usp=sharing"",""สระบุรี!I457"")+IMPORTRANGE(""https://docs.google.com/spreadsheets/d/1j51vR6CYVGhABJpv6tkstgok82RLpXieLzW1yOY5rHw/edi"&amp;"t?usp=sharing"",""สิงห์บุรี!I457"")+IMPORTRANGE(""https://docs.google.com/spreadsheets/d/1H1EalTWKUSzO4Z1-1CwzoDUaVffgrThEBe2sl74kKG0/edit?usp=sharing"",""สุพรรณบุรี!I457"")+IMPORTRANGE(""https://docs.google.com/spreadsheets/d/1BmIruG_sIrJLYao_Pdr7zVArWsf"&amp;"oBt2692TMi6x_854/edit?usp=sharing"",""อ่างทอง!I457"")"),0)</f>
        <v>0</v>
      </c>
      <c r="J457" s="603">
        <f t="shared" ref="J457:J458" ca="1" si="329">J459+J467+J473</f>
        <v>0</v>
      </c>
      <c r="K457" s="266">
        <f t="shared" ca="1" si="328"/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13wPX838HrBrQMCywv1BsuMkt4PEKTChp52zj44s2izQ/edit?usp=sharing"",""กาญจนบุรี!I458"")+IMPORTRANGE(""https://docs.google.com/spreadsheets/d/1ddFKvqj1W1NEiWytbGlB1zMx_ykJDVtmfEQ-6-lIUBA/edit?usp=sharing"","&amp;"""จันทบุรี!I458"")+IMPORTRANGE(""https://docs.google.com/spreadsheets/d/1T1PQvRODqOBZk8BRht_U031fIS1beLA0Ub2CEytj2q0/edit?usp=sharing"",""ฉะเชิงเทรา!I458"")+IMPORTRANGE(""https://docs.google.com/spreadsheets/d/11tr1B-Bhyr79v2bkwVh5h_fR-PStkgjlZtkrZpYurG0/"&amp;"edit?usp=sharing"",""ชลบุรี!I458"")+IMPORTRANGE(""https://docs.google.com/spreadsheets/d/1hh-FVnSX0vozXhGluamEcS54Dw9_zqW0N7qJUWgJ0Sw/edit?usp=sharing"",""ชัยนาท!I458"")+IMPORTRANGE(""https://docs.google.com/spreadsheets/d/1jkqa6GXxSacMcY1eN8AHjMNJ_7dDXMJ"&amp;"VRLDlaFSOdPM/edit?usp=sharing"",""ตราด!I458"")+IMPORTRANGE(""https://docs.google.com/spreadsheets/d/18hSgUJ3VwClqi_qtULmmW3cLr0oe3OKaSYoKzdpTsYQ/edit?usp=sharing"",""นครนายก!I458"")+IMPORTRANGE(""https://docs.google.com/spreadsheets/d/1YTZo6WM2dQ6Ix6FSdnL"&amp;"5P7uVnVKu40sxZu975tgG10E/edit?usp=sharing"",""นครปฐม!I458"")+IMPORTRANGE(""https://docs.google.com/spreadsheets/d/1OYoGg4WDg5RIzwGeB10padOxJF9E_Vljuvvct_M7RDo/edit?usp=sharing"",""ปทุมธานี!I458"")+IMPORTRANGE(""https://docs.google.com/spreadsheets/d/1GbCI"&amp;"E4D4wk9FUozzqk7SxfDMxDVBwVmI5zcaVUSzKAc/edit?usp=sharing"",""ประจวบคีรีขันธ์!I458"")+IMPORTRANGE(""https://docs.google.com/spreadsheets/d/1vVf6wykvW_lAyu7Yo9L4hUTqHqIeP_qcVuxCtosJEbg/edit?usp=sharing"",""ปราจีนบุรี!I458"")+IMPORTRANGE(""https://docs.googl"&amp;"e.com/spreadsheets/d/1BIDqLLg5jk3v59G8NlR8rk5xfQDKne0sAvZHSj7TI6I/edit?usp=sharing"",""พระนครศรีอยุธยา!I458"")+IMPORTRANGE(""https://docs.google.com/spreadsheets/d/1YXvxf8Yu6_rV4hTBrwMqAcAnv6DfhUxh5emyM3CJp_w/edit?usp=sharing"",""เพชรบุรี!I458"")+IMPORTRA"&amp;"NGE(""https://docs.google.com/spreadsheets/d/19KBlQQs7uwvsao6t2n-KvW3Ax8J8uRRfZPq1zPbXgKc/edit?usp=sharing"",""ระยอง!I458"")+IMPORTRANGE(""https://docs.google.com/spreadsheets/d/1jQ6P4QcrGM89YfqcC_PxOHGCMq5ezhucwJd8ci-NHng/edit?usp=sharing"",""ราชบุรี!I45"&amp;"8"")+IMPORTRANGE(""https://docs.google.com/spreadsheets/d/1lufeA2cfFqM-elVq2hznhDzC6Pr7wkJ9ZG_sYNGCMCU/edit?usp=sharing"",""ลพบุรี!I458"")+IMPORTRANGE(""https://docs.google.com/spreadsheets/d/10oOiF7loTyfsTkbd4MpaIm0HQ9SwB7IYHdIUvt-U1Uc/edit?usp=sharing"""&amp;",""สระแก้ว!I458"")+IMPORTRANGE(""https://docs.google.com/spreadsheets/d/1xmPlrr1QbdSIKvl1dWUl9K4PjAfSL9oeMr_37QVzcxc/edit?usp=sharing"",""สระบุรี!I458"")+IMPORTRANGE(""https://docs.google.com/spreadsheets/d/1j51vR6CYVGhABJpv6tkstgok82RLpXieLzW1yOY5rHw/edi"&amp;"t?usp=sharing"",""สิงห์บุรี!I458"")+IMPORTRANGE(""https://docs.google.com/spreadsheets/d/1H1EalTWKUSzO4Z1-1CwzoDUaVffgrThEBe2sl74kKG0/edit?usp=sharing"",""สุพรรณบุรี!I458"")+IMPORTRANGE(""https://docs.google.com/spreadsheets/d/1BmIruG_sIrJLYao_Pdr7zVArWsf"&amp;"oBt2692TMi6x_854/edit?usp=sharing"",""อ่างทอง!I458"")"),0)</f>
        <v>0</v>
      </c>
      <c r="J458" s="603">
        <f t="shared" ca="1" si="329"/>
        <v>0</v>
      </c>
      <c r="K458" s="266">
        <f t="shared" ca="1" si="328"/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 t="shared" ref="J459:J460" ca="1" si="330"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 t="shared" ca="1" si="330"/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604">
        <f ca="1">IFERROR(__xludf.DUMMYFUNCTION("IMPORTRANGE(""https://docs.google.com/spreadsheets/d/13wPX838HrBrQMCywv1BsuMkt4PEKTChp52zj44s2izQ/edit?usp=sharing"",""กาญจนบุรี!J461"")+IMPORTRANGE(""https://docs.google.com/spreadsheets/d/1ddFKvqj1W1NEiWytbGlB1zMx_ykJDVtmfEQ-6-lIUBA/edit?usp=sharing"","&amp;"""จันทบุรี!J461"")+IMPORTRANGE(""https://docs.google.com/spreadsheets/d/1T1PQvRODqOBZk8BRht_U031fIS1beLA0Ub2CEytj2q0/edit?usp=sharing"",""ฉะเชิงเทรา!J461"")+IMPORTRANGE(""https://docs.google.com/spreadsheets/d/11tr1B-Bhyr79v2bkwVh5h_fR-PStkgjlZtkrZpYurG0/"&amp;"edit?usp=sharing"",""ชลบุรี!J461"")+IMPORTRANGE(""https://docs.google.com/spreadsheets/d/1hh-FVnSX0vozXhGluamEcS54Dw9_zqW0N7qJUWgJ0Sw/edit?usp=sharing"",""ชัยนาท!J461"")+IMPORTRANGE(""https://docs.google.com/spreadsheets/d/1jkqa6GXxSacMcY1eN8AHjMNJ_7dDXMJ"&amp;"VRLDlaFSOdPM/edit?usp=sharing"",""ตราด!J461"")+IMPORTRANGE(""https://docs.google.com/spreadsheets/d/18hSgUJ3VwClqi_qtULmmW3cLr0oe3OKaSYoKzdpTsYQ/edit?usp=sharing"",""นครนายก!J461"")+IMPORTRANGE(""https://docs.google.com/spreadsheets/d/1YTZo6WM2dQ6Ix6FSdnL"&amp;"5P7uVnVKu40sxZu975tgG10E/edit?usp=sharing"",""นครปฐม!J461"")+IMPORTRANGE(""https://docs.google.com/spreadsheets/d/1OYoGg4WDg5RIzwGeB10padOxJF9E_Vljuvvct_M7RDo/edit?usp=sharing"",""ปทุมธานี!J461"")+IMPORTRANGE(""https://docs.google.com/spreadsheets/d/1GbCI"&amp;"E4D4wk9FUozzqk7SxfDMxDVBwVmI5zcaVUSzKAc/edit?usp=sharing"",""ประจวบคีรีขันธ์!J461"")+IMPORTRANGE(""https://docs.google.com/spreadsheets/d/1vVf6wykvW_lAyu7Yo9L4hUTqHqIeP_qcVuxCtosJEbg/edit?usp=sharing"",""ปราจีนบุรี!J461"")+IMPORTRANGE(""https://docs.googl"&amp;"e.com/spreadsheets/d/1BIDqLLg5jk3v59G8NlR8rk5xfQDKne0sAvZHSj7TI6I/edit?usp=sharing"",""พระนครศรีอยุธยา!J461"")+IMPORTRANGE(""https://docs.google.com/spreadsheets/d/1YXvxf8Yu6_rV4hTBrwMqAcAnv6DfhUxh5emyM3CJp_w/edit?usp=sharing"",""เพชรบุรี!J461"")+IMPORTRA"&amp;"NGE(""https://docs.google.com/spreadsheets/d/19KBlQQs7uwvsao6t2n-KvW3Ax8J8uRRfZPq1zPbXgKc/edit?usp=sharing"",""ระยอง!J461"")+IMPORTRANGE(""https://docs.google.com/spreadsheets/d/1jQ6P4QcrGM89YfqcC_PxOHGCMq5ezhucwJd8ci-NHng/edit?usp=sharing"",""ราชบุรี!J46"&amp;"1"")+IMPORTRANGE(""https://docs.google.com/spreadsheets/d/1lufeA2cfFqM-elVq2hznhDzC6Pr7wkJ9ZG_sYNGCMCU/edit?usp=sharing"",""ลพบุรี!J461"")+IMPORTRANGE(""https://docs.google.com/spreadsheets/d/10oOiF7loTyfsTkbd4MpaIm0HQ9SwB7IYHdIUvt-U1Uc/edit?usp=sharing"""&amp;",""สระแก้ว!J461"")+IMPORTRANGE(""https://docs.google.com/spreadsheets/d/1xmPlrr1QbdSIKvl1dWUl9K4PjAfSL9oeMr_37QVzcxc/edit?usp=sharing"",""สระบุรี!J461"")+IMPORTRANGE(""https://docs.google.com/spreadsheets/d/1j51vR6CYVGhABJpv6tkstgok82RLpXieLzW1yOY5rHw/edi"&amp;"t?usp=sharing"",""สิงห์บุรี!J461"")+IMPORTRANGE(""https://docs.google.com/spreadsheets/d/1H1EalTWKUSzO4Z1-1CwzoDUaVffgrThEBe2sl74kKG0/edit?usp=sharing"",""สุพรรณบุรี!J461"")+IMPORTRANGE(""https://docs.google.com/spreadsheets/d/1BmIruG_sIrJLYao_Pdr7zVArWsf"&amp;"oBt2692TMi6x_854/edit?usp=sharing"",""อ่างทอง!J461"")"),0)</f>
        <v>0</v>
      </c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604">
        <f ca="1">IFERROR(__xludf.DUMMYFUNCTION("IMPORTRANGE(""https://docs.google.com/spreadsheets/d/13wPX838HrBrQMCywv1BsuMkt4PEKTChp52zj44s2izQ/edit?usp=sharing"",""กาญจนบุรี!J462"")+IMPORTRANGE(""https://docs.google.com/spreadsheets/d/1ddFKvqj1W1NEiWytbGlB1zMx_ykJDVtmfEQ-6-lIUBA/edit?usp=sharing"","&amp;"""จันทบุรี!J462"")+IMPORTRANGE(""https://docs.google.com/spreadsheets/d/1T1PQvRODqOBZk8BRht_U031fIS1beLA0Ub2CEytj2q0/edit?usp=sharing"",""ฉะเชิงเทรา!J462"")+IMPORTRANGE(""https://docs.google.com/spreadsheets/d/11tr1B-Bhyr79v2bkwVh5h_fR-PStkgjlZtkrZpYurG0/"&amp;"edit?usp=sharing"",""ชลบุรี!J462"")+IMPORTRANGE(""https://docs.google.com/spreadsheets/d/1hh-FVnSX0vozXhGluamEcS54Dw9_zqW0N7qJUWgJ0Sw/edit?usp=sharing"",""ชัยนาท!J462"")+IMPORTRANGE(""https://docs.google.com/spreadsheets/d/1jkqa6GXxSacMcY1eN8AHjMNJ_7dDXMJ"&amp;"VRLDlaFSOdPM/edit?usp=sharing"",""ตราด!J462"")+IMPORTRANGE(""https://docs.google.com/spreadsheets/d/18hSgUJ3VwClqi_qtULmmW3cLr0oe3OKaSYoKzdpTsYQ/edit?usp=sharing"",""นครนายก!J462"")+IMPORTRANGE(""https://docs.google.com/spreadsheets/d/1YTZo6WM2dQ6Ix6FSdnL"&amp;"5P7uVnVKu40sxZu975tgG10E/edit?usp=sharing"",""นครปฐม!J462"")+IMPORTRANGE(""https://docs.google.com/spreadsheets/d/1OYoGg4WDg5RIzwGeB10padOxJF9E_Vljuvvct_M7RDo/edit?usp=sharing"",""ปทุมธานี!J462"")+IMPORTRANGE(""https://docs.google.com/spreadsheets/d/1GbCI"&amp;"E4D4wk9FUozzqk7SxfDMxDVBwVmI5zcaVUSzKAc/edit?usp=sharing"",""ประจวบคีรีขันธ์!J462"")+IMPORTRANGE(""https://docs.google.com/spreadsheets/d/1vVf6wykvW_lAyu7Yo9L4hUTqHqIeP_qcVuxCtosJEbg/edit?usp=sharing"",""ปราจีนบุรี!J462"")+IMPORTRANGE(""https://docs.googl"&amp;"e.com/spreadsheets/d/1BIDqLLg5jk3v59G8NlR8rk5xfQDKne0sAvZHSj7TI6I/edit?usp=sharing"",""พระนครศรีอยุธยา!J462"")+IMPORTRANGE(""https://docs.google.com/spreadsheets/d/1YXvxf8Yu6_rV4hTBrwMqAcAnv6DfhUxh5emyM3CJp_w/edit?usp=sharing"",""เพชรบุรี!J462"")+IMPORTRA"&amp;"NGE(""https://docs.google.com/spreadsheets/d/19KBlQQs7uwvsao6t2n-KvW3Ax8J8uRRfZPq1zPbXgKc/edit?usp=sharing"",""ระยอง!J462"")+IMPORTRANGE(""https://docs.google.com/spreadsheets/d/1jQ6P4QcrGM89YfqcC_PxOHGCMq5ezhucwJd8ci-NHng/edit?usp=sharing"",""ราชบุรี!J46"&amp;"2"")+IMPORTRANGE(""https://docs.google.com/spreadsheets/d/1lufeA2cfFqM-elVq2hznhDzC6Pr7wkJ9ZG_sYNGCMCU/edit?usp=sharing"",""ลพบุรี!J462"")+IMPORTRANGE(""https://docs.google.com/spreadsheets/d/10oOiF7loTyfsTkbd4MpaIm0HQ9SwB7IYHdIUvt-U1Uc/edit?usp=sharing"""&amp;",""สระแก้ว!J462"")+IMPORTRANGE(""https://docs.google.com/spreadsheets/d/1xmPlrr1QbdSIKvl1dWUl9K4PjAfSL9oeMr_37QVzcxc/edit?usp=sharing"",""สระบุรี!J462"")+IMPORTRANGE(""https://docs.google.com/spreadsheets/d/1j51vR6CYVGhABJpv6tkstgok82RLpXieLzW1yOY5rHw/edi"&amp;"t?usp=sharing"",""สิงห์บุรี!J462"")+IMPORTRANGE(""https://docs.google.com/spreadsheets/d/1H1EalTWKUSzO4Z1-1CwzoDUaVffgrThEBe2sl74kKG0/edit?usp=sharing"",""สุพรรณบุรี!J462"")+IMPORTRANGE(""https://docs.google.com/spreadsheets/d/1BmIruG_sIrJLYao_Pdr7zVArWsf"&amp;"oBt2692TMi6x_854/edit?usp=sharing"",""อ่างทอง!J462"")"),0)</f>
        <v>0</v>
      </c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604">
        <f ca="1">IFERROR(__xludf.DUMMYFUNCTION("IMPORTRANGE(""https://docs.google.com/spreadsheets/d/13wPX838HrBrQMCywv1BsuMkt4PEKTChp52zj44s2izQ/edit?usp=sharing"",""กาญจนบุรี!J463"")+IMPORTRANGE(""https://docs.google.com/spreadsheets/d/1ddFKvqj1W1NEiWytbGlB1zMx_ykJDVtmfEQ-6-lIUBA/edit?usp=sharing"","&amp;"""จันทบุรี!J463"")+IMPORTRANGE(""https://docs.google.com/spreadsheets/d/1T1PQvRODqOBZk8BRht_U031fIS1beLA0Ub2CEytj2q0/edit?usp=sharing"",""ฉะเชิงเทรา!J463"")+IMPORTRANGE(""https://docs.google.com/spreadsheets/d/11tr1B-Bhyr79v2bkwVh5h_fR-PStkgjlZtkrZpYurG0/"&amp;"edit?usp=sharing"",""ชลบุรี!J463"")+IMPORTRANGE(""https://docs.google.com/spreadsheets/d/1hh-FVnSX0vozXhGluamEcS54Dw9_zqW0N7qJUWgJ0Sw/edit?usp=sharing"",""ชัยนาท!J463"")+IMPORTRANGE(""https://docs.google.com/spreadsheets/d/1jkqa6GXxSacMcY1eN8AHjMNJ_7dDXMJ"&amp;"VRLDlaFSOdPM/edit?usp=sharing"",""ตราด!J463"")+IMPORTRANGE(""https://docs.google.com/spreadsheets/d/18hSgUJ3VwClqi_qtULmmW3cLr0oe3OKaSYoKzdpTsYQ/edit?usp=sharing"",""นครนายก!J463"")+IMPORTRANGE(""https://docs.google.com/spreadsheets/d/1YTZo6WM2dQ6Ix6FSdnL"&amp;"5P7uVnVKu40sxZu975tgG10E/edit?usp=sharing"",""นครปฐม!J463"")+IMPORTRANGE(""https://docs.google.com/spreadsheets/d/1OYoGg4WDg5RIzwGeB10padOxJF9E_Vljuvvct_M7RDo/edit?usp=sharing"",""ปทุมธานี!J463"")+IMPORTRANGE(""https://docs.google.com/spreadsheets/d/1GbCI"&amp;"E4D4wk9FUozzqk7SxfDMxDVBwVmI5zcaVUSzKAc/edit?usp=sharing"",""ประจวบคีรีขันธ์!J463"")+IMPORTRANGE(""https://docs.google.com/spreadsheets/d/1vVf6wykvW_lAyu7Yo9L4hUTqHqIeP_qcVuxCtosJEbg/edit?usp=sharing"",""ปราจีนบุรี!J463"")+IMPORTRANGE(""https://docs.googl"&amp;"e.com/spreadsheets/d/1BIDqLLg5jk3v59G8NlR8rk5xfQDKne0sAvZHSj7TI6I/edit?usp=sharing"",""พระนครศรีอยุธยา!J463"")+IMPORTRANGE(""https://docs.google.com/spreadsheets/d/1YXvxf8Yu6_rV4hTBrwMqAcAnv6DfhUxh5emyM3CJp_w/edit?usp=sharing"",""เพชรบุรี!J463"")+IMPORTRA"&amp;"NGE(""https://docs.google.com/spreadsheets/d/19KBlQQs7uwvsao6t2n-KvW3Ax8J8uRRfZPq1zPbXgKc/edit?usp=sharing"",""ระยอง!J463"")+IMPORTRANGE(""https://docs.google.com/spreadsheets/d/1jQ6P4QcrGM89YfqcC_PxOHGCMq5ezhucwJd8ci-NHng/edit?usp=sharing"",""ราชบุรี!J46"&amp;"3"")+IMPORTRANGE(""https://docs.google.com/spreadsheets/d/1lufeA2cfFqM-elVq2hznhDzC6Pr7wkJ9ZG_sYNGCMCU/edit?usp=sharing"",""ลพบุรี!J463"")+IMPORTRANGE(""https://docs.google.com/spreadsheets/d/10oOiF7loTyfsTkbd4MpaIm0HQ9SwB7IYHdIUvt-U1Uc/edit?usp=sharing"""&amp;",""สระแก้ว!J463"")+IMPORTRANGE(""https://docs.google.com/spreadsheets/d/1xmPlrr1QbdSIKvl1dWUl9K4PjAfSL9oeMr_37QVzcxc/edit?usp=sharing"",""สระบุรี!J463"")+IMPORTRANGE(""https://docs.google.com/spreadsheets/d/1j51vR6CYVGhABJpv6tkstgok82RLpXieLzW1yOY5rHw/edi"&amp;"t?usp=sharing"",""สิงห์บุรี!J463"")+IMPORTRANGE(""https://docs.google.com/spreadsheets/d/1H1EalTWKUSzO4Z1-1CwzoDUaVffgrThEBe2sl74kKG0/edit?usp=sharing"",""สุพรรณบุรี!J463"")+IMPORTRANGE(""https://docs.google.com/spreadsheets/d/1BmIruG_sIrJLYao_Pdr7zVArWsf"&amp;"oBt2692TMi6x_854/edit?usp=sharing"",""อ่างทอง!J463"")"),0)</f>
        <v>0</v>
      </c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604">
        <f ca="1">IFERROR(__xludf.DUMMYFUNCTION("IMPORTRANGE(""https://docs.google.com/spreadsheets/d/13wPX838HrBrQMCywv1BsuMkt4PEKTChp52zj44s2izQ/edit?usp=sharing"",""กาญจนบุรี!J464"")+IMPORTRANGE(""https://docs.google.com/spreadsheets/d/1ddFKvqj1W1NEiWytbGlB1zMx_ykJDVtmfEQ-6-lIUBA/edit?usp=sharing"","&amp;"""จันทบุรี!J464"")+IMPORTRANGE(""https://docs.google.com/spreadsheets/d/1T1PQvRODqOBZk8BRht_U031fIS1beLA0Ub2CEytj2q0/edit?usp=sharing"",""ฉะเชิงเทรา!J464"")+IMPORTRANGE(""https://docs.google.com/spreadsheets/d/11tr1B-Bhyr79v2bkwVh5h_fR-PStkgjlZtkrZpYurG0/"&amp;"edit?usp=sharing"",""ชลบุรี!J464"")+IMPORTRANGE(""https://docs.google.com/spreadsheets/d/1hh-FVnSX0vozXhGluamEcS54Dw9_zqW0N7qJUWgJ0Sw/edit?usp=sharing"",""ชัยนาท!J464"")+IMPORTRANGE(""https://docs.google.com/spreadsheets/d/1jkqa6GXxSacMcY1eN8AHjMNJ_7dDXMJ"&amp;"VRLDlaFSOdPM/edit?usp=sharing"",""ตราด!J464"")+IMPORTRANGE(""https://docs.google.com/spreadsheets/d/18hSgUJ3VwClqi_qtULmmW3cLr0oe3OKaSYoKzdpTsYQ/edit?usp=sharing"",""นครนายก!J464"")+IMPORTRANGE(""https://docs.google.com/spreadsheets/d/1YTZo6WM2dQ6Ix6FSdnL"&amp;"5P7uVnVKu40sxZu975tgG10E/edit?usp=sharing"",""นครปฐม!J464"")+IMPORTRANGE(""https://docs.google.com/spreadsheets/d/1OYoGg4WDg5RIzwGeB10padOxJF9E_Vljuvvct_M7RDo/edit?usp=sharing"",""ปทุมธานี!J464"")+IMPORTRANGE(""https://docs.google.com/spreadsheets/d/1GbCI"&amp;"E4D4wk9FUozzqk7SxfDMxDVBwVmI5zcaVUSzKAc/edit?usp=sharing"",""ประจวบคีรีขันธ์!J464"")+IMPORTRANGE(""https://docs.google.com/spreadsheets/d/1vVf6wykvW_lAyu7Yo9L4hUTqHqIeP_qcVuxCtosJEbg/edit?usp=sharing"",""ปราจีนบุรี!J464"")+IMPORTRANGE(""https://docs.googl"&amp;"e.com/spreadsheets/d/1BIDqLLg5jk3v59G8NlR8rk5xfQDKne0sAvZHSj7TI6I/edit?usp=sharing"",""พระนครศรีอยุธยา!J464"")+IMPORTRANGE(""https://docs.google.com/spreadsheets/d/1YXvxf8Yu6_rV4hTBrwMqAcAnv6DfhUxh5emyM3CJp_w/edit?usp=sharing"",""เพชรบุรี!J464"")+IMPORTRA"&amp;"NGE(""https://docs.google.com/spreadsheets/d/19KBlQQs7uwvsao6t2n-KvW3Ax8J8uRRfZPq1zPbXgKc/edit?usp=sharing"",""ระยอง!J464"")+IMPORTRANGE(""https://docs.google.com/spreadsheets/d/1jQ6P4QcrGM89YfqcC_PxOHGCMq5ezhucwJd8ci-NHng/edit?usp=sharing"",""ราชบุรี!J46"&amp;"4"")+IMPORTRANGE(""https://docs.google.com/spreadsheets/d/1lufeA2cfFqM-elVq2hznhDzC6Pr7wkJ9ZG_sYNGCMCU/edit?usp=sharing"",""ลพบุรี!J464"")+IMPORTRANGE(""https://docs.google.com/spreadsheets/d/10oOiF7loTyfsTkbd4MpaIm0HQ9SwB7IYHdIUvt-U1Uc/edit?usp=sharing"""&amp;",""สระแก้ว!J464"")+IMPORTRANGE(""https://docs.google.com/spreadsheets/d/1xmPlrr1QbdSIKvl1dWUl9K4PjAfSL9oeMr_37QVzcxc/edit?usp=sharing"",""สระบุรี!J464"")+IMPORTRANGE(""https://docs.google.com/spreadsheets/d/1j51vR6CYVGhABJpv6tkstgok82RLpXieLzW1yOY5rHw/edi"&amp;"t?usp=sharing"",""สิงห์บุรี!J464"")+IMPORTRANGE(""https://docs.google.com/spreadsheets/d/1H1EalTWKUSzO4Z1-1CwzoDUaVffgrThEBe2sl74kKG0/edit?usp=sharing"",""สุพรรณบุรี!J464"")+IMPORTRANGE(""https://docs.google.com/spreadsheets/d/1BmIruG_sIrJLYao_Pdr7zVArWsf"&amp;"oBt2692TMi6x_854/edit?usp=sharing"",""อ่างทอง!J464"")"),0)</f>
        <v>0</v>
      </c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604">
        <f ca="1">IFERROR(__xludf.DUMMYFUNCTION("IMPORTRANGE(""https://docs.google.com/spreadsheets/d/13wPX838HrBrQMCywv1BsuMkt4PEKTChp52zj44s2izQ/edit?usp=sharing"",""กาญจนบุรี!J465"")+IMPORTRANGE(""https://docs.google.com/spreadsheets/d/1ddFKvqj1W1NEiWytbGlB1zMx_ykJDVtmfEQ-6-lIUBA/edit?usp=sharing"","&amp;"""จันทบุรี!J465"")+IMPORTRANGE(""https://docs.google.com/spreadsheets/d/1T1PQvRODqOBZk8BRht_U031fIS1beLA0Ub2CEytj2q0/edit?usp=sharing"",""ฉะเชิงเทรา!J465"")+IMPORTRANGE(""https://docs.google.com/spreadsheets/d/11tr1B-Bhyr79v2bkwVh5h_fR-PStkgjlZtkrZpYurG0/"&amp;"edit?usp=sharing"",""ชลบุรี!J465"")+IMPORTRANGE(""https://docs.google.com/spreadsheets/d/1hh-FVnSX0vozXhGluamEcS54Dw9_zqW0N7qJUWgJ0Sw/edit?usp=sharing"",""ชัยนาท!J465"")+IMPORTRANGE(""https://docs.google.com/spreadsheets/d/1jkqa6GXxSacMcY1eN8AHjMNJ_7dDXMJ"&amp;"VRLDlaFSOdPM/edit?usp=sharing"",""ตราด!J465"")+IMPORTRANGE(""https://docs.google.com/spreadsheets/d/18hSgUJ3VwClqi_qtULmmW3cLr0oe3OKaSYoKzdpTsYQ/edit?usp=sharing"",""นครนายก!J465"")+IMPORTRANGE(""https://docs.google.com/spreadsheets/d/1YTZo6WM2dQ6Ix6FSdnL"&amp;"5P7uVnVKu40sxZu975tgG10E/edit?usp=sharing"",""นครปฐม!J465"")+IMPORTRANGE(""https://docs.google.com/spreadsheets/d/1OYoGg4WDg5RIzwGeB10padOxJF9E_Vljuvvct_M7RDo/edit?usp=sharing"",""ปทุมธานี!J465"")+IMPORTRANGE(""https://docs.google.com/spreadsheets/d/1GbCI"&amp;"E4D4wk9FUozzqk7SxfDMxDVBwVmI5zcaVUSzKAc/edit?usp=sharing"",""ประจวบคีรีขันธ์!J465"")+IMPORTRANGE(""https://docs.google.com/spreadsheets/d/1vVf6wykvW_lAyu7Yo9L4hUTqHqIeP_qcVuxCtosJEbg/edit?usp=sharing"",""ปราจีนบุรี!J465"")+IMPORTRANGE(""https://docs.googl"&amp;"e.com/spreadsheets/d/1BIDqLLg5jk3v59G8NlR8rk5xfQDKne0sAvZHSj7TI6I/edit?usp=sharing"",""พระนครศรีอยุธยา!J465"")+IMPORTRANGE(""https://docs.google.com/spreadsheets/d/1YXvxf8Yu6_rV4hTBrwMqAcAnv6DfhUxh5emyM3CJp_w/edit?usp=sharing"",""เพชรบุรี!J465"")+IMPORTRA"&amp;"NGE(""https://docs.google.com/spreadsheets/d/19KBlQQs7uwvsao6t2n-KvW3Ax8J8uRRfZPq1zPbXgKc/edit?usp=sharing"",""ระยอง!J465"")+IMPORTRANGE(""https://docs.google.com/spreadsheets/d/1jQ6P4QcrGM89YfqcC_PxOHGCMq5ezhucwJd8ci-NHng/edit?usp=sharing"",""ราชบุรี!J46"&amp;"5"")+IMPORTRANGE(""https://docs.google.com/spreadsheets/d/1lufeA2cfFqM-elVq2hznhDzC6Pr7wkJ9ZG_sYNGCMCU/edit?usp=sharing"",""ลพบุรี!J465"")+IMPORTRANGE(""https://docs.google.com/spreadsheets/d/10oOiF7loTyfsTkbd4MpaIm0HQ9SwB7IYHdIUvt-U1Uc/edit?usp=sharing"""&amp;",""สระแก้ว!J465"")+IMPORTRANGE(""https://docs.google.com/spreadsheets/d/1xmPlrr1QbdSIKvl1dWUl9K4PjAfSL9oeMr_37QVzcxc/edit?usp=sharing"",""สระบุรี!J465"")+IMPORTRANGE(""https://docs.google.com/spreadsheets/d/1j51vR6CYVGhABJpv6tkstgok82RLpXieLzW1yOY5rHw/edi"&amp;"t?usp=sharing"",""สิงห์บุรี!J465"")+IMPORTRANGE(""https://docs.google.com/spreadsheets/d/1H1EalTWKUSzO4Z1-1CwzoDUaVffgrThEBe2sl74kKG0/edit?usp=sharing"",""สุพรรณบุรี!J465"")+IMPORTRANGE(""https://docs.google.com/spreadsheets/d/1BmIruG_sIrJLYao_Pdr7zVArWsf"&amp;"oBt2692TMi6x_854/edit?usp=sharing"",""อ่างทอง!J465"")"),0)</f>
        <v>0</v>
      </c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604">
        <f ca="1">IFERROR(__xludf.DUMMYFUNCTION("IMPORTRANGE(""https://docs.google.com/spreadsheets/d/13wPX838HrBrQMCywv1BsuMkt4PEKTChp52zj44s2izQ/edit?usp=sharing"",""กาญจนบุรี!J466"")+IMPORTRANGE(""https://docs.google.com/spreadsheets/d/1ddFKvqj1W1NEiWytbGlB1zMx_ykJDVtmfEQ-6-lIUBA/edit?usp=sharing"","&amp;"""จันทบุรี!J466"")+IMPORTRANGE(""https://docs.google.com/spreadsheets/d/1T1PQvRODqOBZk8BRht_U031fIS1beLA0Ub2CEytj2q0/edit?usp=sharing"",""ฉะเชิงเทรา!J466"")+IMPORTRANGE(""https://docs.google.com/spreadsheets/d/11tr1B-Bhyr79v2bkwVh5h_fR-PStkgjlZtkrZpYurG0/"&amp;"edit?usp=sharing"",""ชลบุรี!J466"")+IMPORTRANGE(""https://docs.google.com/spreadsheets/d/1hh-FVnSX0vozXhGluamEcS54Dw9_zqW0N7qJUWgJ0Sw/edit?usp=sharing"",""ชัยนาท!J466"")+IMPORTRANGE(""https://docs.google.com/spreadsheets/d/1jkqa6GXxSacMcY1eN8AHjMNJ_7dDXMJ"&amp;"VRLDlaFSOdPM/edit?usp=sharing"",""ตราด!J466"")+IMPORTRANGE(""https://docs.google.com/spreadsheets/d/18hSgUJ3VwClqi_qtULmmW3cLr0oe3OKaSYoKzdpTsYQ/edit?usp=sharing"",""นครนายก!J466"")+IMPORTRANGE(""https://docs.google.com/spreadsheets/d/1YTZo6WM2dQ6Ix6FSdnL"&amp;"5P7uVnVKu40sxZu975tgG10E/edit?usp=sharing"",""นครปฐม!J466"")+IMPORTRANGE(""https://docs.google.com/spreadsheets/d/1OYoGg4WDg5RIzwGeB10padOxJF9E_Vljuvvct_M7RDo/edit?usp=sharing"",""ปทุมธานี!J466"")+IMPORTRANGE(""https://docs.google.com/spreadsheets/d/1GbCI"&amp;"E4D4wk9FUozzqk7SxfDMxDVBwVmI5zcaVUSzKAc/edit?usp=sharing"",""ประจวบคีรีขันธ์!J466"")+IMPORTRANGE(""https://docs.google.com/spreadsheets/d/1vVf6wykvW_lAyu7Yo9L4hUTqHqIeP_qcVuxCtosJEbg/edit?usp=sharing"",""ปราจีนบุรี!J466"")+IMPORTRANGE(""https://docs.googl"&amp;"e.com/spreadsheets/d/1BIDqLLg5jk3v59G8NlR8rk5xfQDKne0sAvZHSj7TI6I/edit?usp=sharing"",""พระนครศรีอยุธยา!J466"")+IMPORTRANGE(""https://docs.google.com/spreadsheets/d/1YXvxf8Yu6_rV4hTBrwMqAcAnv6DfhUxh5emyM3CJp_w/edit?usp=sharing"",""เพชรบุรี!J466"")+IMPORTRA"&amp;"NGE(""https://docs.google.com/spreadsheets/d/19KBlQQs7uwvsao6t2n-KvW3Ax8J8uRRfZPq1zPbXgKc/edit?usp=sharing"",""ระยอง!J466"")+IMPORTRANGE(""https://docs.google.com/spreadsheets/d/1jQ6P4QcrGM89YfqcC_PxOHGCMq5ezhucwJd8ci-NHng/edit?usp=sharing"",""ราชบุรี!J46"&amp;"6"")+IMPORTRANGE(""https://docs.google.com/spreadsheets/d/1lufeA2cfFqM-elVq2hznhDzC6Pr7wkJ9ZG_sYNGCMCU/edit?usp=sharing"",""ลพบุรี!J466"")+IMPORTRANGE(""https://docs.google.com/spreadsheets/d/10oOiF7loTyfsTkbd4MpaIm0HQ9SwB7IYHdIUvt-U1Uc/edit?usp=sharing"""&amp;",""สระแก้ว!J466"")+IMPORTRANGE(""https://docs.google.com/spreadsheets/d/1xmPlrr1QbdSIKvl1dWUl9K4PjAfSL9oeMr_37QVzcxc/edit?usp=sharing"",""สระบุรี!J466"")+IMPORTRANGE(""https://docs.google.com/spreadsheets/d/1j51vR6CYVGhABJpv6tkstgok82RLpXieLzW1yOY5rHw/edi"&amp;"t?usp=sharing"",""สิงห์บุรี!J466"")+IMPORTRANGE(""https://docs.google.com/spreadsheets/d/1H1EalTWKUSzO4Z1-1CwzoDUaVffgrThEBe2sl74kKG0/edit?usp=sharing"",""สุพรรณบุรี!J466"")+IMPORTRANGE(""https://docs.google.com/spreadsheets/d/1BmIruG_sIrJLYao_Pdr7zVArWsf"&amp;"oBt2692TMi6x_854/edit?usp=sharing"",""อ่างทอง!J466"")"),0)</f>
        <v>0</v>
      </c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 t="shared" ref="J467:J468" ca="1" si="331"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 t="shared" ca="1" si="331"/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604">
        <f ca="1">IFERROR(__xludf.DUMMYFUNCTION("IMPORTRANGE(""https://docs.google.com/spreadsheets/d/13wPX838HrBrQMCywv1BsuMkt4PEKTChp52zj44s2izQ/edit?usp=sharing"",""กาญจนบุรี!J469"")+IMPORTRANGE(""https://docs.google.com/spreadsheets/d/1ddFKvqj1W1NEiWytbGlB1zMx_ykJDVtmfEQ-6-lIUBA/edit?usp=sharing"","&amp;"""จันทบุรี!J469"")+IMPORTRANGE(""https://docs.google.com/spreadsheets/d/1T1PQvRODqOBZk8BRht_U031fIS1beLA0Ub2CEytj2q0/edit?usp=sharing"",""ฉะเชิงเทรา!J469"")+IMPORTRANGE(""https://docs.google.com/spreadsheets/d/11tr1B-Bhyr79v2bkwVh5h_fR-PStkgjlZtkrZpYurG0/"&amp;"edit?usp=sharing"",""ชลบุรี!J469"")+IMPORTRANGE(""https://docs.google.com/spreadsheets/d/1hh-FVnSX0vozXhGluamEcS54Dw9_zqW0N7qJUWgJ0Sw/edit?usp=sharing"",""ชัยนาท!J469"")+IMPORTRANGE(""https://docs.google.com/spreadsheets/d/1jkqa6GXxSacMcY1eN8AHjMNJ_7dDXMJ"&amp;"VRLDlaFSOdPM/edit?usp=sharing"",""ตราด!J469"")+IMPORTRANGE(""https://docs.google.com/spreadsheets/d/18hSgUJ3VwClqi_qtULmmW3cLr0oe3OKaSYoKzdpTsYQ/edit?usp=sharing"",""นครนายก!J469"")+IMPORTRANGE(""https://docs.google.com/spreadsheets/d/1YTZo6WM2dQ6Ix6FSdnL"&amp;"5P7uVnVKu40sxZu975tgG10E/edit?usp=sharing"",""นครปฐม!J469"")+IMPORTRANGE(""https://docs.google.com/spreadsheets/d/1OYoGg4WDg5RIzwGeB10padOxJF9E_Vljuvvct_M7RDo/edit?usp=sharing"",""ปทุมธานี!J469"")+IMPORTRANGE(""https://docs.google.com/spreadsheets/d/1GbCI"&amp;"E4D4wk9FUozzqk7SxfDMxDVBwVmI5zcaVUSzKAc/edit?usp=sharing"",""ประจวบคีรีขันธ์!J469"")+IMPORTRANGE(""https://docs.google.com/spreadsheets/d/1vVf6wykvW_lAyu7Yo9L4hUTqHqIeP_qcVuxCtosJEbg/edit?usp=sharing"",""ปราจีนบุรี!J469"")+IMPORTRANGE(""https://docs.googl"&amp;"e.com/spreadsheets/d/1BIDqLLg5jk3v59G8NlR8rk5xfQDKne0sAvZHSj7TI6I/edit?usp=sharing"",""พระนครศรีอยุธยา!J469"")+IMPORTRANGE(""https://docs.google.com/spreadsheets/d/1YXvxf8Yu6_rV4hTBrwMqAcAnv6DfhUxh5emyM3CJp_w/edit?usp=sharing"",""เพชรบุรี!J469"")+IMPORTRA"&amp;"NGE(""https://docs.google.com/spreadsheets/d/19KBlQQs7uwvsao6t2n-KvW3Ax8J8uRRfZPq1zPbXgKc/edit?usp=sharing"",""ระยอง!J469"")+IMPORTRANGE(""https://docs.google.com/spreadsheets/d/1jQ6P4QcrGM89YfqcC_PxOHGCMq5ezhucwJd8ci-NHng/edit?usp=sharing"",""ราชบุรี!J46"&amp;"9"")+IMPORTRANGE(""https://docs.google.com/spreadsheets/d/1lufeA2cfFqM-elVq2hznhDzC6Pr7wkJ9ZG_sYNGCMCU/edit?usp=sharing"",""ลพบุรี!J469"")+IMPORTRANGE(""https://docs.google.com/spreadsheets/d/10oOiF7loTyfsTkbd4MpaIm0HQ9SwB7IYHdIUvt-U1Uc/edit?usp=sharing"""&amp;",""สระแก้ว!J469"")+IMPORTRANGE(""https://docs.google.com/spreadsheets/d/1xmPlrr1QbdSIKvl1dWUl9K4PjAfSL9oeMr_37QVzcxc/edit?usp=sharing"",""สระบุรี!J469"")+IMPORTRANGE(""https://docs.google.com/spreadsheets/d/1j51vR6CYVGhABJpv6tkstgok82RLpXieLzW1yOY5rHw/edi"&amp;"t?usp=sharing"",""สิงห์บุรี!J469"")+IMPORTRANGE(""https://docs.google.com/spreadsheets/d/1H1EalTWKUSzO4Z1-1CwzoDUaVffgrThEBe2sl74kKG0/edit?usp=sharing"",""สุพรรณบุรี!J469"")+IMPORTRANGE(""https://docs.google.com/spreadsheets/d/1BmIruG_sIrJLYao_Pdr7zVArWsf"&amp;"oBt2692TMi6x_854/edit?usp=sharing"",""อ่างทอง!J469"")"),0)</f>
        <v>0</v>
      </c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604">
        <f ca="1">IFERROR(__xludf.DUMMYFUNCTION("IMPORTRANGE(""https://docs.google.com/spreadsheets/d/13wPX838HrBrQMCywv1BsuMkt4PEKTChp52zj44s2izQ/edit?usp=sharing"",""กาญจนบุรี!J470"")+IMPORTRANGE(""https://docs.google.com/spreadsheets/d/1ddFKvqj1W1NEiWytbGlB1zMx_ykJDVtmfEQ-6-lIUBA/edit?usp=sharing"","&amp;"""จันทบุรี!J470"")+IMPORTRANGE(""https://docs.google.com/spreadsheets/d/1T1PQvRODqOBZk8BRht_U031fIS1beLA0Ub2CEytj2q0/edit?usp=sharing"",""ฉะเชิงเทรา!J470"")+IMPORTRANGE(""https://docs.google.com/spreadsheets/d/11tr1B-Bhyr79v2bkwVh5h_fR-PStkgjlZtkrZpYurG0/"&amp;"edit?usp=sharing"",""ชลบุรี!J470"")+IMPORTRANGE(""https://docs.google.com/spreadsheets/d/1hh-FVnSX0vozXhGluamEcS54Dw9_zqW0N7qJUWgJ0Sw/edit?usp=sharing"",""ชัยนาท!J470"")+IMPORTRANGE(""https://docs.google.com/spreadsheets/d/1jkqa6GXxSacMcY1eN8AHjMNJ_7dDXMJ"&amp;"VRLDlaFSOdPM/edit?usp=sharing"",""ตราด!J470"")+IMPORTRANGE(""https://docs.google.com/spreadsheets/d/18hSgUJ3VwClqi_qtULmmW3cLr0oe3OKaSYoKzdpTsYQ/edit?usp=sharing"",""นครนายก!J470"")+IMPORTRANGE(""https://docs.google.com/spreadsheets/d/1YTZo6WM2dQ6Ix6FSdnL"&amp;"5P7uVnVKu40sxZu975tgG10E/edit?usp=sharing"",""นครปฐม!J470"")+IMPORTRANGE(""https://docs.google.com/spreadsheets/d/1OYoGg4WDg5RIzwGeB10padOxJF9E_Vljuvvct_M7RDo/edit?usp=sharing"",""ปทุมธานี!J470"")+IMPORTRANGE(""https://docs.google.com/spreadsheets/d/1GbCI"&amp;"E4D4wk9FUozzqk7SxfDMxDVBwVmI5zcaVUSzKAc/edit?usp=sharing"",""ประจวบคีรีขันธ์!J470"")+IMPORTRANGE(""https://docs.google.com/spreadsheets/d/1vVf6wykvW_lAyu7Yo9L4hUTqHqIeP_qcVuxCtosJEbg/edit?usp=sharing"",""ปราจีนบุรี!J470"")+IMPORTRANGE(""https://docs.googl"&amp;"e.com/spreadsheets/d/1BIDqLLg5jk3v59G8NlR8rk5xfQDKne0sAvZHSj7TI6I/edit?usp=sharing"",""พระนครศรีอยุธยา!J470"")+IMPORTRANGE(""https://docs.google.com/spreadsheets/d/1YXvxf8Yu6_rV4hTBrwMqAcAnv6DfhUxh5emyM3CJp_w/edit?usp=sharing"",""เพชรบุรี!J470"")+IMPORTRA"&amp;"NGE(""https://docs.google.com/spreadsheets/d/19KBlQQs7uwvsao6t2n-KvW3Ax8J8uRRfZPq1zPbXgKc/edit?usp=sharing"",""ระยอง!J470"")+IMPORTRANGE(""https://docs.google.com/spreadsheets/d/1jQ6P4QcrGM89YfqcC_PxOHGCMq5ezhucwJd8ci-NHng/edit?usp=sharing"",""ราชบุรี!J47"&amp;"0"")+IMPORTRANGE(""https://docs.google.com/spreadsheets/d/1lufeA2cfFqM-elVq2hznhDzC6Pr7wkJ9ZG_sYNGCMCU/edit?usp=sharing"",""ลพบุรี!J470"")+IMPORTRANGE(""https://docs.google.com/spreadsheets/d/10oOiF7loTyfsTkbd4MpaIm0HQ9SwB7IYHdIUvt-U1Uc/edit?usp=sharing"""&amp;",""สระแก้ว!J470"")+IMPORTRANGE(""https://docs.google.com/spreadsheets/d/1xmPlrr1QbdSIKvl1dWUl9K4PjAfSL9oeMr_37QVzcxc/edit?usp=sharing"",""สระบุรี!J470"")+IMPORTRANGE(""https://docs.google.com/spreadsheets/d/1j51vR6CYVGhABJpv6tkstgok82RLpXieLzW1yOY5rHw/edi"&amp;"t?usp=sharing"",""สิงห์บุรี!J470"")+IMPORTRANGE(""https://docs.google.com/spreadsheets/d/1H1EalTWKUSzO4Z1-1CwzoDUaVffgrThEBe2sl74kKG0/edit?usp=sharing"",""สุพรรณบุรี!J470"")+IMPORTRANGE(""https://docs.google.com/spreadsheets/d/1BmIruG_sIrJLYao_Pdr7zVArWsf"&amp;"oBt2692TMi6x_854/edit?usp=sharing"",""อ่างทอง!J470"")"),0)</f>
        <v>0</v>
      </c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604">
        <f ca="1">IFERROR(__xludf.DUMMYFUNCTION("IMPORTRANGE(""https://docs.google.com/spreadsheets/d/13wPX838HrBrQMCywv1BsuMkt4PEKTChp52zj44s2izQ/edit?usp=sharing"",""กาญจนบุรี!J471"")+IMPORTRANGE(""https://docs.google.com/spreadsheets/d/1ddFKvqj1W1NEiWytbGlB1zMx_ykJDVtmfEQ-6-lIUBA/edit?usp=sharing"","&amp;"""จันทบุรี!J471"")+IMPORTRANGE(""https://docs.google.com/spreadsheets/d/1T1PQvRODqOBZk8BRht_U031fIS1beLA0Ub2CEytj2q0/edit?usp=sharing"",""ฉะเชิงเทรา!J471"")+IMPORTRANGE(""https://docs.google.com/spreadsheets/d/11tr1B-Bhyr79v2bkwVh5h_fR-PStkgjlZtkrZpYurG0/"&amp;"edit?usp=sharing"",""ชลบุรี!J471"")+IMPORTRANGE(""https://docs.google.com/spreadsheets/d/1hh-FVnSX0vozXhGluamEcS54Dw9_zqW0N7qJUWgJ0Sw/edit?usp=sharing"",""ชัยนาท!J471"")+IMPORTRANGE(""https://docs.google.com/spreadsheets/d/1jkqa6GXxSacMcY1eN8AHjMNJ_7dDXMJ"&amp;"VRLDlaFSOdPM/edit?usp=sharing"",""ตราด!J471"")+IMPORTRANGE(""https://docs.google.com/spreadsheets/d/18hSgUJ3VwClqi_qtULmmW3cLr0oe3OKaSYoKzdpTsYQ/edit?usp=sharing"",""นครนายก!J471"")+IMPORTRANGE(""https://docs.google.com/spreadsheets/d/1YTZo6WM2dQ6Ix6FSdnL"&amp;"5P7uVnVKu40sxZu975tgG10E/edit?usp=sharing"",""นครปฐม!J471"")+IMPORTRANGE(""https://docs.google.com/spreadsheets/d/1OYoGg4WDg5RIzwGeB10padOxJF9E_Vljuvvct_M7RDo/edit?usp=sharing"",""ปทุมธานี!J471"")+IMPORTRANGE(""https://docs.google.com/spreadsheets/d/1GbCI"&amp;"E4D4wk9FUozzqk7SxfDMxDVBwVmI5zcaVUSzKAc/edit?usp=sharing"",""ประจวบคีรีขันธ์!J471"")+IMPORTRANGE(""https://docs.google.com/spreadsheets/d/1vVf6wykvW_lAyu7Yo9L4hUTqHqIeP_qcVuxCtosJEbg/edit?usp=sharing"",""ปราจีนบุรี!J471"")+IMPORTRANGE(""https://docs.googl"&amp;"e.com/spreadsheets/d/1BIDqLLg5jk3v59G8NlR8rk5xfQDKne0sAvZHSj7TI6I/edit?usp=sharing"",""พระนครศรีอยุธยา!J471"")+IMPORTRANGE(""https://docs.google.com/spreadsheets/d/1YXvxf8Yu6_rV4hTBrwMqAcAnv6DfhUxh5emyM3CJp_w/edit?usp=sharing"",""เพชรบุรี!J471"")+IMPORTRA"&amp;"NGE(""https://docs.google.com/spreadsheets/d/19KBlQQs7uwvsao6t2n-KvW3Ax8J8uRRfZPq1zPbXgKc/edit?usp=sharing"",""ระยอง!J471"")+IMPORTRANGE(""https://docs.google.com/spreadsheets/d/1jQ6P4QcrGM89YfqcC_PxOHGCMq5ezhucwJd8ci-NHng/edit?usp=sharing"",""ราชบุรี!J47"&amp;"1"")+IMPORTRANGE(""https://docs.google.com/spreadsheets/d/1lufeA2cfFqM-elVq2hznhDzC6Pr7wkJ9ZG_sYNGCMCU/edit?usp=sharing"",""ลพบุรี!J471"")+IMPORTRANGE(""https://docs.google.com/spreadsheets/d/10oOiF7loTyfsTkbd4MpaIm0HQ9SwB7IYHdIUvt-U1Uc/edit?usp=sharing"""&amp;",""สระแก้ว!J471"")+IMPORTRANGE(""https://docs.google.com/spreadsheets/d/1xmPlrr1QbdSIKvl1dWUl9K4PjAfSL9oeMr_37QVzcxc/edit?usp=sharing"",""สระบุรี!J471"")+IMPORTRANGE(""https://docs.google.com/spreadsheets/d/1j51vR6CYVGhABJpv6tkstgok82RLpXieLzW1yOY5rHw/edi"&amp;"t?usp=sharing"",""สิงห์บุรี!J471"")+IMPORTRANGE(""https://docs.google.com/spreadsheets/d/1H1EalTWKUSzO4Z1-1CwzoDUaVffgrThEBe2sl74kKG0/edit?usp=sharing"",""สุพรรณบุรี!J471"")+IMPORTRANGE(""https://docs.google.com/spreadsheets/d/1BmIruG_sIrJLYao_Pdr7zVArWsf"&amp;"oBt2692TMi6x_854/edit?usp=sharing"",""อ่างทอง!J471"")"),0)</f>
        <v>0</v>
      </c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604">
        <f ca="1">IFERROR(__xludf.DUMMYFUNCTION("IMPORTRANGE(""https://docs.google.com/spreadsheets/d/13wPX838HrBrQMCywv1BsuMkt4PEKTChp52zj44s2izQ/edit?usp=sharing"",""กาญจนบุรี!J472"")+IMPORTRANGE(""https://docs.google.com/spreadsheets/d/1ddFKvqj1W1NEiWytbGlB1zMx_ykJDVtmfEQ-6-lIUBA/edit?usp=sharing"","&amp;"""จันทบุรี!J472"")+IMPORTRANGE(""https://docs.google.com/spreadsheets/d/1T1PQvRODqOBZk8BRht_U031fIS1beLA0Ub2CEytj2q0/edit?usp=sharing"",""ฉะเชิงเทรา!J472"")+IMPORTRANGE(""https://docs.google.com/spreadsheets/d/11tr1B-Bhyr79v2bkwVh5h_fR-PStkgjlZtkrZpYurG0/"&amp;"edit?usp=sharing"",""ชลบุรี!J472"")+IMPORTRANGE(""https://docs.google.com/spreadsheets/d/1hh-FVnSX0vozXhGluamEcS54Dw9_zqW0N7qJUWgJ0Sw/edit?usp=sharing"",""ชัยนาท!J472"")+IMPORTRANGE(""https://docs.google.com/spreadsheets/d/1jkqa6GXxSacMcY1eN8AHjMNJ_7dDXMJ"&amp;"VRLDlaFSOdPM/edit?usp=sharing"",""ตราด!J472"")+IMPORTRANGE(""https://docs.google.com/spreadsheets/d/18hSgUJ3VwClqi_qtULmmW3cLr0oe3OKaSYoKzdpTsYQ/edit?usp=sharing"",""นครนายก!J472"")+IMPORTRANGE(""https://docs.google.com/spreadsheets/d/1YTZo6WM2dQ6Ix6FSdnL"&amp;"5P7uVnVKu40sxZu975tgG10E/edit?usp=sharing"",""นครปฐม!J472"")+IMPORTRANGE(""https://docs.google.com/spreadsheets/d/1OYoGg4WDg5RIzwGeB10padOxJF9E_Vljuvvct_M7RDo/edit?usp=sharing"",""ปทุมธานี!J472"")+IMPORTRANGE(""https://docs.google.com/spreadsheets/d/1GbCI"&amp;"E4D4wk9FUozzqk7SxfDMxDVBwVmI5zcaVUSzKAc/edit?usp=sharing"",""ประจวบคีรีขันธ์!J472"")+IMPORTRANGE(""https://docs.google.com/spreadsheets/d/1vVf6wykvW_lAyu7Yo9L4hUTqHqIeP_qcVuxCtosJEbg/edit?usp=sharing"",""ปราจีนบุรี!J472"")+IMPORTRANGE(""https://docs.googl"&amp;"e.com/spreadsheets/d/1BIDqLLg5jk3v59G8NlR8rk5xfQDKne0sAvZHSj7TI6I/edit?usp=sharing"",""พระนครศรีอยุธยา!J472"")+IMPORTRANGE(""https://docs.google.com/spreadsheets/d/1YXvxf8Yu6_rV4hTBrwMqAcAnv6DfhUxh5emyM3CJp_w/edit?usp=sharing"",""เพชรบุรี!J472"")+IMPORTRA"&amp;"NGE(""https://docs.google.com/spreadsheets/d/19KBlQQs7uwvsao6t2n-KvW3Ax8J8uRRfZPq1zPbXgKc/edit?usp=sharing"",""ระยอง!J472"")+IMPORTRANGE(""https://docs.google.com/spreadsheets/d/1jQ6P4QcrGM89YfqcC_PxOHGCMq5ezhucwJd8ci-NHng/edit?usp=sharing"",""ราชบุรี!J47"&amp;"2"")+IMPORTRANGE(""https://docs.google.com/spreadsheets/d/1lufeA2cfFqM-elVq2hznhDzC6Pr7wkJ9ZG_sYNGCMCU/edit?usp=sharing"",""ลพบุรี!J472"")+IMPORTRANGE(""https://docs.google.com/spreadsheets/d/10oOiF7loTyfsTkbd4MpaIm0HQ9SwB7IYHdIUvt-U1Uc/edit?usp=sharing"""&amp;",""สระแก้ว!J472"")+IMPORTRANGE(""https://docs.google.com/spreadsheets/d/1xmPlrr1QbdSIKvl1dWUl9K4PjAfSL9oeMr_37QVzcxc/edit?usp=sharing"",""สระบุรี!J472"")+IMPORTRANGE(""https://docs.google.com/spreadsheets/d/1j51vR6CYVGhABJpv6tkstgok82RLpXieLzW1yOY5rHw/edi"&amp;"t?usp=sharing"",""สิงห์บุรี!J472"")+IMPORTRANGE(""https://docs.google.com/spreadsheets/d/1H1EalTWKUSzO4Z1-1CwzoDUaVffgrThEBe2sl74kKG0/edit?usp=sharing"",""สุพรรณบุรี!J472"")+IMPORTRANGE(""https://docs.google.com/spreadsheets/d/1BmIruG_sIrJLYao_Pdr7zVArWsf"&amp;"oBt2692TMi6x_854/edit?usp=sharing"",""อ่างทอง!J472"")"),0)</f>
        <v>0</v>
      </c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604">
        <f ca="1">IFERROR(__xludf.DUMMYFUNCTION("IMPORTRANGE(""https://docs.google.com/spreadsheets/d/13wPX838HrBrQMCywv1BsuMkt4PEKTChp52zj44s2izQ/edit?usp=sharing"",""กาญจนบุรี!J473"")+IMPORTRANGE(""https://docs.google.com/spreadsheets/d/1ddFKvqj1W1NEiWytbGlB1zMx_ykJDVtmfEQ-6-lIUBA/edit?usp=sharing"","&amp;"""จันทบุรี!J473"")+IMPORTRANGE(""https://docs.google.com/spreadsheets/d/1T1PQvRODqOBZk8BRht_U031fIS1beLA0Ub2CEytj2q0/edit?usp=sharing"",""ฉะเชิงเทรา!J473"")+IMPORTRANGE(""https://docs.google.com/spreadsheets/d/11tr1B-Bhyr79v2bkwVh5h_fR-PStkgjlZtkrZpYurG0/"&amp;"edit?usp=sharing"",""ชลบุรี!J473"")+IMPORTRANGE(""https://docs.google.com/spreadsheets/d/1hh-FVnSX0vozXhGluamEcS54Dw9_zqW0N7qJUWgJ0Sw/edit?usp=sharing"",""ชัยนาท!J473"")+IMPORTRANGE(""https://docs.google.com/spreadsheets/d/1jkqa6GXxSacMcY1eN8AHjMNJ_7dDXMJ"&amp;"VRLDlaFSOdPM/edit?usp=sharing"",""ตราด!J473"")+IMPORTRANGE(""https://docs.google.com/spreadsheets/d/18hSgUJ3VwClqi_qtULmmW3cLr0oe3OKaSYoKzdpTsYQ/edit?usp=sharing"",""นครนายก!J473"")+IMPORTRANGE(""https://docs.google.com/spreadsheets/d/1YTZo6WM2dQ6Ix6FSdnL"&amp;"5P7uVnVKu40sxZu975tgG10E/edit?usp=sharing"",""นครปฐม!J473"")+IMPORTRANGE(""https://docs.google.com/spreadsheets/d/1OYoGg4WDg5RIzwGeB10padOxJF9E_Vljuvvct_M7RDo/edit?usp=sharing"",""ปทุมธานี!J473"")+IMPORTRANGE(""https://docs.google.com/spreadsheets/d/1GbCI"&amp;"E4D4wk9FUozzqk7SxfDMxDVBwVmI5zcaVUSzKAc/edit?usp=sharing"",""ประจวบคีรีขันธ์!J473"")+IMPORTRANGE(""https://docs.google.com/spreadsheets/d/1vVf6wykvW_lAyu7Yo9L4hUTqHqIeP_qcVuxCtosJEbg/edit?usp=sharing"",""ปราจีนบุรี!J473"")+IMPORTRANGE(""https://docs.googl"&amp;"e.com/spreadsheets/d/1BIDqLLg5jk3v59G8NlR8rk5xfQDKne0sAvZHSj7TI6I/edit?usp=sharing"",""พระนครศรีอยุธยา!J473"")+IMPORTRANGE(""https://docs.google.com/spreadsheets/d/1YXvxf8Yu6_rV4hTBrwMqAcAnv6DfhUxh5emyM3CJp_w/edit?usp=sharing"",""เพชรบุรี!J473"")+IMPORTRA"&amp;"NGE(""https://docs.google.com/spreadsheets/d/19KBlQQs7uwvsao6t2n-KvW3Ax8J8uRRfZPq1zPbXgKc/edit?usp=sharing"",""ระยอง!J473"")+IMPORTRANGE(""https://docs.google.com/spreadsheets/d/1jQ6P4QcrGM89YfqcC_PxOHGCMq5ezhucwJd8ci-NHng/edit?usp=sharing"",""ราชบุรี!J47"&amp;"3"")+IMPORTRANGE(""https://docs.google.com/spreadsheets/d/1lufeA2cfFqM-elVq2hznhDzC6Pr7wkJ9ZG_sYNGCMCU/edit?usp=sharing"",""ลพบุรี!J473"")+IMPORTRANGE(""https://docs.google.com/spreadsheets/d/10oOiF7loTyfsTkbd4MpaIm0HQ9SwB7IYHdIUvt-U1Uc/edit?usp=sharing"""&amp;",""สระแก้ว!J473"")+IMPORTRANGE(""https://docs.google.com/spreadsheets/d/1xmPlrr1QbdSIKvl1dWUl9K4PjAfSL9oeMr_37QVzcxc/edit?usp=sharing"",""สระบุรี!J473"")+IMPORTRANGE(""https://docs.google.com/spreadsheets/d/1j51vR6CYVGhABJpv6tkstgok82RLpXieLzW1yOY5rHw/edi"&amp;"t?usp=sharing"",""สิงห์บุรี!J473"")+IMPORTRANGE(""https://docs.google.com/spreadsheets/d/1H1EalTWKUSzO4Z1-1CwzoDUaVffgrThEBe2sl74kKG0/edit?usp=sharing"",""สุพรรณบุรี!J473"")+IMPORTRANGE(""https://docs.google.com/spreadsheets/d/1BmIruG_sIrJLYao_Pdr7zVArWsf"&amp;"oBt2692TMi6x_854/edit?usp=sharing"",""อ่างทอง!J473"")"),0)</f>
        <v>0</v>
      </c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604">
        <f ca="1">IFERROR(__xludf.DUMMYFUNCTION("IMPORTRANGE(""https://docs.google.com/spreadsheets/d/13wPX838HrBrQMCywv1BsuMkt4PEKTChp52zj44s2izQ/edit?usp=sharing"",""กาญจนบุรี!J474"")+IMPORTRANGE(""https://docs.google.com/spreadsheets/d/1ddFKvqj1W1NEiWytbGlB1zMx_ykJDVtmfEQ-6-lIUBA/edit?usp=sharing"","&amp;"""จันทบุรี!J474"")+IMPORTRANGE(""https://docs.google.com/spreadsheets/d/1T1PQvRODqOBZk8BRht_U031fIS1beLA0Ub2CEytj2q0/edit?usp=sharing"",""ฉะเชิงเทรา!J474"")+IMPORTRANGE(""https://docs.google.com/spreadsheets/d/11tr1B-Bhyr79v2bkwVh5h_fR-PStkgjlZtkrZpYurG0/"&amp;"edit?usp=sharing"",""ชลบุรี!J474"")+IMPORTRANGE(""https://docs.google.com/spreadsheets/d/1hh-FVnSX0vozXhGluamEcS54Dw9_zqW0N7qJUWgJ0Sw/edit?usp=sharing"",""ชัยนาท!J474"")+IMPORTRANGE(""https://docs.google.com/spreadsheets/d/1jkqa6GXxSacMcY1eN8AHjMNJ_7dDXMJ"&amp;"VRLDlaFSOdPM/edit?usp=sharing"",""ตราด!J474"")+IMPORTRANGE(""https://docs.google.com/spreadsheets/d/18hSgUJ3VwClqi_qtULmmW3cLr0oe3OKaSYoKzdpTsYQ/edit?usp=sharing"",""นครนายก!J474"")+IMPORTRANGE(""https://docs.google.com/spreadsheets/d/1YTZo6WM2dQ6Ix6FSdnL"&amp;"5P7uVnVKu40sxZu975tgG10E/edit?usp=sharing"",""นครปฐม!J474"")+IMPORTRANGE(""https://docs.google.com/spreadsheets/d/1OYoGg4WDg5RIzwGeB10padOxJF9E_Vljuvvct_M7RDo/edit?usp=sharing"",""ปทุมธานี!J474"")+IMPORTRANGE(""https://docs.google.com/spreadsheets/d/1GbCI"&amp;"E4D4wk9FUozzqk7SxfDMxDVBwVmI5zcaVUSzKAc/edit?usp=sharing"",""ประจวบคีรีขันธ์!J474"")+IMPORTRANGE(""https://docs.google.com/spreadsheets/d/1vVf6wykvW_lAyu7Yo9L4hUTqHqIeP_qcVuxCtosJEbg/edit?usp=sharing"",""ปราจีนบุรี!J474"")+IMPORTRANGE(""https://docs.googl"&amp;"e.com/spreadsheets/d/1BIDqLLg5jk3v59G8NlR8rk5xfQDKne0sAvZHSj7TI6I/edit?usp=sharing"",""พระนครศรีอยุธยา!J474"")+IMPORTRANGE(""https://docs.google.com/spreadsheets/d/1YXvxf8Yu6_rV4hTBrwMqAcAnv6DfhUxh5emyM3CJp_w/edit?usp=sharing"",""เพชรบุรี!J474"")+IMPORTRA"&amp;"NGE(""https://docs.google.com/spreadsheets/d/19KBlQQs7uwvsao6t2n-KvW3Ax8J8uRRfZPq1zPbXgKc/edit?usp=sharing"",""ระยอง!J474"")+IMPORTRANGE(""https://docs.google.com/spreadsheets/d/1jQ6P4QcrGM89YfqcC_PxOHGCMq5ezhucwJd8ci-NHng/edit?usp=sharing"",""ราชบุรี!J47"&amp;"4"")+IMPORTRANGE(""https://docs.google.com/spreadsheets/d/1lufeA2cfFqM-elVq2hznhDzC6Pr7wkJ9ZG_sYNGCMCU/edit?usp=sharing"",""ลพบุรี!J474"")+IMPORTRANGE(""https://docs.google.com/spreadsheets/d/10oOiF7loTyfsTkbd4MpaIm0HQ9SwB7IYHdIUvt-U1Uc/edit?usp=sharing"""&amp;",""สระแก้ว!J474"")+IMPORTRANGE(""https://docs.google.com/spreadsheets/d/1xmPlrr1QbdSIKvl1dWUl9K4PjAfSL9oeMr_37QVzcxc/edit?usp=sharing"",""สระบุรี!J474"")+IMPORTRANGE(""https://docs.google.com/spreadsheets/d/1j51vR6CYVGhABJpv6tkstgok82RLpXieLzW1yOY5rHw/edi"&amp;"t?usp=sharing"",""สิงห์บุรี!J474"")+IMPORTRANGE(""https://docs.google.com/spreadsheets/d/1H1EalTWKUSzO4Z1-1CwzoDUaVffgrThEBe2sl74kKG0/edit?usp=sharing"",""สุพรรณบุรี!J474"")+IMPORTRANGE(""https://docs.google.com/spreadsheets/d/1BmIruG_sIrJLYao_Pdr7zVArWsf"&amp;"oBt2692TMi6x_854/edit?usp=sharing"",""อ่างทอง!J474"")"),0)</f>
        <v>0</v>
      </c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 ca="1">J478+J480</f>
        <v>0</v>
      </c>
      <c r="K475" s="266">
        <f t="shared" ref="K475:K477" si="332">IF(I475&gt;0,J475*100/I475,0)</f>
        <v>0</v>
      </c>
      <c r="L475" s="90"/>
      <c r="M475" s="90"/>
      <c r="N475" s="90"/>
      <c r="O475" s="90"/>
      <c r="P475" s="90"/>
      <c r="Q475" s="89"/>
      <c r="R475" s="90"/>
      <c r="S475" s="90"/>
      <c r="T475" s="90"/>
      <c r="U475" s="90"/>
    </row>
    <row r="476" spans="1:21" ht="19.5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 t="shared" ref="J476:J477" ca="1" si="333">J478+J480</f>
        <v>0</v>
      </c>
      <c r="K476" s="266">
        <f t="shared" si="332"/>
        <v>0</v>
      </c>
      <c r="L476" s="90"/>
      <c r="M476" s="90"/>
      <c r="N476" s="90"/>
      <c r="O476" s="90"/>
      <c r="P476" s="90"/>
      <c r="Q476" s="89"/>
      <c r="R476" s="90"/>
      <c r="S476" s="90"/>
      <c r="T476" s="90"/>
      <c r="U476" s="90"/>
    </row>
    <row r="477" spans="1:21" ht="19.5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 t="shared" ca="1" si="333"/>
        <v>0</v>
      </c>
      <c r="K477" s="266">
        <f t="shared" si="332"/>
        <v>0</v>
      </c>
      <c r="L477" s="90"/>
      <c r="M477" s="90"/>
      <c r="N477" s="90"/>
      <c r="O477" s="90"/>
      <c r="P477" s="90"/>
      <c r="Q477" s="89"/>
      <c r="R477" s="90"/>
      <c r="S477" s="90"/>
      <c r="T477" s="90"/>
      <c r="U477" s="90"/>
    </row>
    <row r="478" spans="1:21" ht="18.75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604">
        <f ca="1">IFERROR(__xludf.DUMMYFUNCTION("IMPORTRANGE(""https://docs.google.com/spreadsheets/d/13wPX838HrBrQMCywv1BsuMkt4PEKTChp52zj44s2izQ/edit?usp=sharing"",""กาญจนบุรี!J478"")+IMPORTRANGE(""https://docs.google.com/spreadsheets/d/1ddFKvqj1W1NEiWytbGlB1zMx_ykJDVtmfEQ-6-lIUBA/edit?usp=sharing"","&amp;"""จันทบุรี!J478"")+IMPORTRANGE(""https://docs.google.com/spreadsheets/d/1T1PQvRODqOBZk8BRht_U031fIS1beLA0Ub2CEytj2q0/edit?usp=sharing"",""ฉะเชิงเทรา!J478"")+IMPORTRANGE(""https://docs.google.com/spreadsheets/d/11tr1B-Bhyr79v2bkwVh5h_fR-PStkgjlZtkrZpYurG0/"&amp;"edit?usp=sharing"",""ชลบุรี!J478"")+IMPORTRANGE(""https://docs.google.com/spreadsheets/d/1hh-FVnSX0vozXhGluamEcS54Dw9_zqW0N7qJUWgJ0Sw/edit?usp=sharing"",""ชัยนาท!J478"")+IMPORTRANGE(""https://docs.google.com/spreadsheets/d/1jkqa6GXxSacMcY1eN8AHjMNJ_7dDXMJ"&amp;"VRLDlaFSOdPM/edit?usp=sharing"",""ตราด!J478"")+IMPORTRANGE(""https://docs.google.com/spreadsheets/d/18hSgUJ3VwClqi_qtULmmW3cLr0oe3OKaSYoKzdpTsYQ/edit?usp=sharing"",""นครนายก!J478"")+IMPORTRANGE(""https://docs.google.com/spreadsheets/d/1YTZo6WM2dQ6Ix6FSdnL"&amp;"5P7uVnVKu40sxZu975tgG10E/edit?usp=sharing"",""นครปฐม!J478"")+IMPORTRANGE(""https://docs.google.com/spreadsheets/d/1OYoGg4WDg5RIzwGeB10padOxJF9E_Vljuvvct_M7RDo/edit?usp=sharing"",""ปทุมธานี!J478"")+IMPORTRANGE(""https://docs.google.com/spreadsheets/d/1GbCI"&amp;"E4D4wk9FUozzqk7SxfDMxDVBwVmI5zcaVUSzKAc/edit?usp=sharing"",""ประจวบคีรีขันธ์!J478"")+IMPORTRANGE(""https://docs.google.com/spreadsheets/d/1vVf6wykvW_lAyu7Yo9L4hUTqHqIeP_qcVuxCtosJEbg/edit?usp=sharing"",""ปราจีนบุรี!J478"")+IMPORTRANGE(""https://docs.googl"&amp;"e.com/spreadsheets/d/1BIDqLLg5jk3v59G8NlR8rk5xfQDKne0sAvZHSj7TI6I/edit?usp=sharing"",""พระนครศรีอยุธยา!J478"")+IMPORTRANGE(""https://docs.google.com/spreadsheets/d/1YXvxf8Yu6_rV4hTBrwMqAcAnv6DfhUxh5emyM3CJp_w/edit?usp=sharing"",""เพชรบุรี!J478"")+IMPORTRA"&amp;"NGE(""https://docs.google.com/spreadsheets/d/19KBlQQs7uwvsao6t2n-KvW3Ax8J8uRRfZPq1zPbXgKc/edit?usp=sharing"",""ระยอง!J478"")+IMPORTRANGE(""https://docs.google.com/spreadsheets/d/1jQ6P4QcrGM89YfqcC_PxOHGCMq5ezhucwJd8ci-NHng/edit?usp=sharing"",""ราชบุรี!J47"&amp;"8"")+IMPORTRANGE(""https://docs.google.com/spreadsheets/d/1lufeA2cfFqM-elVq2hznhDzC6Pr7wkJ9ZG_sYNGCMCU/edit?usp=sharing"",""ลพบุรี!J478"")+IMPORTRANGE(""https://docs.google.com/spreadsheets/d/10oOiF7loTyfsTkbd4MpaIm0HQ9SwB7IYHdIUvt-U1Uc/edit?usp=sharing"""&amp;",""สระแก้ว!J478"")+IMPORTRANGE(""https://docs.google.com/spreadsheets/d/1xmPlrr1QbdSIKvl1dWUl9K4PjAfSL9oeMr_37QVzcxc/edit?usp=sharing"",""สระบุรี!J478"")+IMPORTRANGE(""https://docs.google.com/spreadsheets/d/1j51vR6CYVGhABJpv6tkstgok82RLpXieLzW1yOY5rHw/edi"&amp;"t?usp=sharing"",""สิงห์บุรี!J478"")+IMPORTRANGE(""https://docs.google.com/spreadsheets/d/1H1EalTWKUSzO4Z1-1CwzoDUaVffgrThEBe2sl74kKG0/edit?usp=sharing"",""สุพรรณบุรี!J478"")+IMPORTRANGE(""https://docs.google.com/spreadsheets/d/1BmIruG_sIrJLYao_Pdr7zVArWsf"&amp;"oBt2692TMi6x_854/edit?usp=sharing"",""อ่างทอง!J478"")"),0)</f>
        <v>0</v>
      </c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604">
        <f ca="1">IFERROR(__xludf.DUMMYFUNCTION("IMPORTRANGE(""https://docs.google.com/spreadsheets/d/13wPX838HrBrQMCywv1BsuMkt4PEKTChp52zj44s2izQ/edit?usp=sharing"",""กาญจนบุรี!J479"")+IMPORTRANGE(""https://docs.google.com/spreadsheets/d/1ddFKvqj1W1NEiWytbGlB1zMx_ykJDVtmfEQ-6-lIUBA/edit?usp=sharing"","&amp;"""จันทบุรี!J479"")+IMPORTRANGE(""https://docs.google.com/spreadsheets/d/1T1PQvRODqOBZk8BRht_U031fIS1beLA0Ub2CEytj2q0/edit?usp=sharing"",""ฉะเชิงเทรา!J479"")+IMPORTRANGE(""https://docs.google.com/spreadsheets/d/11tr1B-Bhyr79v2bkwVh5h_fR-PStkgjlZtkrZpYurG0/"&amp;"edit?usp=sharing"",""ชลบุรี!J479"")+IMPORTRANGE(""https://docs.google.com/spreadsheets/d/1hh-FVnSX0vozXhGluamEcS54Dw9_zqW0N7qJUWgJ0Sw/edit?usp=sharing"",""ชัยนาท!J479"")+IMPORTRANGE(""https://docs.google.com/spreadsheets/d/1jkqa6GXxSacMcY1eN8AHjMNJ_7dDXMJ"&amp;"VRLDlaFSOdPM/edit?usp=sharing"",""ตราด!J479"")+IMPORTRANGE(""https://docs.google.com/spreadsheets/d/18hSgUJ3VwClqi_qtULmmW3cLr0oe3OKaSYoKzdpTsYQ/edit?usp=sharing"",""นครนายก!J479"")+IMPORTRANGE(""https://docs.google.com/spreadsheets/d/1YTZo6WM2dQ6Ix6FSdnL"&amp;"5P7uVnVKu40sxZu975tgG10E/edit?usp=sharing"",""นครปฐม!J479"")+IMPORTRANGE(""https://docs.google.com/spreadsheets/d/1OYoGg4WDg5RIzwGeB10padOxJF9E_Vljuvvct_M7RDo/edit?usp=sharing"",""ปทุมธานี!J479"")+IMPORTRANGE(""https://docs.google.com/spreadsheets/d/1GbCI"&amp;"E4D4wk9FUozzqk7SxfDMxDVBwVmI5zcaVUSzKAc/edit?usp=sharing"",""ประจวบคีรีขันธ์!J479"")+IMPORTRANGE(""https://docs.google.com/spreadsheets/d/1vVf6wykvW_lAyu7Yo9L4hUTqHqIeP_qcVuxCtosJEbg/edit?usp=sharing"",""ปราจีนบุรี!J479"")+IMPORTRANGE(""https://docs.googl"&amp;"e.com/spreadsheets/d/1BIDqLLg5jk3v59G8NlR8rk5xfQDKne0sAvZHSj7TI6I/edit?usp=sharing"",""พระนครศรีอยุธยา!J479"")+IMPORTRANGE(""https://docs.google.com/spreadsheets/d/1YXvxf8Yu6_rV4hTBrwMqAcAnv6DfhUxh5emyM3CJp_w/edit?usp=sharing"",""เพชรบุรี!J479"")+IMPORTRA"&amp;"NGE(""https://docs.google.com/spreadsheets/d/19KBlQQs7uwvsao6t2n-KvW3Ax8J8uRRfZPq1zPbXgKc/edit?usp=sharing"",""ระยอง!J479"")+IMPORTRANGE(""https://docs.google.com/spreadsheets/d/1jQ6P4QcrGM89YfqcC_PxOHGCMq5ezhucwJd8ci-NHng/edit?usp=sharing"",""ราชบุรี!J47"&amp;"9"")+IMPORTRANGE(""https://docs.google.com/spreadsheets/d/1lufeA2cfFqM-elVq2hznhDzC6Pr7wkJ9ZG_sYNGCMCU/edit?usp=sharing"",""ลพบุรี!J479"")+IMPORTRANGE(""https://docs.google.com/spreadsheets/d/10oOiF7loTyfsTkbd4MpaIm0HQ9SwB7IYHdIUvt-U1Uc/edit?usp=sharing"""&amp;",""สระแก้ว!J479"")+IMPORTRANGE(""https://docs.google.com/spreadsheets/d/1xmPlrr1QbdSIKvl1dWUl9K4PjAfSL9oeMr_37QVzcxc/edit?usp=sharing"",""สระบุรี!J479"")+IMPORTRANGE(""https://docs.google.com/spreadsheets/d/1j51vR6CYVGhABJpv6tkstgok82RLpXieLzW1yOY5rHw/edi"&amp;"t?usp=sharing"",""สิงห์บุรี!J479"")+IMPORTRANGE(""https://docs.google.com/spreadsheets/d/1H1EalTWKUSzO4Z1-1CwzoDUaVffgrThEBe2sl74kKG0/edit?usp=sharing"",""สุพรรณบุรี!J479"")+IMPORTRANGE(""https://docs.google.com/spreadsheets/d/1BmIruG_sIrJLYao_Pdr7zVArWsf"&amp;"oBt2692TMi6x_854/edit?usp=sharing"",""อ่างทอง!J479"")"),0)</f>
        <v>0</v>
      </c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604">
        <f ca="1">IFERROR(__xludf.DUMMYFUNCTION("IMPORTRANGE(""https://docs.google.com/spreadsheets/d/13wPX838HrBrQMCywv1BsuMkt4PEKTChp52zj44s2izQ/edit?usp=sharing"",""กาญจนบุรี!J480"")+IMPORTRANGE(""https://docs.google.com/spreadsheets/d/1ddFKvqj1W1NEiWytbGlB1zMx_ykJDVtmfEQ-6-lIUBA/edit?usp=sharing"","&amp;"""จันทบุรี!J480"")+IMPORTRANGE(""https://docs.google.com/spreadsheets/d/1T1PQvRODqOBZk8BRht_U031fIS1beLA0Ub2CEytj2q0/edit?usp=sharing"",""ฉะเชิงเทรา!J480"")+IMPORTRANGE(""https://docs.google.com/spreadsheets/d/11tr1B-Bhyr79v2bkwVh5h_fR-PStkgjlZtkrZpYurG0/"&amp;"edit?usp=sharing"",""ชลบุรี!J480"")+IMPORTRANGE(""https://docs.google.com/spreadsheets/d/1hh-FVnSX0vozXhGluamEcS54Dw9_zqW0N7qJUWgJ0Sw/edit?usp=sharing"",""ชัยนาท!J480"")+IMPORTRANGE(""https://docs.google.com/spreadsheets/d/1jkqa6GXxSacMcY1eN8AHjMNJ_7dDXMJ"&amp;"VRLDlaFSOdPM/edit?usp=sharing"",""ตราด!J480"")+IMPORTRANGE(""https://docs.google.com/spreadsheets/d/18hSgUJ3VwClqi_qtULmmW3cLr0oe3OKaSYoKzdpTsYQ/edit?usp=sharing"",""นครนายก!J480"")+IMPORTRANGE(""https://docs.google.com/spreadsheets/d/1YTZo6WM2dQ6Ix6FSdnL"&amp;"5P7uVnVKu40sxZu975tgG10E/edit?usp=sharing"",""นครปฐม!J480"")+IMPORTRANGE(""https://docs.google.com/spreadsheets/d/1OYoGg4WDg5RIzwGeB10padOxJF9E_Vljuvvct_M7RDo/edit?usp=sharing"",""ปทุมธานี!J480"")+IMPORTRANGE(""https://docs.google.com/spreadsheets/d/1GbCI"&amp;"E4D4wk9FUozzqk7SxfDMxDVBwVmI5zcaVUSzKAc/edit?usp=sharing"",""ประจวบคีรีขันธ์!J480"")+IMPORTRANGE(""https://docs.google.com/spreadsheets/d/1vVf6wykvW_lAyu7Yo9L4hUTqHqIeP_qcVuxCtosJEbg/edit?usp=sharing"",""ปราจีนบุรี!J480"")+IMPORTRANGE(""https://docs.googl"&amp;"e.com/spreadsheets/d/1BIDqLLg5jk3v59G8NlR8rk5xfQDKne0sAvZHSj7TI6I/edit?usp=sharing"",""พระนครศรีอยุธยา!J480"")+IMPORTRANGE(""https://docs.google.com/spreadsheets/d/1YXvxf8Yu6_rV4hTBrwMqAcAnv6DfhUxh5emyM3CJp_w/edit?usp=sharing"",""เพชรบุรี!J480"")+IMPORTRA"&amp;"NGE(""https://docs.google.com/spreadsheets/d/19KBlQQs7uwvsao6t2n-KvW3Ax8J8uRRfZPq1zPbXgKc/edit?usp=sharing"",""ระยอง!J480"")+IMPORTRANGE(""https://docs.google.com/spreadsheets/d/1jQ6P4QcrGM89YfqcC_PxOHGCMq5ezhucwJd8ci-NHng/edit?usp=sharing"",""ราชบุรี!J48"&amp;"0"")+IMPORTRANGE(""https://docs.google.com/spreadsheets/d/1lufeA2cfFqM-elVq2hznhDzC6Pr7wkJ9ZG_sYNGCMCU/edit?usp=sharing"",""ลพบุรี!J480"")+IMPORTRANGE(""https://docs.google.com/spreadsheets/d/10oOiF7loTyfsTkbd4MpaIm0HQ9SwB7IYHdIUvt-U1Uc/edit?usp=sharing"""&amp;",""สระแก้ว!J480"")+IMPORTRANGE(""https://docs.google.com/spreadsheets/d/1xmPlrr1QbdSIKvl1dWUl9K4PjAfSL9oeMr_37QVzcxc/edit?usp=sharing"",""สระบุรี!J480"")+IMPORTRANGE(""https://docs.google.com/spreadsheets/d/1j51vR6CYVGhABJpv6tkstgok82RLpXieLzW1yOY5rHw/edi"&amp;"t?usp=sharing"",""สิงห์บุรี!J480"")+IMPORTRANGE(""https://docs.google.com/spreadsheets/d/1H1EalTWKUSzO4Z1-1CwzoDUaVffgrThEBe2sl74kKG0/edit?usp=sharing"",""สุพรรณบุรี!J480"")+IMPORTRANGE(""https://docs.google.com/spreadsheets/d/1BmIruG_sIrJLYao_Pdr7zVArWsf"&amp;"oBt2692TMi6x_854/edit?usp=sharing"",""อ่างทอง!J480"")"),0)</f>
        <v>0</v>
      </c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604">
        <f ca="1">IFERROR(__xludf.DUMMYFUNCTION("IMPORTRANGE(""https://docs.google.com/spreadsheets/d/13wPX838HrBrQMCywv1BsuMkt4PEKTChp52zj44s2izQ/edit?usp=sharing"",""กาญจนบุรี!J481"")+IMPORTRANGE(""https://docs.google.com/spreadsheets/d/1ddFKvqj1W1NEiWytbGlB1zMx_ykJDVtmfEQ-6-lIUBA/edit?usp=sharing"","&amp;"""จันทบุรี!J481"")+IMPORTRANGE(""https://docs.google.com/spreadsheets/d/1T1PQvRODqOBZk8BRht_U031fIS1beLA0Ub2CEytj2q0/edit?usp=sharing"",""ฉะเชิงเทรา!J481"")+IMPORTRANGE(""https://docs.google.com/spreadsheets/d/11tr1B-Bhyr79v2bkwVh5h_fR-PStkgjlZtkrZpYurG0/"&amp;"edit?usp=sharing"",""ชลบุรี!J481"")+IMPORTRANGE(""https://docs.google.com/spreadsheets/d/1hh-FVnSX0vozXhGluamEcS54Dw9_zqW0N7qJUWgJ0Sw/edit?usp=sharing"",""ชัยนาท!J481"")+IMPORTRANGE(""https://docs.google.com/spreadsheets/d/1jkqa6GXxSacMcY1eN8AHjMNJ_7dDXMJ"&amp;"VRLDlaFSOdPM/edit?usp=sharing"",""ตราด!J481"")+IMPORTRANGE(""https://docs.google.com/spreadsheets/d/18hSgUJ3VwClqi_qtULmmW3cLr0oe3OKaSYoKzdpTsYQ/edit?usp=sharing"",""นครนายก!J481"")+IMPORTRANGE(""https://docs.google.com/spreadsheets/d/1YTZo6WM2dQ6Ix6FSdnL"&amp;"5P7uVnVKu40sxZu975tgG10E/edit?usp=sharing"",""นครปฐม!J481"")+IMPORTRANGE(""https://docs.google.com/spreadsheets/d/1OYoGg4WDg5RIzwGeB10padOxJF9E_Vljuvvct_M7RDo/edit?usp=sharing"",""ปทุมธานี!J481"")+IMPORTRANGE(""https://docs.google.com/spreadsheets/d/1GbCI"&amp;"E4D4wk9FUozzqk7SxfDMxDVBwVmI5zcaVUSzKAc/edit?usp=sharing"",""ประจวบคีรีขันธ์!J481"")+IMPORTRANGE(""https://docs.google.com/spreadsheets/d/1vVf6wykvW_lAyu7Yo9L4hUTqHqIeP_qcVuxCtosJEbg/edit?usp=sharing"",""ปราจีนบุรี!J481"")+IMPORTRANGE(""https://docs.googl"&amp;"e.com/spreadsheets/d/1BIDqLLg5jk3v59G8NlR8rk5xfQDKne0sAvZHSj7TI6I/edit?usp=sharing"",""พระนครศรีอยุธยา!J481"")+IMPORTRANGE(""https://docs.google.com/spreadsheets/d/1YXvxf8Yu6_rV4hTBrwMqAcAnv6DfhUxh5emyM3CJp_w/edit?usp=sharing"",""เพชรบุรี!J481"")+IMPORTRA"&amp;"NGE(""https://docs.google.com/spreadsheets/d/19KBlQQs7uwvsao6t2n-KvW3Ax8J8uRRfZPq1zPbXgKc/edit?usp=sharing"",""ระยอง!J481"")+IMPORTRANGE(""https://docs.google.com/spreadsheets/d/1jQ6P4QcrGM89YfqcC_PxOHGCMq5ezhucwJd8ci-NHng/edit?usp=sharing"",""ราชบุรี!J48"&amp;"1"")+IMPORTRANGE(""https://docs.google.com/spreadsheets/d/1lufeA2cfFqM-elVq2hznhDzC6Pr7wkJ9ZG_sYNGCMCU/edit?usp=sharing"",""ลพบุรี!J481"")+IMPORTRANGE(""https://docs.google.com/spreadsheets/d/10oOiF7loTyfsTkbd4MpaIm0HQ9SwB7IYHdIUvt-U1Uc/edit?usp=sharing"""&amp;",""สระแก้ว!J481"")+IMPORTRANGE(""https://docs.google.com/spreadsheets/d/1xmPlrr1QbdSIKvl1dWUl9K4PjAfSL9oeMr_37QVzcxc/edit?usp=sharing"",""สระบุรี!J481"")+IMPORTRANGE(""https://docs.google.com/spreadsheets/d/1j51vR6CYVGhABJpv6tkstgok82RLpXieLzW1yOY5rHw/edi"&amp;"t?usp=sharing"",""สิงห์บุรี!J481"")+IMPORTRANGE(""https://docs.google.com/spreadsheets/d/1H1EalTWKUSzO4Z1-1CwzoDUaVffgrThEBe2sl74kKG0/edit?usp=sharing"",""สุพรรณบุรี!J481"")+IMPORTRANGE(""https://docs.google.com/spreadsheets/d/1BmIruG_sIrJLYao_Pdr7zVArWsf"&amp;"oBt2692TMi6x_854/edit?usp=sharing"",""อ่างทอง!J481"")"),0)</f>
        <v>0</v>
      </c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13wPX838HrBrQMCywv1BsuMkt4PEKTChp52zj44s2izQ/edit?usp=sharing"",""กาญจนบุรี!J482"")+IMPORTRANGE(""https://docs.google.com/spreadsheets/d/1ddFKvqj1W1NEiWytbGlB1zMx_ykJDVtmfEQ-6-lIUBA/edit?usp=sharing"","&amp;"""จันทบุรี!J482"")+IMPORTRANGE(""https://docs.google.com/spreadsheets/d/1T1PQvRODqOBZk8BRht_U031fIS1beLA0Ub2CEytj2q0/edit?usp=sharing"",""ฉะเชิงเทรา!J482"")+IMPORTRANGE(""https://docs.google.com/spreadsheets/d/11tr1B-Bhyr79v2bkwVh5h_fR-PStkgjlZtkrZpYurG0/"&amp;"edit?usp=sharing"",""ชลบุรี!J482"")+IMPORTRANGE(""https://docs.google.com/spreadsheets/d/1hh-FVnSX0vozXhGluamEcS54Dw9_zqW0N7qJUWgJ0Sw/edit?usp=sharing"",""ชัยนาท!J482"")+IMPORTRANGE(""https://docs.google.com/spreadsheets/d/1jkqa6GXxSacMcY1eN8AHjMNJ_7dDXMJ"&amp;"VRLDlaFSOdPM/edit?usp=sharing"",""ตราด!J482"")+IMPORTRANGE(""https://docs.google.com/spreadsheets/d/18hSgUJ3VwClqi_qtULmmW3cLr0oe3OKaSYoKzdpTsYQ/edit?usp=sharing"",""นครนายก!J482"")+IMPORTRANGE(""https://docs.google.com/spreadsheets/d/1YTZo6WM2dQ6Ix6FSdnL"&amp;"5P7uVnVKu40sxZu975tgG10E/edit?usp=sharing"",""นครปฐม!J482"")+IMPORTRANGE(""https://docs.google.com/spreadsheets/d/1OYoGg4WDg5RIzwGeB10padOxJF9E_Vljuvvct_M7RDo/edit?usp=sharing"",""ปทุมธานี!J482"")+IMPORTRANGE(""https://docs.google.com/spreadsheets/d/1GbCI"&amp;"E4D4wk9FUozzqk7SxfDMxDVBwVmI5zcaVUSzKAc/edit?usp=sharing"",""ประจวบคีรีขันธ์!J482"")+IMPORTRANGE(""https://docs.google.com/spreadsheets/d/1vVf6wykvW_lAyu7Yo9L4hUTqHqIeP_qcVuxCtosJEbg/edit?usp=sharing"",""ปราจีนบุรี!J482"")+IMPORTRANGE(""https://docs.googl"&amp;"e.com/spreadsheets/d/1BIDqLLg5jk3v59G8NlR8rk5xfQDKne0sAvZHSj7TI6I/edit?usp=sharing"",""พระนครศรีอยุธยา!J482"")+IMPORTRANGE(""https://docs.google.com/spreadsheets/d/1YXvxf8Yu6_rV4hTBrwMqAcAnv6DfhUxh5emyM3CJp_w/edit?usp=sharing"",""เพชรบุรี!J482"")+IMPORTRA"&amp;"NGE(""https://docs.google.com/spreadsheets/d/19KBlQQs7uwvsao6t2n-KvW3Ax8J8uRRfZPq1zPbXgKc/edit?usp=sharing"",""ระยอง!J482"")+IMPORTRANGE(""https://docs.google.com/spreadsheets/d/1jQ6P4QcrGM89YfqcC_PxOHGCMq5ezhucwJd8ci-NHng/edit?usp=sharing"",""ราชบุรี!J48"&amp;"2"")+IMPORTRANGE(""https://docs.google.com/spreadsheets/d/1lufeA2cfFqM-elVq2hznhDzC6Pr7wkJ9ZG_sYNGCMCU/edit?usp=sharing"",""ลพบุรี!J482"")+IMPORTRANGE(""https://docs.google.com/spreadsheets/d/10oOiF7loTyfsTkbd4MpaIm0HQ9SwB7IYHdIUvt-U1Uc/edit?usp=sharing"""&amp;",""สระแก้ว!J482"")+IMPORTRANGE(""https://docs.google.com/spreadsheets/d/1xmPlrr1QbdSIKvl1dWUl9K4PjAfSL9oeMr_37QVzcxc/edit?usp=sharing"",""สระบุรี!J482"")+IMPORTRANGE(""https://docs.google.com/spreadsheets/d/1j51vR6CYVGhABJpv6tkstgok82RLpXieLzW1yOY5rHw/edi"&amp;"t?usp=sharing"",""สิงห์บุรี!J482"")+IMPORTRANGE(""https://docs.google.com/spreadsheets/d/1H1EalTWKUSzO4Z1-1CwzoDUaVffgrThEBe2sl74kKG0/edit?usp=sharing"",""สุพรรณบุรี!J482"")+IMPORTRANGE(""https://docs.google.com/spreadsheets/d/1BmIruG_sIrJLYao_Pdr7zVArWsf"&amp;"oBt2692TMi6x_854/edit?usp=sharing"",""อ่างทอง!J482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13wPX838HrBrQMCywv1BsuMkt4PEKTChp52zj44s2izQ/edit?usp=sharing"",""กาญจนบุรี!J483"")+IMPORTRANGE(""https://docs.google.com/spreadsheets/d/1ddFKvqj1W1NEiWytbGlB1zMx_ykJDVtmfEQ-6-lIUBA/edit?usp=sharing"","&amp;"""จันทบุรี!J483"")+IMPORTRANGE(""https://docs.google.com/spreadsheets/d/1T1PQvRODqOBZk8BRht_U031fIS1beLA0Ub2CEytj2q0/edit?usp=sharing"",""ฉะเชิงเทรา!J483"")+IMPORTRANGE(""https://docs.google.com/spreadsheets/d/11tr1B-Bhyr79v2bkwVh5h_fR-PStkgjlZtkrZpYurG0/"&amp;"edit?usp=sharing"",""ชลบุรี!J483"")+IMPORTRANGE(""https://docs.google.com/spreadsheets/d/1hh-FVnSX0vozXhGluamEcS54Dw9_zqW0N7qJUWgJ0Sw/edit?usp=sharing"",""ชัยนาท!J483"")+IMPORTRANGE(""https://docs.google.com/spreadsheets/d/1jkqa6GXxSacMcY1eN8AHjMNJ_7dDXMJ"&amp;"VRLDlaFSOdPM/edit?usp=sharing"",""ตราด!J483"")+IMPORTRANGE(""https://docs.google.com/spreadsheets/d/18hSgUJ3VwClqi_qtULmmW3cLr0oe3OKaSYoKzdpTsYQ/edit?usp=sharing"",""นครนายก!J483"")+IMPORTRANGE(""https://docs.google.com/spreadsheets/d/1YTZo6WM2dQ6Ix6FSdnL"&amp;"5P7uVnVKu40sxZu975tgG10E/edit?usp=sharing"",""นครปฐม!J483"")+IMPORTRANGE(""https://docs.google.com/spreadsheets/d/1OYoGg4WDg5RIzwGeB10padOxJF9E_Vljuvvct_M7RDo/edit?usp=sharing"",""ปทุมธานี!J483"")+IMPORTRANGE(""https://docs.google.com/spreadsheets/d/1GbCI"&amp;"E4D4wk9FUozzqk7SxfDMxDVBwVmI5zcaVUSzKAc/edit?usp=sharing"",""ประจวบคีรีขันธ์!J483"")+IMPORTRANGE(""https://docs.google.com/spreadsheets/d/1vVf6wykvW_lAyu7Yo9L4hUTqHqIeP_qcVuxCtosJEbg/edit?usp=sharing"",""ปราจีนบุรี!J483"")+IMPORTRANGE(""https://docs.googl"&amp;"e.com/spreadsheets/d/1BIDqLLg5jk3v59G8NlR8rk5xfQDKne0sAvZHSj7TI6I/edit?usp=sharing"",""พระนครศรีอยุธยา!J483"")+IMPORTRANGE(""https://docs.google.com/spreadsheets/d/1YXvxf8Yu6_rV4hTBrwMqAcAnv6DfhUxh5emyM3CJp_w/edit?usp=sharing"",""เพชรบุรี!J483"")+IMPORTRA"&amp;"NGE(""https://docs.google.com/spreadsheets/d/19KBlQQs7uwvsao6t2n-KvW3Ax8J8uRRfZPq1zPbXgKc/edit?usp=sharing"",""ระยอง!J483"")+IMPORTRANGE(""https://docs.google.com/spreadsheets/d/1jQ6P4QcrGM89YfqcC_PxOHGCMq5ezhucwJd8ci-NHng/edit?usp=sharing"",""ราชบุรี!J48"&amp;"3"")+IMPORTRANGE(""https://docs.google.com/spreadsheets/d/1lufeA2cfFqM-elVq2hznhDzC6Pr7wkJ9ZG_sYNGCMCU/edit?usp=sharing"",""ลพบุรี!J483"")+IMPORTRANGE(""https://docs.google.com/spreadsheets/d/10oOiF7loTyfsTkbd4MpaIm0HQ9SwB7IYHdIUvt-U1Uc/edit?usp=sharing"""&amp;",""สระแก้ว!J483"")+IMPORTRANGE(""https://docs.google.com/spreadsheets/d/1xmPlrr1QbdSIKvl1dWUl9K4PjAfSL9oeMr_37QVzcxc/edit?usp=sharing"",""สระบุรี!J483"")+IMPORTRANGE(""https://docs.google.com/spreadsheets/d/1j51vR6CYVGhABJpv6tkstgok82RLpXieLzW1yOY5rHw/edi"&amp;"t?usp=sharing"",""สิงห์บุรี!J483"")+IMPORTRANGE(""https://docs.google.com/spreadsheets/d/1H1EalTWKUSzO4Z1-1CwzoDUaVffgrThEBe2sl74kKG0/edit?usp=sharing"",""สุพรรณบุรี!J483"")+IMPORTRANGE(""https://docs.google.com/spreadsheets/d/1BmIruG_sIrJLYao_Pdr7zVArWsf"&amp;"oBt2692TMi6x_854/edit?usp=sharing"",""อ่างทอง!J483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604">
        <f t="shared" ref="I484:I485" ca="1" si="334">J480</f>
        <v>0</v>
      </c>
      <c r="J484" s="603">
        <f t="shared" ref="J484:J485" ca="1" si="335">J486+J488+J490</f>
        <v>0</v>
      </c>
      <c r="K484" s="266">
        <f t="shared" ref="K484:K485" ca="1" si="336">IF(I484&gt;0,J484*100/I484,0)</f>
        <v>0</v>
      </c>
      <c r="L484" s="90"/>
      <c r="M484" s="90"/>
      <c r="N484" s="90"/>
      <c r="O484" s="90"/>
      <c r="P484" s="90"/>
      <c r="Q484" s="89"/>
      <c r="R484" s="90"/>
      <c r="S484" s="90"/>
      <c r="T484" s="90"/>
      <c r="U484" s="90"/>
    </row>
    <row r="485" spans="1:21" ht="19.5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604">
        <f t="shared" ca="1" si="334"/>
        <v>0</v>
      </c>
      <c r="J485" s="603">
        <f t="shared" ca="1" si="335"/>
        <v>0</v>
      </c>
      <c r="K485" s="266">
        <f t="shared" ca="1" si="336"/>
        <v>0</v>
      </c>
      <c r="L485" s="90"/>
      <c r="M485" s="90"/>
      <c r="N485" s="90"/>
      <c r="O485" s="90"/>
      <c r="P485" s="90"/>
      <c r="Q485" s="89"/>
      <c r="R485" s="90"/>
      <c r="S485" s="90"/>
      <c r="T485" s="90"/>
      <c r="U485" s="90"/>
    </row>
    <row r="486" spans="1:21" ht="18.75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604">
        <f ca="1">IFERROR(__xludf.DUMMYFUNCTION("IMPORTRANGE(""https://docs.google.com/spreadsheets/d/13wPX838HrBrQMCywv1BsuMkt4PEKTChp52zj44s2izQ/edit?usp=sharing"",""กาญจนบุรี!J486"")+IMPORTRANGE(""https://docs.google.com/spreadsheets/d/1ddFKvqj1W1NEiWytbGlB1zMx_ykJDVtmfEQ-6-lIUBA/edit?usp=sharing"","&amp;"""จันทบุรี!J486"")+IMPORTRANGE(""https://docs.google.com/spreadsheets/d/1T1PQvRODqOBZk8BRht_U031fIS1beLA0Ub2CEytj2q0/edit?usp=sharing"",""ฉะเชิงเทรา!J486"")+IMPORTRANGE(""https://docs.google.com/spreadsheets/d/11tr1B-Bhyr79v2bkwVh5h_fR-PStkgjlZtkrZpYurG0/"&amp;"edit?usp=sharing"",""ชลบุรี!J486"")+IMPORTRANGE(""https://docs.google.com/spreadsheets/d/1hh-FVnSX0vozXhGluamEcS54Dw9_zqW0N7qJUWgJ0Sw/edit?usp=sharing"",""ชัยนาท!J486"")+IMPORTRANGE(""https://docs.google.com/spreadsheets/d/1jkqa6GXxSacMcY1eN8AHjMNJ_7dDXMJ"&amp;"VRLDlaFSOdPM/edit?usp=sharing"",""ตราด!J486"")+IMPORTRANGE(""https://docs.google.com/spreadsheets/d/18hSgUJ3VwClqi_qtULmmW3cLr0oe3OKaSYoKzdpTsYQ/edit?usp=sharing"",""นครนายก!J486"")+IMPORTRANGE(""https://docs.google.com/spreadsheets/d/1YTZo6WM2dQ6Ix6FSdnL"&amp;"5P7uVnVKu40sxZu975tgG10E/edit?usp=sharing"",""นครปฐม!J486"")+IMPORTRANGE(""https://docs.google.com/spreadsheets/d/1OYoGg4WDg5RIzwGeB10padOxJF9E_Vljuvvct_M7RDo/edit?usp=sharing"",""ปทุมธานี!J486"")+IMPORTRANGE(""https://docs.google.com/spreadsheets/d/1GbCI"&amp;"E4D4wk9FUozzqk7SxfDMxDVBwVmI5zcaVUSzKAc/edit?usp=sharing"",""ประจวบคีรีขันธ์!J486"")+IMPORTRANGE(""https://docs.google.com/spreadsheets/d/1vVf6wykvW_lAyu7Yo9L4hUTqHqIeP_qcVuxCtosJEbg/edit?usp=sharing"",""ปราจีนบุรี!J486"")+IMPORTRANGE(""https://docs.googl"&amp;"e.com/spreadsheets/d/1BIDqLLg5jk3v59G8NlR8rk5xfQDKne0sAvZHSj7TI6I/edit?usp=sharing"",""พระนครศรีอยุธยา!J486"")+IMPORTRANGE(""https://docs.google.com/spreadsheets/d/1YXvxf8Yu6_rV4hTBrwMqAcAnv6DfhUxh5emyM3CJp_w/edit?usp=sharing"",""เพชรบุรี!J486"")+IMPORTRA"&amp;"NGE(""https://docs.google.com/spreadsheets/d/19KBlQQs7uwvsao6t2n-KvW3Ax8J8uRRfZPq1zPbXgKc/edit?usp=sharing"",""ระยอง!J486"")+IMPORTRANGE(""https://docs.google.com/spreadsheets/d/1jQ6P4QcrGM89YfqcC_PxOHGCMq5ezhucwJd8ci-NHng/edit?usp=sharing"",""ราชบุรี!J48"&amp;"6"")+IMPORTRANGE(""https://docs.google.com/spreadsheets/d/1lufeA2cfFqM-elVq2hznhDzC6Pr7wkJ9ZG_sYNGCMCU/edit?usp=sharing"",""ลพบุรี!J486"")+IMPORTRANGE(""https://docs.google.com/spreadsheets/d/10oOiF7loTyfsTkbd4MpaIm0HQ9SwB7IYHdIUvt-U1Uc/edit?usp=sharing"""&amp;",""สระแก้ว!J486"")+IMPORTRANGE(""https://docs.google.com/spreadsheets/d/1xmPlrr1QbdSIKvl1dWUl9K4PjAfSL9oeMr_37QVzcxc/edit?usp=sharing"",""สระบุรี!J486"")+IMPORTRANGE(""https://docs.google.com/spreadsheets/d/1j51vR6CYVGhABJpv6tkstgok82RLpXieLzW1yOY5rHw/edi"&amp;"t?usp=sharing"",""สิงห์บุรี!J486"")+IMPORTRANGE(""https://docs.google.com/spreadsheets/d/1H1EalTWKUSzO4Z1-1CwzoDUaVffgrThEBe2sl74kKG0/edit?usp=sharing"",""สุพรรณบุรี!J486"")+IMPORTRANGE(""https://docs.google.com/spreadsheets/d/1BmIruG_sIrJLYao_Pdr7zVArWsf"&amp;"oBt2692TMi6x_854/edit?usp=sharing"",""อ่างทอง!J486"")"),0)</f>
        <v>0</v>
      </c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604">
        <f ca="1">IFERROR(__xludf.DUMMYFUNCTION("IMPORTRANGE(""https://docs.google.com/spreadsheets/d/13wPX838HrBrQMCywv1BsuMkt4PEKTChp52zj44s2izQ/edit?usp=sharing"",""กาญจนบุรี!J487"")+IMPORTRANGE(""https://docs.google.com/spreadsheets/d/1ddFKvqj1W1NEiWytbGlB1zMx_ykJDVtmfEQ-6-lIUBA/edit?usp=sharing"","&amp;"""จันทบุรี!J487"")+IMPORTRANGE(""https://docs.google.com/spreadsheets/d/1T1PQvRODqOBZk8BRht_U031fIS1beLA0Ub2CEytj2q0/edit?usp=sharing"",""ฉะเชิงเทรา!J487"")+IMPORTRANGE(""https://docs.google.com/spreadsheets/d/11tr1B-Bhyr79v2bkwVh5h_fR-PStkgjlZtkrZpYurG0/"&amp;"edit?usp=sharing"",""ชลบุรี!J487"")+IMPORTRANGE(""https://docs.google.com/spreadsheets/d/1hh-FVnSX0vozXhGluamEcS54Dw9_zqW0N7qJUWgJ0Sw/edit?usp=sharing"",""ชัยนาท!J487"")+IMPORTRANGE(""https://docs.google.com/spreadsheets/d/1jkqa6GXxSacMcY1eN8AHjMNJ_7dDXMJ"&amp;"VRLDlaFSOdPM/edit?usp=sharing"",""ตราด!J487"")+IMPORTRANGE(""https://docs.google.com/spreadsheets/d/18hSgUJ3VwClqi_qtULmmW3cLr0oe3OKaSYoKzdpTsYQ/edit?usp=sharing"",""นครนายก!J487"")+IMPORTRANGE(""https://docs.google.com/spreadsheets/d/1YTZo6WM2dQ6Ix6FSdnL"&amp;"5P7uVnVKu40sxZu975tgG10E/edit?usp=sharing"",""นครปฐม!J487"")+IMPORTRANGE(""https://docs.google.com/spreadsheets/d/1OYoGg4WDg5RIzwGeB10padOxJF9E_Vljuvvct_M7RDo/edit?usp=sharing"",""ปทุมธานี!J487"")+IMPORTRANGE(""https://docs.google.com/spreadsheets/d/1GbCI"&amp;"E4D4wk9FUozzqk7SxfDMxDVBwVmI5zcaVUSzKAc/edit?usp=sharing"",""ประจวบคีรีขันธ์!J487"")+IMPORTRANGE(""https://docs.google.com/spreadsheets/d/1vVf6wykvW_lAyu7Yo9L4hUTqHqIeP_qcVuxCtosJEbg/edit?usp=sharing"",""ปราจีนบุรี!J487"")+IMPORTRANGE(""https://docs.googl"&amp;"e.com/spreadsheets/d/1BIDqLLg5jk3v59G8NlR8rk5xfQDKne0sAvZHSj7TI6I/edit?usp=sharing"",""พระนครศรีอยุธยา!J487"")+IMPORTRANGE(""https://docs.google.com/spreadsheets/d/1YXvxf8Yu6_rV4hTBrwMqAcAnv6DfhUxh5emyM3CJp_w/edit?usp=sharing"",""เพชรบุรี!J487"")+IMPORTRA"&amp;"NGE(""https://docs.google.com/spreadsheets/d/19KBlQQs7uwvsao6t2n-KvW3Ax8J8uRRfZPq1zPbXgKc/edit?usp=sharing"",""ระยอง!J487"")+IMPORTRANGE(""https://docs.google.com/spreadsheets/d/1jQ6P4QcrGM89YfqcC_PxOHGCMq5ezhucwJd8ci-NHng/edit?usp=sharing"",""ราชบุรี!J48"&amp;"7"")+IMPORTRANGE(""https://docs.google.com/spreadsheets/d/1lufeA2cfFqM-elVq2hznhDzC6Pr7wkJ9ZG_sYNGCMCU/edit?usp=sharing"",""ลพบุรี!J487"")+IMPORTRANGE(""https://docs.google.com/spreadsheets/d/10oOiF7loTyfsTkbd4MpaIm0HQ9SwB7IYHdIUvt-U1Uc/edit?usp=sharing"""&amp;",""สระแก้ว!J487"")+IMPORTRANGE(""https://docs.google.com/spreadsheets/d/1xmPlrr1QbdSIKvl1dWUl9K4PjAfSL9oeMr_37QVzcxc/edit?usp=sharing"",""สระบุรี!J487"")+IMPORTRANGE(""https://docs.google.com/spreadsheets/d/1j51vR6CYVGhABJpv6tkstgok82RLpXieLzW1yOY5rHw/edi"&amp;"t?usp=sharing"",""สิงห์บุรี!J487"")+IMPORTRANGE(""https://docs.google.com/spreadsheets/d/1H1EalTWKUSzO4Z1-1CwzoDUaVffgrThEBe2sl74kKG0/edit?usp=sharing"",""สุพรรณบุรี!J487"")+IMPORTRANGE(""https://docs.google.com/spreadsheets/d/1BmIruG_sIrJLYao_Pdr7zVArWsf"&amp;"oBt2692TMi6x_854/edit?usp=sharing"",""อ่างทอง!J487"")"),0)</f>
        <v>0</v>
      </c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604">
        <f ca="1">IFERROR(__xludf.DUMMYFUNCTION("IMPORTRANGE(""https://docs.google.com/spreadsheets/d/13wPX838HrBrQMCywv1BsuMkt4PEKTChp52zj44s2izQ/edit?usp=sharing"",""กาญจนบุรี!J488"")+IMPORTRANGE(""https://docs.google.com/spreadsheets/d/1ddFKvqj1W1NEiWytbGlB1zMx_ykJDVtmfEQ-6-lIUBA/edit?usp=sharing"","&amp;"""จันทบุรี!J488"")+IMPORTRANGE(""https://docs.google.com/spreadsheets/d/1T1PQvRODqOBZk8BRht_U031fIS1beLA0Ub2CEytj2q0/edit?usp=sharing"",""ฉะเชิงเทรา!J488"")+IMPORTRANGE(""https://docs.google.com/spreadsheets/d/11tr1B-Bhyr79v2bkwVh5h_fR-PStkgjlZtkrZpYurG0/"&amp;"edit?usp=sharing"",""ชลบุรี!J488"")+IMPORTRANGE(""https://docs.google.com/spreadsheets/d/1hh-FVnSX0vozXhGluamEcS54Dw9_zqW0N7qJUWgJ0Sw/edit?usp=sharing"",""ชัยนาท!J488"")+IMPORTRANGE(""https://docs.google.com/spreadsheets/d/1jkqa6GXxSacMcY1eN8AHjMNJ_7dDXMJ"&amp;"VRLDlaFSOdPM/edit?usp=sharing"",""ตราด!J488"")+IMPORTRANGE(""https://docs.google.com/spreadsheets/d/18hSgUJ3VwClqi_qtULmmW3cLr0oe3OKaSYoKzdpTsYQ/edit?usp=sharing"",""นครนายก!J488"")+IMPORTRANGE(""https://docs.google.com/spreadsheets/d/1YTZo6WM2dQ6Ix6FSdnL"&amp;"5P7uVnVKu40sxZu975tgG10E/edit?usp=sharing"",""นครปฐม!J488"")+IMPORTRANGE(""https://docs.google.com/spreadsheets/d/1OYoGg4WDg5RIzwGeB10padOxJF9E_Vljuvvct_M7RDo/edit?usp=sharing"",""ปทุมธานี!J488"")+IMPORTRANGE(""https://docs.google.com/spreadsheets/d/1GbCI"&amp;"E4D4wk9FUozzqk7SxfDMxDVBwVmI5zcaVUSzKAc/edit?usp=sharing"",""ประจวบคีรีขันธ์!J488"")+IMPORTRANGE(""https://docs.google.com/spreadsheets/d/1vVf6wykvW_lAyu7Yo9L4hUTqHqIeP_qcVuxCtosJEbg/edit?usp=sharing"",""ปราจีนบุรี!J488"")+IMPORTRANGE(""https://docs.googl"&amp;"e.com/spreadsheets/d/1BIDqLLg5jk3v59G8NlR8rk5xfQDKne0sAvZHSj7TI6I/edit?usp=sharing"",""พระนครศรีอยุธยา!J488"")+IMPORTRANGE(""https://docs.google.com/spreadsheets/d/1YXvxf8Yu6_rV4hTBrwMqAcAnv6DfhUxh5emyM3CJp_w/edit?usp=sharing"",""เพชรบุรี!J488"")+IMPORTRA"&amp;"NGE(""https://docs.google.com/spreadsheets/d/19KBlQQs7uwvsao6t2n-KvW3Ax8J8uRRfZPq1zPbXgKc/edit?usp=sharing"",""ระยอง!J488"")+IMPORTRANGE(""https://docs.google.com/spreadsheets/d/1jQ6P4QcrGM89YfqcC_PxOHGCMq5ezhucwJd8ci-NHng/edit?usp=sharing"",""ราชบุรี!J48"&amp;"8"")+IMPORTRANGE(""https://docs.google.com/spreadsheets/d/1lufeA2cfFqM-elVq2hznhDzC6Pr7wkJ9ZG_sYNGCMCU/edit?usp=sharing"",""ลพบุรี!J488"")+IMPORTRANGE(""https://docs.google.com/spreadsheets/d/10oOiF7loTyfsTkbd4MpaIm0HQ9SwB7IYHdIUvt-U1Uc/edit?usp=sharing"""&amp;",""สระแก้ว!J488"")+IMPORTRANGE(""https://docs.google.com/spreadsheets/d/1xmPlrr1QbdSIKvl1dWUl9K4PjAfSL9oeMr_37QVzcxc/edit?usp=sharing"",""สระบุรี!J488"")+IMPORTRANGE(""https://docs.google.com/spreadsheets/d/1j51vR6CYVGhABJpv6tkstgok82RLpXieLzW1yOY5rHw/edi"&amp;"t?usp=sharing"",""สิงห์บุรี!J488"")+IMPORTRANGE(""https://docs.google.com/spreadsheets/d/1H1EalTWKUSzO4Z1-1CwzoDUaVffgrThEBe2sl74kKG0/edit?usp=sharing"",""สุพรรณบุรี!J488"")+IMPORTRANGE(""https://docs.google.com/spreadsheets/d/1BmIruG_sIrJLYao_Pdr7zVArWsf"&amp;"oBt2692TMi6x_854/edit?usp=sharing"",""อ่างทอง!J488"")"),0)</f>
        <v>0</v>
      </c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604">
        <f ca="1">IFERROR(__xludf.DUMMYFUNCTION("IMPORTRANGE(""https://docs.google.com/spreadsheets/d/13wPX838HrBrQMCywv1BsuMkt4PEKTChp52zj44s2izQ/edit?usp=sharing"",""กาญจนบุรี!J489"")+IMPORTRANGE(""https://docs.google.com/spreadsheets/d/1ddFKvqj1W1NEiWytbGlB1zMx_ykJDVtmfEQ-6-lIUBA/edit?usp=sharing"","&amp;"""จันทบุรี!J489"")+IMPORTRANGE(""https://docs.google.com/spreadsheets/d/1T1PQvRODqOBZk8BRht_U031fIS1beLA0Ub2CEytj2q0/edit?usp=sharing"",""ฉะเชิงเทรา!J489"")+IMPORTRANGE(""https://docs.google.com/spreadsheets/d/11tr1B-Bhyr79v2bkwVh5h_fR-PStkgjlZtkrZpYurG0/"&amp;"edit?usp=sharing"",""ชลบุรี!J489"")+IMPORTRANGE(""https://docs.google.com/spreadsheets/d/1hh-FVnSX0vozXhGluamEcS54Dw9_zqW0N7qJUWgJ0Sw/edit?usp=sharing"",""ชัยนาท!J489"")+IMPORTRANGE(""https://docs.google.com/spreadsheets/d/1jkqa6GXxSacMcY1eN8AHjMNJ_7dDXMJ"&amp;"VRLDlaFSOdPM/edit?usp=sharing"",""ตราด!J489"")+IMPORTRANGE(""https://docs.google.com/spreadsheets/d/18hSgUJ3VwClqi_qtULmmW3cLr0oe3OKaSYoKzdpTsYQ/edit?usp=sharing"",""นครนายก!J489"")+IMPORTRANGE(""https://docs.google.com/spreadsheets/d/1YTZo6WM2dQ6Ix6FSdnL"&amp;"5P7uVnVKu40sxZu975tgG10E/edit?usp=sharing"",""นครปฐม!J489"")+IMPORTRANGE(""https://docs.google.com/spreadsheets/d/1OYoGg4WDg5RIzwGeB10padOxJF9E_Vljuvvct_M7RDo/edit?usp=sharing"",""ปทุมธานี!J489"")+IMPORTRANGE(""https://docs.google.com/spreadsheets/d/1GbCI"&amp;"E4D4wk9FUozzqk7SxfDMxDVBwVmI5zcaVUSzKAc/edit?usp=sharing"",""ประจวบคีรีขันธ์!J489"")+IMPORTRANGE(""https://docs.google.com/spreadsheets/d/1vVf6wykvW_lAyu7Yo9L4hUTqHqIeP_qcVuxCtosJEbg/edit?usp=sharing"",""ปราจีนบุรี!J489"")+IMPORTRANGE(""https://docs.googl"&amp;"e.com/spreadsheets/d/1BIDqLLg5jk3v59G8NlR8rk5xfQDKne0sAvZHSj7TI6I/edit?usp=sharing"",""พระนครศรีอยุธยา!J489"")+IMPORTRANGE(""https://docs.google.com/spreadsheets/d/1YXvxf8Yu6_rV4hTBrwMqAcAnv6DfhUxh5emyM3CJp_w/edit?usp=sharing"",""เพชรบุรี!J489"")+IMPORTRA"&amp;"NGE(""https://docs.google.com/spreadsheets/d/19KBlQQs7uwvsao6t2n-KvW3Ax8J8uRRfZPq1zPbXgKc/edit?usp=sharing"",""ระยอง!J489"")+IMPORTRANGE(""https://docs.google.com/spreadsheets/d/1jQ6P4QcrGM89YfqcC_PxOHGCMq5ezhucwJd8ci-NHng/edit?usp=sharing"",""ราชบุรี!J48"&amp;"9"")+IMPORTRANGE(""https://docs.google.com/spreadsheets/d/1lufeA2cfFqM-elVq2hznhDzC6Pr7wkJ9ZG_sYNGCMCU/edit?usp=sharing"",""ลพบุรี!J489"")+IMPORTRANGE(""https://docs.google.com/spreadsheets/d/10oOiF7loTyfsTkbd4MpaIm0HQ9SwB7IYHdIUvt-U1Uc/edit?usp=sharing"""&amp;",""สระแก้ว!J489"")+IMPORTRANGE(""https://docs.google.com/spreadsheets/d/1xmPlrr1QbdSIKvl1dWUl9K4PjAfSL9oeMr_37QVzcxc/edit?usp=sharing"",""สระบุรี!J489"")+IMPORTRANGE(""https://docs.google.com/spreadsheets/d/1j51vR6CYVGhABJpv6tkstgok82RLpXieLzW1yOY5rHw/edi"&amp;"t?usp=sharing"",""สิงห์บุรี!J489"")+IMPORTRANGE(""https://docs.google.com/spreadsheets/d/1H1EalTWKUSzO4Z1-1CwzoDUaVffgrThEBe2sl74kKG0/edit?usp=sharing"",""สุพรรณบุรี!J489"")+IMPORTRANGE(""https://docs.google.com/spreadsheets/d/1BmIruG_sIrJLYao_Pdr7zVArWsf"&amp;"oBt2692TMi6x_854/edit?usp=sharing"",""อ่างทอง!J489"")"),0)</f>
        <v>0</v>
      </c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604">
        <f ca="1">IFERROR(__xludf.DUMMYFUNCTION("IMPORTRANGE(""https://docs.google.com/spreadsheets/d/13wPX838HrBrQMCywv1BsuMkt4PEKTChp52zj44s2izQ/edit?usp=sharing"",""กาญจนบุรี!J490"")+IMPORTRANGE(""https://docs.google.com/spreadsheets/d/1ddFKvqj1W1NEiWytbGlB1zMx_ykJDVtmfEQ-6-lIUBA/edit?usp=sharing"","&amp;"""จันทบุรี!J490"")+IMPORTRANGE(""https://docs.google.com/spreadsheets/d/1T1PQvRODqOBZk8BRht_U031fIS1beLA0Ub2CEytj2q0/edit?usp=sharing"",""ฉะเชิงเทรา!J490"")+IMPORTRANGE(""https://docs.google.com/spreadsheets/d/11tr1B-Bhyr79v2bkwVh5h_fR-PStkgjlZtkrZpYurG0/"&amp;"edit?usp=sharing"",""ชลบุรี!J490"")+IMPORTRANGE(""https://docs.google.com/spreadsheets/d/1hh-FVnSX0vozXhGluamEcS54Dw9_zqW0N7qJUWgJ0Sw/edit?usp=sharing"",""ชัยนาท!J490"")+IMPORTRANGE(""https://docs.google.com/spreadsheets/d/1jkqa6GXxSacMcY1eN8AHjMNJ_7dDXMJ"&amp;"VRLDlaFSOdPM/edit?usp=sharing"",""ตราด!J490"")+IMPORTRANGE(""https://docs.google.com/spreadsheets/d/18hSgUJ3VwClqi_qtULmmW3cLr0oe3OKaSYoKzdpTsYQ/edit?usp=sharing"",""นครนายก!J490"")+IMPORTRANGE(""https://docs.google.com/spreadsheets/d/1YTZo6WM2dQ6Ix6FSdnL"&amp;"5P7uVnVKu40sxZu975tgG10E/edit?usp=sharing"",""นครปฐม!J490"")+IMPORTRANGE(""https://docs.google.com/spreadsheets/d/1OYoGg4WDg5RIzwGeB10padOxJF9E_Vljuvvct_M7RDo/edit?usp=sharing"",""ปทุมธานี!J490"")+IMPORTRANGE(""https://docs.google.com/spreadsheets/d/1GbCI"&amp;"E4D4wk9FUozzqk7SxfDMxDVBwVmI5zcaVUSzKAc/edit?usp=sharing"",""ประจวบคีรีขันธ์!J490"")+IMPORTRANGE(""https://docs.google.com/spreadsheets/d/1vVf6wykvW_lAyu7Yo9L4hUTqHqIeP_qcVuxCtosJEbg/edit?usp=sharing"",""ปราจีนบุรี!J490"")+IMPORTRANGE(""https://docs.googl"&amp;"e.com/spreadsheets/d/1BIDqLLg5jk3v59G8NlR8rk5xfQDKne0sAvZHSj7TI6I/edit?usp=sharing"",""พระนครศรีอยุธยา!J490"")+IMPORTRANGE(""https://docs.google.com/spreadsheets/d/1YXvxf8Yu6_rV4hTBrwMqAcAnv6DfhUxh5emyM3CJp_w/edit?usp=sharing"",""เพชรบุรี!J490"")+IMPORTRA"&amp;"NGE(""https://docs.google.com/spreadsheets/d/19KBlQQs7uwvsao6t2n-KvW3Ax8J8uRRfZPq1zPbXgKc/edit?usp=sharing"",""ระยอง!J490"")+IMPORTRANGE(""https://docs.google.com/spreadsheets/d/1jQ6P4QcrGM89YfqcC_PxOHGCMq5ezhucwJd8ci-NHng/edit?usp=sharing"",""ราชบุรี!J49"&amp;"0"")+IMPORTRANGE(""https://docs.google.com/spreadsheets/d/1lufeA2cfFqM-elVq2hznhDzC6Pr7wkJ9ZG_sYNGCMCU/edit?usp=sharing"",""ลพบุรี!J490"")+IMPORTRANGE(""https://docs.google.com/spreadsheets/d/10oOiF7loTyfsTkbd4MpaIm0HQ9SwB7IYHdIUvt-U1Uc/edit?usp=sharing"""&amp;",""สระแก้ว!J490"")+IMPORTRANGE(""https://docs.google.com/spreadsheets/d/1xmPlrr1QbdSIKvl1dWUl9K4PjAfSL9oeMr_37QVzcxc/edit?usp=sharing"",""สระบุรี!J490"")+IMPORTRANGE(""https://docs.google.com/spreadsheets/d/1j51vR6CYVGhABJpv6tkstgok82RLpXieLzW1yOY5rHw/edi"&amp;"t?usp=sharing"",""สิงห์บุรี!J490"")+IMPORTRANGE(""https://docs.google.com/spreadsheets/d/1H1EalTWKUSzO4Z1-1CwzoDUaVffgrThEBe2sl74kKG0/edit?usp=sharing"",""สุพรรณบุรี!J490"")+IMPORTRANGE(""https://docs.google.com/spreadsheets/d/1BmIruG_sIrJLYao_Pdr7zVArWsf"&amp;"oBt2692TMi6x_854/edit?usp=sharing"",""อ่างทอง!J490"")"),0)</f>
        <v>0</v>
      </c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3">
        <f ca="1">IFERROR(__xludf.DUMMYFUNCTION("IMPORTRANGE(""https://docs.google.com/spreadsheets/d/13wPX838HrBrQMCywv1BsuMkt4PEKTChp52zj44s2izQ/edit?usp=sharing"",""กาญจนบุรี!J491"")+IMPORTRANGE(""https://docs.google.com/spreadsheets/d/1ddFKvqj1W1NEiWytbGlB1zMx_ykJDVtmfEQ-6-lIUBA/edit?usp=sharing"","&amp;"""จันทบุรี!J491"")+IMPORTRANGE(""https://docs.google.com/spreadsheets/d/1T1PQvRODqOBZk8BRht_U031fIS1beLA0Ub2CEytj2q0/edit?usp=sharing"",""ฉะเชิงเทรา!J491"")+IMPORTRANGE(""https://docs.google.com/spreadsheets/d/11tr1B-Bhyr79v2bkwVh5h_fR-PStkgjlZtkrZpYurG0/"&amp;"edit?usp=sharing"",""ชลบุรี!J491"")+IMPORTRANGE(""https://docs.google.com/spreadsheets/d/1hh-FVnSX0vozXhGluamEcS54Dw9_zqW0N7qJUWgJ0Sw/edit?usp=sharing"",""ชัยนาท!J491"")+IMPORTRANGE(""https://docs.google.com/spreadsheets/d/1jkqa6GXxSacMcY1eN8AHjMNJ_7dDXMJ"&amp;"VRLDlaFSOdPM/edit?usp=sharing"",""ตราด!J491"")+IMPORTRANGE(""https://docs.google.com/spreadsheets/d/18hSgUJ3VwClqi_qtULmmW3cLr0oe3OKaSYoKzdpTsYQ/edit?usp=sharing"",""นครนายก!J491"")+IMPORTRANGE(""https://docs.google.com/spreadsheets/d/1YTZo6WM2dQ6Ix6FSdnL"&amp;"5P7uVnVKu40sxZu975tgG10E/edit?usp=sharing"",""นครปฐม!J491"")+IMPORTRANGE(""https://docs.google.com/spreadsheets/d/1OYoGg4WDg5RIzwGeB10padOxJF9E_Vljuvvct_M7RDo/edit?usp=sharing"",""ปทุมธานี!J491"")+IMPORTRANGE(""https://docs.google.com/spreadsheets/d/1GbCI"&amp;"E4D4wk9FUozzqk7SxfDMxDVBwVmI5zcaVUSzKAc/edit?usp=sharing"",""ประจวบคีรีขันธ์!J491"")+IMPORTRANGE(""https://docs.google.com/spreadsheets/d/1vVf6wykvW_lAyu7Yo9L4hUTqHqIeP_qcVuxCtosJEbg/edit?usp=sharing"",""ปราจีนบุรี!J491"")+IMPORTRANGE(""https://docs.googl"&amp;"e.com/spreadsheets/d/1BIDqLLg5jk3v59G8NlR8rk5xfQDKne0sAvZHSj7TI6I/edit?usp=sharing"",""พระนครศรีอยุธยา!J491"")+IMPORTRANGE(""https://docs.google.com/spreadsheets/d/1YXvxf8Yu6_rV4hTBrwMqAcAnv6DfhUxh5emyM3CJp_w/edit?usp=sharing"",""เพชรบุรี!J491"")+IMPORTRA"&amp;"NGE(""https://docs.google.com/spreadsheets/d/19KBlQQs7uwvsao6t2n-KvW3Ax8J8uRRfZPq1zPbXgKc/edit?usp=sharing"",""ระยอง!J491"")+IMPORTRANGE(""https://docs.google.com/spreadsheets/d/1jQ6P4QcrGM89YfqcC_PxOHGCMq5ezhucwJd8ci-NHng/edit?usp=sharing"",""ราชบุรี!J49"&amp;"1"")+IMPORTRANGE(""https://docs.google.com/spreadsheets/d/1lufeA2cfFqM-elVq2hznhDzC6Pr7wkJ9ZG_sYNGCMCU/edit?usp=sharing"",""ลพบุรี!J491"")+IMPORTRANGE(""https://docs.google.com/spreadsheets/d/10oOiF7loTyfsTkbd4MpaIm0HQ9SwB7IYHdIUvt-U1Uc/edit?usp=sharing"""&amp;",""สระแก้ว!J491"")+IMPORTRANGE(""https://docs.google.com/spreadsheets/d/1xmPlrr1QbdSIKvl1dWUl9K4PjAfSL9oeMr_37QVzcxc/edit?usp=sharing"",""สระบุรี!J491"")+IMPORTRANGE(""https://docs.google.com/spreadsheets/d/1j51vR6CYVGhABJpv6tkstgok82RLpXieLzW1yOY5rHw/edi"&amp;"t?usp=sharing"",""สิงห์บุรี!J491"")+IMPORTRANGE(""https://docs.google.com/spreadsheets/d/1H1EalTWKUSzO4Z1-1CwzoDUaVffgrThEBe2sl74kKG0/edit?usp=sharing"",""สุพรรณบุรี!J491"")+IMPORTRANGE(""https://docs.google.com/spreadsheets/d/1BmIruG_sIrJLYao_Pdr7zVArWsf"&amp;"oBt2692TMi6x_854/edit?usp=sharing"",""อ่างทอง!J491"")"),0)</f>
        <v>0</v>
      </c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t="shared" ref="I492:J492" ca="1" si="337">I503</f>
        <v>160</v>
      </c>
      <c r="J492" s="599">
        <f t="shared" ca="1" si="337"/>
        <v>0</v>
      </c>
      <c r="K492" s="593">
        <f ca="1">IF(I492&gt;0,J492*100/I492,0)</f>
        <v>0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802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66">
        <f t="shared" ref="L493:N493" ca="1" si="338">L494+L495</f>
        <v>0</v>
      </c>
      <c r="M493" s="266">
        <f t="shared" ca="1" si="338"/>
        <v>0</v>
      </c>
      <c r="N493" s="266">
        <f t="shared" ca="1" si="338"/>
        <v>0</v>
      </c>
      <c r="O493" s="266">
        <f t="shared" ref="O493:O501" ca="1" si="339">IF(L493&gt;0,N493*100/L493,0)</f>
        <v>0</v>
      </c>
      <c r="P493" s="266">
        <f t="shared" ref="P493:P501" ca="1" si="340">IF(M493&gt;0,N493*100/M493,0)</f>
        <v>0</v>
      </c>
      <c r="Q493" s="216">
        <f t="shared" ref="Q493:S493" ca="1" si="341">Q494+Q495</f>
        <v>2234495</v>
      </c>
      <c r="R493" s="217">
        <f t="shared" ca="1" si="341"/>
        <v>2234495</v>
      </c>
      <c r="S493" s="217">
        <f t="shared" ca="1" si="341"/>
        <v>253210.72</v>
      </c>
      <c r="T493" s="217">
        <f t="shared" ref="T493:T501" ca="1" si="342">IF(Q493&gt;0,S493*100/Q493,0)</f>
        <v>11.331899153947536</v>
      </c>
      <c r="U493" s="217">
        <f t="shared" ref="U493:U501" ca="1" si="343">IF(R493&gt;0,S493*100/R493,0)</f>
        <v>11.331899153947536</v>
      </c>
    </row>
    <row r="494" spans="1:21" ht="18.75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 t="shared" ref="L494:N494" ca="1" si="344">L497+L500</f>
        <v>0</v>
      </c>
      <c r="M494" s="80">
        <f t="shared" ca="1" si="344"/>
        <v>0</v>
      </c>
      <c r="N494" s="80">
        <f t="shared" ca="1" si="344"/>
        <v>0</v>
      </c>
      <c r="O494" s="80">
        <f t="shared" ca="1" si="339"/>
        <v>0</v>
      </c>
      <c r="P494" s="80">
        <f t="shared" ca="1" si="340"/>
        <v>0</v>
      </c>
      <c r="Q494" s="219">
        <f t="shared" ref="Q494:S494" ca="1" si="345">Q497+Q500</f>
        <v>0</v>
      </c>
      <c r="R494" s="136">
        <f t="shared" ca="1" si="345"/>
        <v>0</v>
      </c>
      <c r="S494" s="136">
        <f t="shared" ca="1" si="345"/>
        <v>0</v>
      </c>
      <c r="T494" s="136">
        <f t="shared" ca="1" si="342"/>
        <v>0</v>
      </c>
      <c r="U494" s="136">
        <f t="shared" ca="1" si="343"/>
        <v>0</v>
      </c>
    </row>
    <row r="495" spans="1:21" ht="18.75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 t="shared" ref="L495:N495" ca="1" si="346">L498+L501</f>
        <v>0</v>
      </c>
      <c r="M495" s="77">
        <f t="shared" ca="1" si="346"/>
        <v>0</v>
      </c>
      <c r="N495" s="77">
        <f t="shared" ca="1" si="346"/>
        <v>0</v>
      </c>
      <c r="O495" s="77">
        <f t="shared" ca="1" si="339"/>
        <v>0</v>
      </c>
      <c r="P495" s="77">
        <f t="shared" ca="1" si="340"/>
        <v>0</v>
      </c>
      <c r="Q495" s="134">
        <f t="shared" ref="Q495:S495" ca="1" si="347">Q498+Q501</f>
        <v>2234495</v>
      </c>
      <c r="R495" s="135">
        <f t="shared" ca="1" si="347"/>
        <v>2234495</v>
      </c>
      <c r="S495" s="135">
        <f t="shared" ca="1" si="347"/>
        <v>253210.72</v>
      </c>
      <c r="T495" s="135">
        <f t="shared" ca="1" si="342"/>
        <v>11.331899153947536</v>
      </c>
      <c r="U495" s="135">
        <f t="shared" ca="1" si="343"/>
        <v>11.331899153947536</v>
      </c>
    </row>
    <row r="496" spans="1:21" ht="18.75" x14ac:dyDescent="0.25">
      <c r="A496" s="259"/>
      <c r="B496" s="271"/>
      <c r="C496" s="271"/>
      <c r="D496" s="276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 t="shared" ref="L496:N496" ca="1" si="348">L497+L498</f>
        <v>0</v>
      </c>
      <c r="M496" s="77">
        <f t="shared" ca="1" si="348"/>
        <v>0</v>
      </c>
      <c r="N496" s="77">
        <f t="shared" ca="1" si="348"/>
        <v>0</v>
      </c>
      <c r="O496" s="77">
        <f t="shared" ca="1" si="339"/>
        <v>0</v>
      </c>
      <c r="P496" s="77">
        <f t="shared" ca="1" si="340"/>
        <v>0</v>
      </c>
      <c r="Q496" s="134">
        <f t="shared" ref="Q496:S496" ca="1" si="349">Q497+Q498</f>
        <v>2234495</v>
      </c>
      <c r="R496" s="135">
        <f t="shared" ca="1" si="349"/>
        <v>2234495</v>
      </c>
      <c r="S496" s="135">
        <f t="shared" ca="1" si="349"/>
        <v>253210.72</v>
      </c>
      <c r="T496" s="135">
        <f t="shared" ca="1" si="342"/>
        <v>11.331899153947536</v>
      </c>
      <c r="U496" s="135">
        <f t="shared" ca="1" si="343"/>
        <v>11.331899153947536</v>
      </c>
    </row>
    <row r="497" spans="1:21" ht="18.75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f ca="1">IFERROR(__xludf.DUMMYFUNCTION("IMPORTRANGE(""https://docs.google.com/spreadsheets/d/13wPX838HrBrQMCywv1BsuMkt4PEKTChp52zj44s2izQ/edit?usp=sharing"",""กาญจนบุรี!L497"")+IMPORTRANGE(""https://docs.google.com/spreadsheets/d/1ddFKvqj1W1NEiWytbGlB1zMx_ykJDVtmfEQ-6-lIUBA/edit?usp=sharing"","&amp;"""จันทบุรี!L497"")+IMPORTRANGE(""https://docs.google.com/spreadsheets/d/1T1PQvRODqOBZk8BRht_U031fIS1beLA0Ub2CEytj2q0/edit?usp=sharing"",""ฉะเชิงเทรา!L497"")+IMPORTRANGE(""https://docs.google.com/spreadsheets/d/11tr1B-Bhyr79v2bkwVh5h_fR-PStkgjlZtkrZpYurG0/"&amp;"edit?usp=sharing"",""ชลบุรี!L497"")+IMPORTRANGE(""https://docs.google.com/spreadsheets/d/1hh-FVnSX0vozXhGluamEcS54Dw9_zqW0N7qJUWgJ0Sw/edit?usp=sharing"",""ชัยนาท!L497"")+IMPORTRANGE(""https://docs.google.com/spreadsheets/d/1jkqa6GXxSacMcY1eN8AHjMNJ_7dDXMJ"&amp;"VRLDlaFSOdPM/edit?usp=sharing"",""ตราด!L497"")+IMPORTRANGE(""https://docs.google.com/spreadsheets/d/18hSgUJ3VwClqi_qtULmmW3cLr0oe3OKaSYoKzdpTsYQ/edit?usp=sharing"",""นครนายก!L497"")+IMPORTRANGE(""https://docs.google.com/spreadsheets/d/1YTZo6WM2dQ6Ix6FSdnL"&amp;"5P7uVnVKu40sxZu975tgG10E/edit?usp=sharing"",""นครปฐม!L497"")+IMPORTRANGE(""https://docs.google.com/spreadsheets/d/1OYoGg4WDg5RIzwGeB10padOxJF9E_Vljuvvct_M7RDo/edit?usp=sharing"",""ปทุมธานี!L497"")+IMPORTRANGE(""https://docs.google.com/spreadsheets/d/1GbCI"&amp;"E4D4wk9FUozzqk7SxfDMxDVBwVmI5zcaVUSzKAc/edit?usp=sharing"",""ประจวบคีรีขันธ์!L497"")+IMPORTRANGE(""https://docs.google.com/spreadsheets/d/1vVf6wykvW_lAyu7Yo9L4hUTqHqIeP_qcVuxCtosJEbg/edit?usp=sharing"",""ปราจีนบุรี!L497"")+IMPORTRANGE(""https://docs.googl"&amp;"e.com/spreadsheets/d/1BIDqLLg5jk3v59G8NlR8rk5xfQDKne0sAvZHSj7TI6I/edit?usp=sharing"",""พระนครศรีอยุธยา!L497"")+IMPORTRANGE(""https://docs.google.com/spreadsheets/d/1YXvxf8Yu6_rV4hTBrwMqAcAnv6DfhUxh5emyM3CJp_w/edit?usp=sharing"",""เพชรบุรี!L497"")+IMPORTRA"&amp;"NGE(""https://docs.google.com/spreadsheets/d/19KBlQQs7uwvsao6t2n-KvW3Ax8J8uRRfZPq1zPbXgKc/edit?usp=sharing"",""ระยอง!L497"")+IMPORTRANGE(""https://docs.google.com/spreadsheets/d/1jQ6P4QcrGM89YfqcC_PxOHGCMq5ezhucwJd8ci-NHng/edit?usp=sharing"",""ราชบุรี!L49"&amp;"7"")+IMPORTRANGE(""https://docs.google.com/spreadsheets/d/1lufeA2cfFqM-elVq2hznhDzC6Pr7wkJ9ZG_sYNGCMCU/edit?usp=sharing"",""ลพบุรี!L497"")+IMPORTRANGE(""https://docs.google.com/spreadsheets/d/10oOiF7loTyfsTkbd4MpaIm0HQ9SwB7IYHdIUvt-U1Uc/edit?usp=sharing"""&amp;",""สระแก้ว!L497"")+IMPORTRANGE(""https://docs.google.com/spreadsheets/d/1xmPlrr1QbdSIKvl1dWUl9K4PjAfSL9oeMr_37QVzcxc/edit?usp=sharing"",""สระบุรี!L497"")+IMPORTRANGE(""https://docs.google.com/spreadsheets/d/1j51vR6CYVGhABJpv6tkstgok82RLpXieLzW1yOY5rHw/edi"&amp;"t?usp=sharing"",""สิงห์บุรี!L497"")+IMPORTRANGE(""https://docs.google.com/spreadsheets/d/1H1EalTWKUSzO4Z1-1CwzoDUaVffgrThEBe2sl74kKG0/edit?usp=sharing"",""สุพรรณบุรี!L497"")+IMPORTRANGE(""https://docs.google.com/spreadsheets/d/1BmIruG_sIrJLYao_Pdr7zVArWsf"&amp;"oBt2692TMi6x_854/edit?usp=sharing"",""อ่างทอง!L497"")"),0)</f>
        <v>0</v>
      </c>
      <c r="M497" s="80">
        <f ca="1">IFERROR(__xludf.DUMMYFUNCTION("IMPORTRANGE(""https://docs.google.com/spreadsheets/d/13wPX838HrBrQMCywv1BsuMkt4PEKTChp52zj44s2izQ/edit?usp=sharing"",""กาญจนบุรี!M497"")+IMPORTRANGE(""https://docs.google.com/spreadsheets/d/1ddFKvqj1W1NEiWytbGlB1zMx_ykJDVtmfEQ-6-lIUBA/edit?usp=sharing"","&amp;"""จันทบุรี!M497"")+IMPORTRANGE(""https://docs.google.com/spreadsheets/d/1T1PQvRODqOBZk8BRht_U031fIS1beLA0Ub2CEytj2q0/edit?usp=sharing"",""ฉะเชิงเทรา!M497"")+IMPORTRANGE(""https://docs.google.com/spreadsheets/d/11tr1B-Bhyr79v2bkwVh5h_fR-PStkgjlZtkrZpYurG0/"&amp;"edit?usp=sharing"",""ชลบุรี!M497"")+IMPORTRANGE(""https://docs.google.com/spreadsheets/d/1hh-FVnSX0vozXhGluamEcS54Dw9_zqW0N7qJUWgJ0Sw/edit?usp=sharing"",""ชัยนาท!M497"")+IMPORTRANGE(""https://docs.google.com/spreadsheets/d/1jkqa6GXxSacMcY1eN8AHjMNJ_7dDXMJ"&amp;"VRLDlaFSOdPM/edit?usp=sharing"",""ตราด!M497"")+IMPORTRANGE(""https://docs.google.com/spreadsheets/d/18hSgUJ3VwClqi_qtULmmW3cLr0oe3OKaSYoKzdpTsYQ/edit?usp=sharing"",""นครนายก!M497"")+IMPORTRANGE(""https://docs.google.com/spreadsheets/d/1YTZo6WM2dQ6Ix6FSdnL"&amp;"5P7uVnVKu40sxZu975tgG10E/edit?usp=sharing"",""นครปฐม!M497"")+IMPORTRANGE(""https://docs.google.com/spreadsheets/d/1OYoGg4WDg5RIzwGeB10padOxJF9E_Vljuvvct_M7RDo/edit?usp=sharing"",""ปทุมธานี!M497"")+IMPORTRANGE(""https://docs.google.com/spreadsheets/d/1GbCI"&amp;"E4D4wk9FUozzqk7SxfDMxDVBwVmI5zcaVUSzKAc/edit?usp=sharing"",""ประจวบคีรีขันธ์!M497"")+IMPORTRANGE(""https://docs.google.com/spreadsheets/d/1vVf6wykvW_lAyu7Yo9L4hUTqHqIeP_qcVuxCtosJEbg/edit?usp=sharing"",""ปราจีนบุรี!M497"")+IMPORTRANGE(""https://docs.googl"&amp;"e.com/spreadsheets/d/1BIDqLLg5jk3v59G8NlR8rk5xfQDKne0sAvZHSj7TI6I/edit?usp=sharing"",""พระนครศรีอยุธยา!M497"")+IMPORTRANGE(""https://docs.google.com/spreadsheets/d/1YXvxf8Yu6_rV4hTBrwMqAcAnv6DfhUxh5emyM3CJp_w/edit?usp=sharing"",""เพชรบุรี!M497"")+IMPORTRA"&amp;"NGE(""https://docs.google.com/spreadsheets/d/19KBlQQs7uwvsao6t2n-KvW3Ax8J8uRRfZPq1zPbXgKc/edit?usp=sharing"",""ระยอง!M497"")+IMPORTRANGE(""https://docs.google.com/spreadsheets/d/1jQ6P4QcrGM89YfqcC_PxOHGCMq5ezhucwJd8ci-NHng/edit?usp=sharing"",""ราชบุรี!M49"&amp;"7"")+IMPORTRANGE(""https://docs.google.com/spreadsheets/d/1lufeA2cfFqM-elVq2hznhDzC6Pr7wkJ9ZG_sYNGCMCU/edit?usp=sharing"",""ลพบุรี!M497"")+IMPORTRANGE(""https://docs.google.com/spreadsheets/d/10oOiF7loTyfsTkbd4MpaIm0HQ9SwB7IYHdIUvt-U1Uc/edit?usp=sharing"""&amp;",""สระแก้ว!M497"")+IMPORTRANGE(""https://docs.google.com/spreadsheets/d/1xmPlrr1QbdSIKvl1dWUl9K4PjAfSL9oeMr_37QVzcxc/edit?usp=sharing"",""สระบุรี!M497"")+IMPORTRANGE(""https://docs.google.com/spreadsheets/d/1j51vR6CYVGhABJpv6tkstgok82RLpXieLzW1yOY5rHw/edi"&amp;"t?usp=sharing"",""สิงห์บุรี!M497"")+IMPORTRANGE(""https://docs.google.com/spreadsheets/d/1H1EalTWKUSzO4Z1-1CwzoDUaVffgrThEBe2sl74kKG0/edit?usp=sharing"",""สุพรรณบุรี!M497"")+IMPORTRANGE(""https://docs.google.com/spreadsheets/d/1BmIruG_sIrJLYao_Pdr7zVArWsf"&amp;"oBt2692TMi6x_854/edit?usp=sharing"",""อ่างทอง!M497"")"),0)</f>
        <v>0</v>
      </c>
      <c r="N497" s="80">
        <f ca="1">IFERROR(__xludf.DUMMYFUNCTION("IMPORTRANGE(""https://docs.google.com/spreadsheets/d/13wPX838HrBrQMCywv1BsuMkt4PEKTChp52zj44s2izQ/edit?usp=sharing"",""กาญจนบุรี!N497"")+IMPORTRANGE(""https://docs.google.com/spreadsheets/d/1ddFKvqj1W1NEiWytbGlB1zMx_ykJDVtmfEQ-6-lIUBA/edit?usp=sharing"","&amp;"""จันทบุรี!N497"")+IMPORTRANGE(""https://docs.google.com/spreadsheets/d/1T1PQvRODqOBZk8BRht_U031fIS1beLA0Ub2CEytj2q0/edit?usp=sharing"",""ฉะเชิงเทรา!N497"")+IMPORTRANGE(""https://docs.google.com/spreadsheets/d/11tr1B-Bhyr79v2bkwVh5h_fR-PStkgjlZtkrZpYurG0/"&amp;"edit?usp=sharing"",""ชลบุรี!N497"")+IMPORTRANGE(""https://docs.google.com/spreadsheets/d/1hh-FVnSX0vozXhGluamEcS54Dw9_zqW0N7qJUWgJ0Sw/edit?usp=sharing"",""ชัยนาท!N497"")+IMPORTRANGE(""https://docs.google.com/spreadsheets/d/1jkqa6GXxSacMcY1eN8AHjMNJ_7dDXMJ"&amp;"VRLDlaFSOdPM/edit?usp=sharing"",""ตราด!N497"")+IMPORTRANGE(""https://docs.google.com/spreadsheets/d/18hSgUJ3VwClqi_qtULmmW3cLr0oe3OKaSYoKzdpTsYQ/edit?usp=sharing"",""นครนายก!N497"")+IMPORTRANGE(""https://docs.google.com/spreadsheets/d/1YTZo6WM2dQ6Ix6FSdnL"&amp;"5P7uVnVKu40sxZu975tgG10E/edit?usp=sharing"",""นครปฐม!N497"")+IMPORTRANGE(""https://docs.google.com/spreadsheets/d/1OYoGg4WDg5RIzwGeB10padOxJF9E_Vljuvvct_M7RDo/edit?usp=sharing"",""ปทุมธานี!N497"")+IMPORTRANGE(""https://docs.google.com/spreadsheets/d/1GbCI"&amp;"E4D4wk9FUozzqk7SxfDMxDVBwVmI5zcaVUSzKAc/edit?usp=sharing"",""ประจวบคีรีขันธ์!N497"")+IMPORTRANGE(""https://docs.google.com/spreadsheets/d/1vVf6wykvW_lAyu7Yo9L4hUTqHqIeP_qcVuxCtosJEbg/edit?usp=sharing"",""ปราจีนบุรี!N497"")+IMPORTRANGE(""https://docs.googl"&amp;"e.com/spreadsheets/d/1BIDqLLg5jk3v59G8NlR8rk5xfQDKne0sAvZHSj7TI6I/edit?usp=sharing"",""พระนครศรีอยุธยา!N497"")+IMPORTRANGE(""https://docs.google.com/spreadsheets/d/1YXvxf8Yu6_rV4hTBrwMqAcAnv6DfhUxh5emyM3CJp_w/edit?usp=sharing"",""เพชรบุรี!N497"")+IMPORTRA"&amp;"NGE(""https://docs.google.com/spreadsheets/d/19KBlQQs7uwvsao6t2n-KvW3Ax8J8uRRfZPq1zPbXgKc/edit?usp=sharing"",""ระยอง!N497"")+IMPORTRANGE(""https://docs.google.com/spreadsheets/d/1jQ6P4QcrGM89YfqcC_PxOHGCMq5ezhucwJd8ci-NHng/edit?usp=sharing"",""ราชบุรี!N49"&amp;"7"")+IMPORTRANGE(""https://docs.google.com/spreadsheets/d/1lufeA2cfFqM-elVq2hznhDzC6Pr7wkJ9ZG_sYNGCMCU/edit?usp=sharing"",""ลพบุรี!N497"")+IMPORTRANGE(""https://docs.google.com/spreadsheets/d/10oOiF7loTyfsTkbd4MpaIm0HQ9SwB7IYHdIUvt-U1Uc/edit?usp=sharing"""&amp;",""สระแก้ว!N497"")+IMPORTRANGE(""https://docs.google.com/spreadsheets/d/1xmPlrr1QbdSIKvl1dWUl9K4PjAfSL9oeMr_37QVzcxc/edit?usp=sharing"",""สระบุรี!N497"")+IMPORTRANGE(""https://docs.google.com/spreadsheets/d/1j51vR6CYVGhABJpv6tkstgok82RLpXieLzW1yOY5rHw/edi"&amp;"t?usp=sharing"",""สิงห์บุรี!N497"")+IMPORTRANGE(""https://docs.google.com/spreadsheets/d/1H1EalTWKUSzO4Z1-1CwzoDUaVffgrThEBe2sl74kKG0/edit?usp=sharing"",""สุพรรณบุรี!N497"")+IMPORTRANGE(""https://docs.google.com/spreadsheets/d/1BmIruG_sIrJLYao_Pdr7zVArWsf"&amp;"oBt2692TMi6x_854/edit?usp=sharing"",""อ่างทอง!N497"")"),0)</f>
        <v>0</v>
      </c>
      <c r="O497" s="80">
        <f t="shared" ca="1" si="339"/>
        <v>0</v>
      </c>
      <c r="P497" s="80">
        <f t="shared" ca="1" si="340"/>
        <v>0</v>
      </c>
      <c r="Q497" s="79">
        <f ca="1">IFERROR(__xludf.DUMMYFUNCTION("IMPORTRANGE(""https://docs.google.com/spreadsheets/d/13wPX838HrBrQMCywv1BsuMkt4PEKTChp52zj44s2izQ/edit?usp=sharing"",""กาญจนบุรี!Q497"")+IMPORTRANGE(""https://docs.google.com/spreadsheets/d/1ddFKvqj1W1NEiWytbGlB1zMx_ykJDVtmfEQ-6-lIUBA/edit?usp=sharing"","&amp;"""จันทบุรี!Q497"")+IMPORTRANGE(""https://docs.google.com/spreadsheets/d/1T1PQvRODqOBZk8BRht_U031fIS1beLA0Ub2CEytj2q0/edit?usp=sharing"",""ฉะเชิงเทรา!Q497"")+IMPORTRANGE(""https://docs.google.com/spreadsheets/d/11tr1B-Bhyr79v2bkwVh5h_fR-PStkgjlZtkrZpYurG0/"&amp;"edit?usp=sharing"",""ชลบุรี!Q497"")+IMPORTRANGE(""https://docs.google.com/spreadsheets/d/1hh-FVnSX0vozXhGluamEcS54Dw9_zqW0N7qJUWgJ0Sw/edit?usp=sharing"",""ชัยนาท!Q497"")+IMPORTRANGE(""https://docs.google.com/spreadsheets/d/1jkqa6GXxSacMcY1eN8AHjMNJ_7dDXMJ"&amp;"VRLDlaFSOdPM/edit?usp=sharing"",""ตราด!Q497"")+IMPORTRANGE(""https://docs.google.com/spreadsheets/d/18hSgUJ3VwClqi_qtULmmW3cLr0oe3OKaSYoKzdpTsYQ/edit?usp=sharing"",""นครนายก!Q497"")+IMPORTRANGE(""https://docs.google.com/spreadsheets/d/1YTZo6WM2dQ6Ix6FSdnL"&amp;"5P7uVnVKu40sxZu975tgG10E/edit?usp=sharing"",""นครปฐม!Q497"")+IMPORTRANGE(""https://docs.google.com/spreadsheets/d/1OYoGg4WDg5RIzwGeB10padOxJF9E_Vljuvvct_M7RDo/edit?usp=sharing"",""ปทุมธานี!Q497"")+IMPORTRANGE(""https://docs.google.com/spreadsheets/d/1GbCI"&amp;"E4D4wk9FUozzqk7SxfDMxDVBwVmI5zcaVUSzKAc/edit?usp=sharing"",""ประจวบคีรีขันธ์!Q497"")+IMPORTRANGE(""https://docs.google.com/spreadsheets/d/1vVf6wykvW_lAyu7Yo9L4hUTqHqIeP_qcVuxCtosJEbg/edit?usp=sharing"",""ปราจีนบุรี!Q497"")+IMPORTRANGE(""https://docs.googl"&amp;"e.com/spreadsheets/d/1BIDqLLg5jk3v59G8NlR8rk5xfQDKne0sAvZHSj7TI6I/edit?usp=sharing"",""พระนครศรีอยุธยา!Q497"")+IMPORTRANGE(""https://docs.google.com/spreadsheets/d/1YXvxf8Yu6_rV4hTBrwMqAcAnv6DfhUxh5emyM3CJp_w/edit?usp=sharing"",""เพชรบุรี!Q497"")+IMPORTRA"&amp;"NGE(""https://docs.google.com/spreadsheets/d/19KBlQQs7uwvsao6t2n-KvW3Ax8J8uRRfZPq1zPbXgKc/edit?usp=sharing"",""ระยอง!Q497"")+IMPORTRANGE(""https://docs.google.com/spreadsheets/d/1jQ6P4QcrGM89YfqcC_PxOHGCMq5ezhucwJd8ci-NHng/edit?usp=sharing"",""ราชบุรี!Q49"&amp;"7"")+IMPORTRANGE(""https://docs.google.com/spreadsheets/d/1lufeA2cfFqM-elVq2hznhDzC6Pr7wkJ9ZG_sYNGCMCU/edit?usp=sharing"",""ลพบุรี!Q497"")+IMPORTRANGE(""https://docs.google.com/spreadsheets/d/10oOiF7loTyfsTkbd4MpaIm0HQ9SwB7IYHdIUvt-U1Uc/edit?usp=sharing"""&amp;",""สระแก้ว!Q497"")+IMPORTRANGE(""https://docs.google.com/spreadsheets/d/1xmPlrr1QbdSIKvl1dWUl9K4PjAfSL9oeMr_37QVzcxc/edit?usp=sharing"",""สระบุรี!Q497"")+IMPORTRANGE(""https://docs.google.com/spreadsheets/d/1j51vR6CYVGhABJpv6tkstgok82RLpXieLzW1yOY5rHw/edi"&amp;"t?usp=sharing"",""สิงห์บุรี!Q497"")+IMPORTRANGE(""https://docs.google.com/spreadsheets/d/1H1EalTWKUSzO4Z1-1CwzoDUaVffgrThEBe2sl74kKG0/edit?usp=sharing"",""สุพรรณบุรี!Q497"")+IMPORTRANGE(""https://docs.google.com/spreadsheets/d/1BmIruG_sIrJLYao_Pdr7zVArWsf"&amp;"oBt2692TMi6x_854/edit?usp=sharing"",""อ่างทอง!Q497"")"),0)</f>
        <v>0</v>
      </c>
      <c r="R497" s="80">
        <f ca="1">IFERROR(__xludf.DUMMYFUNCTION("IMPORTRANGE(""https://docs.google.com/spreadsheets/d/13wPX838HrBrQMCywv1BsuMkt4PEKTChp52zj44s2izQ/edit?usp=sharing"",""กาญจนบุรี!R497"")+IMPORTRANGE(""https://docs.google.com/spreadsheets/d/1ddFKvqj1W1NEiWytbGlB1zMx_ykJDVtmfEQ-6-lIUBA/edit?usp=sharing"","&amp;"""จันทบุรี!R497"")+IMPORTRANGE(""https://docs.google.com/spreadsheets/d/1T1PQvRODqOBZk8BRht_U031fIS1beLA0Ub2CEytj2q0/edit?usp=sharing"",""ฉะเชิงเทรา!R497"")+IMPORTRANGE(""https://docs.google.com/spreadsheets/d/11tr1B-Bhyr79v2bkwVh5h_fR-PStkgjlZtkrZpYurG0/"&amp;"edit?usp=sharing"",""ชลบุรี!R497"")+IMPORTRANGE(""https://docs.google.com/spreadsheets/d/1hh-FVnSX0vozXhGluamEcS54Dw9_zqW0N7qJUWgJ0Sw/edit?usp=sharing"",""ชัยนาท!R497"")+IMPORTRANGE(""https://docs.google.com/spreadsheets/d/1jkqa6GXxSacMcY1eN8AHjMNJ_7dDXMJ"&amp;"VRLDlaFSOdPM/edit?usp=sharing"",""ตราด!R497"")+IMPORTRANGE(""https://docs.google.com/spreadsheets/d/18hSgUJ3VwClqi_qtULmmW3cLr0oe3OKaSYoKzdpTsYQ/edit?usp=sharing"",""นครนายก!R497"")+IMPORTRANGE(""https://docs.google.com/spreadsheets/d/1YTZo6WM2dQ6Ix6FSdnL"&amp;"5P7uVnVKu40sxZu975tgG10E/edit?usp=sharing"",""นครปฐม!R497"")+IMPORTRANGE(""https://docs.google.com/spreadsheets/d/1OYoGg4WDg5RIzwGeB10padOxJF9E_Vljuvvct_M7RDo/edit?usp=sharing"",""ปทุมธานี!R497"")+IMPORTRANGE(""https://docs.google.com/spreadsheets/d/1GbCI"&amp;"E4D4wk9FUozzqk7SxfDMxDVBwVmI5zcaVUSzKAc/edit?usp=sharing"",""ประจวบคีรีขันธ์!R497"")+IMPORTRANGE(""https://docs.google.com/spreadsheets/d/1vVf6wykvW_lAyu7Yo9L4hUTqHqIeP_qcVuxCtosJEbg/edit?usp=sharing"",""ปราจีนบุรี!R497"")+IMPORTRANGE(""https://docs.googl"&amp;"e.com/spreadsheets/d/1BIDqLLg5jk3v59G8NlR8rk5xfQDKne0sAvZHSj7TI6I/edit?usp=sharing"",""พระนครศรีอยุธยา!R497"")+IMPORTRANGE(""https://docs.google.com/spreadsheets/d/1YXvxf8Yu6_rV4hTBrwMqAcAnv6DfhUxh5emyM3CJp_w/edit?usp=sharing"",""เพชรบุรี!R497"")+IMPORTRA"&amp;"NGE(""https://docs.google.com/spreadsheets/d/19KBlQQs7uwvsao6t2n-KvW3Ax8J8uRRfZPq1zPbXgKc/edit?usp=sharing"",""ระยอง!R497"")+IMPORTRANGE(""https://docs.google.com/spreadsheets/d/1jQ6P4QcrGM89YfqcC_PxOHGCMq5ezhucwJd8ci-NHng/edit?usp=sharing"",""ราชบุรี!R49"&amp;"7"")+IMPORTRANGE(""https://docs.google.com/spreadsheets/d/1lufeA2cfFqM-elVq2hznhDzC6Pr7wkJ9ZG_sYNGCMCU/edit?usp=sharing"",""ลพบุรี!R497"")+IMPORTRANGE(""https://docs.google.com/spreadsheets/d/10oOiF7loTyfsTkbd4MpaIm0HQ9SwB7IYHdIUvt-U1Uc/edit?usp=sharing"""&amp;",""สระแก้ว!R497"")+IMPORTRANGE(""https://docs.google.com/spreadsheets/d/1xmPlrr1QbdSIKvl1dWUl9K4PjAfSL9oeMr_37QVzcxc/edit?usp=sharing"",""สระบุรี!R497"")+IMPORTRANGE(""https://docs.google.com/spreadsheets/d/1j51vR6CYVGhABJpv6tkstgok82RLpXieLzW1yOY5rHw/edi"&amp;"t?usp=sharing"",""สิงห์บุรี!R497"")+IMPORTRANGE(""https://docs.google.com/spreadsheets/d/1H1EalTWKUSzO4Z1-1CwzoDUaVffgrThEBe2sl74kKG0/edit?usp=sharing"",""สุพรรณบุรี!R497"")+IMPORTRANGE(""https://docs.google.com/spreadsheets/d/1BmIruG_sIrJLYao_Pdr7zVArWsf"&amp;"oBt2692TMi6x_854/edit?usp=sharing"",""อ่างทอง!R497"")"),0)</f>
        <v>0</v>
      </c>
      <c r="S497" s="80">
        <f ca="1">IFERROR(__xludf.DUMMYFUNCTION("IMPORTRANGE(""https://docs.google.com/spreadsheets/d/13wPX838HrBrQMCywv1BsuMkt4PEKTChp52zj44s2izQ/edit?usp=sharing"",""กาญจนบุรี!S497"")+IMPORTRANGE(""https://docs.google.com/spreadsheets/d/1ddFKvqj1W1NEiWytbGlB1zMx_ykJDVtmfEQ-6-lIUBA/edit?usp=sharing"","&amp;"""จันทบุรี!S497"")+IMPORTRANGE(""https://docs.google.com/spreadsheets/d/1T1PQvRODqOBZk8BRht_U031fIS1beLA0Ub2CEytj2q0/edit?usp=sharing"",""ฉะเชิงเทรา!S497"")+IMPORTRANGE(""https://docs.google.com/spreadsheets/d/11tr1B-Bhyr79v2bkwVh5h_fR-PStkgjlZtkrZpYurG0/"&amp;"edit?usp=sharing"",""ชลบุรี!S497"")+IMPORTRANGE(""https://docs.google.com/spreadsheets/d/1hh-FVnSX0vozXhGluamEcS54Dw9_zqW0N7qJUWgJ0Sw/edit?usp=sharing"",""ชัยนาท!S497"")+IMPORTRANGE(""https://docs.google.com/spreadsheets/d/1jkqa6GXxSacMcY1eN8AHjMNJ_7dDXMJ"&amp;"VRLDlaFSOdPM/edit?usp=sharing"",""ตราด!S497"")+IMPORTRANGE(""https://docs.google.com/spreadsheets/d/18hSgUJ3VwClqi_qtULmmW3cLr0oe3OKaSYoKzdpTsYQ/edit?usp=sharing"",""นครนายก!S497"")+IMPORTRANGE(""https://docs.google.com/spreadsheets/d/1YTZo6WM2dQ6Ix6FSdnL"&amp;"5P7uVnVKu40sxZu975tgG10E/edit?usp=sharing"",""นครปฐม!S497"")+IMPORTRANGE(""https://docs.google.com/spreadsheets/d/1OYoGg4WDg5RIzwGeB10padOxJF9E_Vljuvvct_M7RDo/edit?usp=sharing"",""ปทุมธานี!S497"")+IMPORTRANGE(""https://docs.google.com/spreadsheets/d/1GbCI"&amp;"E4D4wk9FUozzqk7SxfDMxDVBwVmI5zcaVUSzKAc/edit?usp=sharing"",""ประจวบคีรีขันธ์!S497"")+IMPORTRANGE(""https://docs.google.com/spreadsheets/d/1vVf6wykvW_lAyu7Yo9L4hUTqHqIeP_qcVuxCtosJEbg/edit?usp=sharing"",""ปราจีนบุรี!S497"")+IMPORTRANGE(""https://docs.googl"&amp;"e.com/spreadsheets/d/1BIDqLLg5jk3v59G8NlR8rk5xfQDKne0sAvZHSj7TI6I/edit?usp=sharing"",""พระนครศรีอยุธยา!S497"")+IMPORTRANGE(""https://docs.google.com/spreadsheets/d/1YXvxf8Yu6_rV4hTBrwMqAcAnv6DfhUxh5emyM3CJp_w/edit?usp=sharing"",""เพชรบุรี!S497"")+IMPORTRA"&amp;"NGE(""https://docs.google.com/spreadsheets/d/19KBlQQs7uwvsao6t2n-KvW3Ax8J8uRRfZPq1zPbXgKc/edit?usp=sharing"",""ระยอง!S497"")+IMPORTRANGE(""https://docs.google.com/spreadsheets/d/1jQ6P4QcrGM89YfqcC_PxOHGCMq5ezhucwJd8ci-NHng/edit?usp=sharing"",""ราชบุรี!S49"&amp;"7"")+IMPORTRANGE(""https://docs.google.com/spreadsheets/d/1lufeA2cfFqM-elVq2hznhDzC6Pr7wkJ9ZG_sYNGCMCU/edit?usp=sharing"",""ลพบุรี!S497"")+IMPORTRANGE(""https://docs.google.com/spreadsheets/d/10oOiF7loTyfsTkbd4MpaIm0HQ9SwB7IYHdIUvt-U1Uc/edit?usp=sharing"""&amp;",""สระแก้ว!S497"")+IMPORTRANGE(""https://docs.google.com/spreadsheets/d/1xmPlrr1QbdSIKvl1dWUl9K4PjAfSL9oeMr_37QVzcxc/edit?usp=sharing"",""สระบุรี!S497"")+IMPORTRANGE(""https://docs.google.com/spreadsheets/d/1j51vR6CYVGhABJpv6tkstgok82RLpXieLzW1yOY5rHw/edi"&amp;"t?usp=sharing"",""สิงห์บุรี!S497"")+IMPORTRANGE(""https://docs.google.com/spreadsheets/d/1H1EalTWKUSzO4Z1-1CwzoDUaVffgrThEBe2sl74kKG0/edit?usp=sharing"",""สุพรรณบุรี!S497"")+IMPORTRANGE(""https://docs.google.com/spreadsheets/d/1BmIruG_sIrJLYao_Pdr7zVArWsf"&amp;"oBt2692TMi6x_854/edit?usp=sharing"",""อ่างทอง!S497"")"),0)</f>
        <v>0</v>
      </c>
      <c r="T497" s="136">
        <f t="shared" ca="1" si="342"/>
        <v>0</v>
      </c>
      <c r="U497" s="136">
        <f t="shared" ca="1" si="343"/>
        <v>0</v>
      </c>
    </row>
    <row r="498" spans="1:21" ht="18.75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f ca="1">IFERROR(__xludf.DUMMYFUNCTION("IMPORTRANGE(""https://docs.google.com/spreadsheets/d/13wPX838HrBrQMCywv1BsuMkt4PEKTChp52zj44s2izQ/edit?usp=sharing"",""กาญจนบุรี!L498"")+IMPORTRANGE(""https://docs.google.com/spreadsheets/d/1ddFKvqj1W1NEiWytbGlB1zMx_ykJDVtmfEQ-6-lIUBA/edit?usp=sharing"","&amp;"""จันทบุรี!L498"")+IMPORTRANGE(""https://docs.google.com/spreadsheets/d/1T1PQvRODqOBZk8BRht_U031fIS1beLA0Ub2CEytj2q0/edit?usp=sharing"",""ฉะเชิงเทรา!L498"")+IMPORTRANGE(""https://docs.google.com/spreadsheets/d/11tr1B-Bhyr79v2bkwVh5h_fR-PStkgjlZtkrZpYurG0/"&amp;"edit?usp=sharing"",""ชลบุรี!L498"")+IMPORTRANGE(""https://docs.google.com/spreadsheets/d/1hh-FVnSX0vozXhGluamEcS54Dw9_zqW0N7qJUWgJ0Sw/edit?usp=sharing"",""ชัยนาท!L498"")+IMPORTRANGE(""https://docs.google.com/spreadsheets/d/1jkqa6GXxSacMcY1eN8AHjMNJ_7dDXMJ"&amp;"VRLDlaFSOdPM/edit?usp=sharing"",""ตราด!L498"")+IMPORTRANGE(""https://docs.google.com/spreadsheets/d/18hSgUJ3VwClqi_qtULmmW3cLr0oe3OKaSYoKzdpTsYQ/edit?usp=sharing"",""นครนายก!L498"")+IMPORTRANGE(""https://docs.google.com/spreadsheets/d/1YTZo6WM2dQ6Ix6FSdnL"&amp;"5P7uVnVKu40sxZu975tgG10E/edit?usp=sharing"",""นครปฐม!L498"")+IMPORTRANGE(""https://docs.google.com/spreadsheets/d/1OYoGg4WDg5RIzwGeB10padOxJF9E_Vljuvvct_M7RDo/edit?usp=sharing"",""ปทุมธานี!L498"")+IMPORTRANGE(""https://docs.google.com/spreadsheets/d/1GbCI"&amp;"E4D4wk9FUozzqk7SxfDMxDVBwVmI5zcaVUSzKAc/edit?usp=sharing"",""ประจวบคีรีขันธ์!L498"")+IMPORTRANGE(""https://docs.google.com/spreadsheets/d/1vVf6wykvW_lAyu7Yo9L4hUTqHqIeP_qcVuxCtosJEbg/edit?usp=sharing"",""ปราจีนบุรี!L498"")+IMPORTRANGE(""https://docs.googl"&amp;"e.com/spreadsheets/d/1BIDqLLg5jk3v59G8NlR8rk5xfQDKne0sAvZHSj7TI6I/edit?usp=sharing"",""พระนครศรีอยุธยา!L498"")+IMPORTRANGE(""https://docs.google.com/spreadsheets/d/1YXvxf8Yu6_rV4hTBrwMqAcAnv6DfhUxh5emyM3CJp_w/edit?usp=sharing"",""เพชรบุรี!L498"")+IMPORTRA"&amp;"NGE(""https://docs.google.com/spreadsheets/d/19KBlQQs7uwvsao6t2n-KvW3Ax8J8uRRfZPq1zPbXgKc/edit?usp=sharing"",""ระยอง!L498"")+IMPORTRANGE(""https://docs.google.com/spreadsheets/d/1jQ6P4QcrGM89YfqcC_PxOHGCMq5ezhucwJd8ci-NHng/edit?usp=sharing"",""ราชบุรี!L49"&amp;"8"")+IMPORTRANGE(""https://docs.google.com/spreadsheets/d/1lufeA2cfFqM-elVq2hznhDzC6Pr7wkJ9ZG_sYNGCMCU/edit?usp=sharing"",""ลพบุรี!L498"")+IMPORTRANGE(""https://docs.google.com/spreadsheets/d/10oOiF7loTyfsTkbd4MpaIm0HQ9SwB7IYHdIUvt-U1Uc/edit?usp=sharing"""&amp;",""สระแก้ว!L498"")+IMPORTRANGE(""https://docs.google.com/spreadsheets/d/1xmPlrr1QbdSIKvl1dWUl9K4PjAfSL9oeMr_37QVzcxc/edit?usp=sharing"",""สระบุรี!L498"")+IMPORTRANGE(""https://docs.google.com/spreadsheets/d/1j51vR6CYVGhABJpv6tkstgok82RLpXieLzW1yOY5rHw/edi"&amp;"t?usp=sharing"",""สิงห์บุรี!L498"")+IMPORTRANGE(""https://docs.google.com/spreadsheets/d/1H1EalTWKUSzO4Z1-1CwzoDUaVffgrThEBe2sl74kKG0/edit?usp=sharing"",""สุพรรณบุรี!L498"")+IMPORTRANGE(""https://docs.google.com/spreadsheets/d/1BmIruG_sIrJLYao_Pdr7zVArWsf"&amp;"oBt2692TMi6x_854/edit?usp=sharing"",""อ่างทอง!L498"")"),0)</f>
        <v>0</v>
      </c>
      <c r="M498" s="77">
        <f ca="1">IFERROR(__xludf.DUMMYFUNCTION("IMPORTRANGE(""https://docs.google.com/spreadsheets/d/13wPX838HrBrQMCywv1BsuMkt4PEKTChp52zj44s2izQ/edit?usp=sharing"",""กาญจนบุรี!M498"")+IMPORTRANGE(""https://docs.google.com/spreadsheets/d/1ddFKvqj1W1NEiWytbGlB1zMx_ykJDVtmfEQ-6-lIUBA/edit?usp=sharing"","&amp;"""จันทบุรี!M498"")+IMPORTRANGE(""https://docs.google.com/spreadsheets/d/1T1PQvRODqOBZk8BRht_U031fIS1beLA0Ub2CEytj2q0/edit?usp=sharing"",""ฉะเชิงเทรา!M498"")+IMPORTRANGE(""https://docs.google.com/spreadsheets/d/11tr1B-Bhyr79v2bkwVh5h_fR-PStkgjlZtkrZpYurG0/"&amp;"edit?usp=sharing"",""ชลบุรี!M498"")+IMPORTRANGE(""https://docs.google.com/spreadsheets/d/1hh-FVnSX0vozXhGluamEcS54Dw9_zqW0N7qJUWgJ0Sw/edit?usp=sharing"",""ชัยนาท!M498"")+IMPORTRANGE(""https://docs.google.com/spreadsheets/d/1jkqa6GXxSacMcY1eN8AHjMNJ_7dDXMJ"&amp;"VRLDlaFSOdPM/edit?usp=sharing"",""ตราด!M498"")+IMPORTRANGE(""https://docs.google.com/spreadsheets/d/18hSgUJ3VwClqi_qtULmmW3cLr0oe3OKaSYoKzdpTsYQ/edit?usp=sharing"",""นครนายก!M498"")+IMPORTRANGE(""https://docs.google.com/spreadsheets/d/1YTZo6WM2dQ6Ix6FSdnL"&amp;"5P7uVnVKu40sxZu975tgG10E/edit?usp=sharing"",""นครปฐม!M498"")+IMPORTRANGE(""https://docs.google.com/spreadsheets/d/1OYoGg4WDg5RIzwGeB10padOxJF9E_Vljuvvct_M7RDo/edit?usp=sharing"",""ปทุมธานี!M498"")+IMPORTRANGE(""https://docs.google.com/spreadsheets/d/1GbCI"&amp;"E4D4wk9FUozzqk7SxfDMxDVBwVmI5zcaVUSzKAc/edit?usp=sharing"",""ประจวบคีรีขันธ์!M498"")+IMPORTRANGE(""https://docs.google.com/spreadsheets/d/1vVf6wykvW_lAyu7Yo9L4hUTqHqIeP_qcVuxCtosJEbg/edit?usp=sharing"",""ปราจีนบุรี!M498"")+IMPORTRANGE(""https://docs.googl"&amp;"e.com/spreadsheets/d/1BIDqLLg5jk3v59G8NlR8rk5xfQDKne0sAvZHSj7TI6I/edit?usp=sharing"",""พระนครศรีอยุธยา!M498"")+IMPORTRANGE(""https://docs.google.com/spreadsheets/d/1YXvxf8Yu6_rV4hTBrwMqAcAnv6DfhUxh5emyM3CJp_w/edit?usp=sharing"",""เพชรบุรี!M498"")+IMPORTRA"&amp;"NGE(""https://docs.google.com/spreadsheets/d/19KBlQQs7uwvsao6t2n-KvW3Ax8J8uRRfZPq1zPbXgKc/edit?usp=sharing"",""ระยอง!M498"")+IMPORTRANGE(""https://docs.google.com/spreadsheets/d/1jQ6P4QcrGM89YfqcC_PxOHGCMq5ezhucwJd8ci-NHng/edit?usp=sharing"",""ราชบุรี!M49"&amp;"8"")+IMPORTRANGE(""https://docs.google.com/spreadsheets/d/1lufeA2cfFqM-elVq2hznhDzC6Pr7wkJ9ZG_sYNGCMCU/edit?usp=sharing"",""ลพบุรี!M498"")+IMPORTRANGE(""https://docs.google.com/spreadsheets/d/10oOiF7loTyfsTkbd4MpaIm0HQ9SwB7IYHdIUvt-U1Uc/edit?usp=sharing"""&amp;",""สระแก้ว!M498"")+IMPORTRANGE(""https://docs.google.com/spreadsheets/d/1xmPlrr1QbdSIKvl1dWUl9K4PjAfSL9oeMr_37QVzcxc/edit?usp=sharing"",""สระบุรี!M498"")+IMPORTRANGE(""https://docs.google.com/spreadsheets/d/1j51vR6CYVGhABJpv6tkstgok82RLpXieLzW1yOY5rHw/edi"&amp;"t?usp=sharing"",""สิงห์บุรี!M498"")+IMPORTRANGE(""https://docs.google.com/spreadsheets/d/1H1EalTWKUSzO4Z1-1CwzoDUaVffgrThEBe2sl74kKG0/edit?usp=sharing"",""สุพรรณบุรี!M498"")+IMPORTRANGE(""https://docs.google.com/spreadsheets/d/1BmIruG_sIrJLYao_Pdr7zVArWsf"&amp;"oBt2692TMi6x_854/edit?usp=sharing"",""อ่างทอง!M498"")"),0)</f>
        <v>0</v>
      </c>
      <c r="N498" s="77">
        <f ca="1">IFERROR(__xludf.DUMMYFUNCTION("IMPORTRANGE(""https://docs.google.com/spreadsheets/d/13wPX838HrBrQMCywv1BsuMkt4PEKTChp52zj44s2izQ/edit?usp=sharing"",""กาญจนบุรี!N498"")+IMPORTRANGE(""https://docs.google.com/spreadsheets/d/1ddFKvqj1W1NEiWytbGlB1zMx_ykJDVtmfEQ-6-lIUBA/edit?usp=sharing"","&amp;"""จันทบุรี!N498"")+IMPORTRANGE(""https://docs.google.com/spreadsheets/d/1T1PQvRODqOBZk8BRht_U031fIS1beLA0Ub2CEytj2q0/edit?usp=sharing"",""ฉะเชิงเทรา!N498"")+IMPORTRANGE(""https://docs.google.com/spreadsheets/d/11tr1B-Bhyr79v2bkwVh5h_fR-PStkgjlZtkrZpYurG0/"&amp;"edit?usp=sharing"",""ชลบุรี!N498"")+IMPORTRANGE(""https://docs.google.com/spreadsheets/d/1hh-FVnSX0vozXhGluamEcS54Dw9_zqW0N7qJUWgJ0Sw/edit?usp=sharing"",""ชัยนาท!N498"")+IMPORTRANGE(""https://docs.google.com/spreadsheets/d/1jkqa6GXxSacMcY1eN8AHjMNJ_7dDXMJ"&amp;"VRLDlaFSOdPM/edit?usp=sharing"",""ตราด!N498"")+IMPORTRANGE(""https://docs.google.com/spreadsheets/d/18hSgUJ3VwClqi_qtULmmW3cLr0oe3OKaSYoKzdpTsYQ/edit?usp=sharing"",""นครนายก!N498"")+IMPORTRANGE(""https://docs.google.com/spreadsheets/d/1YTZo6WM2dQ6Ix6FSdnL"&amp;"5P7uVnVKu40sxZu975tgG10E/edit?usp=sharing"",""นครปฐม!N498"")+IMPORTRANGE(""https://docs.google.com/spreadsheets/d/1OYoGg4WDg5RIzwGeB10padOxJF9E_Vljuvvct_M7RDo/edit?usp=sharing"",""ปทุมธานี!N498"")+IMPORTRANGE(""https://docs.google.com/spreadsheets/d/1GbCI"&amp;"E4D4wk9FUozzqk7SxfDMxDVBwVmI5zcaVUSzKAc/edit?usp=sharing"",""ประจวบคีรีขันธ์!N498"")+IMPORTRANGE(""https://docs.google.com/spreadsheets/d/1vVf6wykvW_lAyu7Yo9L4hUTqHqIeP_qcVuxCtosJEbg/edit?usp=sharing"",""ปราจีนบุรี!N498"")+IMPORTRANGE(""https://docs.googl"&amp;"e.com/spreadsheets/d/1BIDqLLg5jk3v59G8NlR8rk5xfQDKne0sAvZHSj7TI6I/edit?usp=sharing"",""พระนครศรีอยุธยา!N498"")+IMPORTRANGE(""https://docs.google.com/spreadsheets/d/1YXvxf8Yu6_rV4hTBrwMqAcAnv6DfhUxh5emyM3CJp_w/edit?usp=sharing"",""เพชรบุรี!N498"")+IMPORTRA"&amp;"NGE(""https://docs.google.com/spreadsheets/d/19KBlQQs7uwvsao6t2n-KvW3Ax8J8uRRfZPq1zPbXgKc/edit?usp=sharing"",""ระยอง!N498"")+IMPORTRANGE(""https://docs.google.com/spreadsheets/d/1jQ6P4QcrGM89YfqcC_PxOHGCMq5ezhucwJd8ci-NHng/edit?usp=sharing"",""ราชบุรี!N49"&amp;"8"")+IMPORTRANGE(""https://docs.google.com/spreadsheets/d/1lufeA2cfFqM-elVq2hznhDzC6Pr7wkJ9ZG_sYNGCMCU/edit?usp=sharing"",""ลพบุรี!N498"")+IMPORTRANGE(""https://docs.google.com/spreadsheets/d/10oOiF7loTyfsTkbd4MpaIm0HQ9SwB7IYHdIUvt-U1Uc/edit?usp=sharing"""&amp;",""สระแก้ว!N498"")+IMPORTRANGE(""https://docs.google.com/spreadsheets/d/1xmPlrr1QbdSIKvl1dWUl9K4PjAfSL9oeMr_37QVzcxc/edit?usp=sharing"",""สระบุรี!N498"")+IMPORTRANGE(""https://docs.google.com/spreadsheets/d/1j51vR6CYVGhABJpv6tkstgok82RLpXieLzW1yOY5rHw/edi"&amp;"t?usp=sharing"",""สิงห์บุรี!N498"")+IMPORTRANGE(""https://docs.google.com/spreadsheets/d/1H1EalTWKUSzO4Z1-1CwzoDUaVffgrThEBe2sl74kKG0/edit?usp=sharing"",""สุพรรณบุรี!N498"")+IMPORTRANGE(""https://docs.google.com/spreadsheets/d/1BmIruG_sIrJLYao_Pdr7zVArWsf"&amp;"oBt2692TMi6x_854/edit?usp=sharing"",""อ่างทอง!N498"")"),0)</f>
        <v>0</v>
      </c>
      <c r="O498" s="77">
        <f t="shared" ca="1" si="339"/>
        <v>0</v>
      </c>
      <c r="P498" s="77">
        <f t="shared" ca="1" si="340"/>
        <v>0</v>
      </c>
      <c r="Q498" s="134">
        <f ca="1">IFERROR(__xludf.DUMMYFUNCTION("IMPORTRANGE(""https://docs.google.com/spreadsheets/d/13wPX838HrBrQMCywv1BsuMkt4PEKTChp52zj44s2izQ/edit?usp=sharing"",""กาญจนบุรี!Q498"")+IMPORTRANGE(""https://docs.google.com/spreadsheets/d/1ddFKvqj1W1NEiWytbGlB1zMx_ykJDVtmfEQ-6-lIUBA/edit?usp=sharing"","&amp;"""จันทบุรี!Q498"")+IMPORTRANGE(""https://docs.google.com/spreadsheets/d/1T1PQvRODqOBZk8BRht_U031fIS1beLA0Ub2CEytj2q0/edit?usp=sharing"",""ฉะเชิงเทรา!Q498"")+IMPORTRANGE(""https://docs.google.com/spreadsheets/d/11tr1B-Bhyr79v2bkwVh5h_fR-PStkgjlZtkrZpYurG0/"&amp;"edit?usp=sharing"",""ชลบุรี!Q498"")+IMPORTRANGE(""https://docs.google.com/spreadsheets/d/1hh-FVnSX0vozXhGluamEcS54Dw9_zqW0N7qJUWgJ0Sw/edit?usp=sharing"",""ชัยนาท!Q498"")+IMPORTRANGE(""https://docs.google.com/spreadsheets/d/1jkqa6GXxSacMcY1eN8AHjMNJ_7dDXMJ"&amp;"VRLDlaFSOdPM/edit?usp=sharing"",""ตราด!Q498"")+IMPORTRANGE(""https://docs.google.com/spreadsheets/d/18hSgUJ3VwClqi_qtULmmW3cLr0oe3OKaSYoKzdpTsYQ/edit?usp=sharing"",""นครนายก!Q498"")+IMPORTRANGE(""https://docs.google.com/spreadsheets/d/1YTZo6WM2dQ6Ix6FSdnL"&amp;"5P7uVnVKu40sxZu975tgG10E/edit?usp=sharing"",""นครปฐม!Q498"")+IMPORTRANGE(""https://docs.google.com/spreadsheets/d/1OYoGg4WDg5RIzwGeB10padOxJF9E_Vljuvvct_M7RDo/edit?usp=sharing"",""ปทุมธานี!Q498"")+IMPORTRANGE(""https://docs.google.com/spreadsheets/d/1GbCI"&amp;"E4D4wk9FUozzqk7SxfDMxDVBwVmI5zcaVUSzKAc/edit?usp=sharing"",""ประจวบคีรีขันธ์!Q498"")+IMPORTRANGE(""https://docs.google.com/spreadsheets/d/1vVf6wykvW_lAyu7Yo9L4hUTqHqIeP_qcVuxCtosJEbg/edit?usp=sharing"",""ปราจีนบุรี!Q498"")+IMPORTRANGE(""https://docs.googl"&amp;"e.com/spreadsheets/d/1BIDqLLg5jk3v59G8NlR8rk5xfQDKne0sAvZHSj7TI6I/edit?usp=sharing"",""พระนครศรีอยุธยา!Q498"")+IMPORTRANGE(""https://docs.google.com/spreadsheets/d/1YXvxf8Yu6_rV4hTBrwMqAcAnv6DfhUxh5emyM3CJp_w/edit?usp=sharing"",""เพชรบุรี!Q498"")+IMPORTRA"&amp;"NGE(""https://docs.google.com/spreadsheets/d/19KBlQQs7uwvsao6t2n-KvW3Ax8J8uRRfZPq1zPbXgKc/edit?usp=sharing"",""ระยอง!Q498"")+IMPORTRANGE(""https://docs.google.com/spreadsheets/d/1jQ6P4QcrGM89YfqcC_PxOHGCMq5ezhucwJd8ci-NHng/edit?usp=sharing"",""ราชบุรี!Q49"&amp;"8"")+IMPORTRANGE(""https://docs.google.com/spreadsheets/d/1lufeA2cfFqM-elVq2hznhDzC6Pr7wkJ9ZG_sYNGCMCU/edit?usp=sharing"",""ลพบุรี!Q498"")+IMPORTRANGE(""https://docs.google.com/spreadsheets/d/10oOiF7loTyfsTkbd4MpaIm0HQ9SwB7IYHdIUvt-U1Uc/edit?usp=sharing"""&amp;",""สระแก้ว!Q498"")+IMPORTRANGE(""https://docs.google.com/spreadsheets/d/1xmPlrr1QbdSIKvl1dWUl9K4PjAfSL9oeMr_37QVzcxc/edit?usp=sharing"",""สระบุรี!Q498"")+IMPORTRANGE(""https://docs.google.com/spreadsheets/d/1j51vR6CYVGhABJpv6tkstgok82RLpXieLzW1yOY5rHw/edi"&amp;"t?usp=sharing"",""สิงห์บุรี!Q498"")+IMPORTRANGE(""https://docs.google.com/spreadsheets/d/1H1EalTWKUSzO4Z1-1CwzoDUaVffgrThEBe2sl74kKG0/edit?usp=sharing"",""สุพรรณบุรี!Q498"")+IMPORTRANGE(""https://docs.google.com/spreadsheets/d/1BmIruG_sIrJLYao_Pdr7zVArWsf"&amp;"oBt2692TMi6x_854/edit?usp=sharing"",""อ่างทอง!Q498"")"),2234495)</f>
        <v>2234495</v>
      </c>
      <c r="R498" s="135">
        <f ca="1">IFERROR(__xludf.DUMMYFUNCTION("IMPORTRANGE(""https://docs.google.com/spreadsheets/d/13wPX838HrBrQMCywv1BsuMkt4PEKTChp52zj44s2izQ/edit?usp=sharing"",""กาญจนบุรี!R498"")+IMPORTRANGE(""https://docs.google.com/spreadsheets/d/1ddFKvqj1W1NEiWytbGlB1zMx_ykJDVtmfEQ-6-lIUBA/edit?usp=sharing"","&amp;"""จันทบุรี!R498"")+IMPORTRANGE(""https://docs.google.com/spreadsheets/d/1T1PQvRODqOBZk8BRht_U031fIS1beLA0Ub2CEytj2q0/edit?usp=sharing"",""ฉะเชิงเทรา!R498"")+IMPORTRANGE(""https://docs.google.com/spreadsheets/d/11tr1B-Bhyr79v2bkwVh5h_fR-PStkgjlZtkrZpYurG0/"&amp;"edit?usp=sharing"",""ชลบุรี!R498"")+IMPORTRANGE(""https://docs.google.com/spreadsheets/d/1hh-FVnSX0vozXhGluamEcS54Dw9_zqW0N7qJUWgJ0Sw/edit?usp=sharing"",""ชัยนาท!R498"")+IMPORTRANGE(""https://docs.google.com/spreadsheets/d/1jkqa6GXxSacMcY1eN8AHjMNJ_7dDXMJ"&amp;"VRLDlaFSOdPM/edit?usp=sharing"",""ตราด!R498"")+IMPORTRANGE(""https://docs.google.com/spreadsheets/d/18hSgUJ3VwClqi_qtULmmW3cLr0oe3OKaSYoKzdpTsYQ/edit?usp=sharing"",""นครนายก!R498"")+IMPORTRANGE(""https://docs.google.com/spreadsheets/d/1YTZo6WM2dQ6Ix6FSdnL"&amp;"5P7uVnVKu40sxZu975tgG10E/edit?usp=sharing"",""นครปฐม!R498"")+IMPORTRANGE(""https://docs.google.com/spreadsheets/d/1OYoGg4WDg5RIzwGeB10padOxJF9E_Vljuvvct_M7RDo/edit?usp=sharing"",""ปทุมธานี!R498"")+IMPORTRANGE(""https://docs.google.com/spreadsheets/d/1GbCI"&amp;"E4D4wk9FUozzqk7SxfDMxDVBwVmI5zcaVUSzKAc/edit?usp=sharing"",""ประจวบคีรีขันธ์!R498"")+IMPORTRANGE(""https://docs.google.com/spreadsheets/d/1vVf6wykvW_lAyu7Yo9L4hUTqHqIeP_qcVuxCtosJEbg/edit?usp=sharing"",""ปราจีนบุรี!R498"")+IMPORTRANGE(""https://docs.googl"&amp;"e.com/spreadsheets/d/1BIDqLLg5jk3v59G8NlR8rk5xfQDKne0sAvZHSj7TI6I/edit?usp=sharing"",""พระนครศรีอยุธยา!R498"")+IMPORTRANGE(""https://docs.google.com/spreadsheets/d/1YXvxf8Yu6_rV4hTBrwMqAcAnv6DfhUxh5emyM3CJp_w/edit?usp=sharing"",""เพชรบุรี!R498"")+IMPORTRA"&amp;"NGE(""https://docs.google.com/spreadsheets/d/19KBlQQs7uwvsao6t2n-KvW3Ax8J8uRRfZPq1zPbXgKc/edit?usp=sharing"",""ระยอง!R498"")+IMPORTRANGE(""https://docs.google.com/spreadsheets/d/1jQ6P4QcrGM89YfqcC_PxOHGCMq5ezhucwJd8ci-NHng/edit?usp=sharing"",""ราชบุรี!R49"&amp;"8"")+IMPORTRANGE(""https://docs.google.com/spreadsheets/d/1lufeA2cfFqM-elVq2hznhDzC6Pr7wkJ9ZG_sYNGCMCU/edit?usp=sharing"",""ลพบุรี!R498"")+IMPORTRANGE(""https://docs.google.com/spreadsheets/d/10oOiF7loTyfsTkbd4MpaIm0HQ9SwB7IYHdIUvt-U1Uc/edit?usp=sharing"""&amp;",""สระแก้ว!R498"")+IMPORTRANGE(""https://docs.google.com/spreadsheets/d/1xmPlrr1QbdSIKvl1dWUl9K4PjAfSL9oeMr_37QVzcxc/edit?usp=sharing"",""สระบุรี!R498"")+IMPORTRANGE(""https://docs.google.com/spreadsheets/d/1j51vR6CYVGhABJpv6tkstgok82RLpXieLzW1yOY5rHw/edi"&amp;"t?usp=sharing"",""สิงห์บุรี!R498"")+IMPORTRANGE(""https://docs.google.com/spreadsheets/d/1H1EalTWKUSzO4Z1-1CwzoDUaVffgrThEBe2sl74kKG0/edit?usp=sharing"",""สุพรรณบุรี!R498"")+IMPORTRANGE(""https://docs.google.com/spreadsheets/d/1BmIruG_sIrJLYao_Pdr7zVArWsf"&amp;"oBt2692TMi6x_854/edit?usp=sharing"",""อ่างทอง!R498"")"),2234495)</f>
        <v>2234495</v>
      </c>
      <c r="S498" s="135">
        <f ca="1">IFERROR(__xludf.DUMMYFUNCTION("IMPORTRANGE(""https://docs.google.com/spreadsheets/d/13wPX838HrBrQMCywv1BsuMkt4PEKTChp52zj44s2izQ/edit?usp=sharing"",""กาญจนบุรี!S498"")+IMPORTRANGE(""https://docs.google.com/spreadsheets/d/1ddFKvqj1W1NEiWytbGlB1zMx_ykJDVtmfEQ-6-lIUBA/edit?usp=sharing"","&amp;"""จันทบุรี!S498"")+IMPORTRANGE(""https://docs.google.com/spreadsheets/d/1T1PQvRODqOBZk8BRht_U031fIS1beLA0Ub2CEytj2q0/edit?usp=sharing"",""ฉะเชิงเทรา!S498"")+IMPORTRANGE(""https://docs.google.com/spreadsheets/d/11tr1B-Bhyr79v2bkwVh5h_fR-PStkgjlZtkrZpYurG0/"&amp;"edit?usp=sharing"",""ชลบุรี!S498"")+IMPORTRANGE(""https://docs.google.com/spreadsheets/d/1hh-FVnSX0vozXhGluamEcS54Dw9_zqW0N7qJUWgJ0Sw/edit?usp=sharing"",""ชัยนาท!S498"")+IMPORTRANGE(""https://docs.google.com/spreadsheets/d/1jkqa6GXxSacMcY1eN8AHjMNJ_7dDXMJ"&amp;"VRLDlaFSOdPM/edit?usp=sharing"",""ตราด!S498"")+IMPORTRANGE(""https://docs.google.com/spreadsheets/d/18hSgUJ3VwClqi_qtULmmW3cLr0oe3OKaSYoKzdpTsYQ/edit?usp=sharing"",""นครนายก!S498"")+IMPORTRANGE(""https://docs.google.com/spreadsheets/d/1YTZo6WM2dQ6Ix6FSdnL"&amp;"5P7uVnVKu40sxZu975tgG10E/edit?usp=sharing"",""นครปฐม!S498"")+IMPORTRANGE(""https://docs.google.com/spreadsheets/d/1OYoGg4WDg5RIzwGeB10padOxJF9E_Vljuvvct_M7RDo/edit?usp=sharing"",""ปทุมธานี!S498"")+IMPORTRANGE(""https://docs.google.com/spreadsheets/d/1GbCI"&amp;"E4D4wk9FUozzqk7SxfDMxDVBwVmI5zcaVUSzKAc/edit?usp=sharing"",""ประจวบคีรีขันธ์!S498"")+IMPORTRANGE(""https://docs.google.com/spreadsheets/d/1vVf6wykvW_lAyu7Yo9L4hUTqHqIeP_qcVuxCtosJEbg/edit?usp=sharing"",""ปราจีนบุรี!S498"")+IMPORTRANGE(""https://docs.googl"&amp;"e.com/spreadsheets/d/1BIDqLLg5jk3v59G8NlR8rk5xfQDKne0sAvZHSj7TI6I/edit?usp=sharing"",""พระนครศรีอยุธยา!S498"")+IMPORTRANGE(""https://docs.google.com/spreadsheets/d/1YXvxf8Yu6_rV4hTBrwMqAcAnv6DfhUxh5emyM3CJp_w/edit?usp=sharing"",""เพชรบุรี!S498"")+IMPORTRA"&amp;"NGE(""https://docs.google.com/spreadsheets/d/19KBlQQs7uwvsao6t2n-KvW3Ax8J8uRRfZPq1zPbXgKc/edit?usp=sharing"",""ระยอง!S498"")+IMPORTRANGE(""https://docs.google.com/spreadsheets/d/1jQ6P4QcrGM89YfqcC_PxOHGCMq5ezhucwJd8ci-NHng/edit?usp=sharing"",""ราชบุรี!S49"&amp;"8"")+IMPORTRANGE(""https://docs.google.com/spreadsheets/d/1lufeA2cfFqM-elVq2hznhDzC6Pr7wkJ9ZG_sYNGCMCU/edit?usp=sharing"",""ลพบุรี!S498"")+IMPORTRANGE(""https://docs.google.com/spreadsheets/d/10oOiF7loTyfsTkbd4MpaIm0HQ9SwB7IYHdIUvt-U1Uc/edit?usp=sharing"""&amp;",""สระแก้ว!S498"")+IMPORTRANGE(""https://docs.google.com/spreadsheets/d/1xmPlrr1QbdSIKvl1dWUl9K4PjAfSL9oeMr_37QVzcxc/edit?usp=sharing"",""สระบุรี!S498"")+IMPORTRANGE(""https://docs.google.com/spreadsheets/d/1j51vR6CYVGhABJpv6tkstgok82RLpXieLzW1yOY5rHw/edi"&amp;"t?usp=sharing"",""สิงห์บุรี!S498"")+IMPORTRANGE(""https://docs.google.com/spreadsheets/d/1H1EalTWKUSzO4Z1-1CwzoDUaVffgrThEBe2sl74kKG0/edit?usp=sharing"",""สุพรรณบุรี!S498"")+IMPORTRANGE(""https://docs.google.com/spreadsheets/d/1BmIruG_sIrJLYao_Pdr7zVArWsf"&amp;"oBt2692TMi6x_854/edit?usp=sharing"",""อ่างทอง!S498"")"),253210.72)</f>
        <v>253210.72</v>
      </c>
      <c r="T498" s="135">
        <f t="shared" ca="1" si="342"/>
        <v>11.331899153947536</v>
      </c>
      <c r="U498" s="135">
        <f t="shared" ca="1" si="343"/>
        <v>11.331899153947536</v>
      </c>
    </row>
    <row r="499" spans="1:21" ht="18.75" x14ac:dyDescent="0.25">
      <c r="A499" s="259"/>
      <c r="B499" s="271"/>
      <c r="C499" s="271"/>
      <c r="D499" s="276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 t="shared" ref="L499:N499" ca="1" si="350">L500+L501</f>
        <v>0</v>
      </c>
      <c r="M499" s="77">
        <f t="shared" ca="1" si="350"/>
        <v>0</v>
      </c>
      <c r="N499" s="77">
        <f t="shared" ca="1" si="350"/>
        <v>0</v>
      </c>
      <c r="O499" s="77">
        <f t="shared" ca="1" si="339"/>
        <v>0</v>
      </c>
      <c r="P499" s="77">
        <f t="shared" ca="1" si="340"/>
        <v>0</v>
      </c>
      <c r="Q499" s="134">
        <f t="shared" ref="Q499:S499" ca="1" si="351">Q500+Q501</f>
        <v>0</v>
      </c>
      <c r="R499" s="135">
        <f t="shared" ca="1" si="351"/>
        <v>0</v>
      </c>
      <c r="S499" s="135">
        <f t="shared" ca="1" si="351"/>
        <v>0</v>
      </c>
      <c r="T499" s="135">
        <f t="shared" ca="1" si="342"/>
        <v>0</v>
      </c>
      <c r="U499" s="135">
        <f t="shared" ca="1" si="343"/>
        <v>0</v>
      </c>
    </row>
    <row r="500" spans="1:21" ht="18.75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f ca="1">IFERROR(__xludf.DUMMYFUNCTION("IMPORTRANGE(""https://docs.google.com/spreadsheets/d/13wPX838HrBrQMCywv1BsuMkt4PEKTChp52zj44s2izQ/edit?usp=sharing"",""กาญจนบุรี!L500"")+IMPORTRANGE(""https://docs.google.com/spreadsheets/d/1ddFKvqj1W1NEiWytbGlB1zMx_ykJDVtmfEQ-6-lIUBA/edit?usp=sharing"","&amp;"""จันทบุรี!L500"")+IMPORTRANGE(""https://docs.google.com/spreadsheets/d/1T1PQvRODqOBZk8BRht_U031fIS1beLA0Ub2CEytj2q0/edit?usp=sharing"",""ฉะเชิงเทรา!L500"")+IMPORTRANGE(""https://docs.google.com/spreadsheets/d/11tr1B-Bhyr79v2bkwVh5h_fR-PStkgjlZtkrZpYurG0/"&amp;"edit?usp=sharing"",""ชลบุรี!L500"")+IMPORTRANGE(""https://docs.google.com/spreadsheets/d/1hh-FVnSX0vozXhGluamEcS54Dw9_zqW0N7qJUWgJ0Sw/edit?usp=sharing"",""ชัยนาท!L500"")+IMPORTRANGE(""https://docs.google.com/spreadsheets/d/1jkqa6GXxSacMcY1eN8AHjMNJ_7dDXMJ"&amp;"VRLDlaFSOdPM/edit?usp=sharing"",""ตราด!L500"")+IMPORTRANGE(""https://docs.google.com/spreadsheets/d/18hSgUJ3VwClqi_qtULmmW3cLr0oe3OKaSYoKzdpTsYQ/edit?usp=sharing"",""นครนายก!L500"")+IMPORTRANGE(""https://docs.google.com/spreadsheets/d/1YTZo6WM2dQ6Ix6FSdnL"&amp;"5P7uVnVKu40sxZu975tgG10E/edit?usp=sharing"",""นครปฐม!L500"")+IMPORTRANGE(""https://docs.google.com/spreadsheets/d/1OYoGg4WDg5RIzwGeB10padOxJF9E_Vljuvvct_M7RDo/edit?usp=sharing"",""ปทุมธานี!L500"")+IMPORTRANGE(""https://docs.google.com/spreadsheets/d/1GbCI"&amp;"E4D4wk9FUozzqk7SxfDMxDVBwVmI5zcaVUSzKAc/edit?usp=sharing"",""ประจวบคีรีขันธ์!L500"")+IMPORTRANGE(""https://docs.google.com/spreadsheets/d/1vVf6wykvW_lAyu7Yo9L4hUTqHqIeP_qcVuxCtosJEbg/edit?usp=sharing"",""ปราจีนบุรี!L500"")+IMPORTRANGE(""https://docs.googl"&amp;"e.com/spreadsheets/d/1BIDqLLg5jk3v59G8NlR8rk5xfQDKne0sAvZHSj7TI6I/edit?usp=sharing"",""พระนครศรีอยุธยา!L500"")+IMPORTRANGE(""https://docs.google.com/spreadsheets/d/1YXvxf8Yu6_rV4hTBrwMqAcAnv6DfhUxh5emyM3CJp_w/edit?usp=sharing"",""เพชรบุรี!L500"")+IMPORTRA"&amp;"NGE(""https://docs.google.com/spreadsheets/d/19KBlQQs7uwvsao6t2n-KvW3Ax8J8uRRfZPq1zPbXgKc/edit?usp=sharing"",""ระยอง!L500"")+IMPORTRANGE(""https://docs.google.com/spreadsheets/d/1jQ6P4QcrGM89YfqcC_PxOHGCMq5ezhucwJd8ci-NHng/edit?usp=sharing"",""ราชบุรี!L50"&amp;"0"")+IMPORTRANGE(""https://docs.google.com/spreadsheets/d/1lufeA2cfFqM-elVq2hznhDzC6Pr7wkJ9ZG_sYNGCMCU/edit?usp=sharing"",""ลพบุรี!L500"")+IMPORTRANGE(""https://docs.google.com/spreadsheets/d/10oOiF7loTyfsTkbd4MpaIm0HQ9SwB7IYHdIUvt-U1Uc/edit?usp=sharing"""&amp;",""สระแก้ว!L500"")+IMPORTRANGE(""https://docs.google.com/spreadsheets/d/1xmPlrr1QbdSIKvl1dWUl9K4PjAfSL9oeMr_37QVzcxc/edit?usp=sharing"",""สระบุรี!L500"")+IMPORTRANGE(""https://docs.google.com/spreadsheets/d/1j51vR6CYVGhABJpv6tkstgok82RLpXieLzW1yOY5rHw/edi"&amp;"t?usp=sharing"",""สิงห์บุรี!L500"")+IMPORTRANGE(""https://docs.google.com/spreadsheets/d/1H1EalTWKUSzO4Z1-1CwzoDUaVffgrThEBe2sl74kKG0/edit?usp=sharing"",""สุพรรณบุรี!L500"")+IMPORTRANGE(""https://docs.google.com/spreadsheets/d/1BmIruG_sIrJLYao_Pdr7zVArWsf"&amp;"oBt2692TMi6x_854/edit?usp=sharing"",""อ่างทอง!L500"")"),0)</f>
        <v>0</v>
      </c>
      <c r="M500" s="80">
        <f ca="1">IFERROR(__xludf.DUMMYFUNCTION("IMPORTRANGE(""https://docs.google.com/spreadsheets/d/13wPX838HrBrQMCywv1BsuMkt4PEKTChp52zj44s2izQ/edit?usp=sharing"",""กาญจนบุรี!M500"")+IMPORTRANGE(""https://docs.google.com/spreadsheets/d/1ddFKvqj1W1NEiWytbGlB1zMx_ykJDVtmfEQ-6-lIUBA/edit?usp=sharing"","&amp;"""จันทบุรี!M500"")+IMPORTRANGE(""https://docs.google.com/spreadsheets/d/1T1PQvRODqOBZk8BRht_U031fIS1beLA0Ub2CEytj2q0/edit?usp=sharing"",""ฉะเชิงเทรา!M500"")+IMPORTRANGE(""https://docs.google.com/spreadsheets/d/11tr1B-Bhyr79v2bkwVh5h_fR-PStkgjlZtkrZpYurG0/"&amp;"edit?usp=sharing"",""ชลบุรี!M500"")+IMPORTRANGE(""https://docs.google.com/spreadsheets/d/1hh-FVnSX0vozXhGluamEcS54Dw9_zqW0N7qJUWgJ0Sw/edit?usp=sharing"",""ชัยนาท!M500"")+IMPORTRANGE(""https://docs.google.com/spreadsheets/d/1jkqa6GXxSacMcY1eN8AHjMNJ_7dDXMJ"&amp;"VRLDlaFSOdPM/edit?usp=sharing"",""ตราด!M500"")+IMPORTRANGE(""https://docs.google.com/spreadsheets/d/18hSgUJ3VwClqi_qtULmmW3cLr0oe3OKaSYoKzdpTsYQ/edit?usp=sharing"",""นครนายก!M500"")+IMPORTRANGE(""https://docs.google.com/spreadsheets/d/1YTZo6WM2dQ6Ix6FSdnL"&amp;"5P7uVnVKu40sxZu975tgG10E/edit?usp=sharing"",""นครปฐม!M500"")+IMPORTRANGE(""https://docs.google.com/spreadsheets/d/1OYoGg4WDg5RIzwGeB10padOxJF9E_Vljuvvct_M7RDo/edit?usp=sharing"",""ปทุมธานี!M500"")+IMPORTRANGE(""https://docs.google.com/spreadsheets/d/1GbCI"&amp;"E4D4wk9FUozzqk7SxfDMxDVBwVmI5zcaVUSzKAc/edit?usp=sharing"",""ประจวบคีรีขันธ์!M500"")+IMPORTRANGE(""https://docs.google.com/spreadsheets/d/1vVf6wykvW_lAyu7Yo9L4hUTqHqIeP_qcVuxCtosJEbg/edit?usp=sharing"",""ปราจีนบุรี!M500"")+IMPORTRANGE(""https://docs.googl"&amp;"e.com/spreadsheets/d/1BIDqLLg5jk3v59G8NlR8rk5xfQDKne0sAvZHSj7TI6I/edit?usp=sharing"",""พระนครศรีอยุธยา!M500"")+IMPORTRANGE(""https://docs.google.com/spreadsheets/d/1YXvxf8Yu6_rV4hTBrwMqAcAnv6DfhUxh5emyM3CJp_w/edit?usp=sharing"",""เพชรบุรี!M500"")+IMPORTRA"&amp;"NGE(""https://docs.google.com/spreadsheets/d/19KBlQQs7uwvsao6t2n-KvW3Ax8J8uRRfZPq1zPbXgKc/edit?usp=sharing"",""ระยอง!M500"")+IMPORTRANGE(""https://docs.google.com/spreadsheets/d/1jQ6P4QcrGM89YfqcC_PxOHGCMq5ezhucwJd8ci-NHng/edit?usp=sharing"",""ราชบุรี!M50"&amp;"0"")+IMPORTRANGE(""https://docs.google.com/spreadsheets/d/1lufeA2cfFqM-elVq2hznhDzC6Pr7wkJ9ZG_sYNGCMCU/edit?usp=sharing"",""ลพบุรี!M500"")+IMPORTRANGE(""https://docs.google.com/spreadsheets/d/10oOiF7loTyfsTkbd4MpaIm0HQ9SwB7IYHdIUvt-U1Uc/edit?usp=sharing"""&amp;",""สระแก้ว!M500"")+IMPORTRANGE(""https://docs.google.com/spreadsheets/d/1xmPlrr1QbdSIKvl1dWUl9K4PjAfSL9oeMr_37QVzcxc/edit?usp=sharing"",""สระบุรี!M500"")+IMPORTRANGE(""https://docs.google.com/spreadsheets/d/1j51vR6CYVGhABJpv6tkstgok82RLpXieLzW1yOY5rHw/edi"&amp;"t?usp=sharing"",""สิงห์บุรี!M500"")+IMPORTRANGE(""https://docs.google.com/spreadsheets/d/1H1EalTWKUSzO4Z1-1CwzoDUaVffgrThEBe2sl74kKG0/edit?usp=sharing"",""สุพรรณบุรี!M500"")+IMPORTRANGE(""https://docs.google.com/spreadsheets/d/1BmIruG_sIrJLYao_Pdr7zVArWsf"&amp;"oBt2692TMi6x_854/edit?usp=sharing"",""อ่างทอง!M500"")"),0)</f>
        <v>0</v>
      </c>
      <c r="N500" s="80">
        <f ca="1">IFERROR(__xludf.DUMMYFUNCTION("IMPORTRANGE(""https://docs.google.com/spreadsheets/d/13wPX838HrBrQMCywv1BsuMkt4PEKTChp52zj44s2izQ/edit?usp=sharing"",""กาญจนบุรี!N500"")+IMPORTRANGE(""https://docs.google.com/spreadsheets/d/1ddFKvqj1W1NEiWytbGlB1zMx_ykJDVtmfEQ-6-lIUBA/edit?usp=sharing"","&amp;"""จันทบุรี!N500"")+IMPORTRANGE(""https://docs.google.com/spreadsheets/d/1T1PQvRODqOBZk8BRht_U031fIS1beLA0Ub2CEytj2q0/edit?usp=sharing"",""ฉะเชิงเทรา!N500"")+IMPORTRANGE(""https://docs.google.com/spreadsheets/d/11tr1B-Bhyr79v2bkwVh5h_fR-PStkgjlZtkrZpYurG0/"&amp;"edit?usp=sharing"",""ชลบุรี!N500"")+IMPORTRANGE(""https://docs.google.com/spreadsheets/d/1hh-FVnSX0vozXhGluamEcS54Dw9_zqW0N7qJUWgJ0Sw/edit?usp=sharing"",""ชัยนาท!N500"")+IMPORTRANGE(""https://docs.google.com/spreadsheets/d/1jkqa6GXxSacMcY1eN8AHjMNJ_7dDXMJ"&amp;"VRLDlaFSOdPM/edit?usp=sharing"",""ตราด!N500"")+IMPORTRANGE(""https://docs.google.com/spreadsheets/d/18hSgUJ3VwClqi_qtULmmW3cLr0oe3OKaSYoKzdpTsYQ/edit?usp=sharing"",""นครนายก!N500"")+IMPORTRANGE(""https://docs.google.com/spreadsheets/d/1YTZo6WM2dQ6Ix6FSdnL"&amp;"5P7uVnVKu40sxZu975tgG10E/edit?usp=sharing"",""นครปฐม!N500"")+IMPORTRANGE(""https://docs.google.com/spreadsheets/d/1OYoGg4WDg5RIzwGeB10padOxJF9E_Vljuvvct_M7RDo/edit?usp=sharing"",""ปทุมธานี!N500"")+IMPORTRANGE(""https://docs.google.com/spreadsheets/d/1GbCI"&amp;"E4D4wk9FUozzqk7SxfDMxDVBwVmI5zcaVUSzKAc/edit?usp=sharing"",""ประจวบคีรีขันธ์!N500"")+IMPORTRANGE(""https://docs.google.com/spreadsheets/d/1vVf6wykvW_lAyu7Yo9L4hUTqHqIeP_qcVuxCtosJEbg/edit?usp=sharing"",""ปราจีนบุรี!N500"")+IMPORTRANGE(""https://docs.googl"&amp;"e.com/spreadsheets/d/1BIDqLLg5jk3v59G8NlR8rk5xfQDKne0sAvZHSj7TI6I/edit?usp=sharing"",""พระนครศรีอยุธยา!N500"")+IMPORTRANGE(""https://docs.google.com/spreadsheets/d/1YXvxf8Yu6_rV4hTBrwMqAcAnv6DfhUxh5emyM3CJp_w/edit?usp=sharing"",""เพชรบุรี!N500"")+IMPORTRA"&amp;"NGE(""https://docs.google.com/spreadsheets/d/19KBlQQs7uwvsao6t2n-KvW3Ax8J8uRRfZPq1zPbXgKc/edit?usp=sharing"",""ระยอง!N500"")+IMPORTRANGE(""https://docs.google.com/spreadsheets/d/1jQ6P4QcrGM89YfqcC_PxOHGCMq5ezhucwJd8ci-NHng/edit?usp=sharing"",""ราชบุรี!N50"&amp;"0"")+IMPORTRANGE(""https://docs.google.com/spreadsheets/d/1lufeA2cfFqM-elVq2hznhDzC6Pr7wkJ9ZG_sYNGCMCU/edit?usp=sharing"",""ลพบุรี!N500"")+IMPORTRANGE(""https://docs.google.com/spreadsheets/d/10oOiF7loTyfsTkbd4MpaIm0HQ9SwB7IYHdIUvt-U1Uc/edit?usp=sharing"""&amp;",""สระแก้ว!N500"")+IMPORTRANGE(""https://docs.google.com/spreadsheets/d/1xmPlrr1QbdSIKvl1dWUl9K4PjAfSL9oeMr_37QVzcxc/edit?usp=sharing"",""สระบุรี!N500"")+IMPORTRANGE(""https://docs.google.com/spreadsheets/d/1j51vR6CYVGhABJpv6tkstgok82RLpXieLzW1yOY5rHw/edi"&amp;"t?usp=sharing"",""สิงห์บุรี!N500"")+IMPORTRANGE(""https://docs.google.com/spreadsheets/d/1H1EalTWKUSzO4Z1-1CwzoDUaVffgrThEBe2sl74kKG0/edit?usp=sharing"",""สุพรรณบุรี!N500"")+IMPORTRANGE(""https://docs.google.com/spreadsheets/d/1BmIruG_sIrJLYao_Pdr7zVArWsf"&amp;"oBt2692TMi6x_854/edit?usp=sharing"",""อ่างทอง!N500"")"),0)</f>
        <v>0</v>
      </c>
      <c r="O500" s="80">
        <f t="shared" ca="1" si="339"/>
        <v>0</v>
      </c>
      <c r="P500" s="80">
        <f t="shared" ca="1" si="340"/>
        <v>0</v>
      </c>
      <c r="Q500" s="79">
        <f ca="1">IFERROR(__xludf.DUMMYFUNCTION("IMPORTRANGE(""https://docs.google.com/spreadsheets/d/13wPX838HrBrQMCywv1BsuMkt4PEKTChp52zj44s2izQ/edit?usp=sharing"",""กาญจนบุรี!Q500"")+IMPORTRANGE(""https://docs.google.com/spreadsheets/d/1ddFKvqj1W1NEiWytbGlB1zMx_ykJDVtmfEQ-6-lIUBA/edit?usp=sharing"","&amp;"""จันทบุรี!Q500"")+IMPORTRANGE(""https://docs.google.com/spreadsheets/d/1T1PQvRODqOBZk8BRht_U031fIS1beLA0Ub2CEytj2q0/edit?usp=sharing"",""ฉะเชิงเทรา!Q500"")+IMPORTRANGE(""https://docs.google.com/spreadsheets/d/11tr1B-Bhyr79v2bkwVh5h_fR-PStkgjlZtkrZpYurG0/"&amp;"edit?usp=sharing"",""ชลบุรี!Q500"")+IMPORTRANGE(""https://docs.google.com/spreadsheets/d/1hh-FVnSX0vozXhGluamEcS54Dw9_zqW0N7qJUWgJ0Sw/edit?usp=sharing"",""ชัยนาท!Q500"")+IMPORTRANGE(""https://docs.google.com/spreadsheets/d/1jkqa6GXxSacMcY1eN8AHjMNJ_7dDXMJ"&amp;"VRLDlaFSOdPM/edit?usp=sharing"",""ตราด!Q500"")+IMPORTRANGE(""https://docs.google.com/spreadsheets/d/18hSgUJ3VwClqi_qtULmmW3cLr0oe3OKaSYoKzdpTsYQ/edit?usp=sharing"",""นครนายก!Q500"")+IMPORTRANGE(""https://docs.google.com/spreadsheets/d/1YTZo6WM2dQ6Ix6FSdnL"&amp;"5P7uVnVKu40sxZu975tgG10E/edit?usp=sharing"",""นครปฐม!Q500"")+IMPORTRANGE(""https://docs.google.com/spreadsheets/d/1OYoGg4WDg5RIzwGeB10padOxJF9E_Vljuvvct_M7RDo/edit?usp=sharing"",""ปทุมธานี!Q500"")+IMPORTRANGE(""https://docs.google.com/spreadsheets/d/1GbCI"&amp;"E4D4wk9FUozzqk7SxfDMxDVBwVmI5zcaVUSzKAc/edit?usp=sharing"",""ประจวบคีรีขันธ์!Q500"")+IMPORTRANGE(""https://docs.google.com/spreadsheets/d/1vVf6wykvW_lAyu7Yo9L4hUTqHqIeP_qcVuxCtosJEbg/edit?usp=sharing"",""ปราจีนบุรี!Q500"")+IMPORTRANGE(""https://docs.googl"&amp;"e.com/spreadsheets/d/1BIDqLLg5jk3v59G8NlR8rk5xfQDKne0sAvZHSj7TI6I/edit?usp=sharing"",""พระนครศรีอยุธยา!Q500"")+IMPORTRANGE(""https://docs.google.com/spreadsheets/d/1YXvxf8Yu6_rV4hTBrwMqAcAnv6DfhUxh5emyM3CJp_w/edit?usp=sharing"",""เพชรบุรี!Q500"")+IMPORTRA"&amp;"NGE(""https://docs.google.com/spreadsheets/d/19KBlQQs7uwvsao6t2n-KvW3Ax8J8uRRfZPq1zPbXgKc/edit?usp=sharing"",""ระยอง!Q500"")+IMPORTRANGE(""https://docs.google.com/spreadsheets/d/1jQ6P4QcrGM89YfqcC_PxOHGCMq5ezhucwJd8ci-NHng/edit?usp=sharing"",""ราชบุรี!Q50"&amp;"0"")+IMPORTRANGE(""https://docs.google.com/spreadsheets/d/1lufeA2cfFqM-elVq2hznhDzC6Pr7wkJ9ZG_sYNGCMCU/edit?usp=sharing"",""ลพบุรี!Q500"")+IMPORTRANGE(""https://docs.google.com/spreadsheets/d/10oOiF7loTyfsTkbd4MpaIm0HQ9SwB7IYHdIUvt-U1Uc/edit?usp=sharing"""&amp;",""สระแก้ว!Q500"")+IMPORTRANGE(""https://docs.google.com/spreadsheets/d/1xmPlrr1QbdSIKvl1dWUl9K4PjAfSL9oeMr_37QVzcxc/edit?usp=sharing"",""สระบุรี!Q500"")+IMPORTRANGE(""https://docs.google.com/spreadsheets/d/1j51vR6CYVGhABJpv6tkstgok82RLpXieLzW1yOY5rHw/edi"&amp;"t?usp=sharing"",""สิงห์บุรี!Q500"")+IMPORTRANGE(""https://docs.google.com/spreadsheets/d/1H1EalTWKUSzO4Z1-1CwzoDUaVffgrThEBe2sl74kKG0/edit?usp=sharing"",""สุพรรณบุรี!Q500"")+IMPORTRANGE(""https://docs.google.com/spreadsheets/d/1BmIruG_sIrJLYao_Pdr7zVArWsf"&amp;"oBt2692TMi6x_854/edit?usp=sharing"",""อ่างทอง!Q500"")"),0)</f>
        <v>0</v>
      </c>
      <c r="R500" s="80">
        <f ca="1">IFERROR(__xludf.DUMMYFUNCTION("IMPORTRANGE(""https://docs.google.com/spreadsheets/d/13wPX838HrBrQMCywv1BsuMkt4PEKTChp52zj44s2izQ/edit?usp=sharing"",""กาญจนบุรี!R500"")+IMPORTRANGE(""https://docs.google.com/spreadsheets/d/1ddFKvqj1W1NEiWytbGlB1zMx_ykJDVtmfEQ-6-lIUBA/edit?usp=sharing"","&amp;"""จันทบุรี!R500"")+IMPORTRANGE(""https://docs.google.com/spreadsheets/d/1T1PQvRODqOBZk8BRht_U031fIS1beLA0Ub2CEytj2q0/edit?usp=sharing"",""ฉะเชิงเทรา!R500"")+IMPORTRANGE(""https://docs.google.com/spreadsheets/d/11tr1B-Bhyr79v2bkwVh5h_fR-PStkgjlZtkrZpYurG0/"&amp;"edit?usp=sharing"",""ชลบุรี!R500"")+IMPORTRANGE(""https://docs.google.com/spreadsheets/d/1hh-FVnSX0vozXhGluamEcS54Dw9_zqW0N7qJUWgJ0Sw/edit?usp=sharing"",""ชัยนาท!R500"")+IMPORTRANGE(""https://docs.google.com/spreadsheets/d/1jkqa6GXxSacMcY1eN8AHjMNJ_7dDXMJ"&amp;"VRLDlaFSOdPM/edit?usp=sharing"",""ตราด!R500"")+IMPORTRANGE(""https://docs.google.com/spreadsheets/d/18hSgUJ3VwClqi_qtULmmW3cLr0oe3OKaSYoKzdpTsYQ/edit?usp=sharing"",""นครนายก!R500"")+IMPORTRANGE(""https://docs.google.com/spreadsheets/d/1YTZo6WM2dQ6Ix6FSdnL"&amp;"5P7uVnVKu40sxZu975tgG10E/edit?usp=sharing"",""นครปฐม!R500"")+IMPORTRANGE(""https://docs.google.com/spreadsheets/d/1OYoGg4WDg5RIzwGeB10padOxJF9E_Vljuvvct_M7RDo/edit?usp=sharing"",""ปทุมธานี!R500"")+IMPORTRANGE(""https://docs.google.com/spreadsheets/d/1GbCI"&amp;"E4D4wk9FUozzqk7SxfDMxDVBwVmI5zcaVUSzKAc/edit?usp=sharing"",""ประจวบคีรีขันธ์!R500"")+IMPORTRANGE(""https://docs.google.com/spreadsheets/d/1vVf6wykvW_lAyu7Yo9L4hUTqHqIeP_qcVuxCtosJEbg/edit?usp=sharing"",""ปราจีนบุรี!R500"")+IMPORTRANGE(""https://docs.googl"&amp;"e.com/spreadsheets/d/1BIDqLLg5jk3v59G8NlR8rk5xfQDKne0sAvZHSj7TI6I/edit?usp=sharing"",""พระนครศรีอยุธยา!R500"")+IMPORTRANGE(""https://docs.google.com/spreadsheets/d/1YXvxf8Yu6_rV4hTBrwMqAcAnv6DfhUxh5emyM3CJp_w/edit?usp=sharing"",""เพชรบุรี!R500"")+IMPORTRA"&amp;"NGE(""https://docs.google.com/spreadsheets/d/19KBlQQs7uwvsao6t2n-KvW3Ax8J8uRRfZPq1zPbXgKc/edit?usp=sharing"",""ระยอง!R500"")+IMPORTRANGE(""https://docs.google.com/spreadsheets/d/1jQ6P4QcrGM89YfqcC_PxOHGCMq5ezhucwJd8ci-NHng/edit?usp=sharing"",""ราชบุรี!R50"&amp;"0"")+IMPORTRANGE(""https://docs.google.com/spreadsheets/d/1lufeA2cfFqM-elVq2hznhDzC6Pr7wkJ9ZG_sYNGCMCU/edit?usp=sharing"",""ลพบุรี!R500"")+IMPORTRANGE(""https://docs.google.com/spreadsheets/d/10oOiF7loTyfsTkbd4MpaIm0HQ9SwB7IYHdIUvt-U1Uc/edit?usp=sharing"""&amp;",""สระแก้ว!R500"")+IMPORTRANGE(""https://docs.google.com/spreadsheets/d/1xmPlrr1QbdSIKvl1dWUl9K4PjAfSL9oeMr_37QVzcxc/edit?usp=sharing"",""สระบุรี!R500"")+IMPORTRANGE(""https://docs.google.com/spreadsheets/d/1j51vR6CYVGhABJpv6tkstgok82RLpXieLzW1yOY5rHw/edi"&amp;"t?usp=sharing"",""สิงห์บุรี!R500"")+IMPORTRANGE(""https://docs.google.com/spreadsheets/d/1H1EalTWKUSzO4Z1-1CwzoDUaVffgrThEBe2sl74kKG0/edit?usp=sharing"",""สุพรรณบุรี!R500"")+IMPORTRANGE(""https://docs.google.com/spreadsheets/d/1BmIruG_sIrJLYao_Pdr7zVArWsf"&amp;"oBt2692TMi6x_854/edit?usp=sharing"",""อ่างทอง!R500"")"),0)</f>
        <v>0</v>
      </c>
      <c r="S500" s="80">
        <f ca="1">IFERROR(__xludf.DUMMYFUNCTION("IMPORTRANGE(""https://docs.google.com/spreadsheets/d/13wPX838HrBrQMCywv1BsuMkt4PEKTChp52zj44s2izQ/edit?usp=sharing"",""กาญจนบุรี!S500"")+IMPORTRANGE(""https://docs.google.com/spreadsheets/d/1ddFKvqj1W1NEiWytbGlB1zMx_ykJDVtmfEQ-6-lIUBA/edit?usp=sharing"","&amp;"""จันทบุรี!S500"")+IMPORTRANGE(""https://docs.google.com/spreadsheets/d/1T1PQvRODqOBZk8BRht_U031fIS1beLA0Ub2CEytj2q0/edit?usp=sharing"",""ฉะเชิงเทรา!S500"")+IMPORTRANGE(""https://docs.google.com/spreadsheets/d/11tr1B-Bhyr79v2bkwVh5h_fR-PStkgjlZtkrZpYurG0/"&amp;"edit?usp=sharing"",""ชลบุรี!S500"")+IMPORTRANGE(""https://docs.google.com/spreadsheets/d/1hh-FVnSX0vozXhGluamEcS54Dw9_zqW0N7qJUWgJ0Sw/edit?usp=sharing"",""ชัยนาท!S500"")+IMPORTRANGE(""https://docs.google.com/spreadsheets/d/1jkqa6GXxSacMcY1eN8AHjMNJ_7dDXMJ"&amp;"VRLDlaFSOdPM/edit?usp=sharing"",""ตราด!S500"")+IMPORTRANGE(""https://docs.google.com/spreadsheets/d/18hSgUJ3VwClqi_qtULmmW3cLr0oe3OKaSYoKzdpTsYQ/edit?usp=sharing"",""นครนายก!S500"")+IMPORTRANGE(""https://docs.google.com/spreadsheets/d/1YTZo6WM2dQ6Ix6FSdnL"&amp;"5P7uVnVKu40sxZu975tgG10E/edit?usp=sharing"",""นครปฐม!S500"")+IMPORTRANGE(""https://docs.google.com/spreadsheets/d/1OYoGg4WDg5RIzwGeB10padOxJF9E_Vljuvvct_M7RDo/edit?usp=sharing"",""ปทุมธานี!S500"")+IMPORTRANGE(""https://docs.google.com/spreadsheets/d/1GbCI"&amp;"E4D4wk9FUozzqk7SxfDMxDVBwVmI5zcaVUSzKAc/edit?usp=sharing"",""ประจวบคีรีขันธ์!S500"")+IMPORTRANGE(""https://docs.google.com/spreadsheets/d/1vVf6wykvW_lAyu7Yo9L4hUTqHqIeP_qcVuxCtosJEbg/edit?usp=sharing"",""ปราจีนบุรี!S500"")+IMPORTRANGE(""https://docs.googl"&amp;"e.com/spreadsheets/d/1BIDqLLg5jk3v59G8NlR8rk5xfQDKne0sAvZHSj7TI6I/edit?usp=sharing"",""พระนครศรีอยุธยา!S500"")+IMPORTRANGE(""https://docs.google.com/spreadsheets/d/1YXvxf8Yu6_rV4hTBrwMqAcAnv6DfhUxh5emyM3CJp_w/edit?usp=sharing"",""เพชรบุรี!S500"")+IMPORTRA"&amp;"NGE(""https://docs.google.com/spreadsheets/d/19KBlQQs7uwvsao6t2n-KvW3Ax8J8uRRfZPq1zPbXgKc/edit?usp=sharing"",""ระยอง!S500"")+IMPORTRANGE(""https://docs.google.com/spreadsheets/d/1jQ6P4QcrGM89YfqcC_PxOHGCMq5ezhucwJd8ci-NHng/edit?usp=sharing"",""ราชบุรี!S50"&amp;"0"")+IMPORTRANGE(""https://docs.google.com/spreadsheets/d/1lufeA2cfFqM-elVq2hznhDzC6Pr7wkJ9ZG_sYNGCMCU/edit?usp=sharing"",""ลพบุรี!S500"")+IMPORTRANGE(""https://docs.google.com/spreadsheets/d/10oOiF7loTyfsTkbd4MpaIm0HQ9SwB7IYHdIUvt-U1Uc/edit?usp=sharing"""&amp;",""สระแก้ว!S500"")+IMPORTRANGE(""https://docs.google.com/spreadsheets/d/1xmPlrr1QbdSIKvl1dWUl9K4PjAfSL9oeMr_37QVzcxc/edit?usp=sharing"",""สระบุรี!S500"")+IMPORTRANGE(""https://docs.google.com/spreadsheets/d/1j51vR6CYVGhABJpv6tkstgok82RLpXieLzW1yOY5rHw/edi"&amp;"t?usp=sharing"",""สิงห์บุรี!S500"")+IMPORTRANGE(""https://docs.google.com/spreadsheets/d/1H1EalTWKUSzO4Z1-1CwzoDUaVffgrThEBe2sl74kKG0/edit?usp=sharing"",""สุพรรณบุรี!S500"")+IMPORTRANGE(""https://docs.google.com/spreadsheets/d/1BmIruG_sIrJLYao_Pdr7zVArWsf"&amp;"oBt2692TMi6x_854/edit?usp=sharing"",""อ่างทอง!S500"")"),0)</f>
        <v>0</v>
      </c>
      <c r="T500" s="136">
        <f t="shared" ca="1" si="342"/>
        <v>0</v>
      </c>
      <c r="U500" s="136">
        <f t="shared" ca="1" si="343"/>
        <v>0</v>
      </c>
    </row>
    <row r="501" spans="1:21" ht="18.75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f ca="1">IFERROR(__xludf.DUMMYFUNCTION("IMPORTRANGE(""https://docs.google.com/spreadsheets/d/13wPX838HrBrQMCywv1BsuMkt4PEKTChp52zj44s2izQ/edit?usp=sharing"",""กาญจนบุรี!L501"")+IMPORTRANGE(""https://docs.google.com/spreadsheets/d/1ddFKvqj1W1NEiWytbGlB1zMx_ykJDVtmfEQ-6-lIUBA/edit?usp=sharing"","&amp;"""จันทบุรี!L501"")+IMPORTRANGE(""https://docs.google.com/spreadsheets/d/1T1PQvRODqOBZk8BRht_U031fIS1beLA0Ub2CEytj2q0/edit?usp=sharing"",""ฉะเชิงเทรา!L501"")+IMPORTRANGE(""https://docs.google.com/spreadsheets/d/11tr1B-Bhyr79v2bkwVh5h_fR-PStkgjlZtkrZpYurG0/"&amp;"edit?usp=sharing"",""ชลบุรี!L501"")+IMPORTRANGE(""https://docs.google.com/spreadsheets/d/1hh-FVnSX0vozXhGluamEcS54Dw9_zqW0N7qJUWgJ0Sw/edit?usp=sharing"",""ชัยนาท!L501"")+IMPORTRANGE(""https://docs.google.com/spreadsheets/d/1jkqa6GXxSacMcY1eN8AHjMNJ_7dDXMJ"&amp;"VRLDlaFSOdPM/edit?usp=sharing"",""ตราด!L501"")+IMPORTRANGE(""https://docs.google.com/spreadsheets/d/18hSgUJ3VwClqi_qtULmmW3cLr0oe3OKaSYoKzdpTsYQ/edit?usp=sharing"",""นครนายก!L501"")+IMPORTRANGE(""https://docs.google.com/spreadsheets/d/1YTZo6WM2dQ6Ix6FSdnL"&amp;"5P7uVnVKu40sxZu975tgG10E/edit?usp=sharing"",""นครปฐม!L501"")+IMPORTRANGE(""https://docs.google.com/spreadsheets/d/1OYoGg4WDg5RIzwGeB10padOxJF9E_Vljuvvct_M7RDo/edit?usp=sharing"",""ปทุมธานี!L501"")+IMPORTRANGE(""https://docs.google.com/spreadsheets/d/1GbCI"&amp;"E4D4wk9FUozzqk7SxfDMxDVBwVmI5zcaVUSzKAc/edit?usp=sharing"",""ประจวบคีรีขันธ์!L501"")+IMPORTRANGE(""https://docs.google.com/spreadsheets/d/1vVf6wykvW_lAyu7Yo9L4hUTqHqIeP_qcVuxCtosJEbg/edit?usp=sharing"",""ปราจีนบุรี!L501"")+IMPORTRANGE(""https://docs.googl"&amp;"e.com/spreadsheets/d/1BIDqLLg5jk3v59G8NlR8rk5xfQDKne0sAvZHSj7TI6I/edit?usp=sharing"",""พระนครศรีอยุธยา!L501"")+IMPORTRANGE(""https://docs.google.com/spreadsheets/d/1YXvxf8Yu6_rV4hTBrwMqAcAnv6DfhUxh5emyM3CJp_w/edit?usp=sharing"",""เพชรบุรี!L501"")+IMPORTRA"&amp;"NGE(""https://docs.google.com/spreadsheets/d/19KBlQQs7uwvsao6t2n-KvW3Ax8J8uRRfZPq1zPbXgKc/edit?usp=sharing"",""ระยอง!L501"")+IMPORTRANGE(""https://docs.google.com/spreadsheets/d/1jQ6P4QcrGM89YfqcC_PxOHGCMq5ezhucwJd8ci-NHng/edit?usp=sharing"",""ราชบุรี!L50"&amp;"1"")+IMPORTRANGE(""https://docs.google.com/spreadsheets/d/1lufeA2cfFqM-elVq2hznhDzC6Pr7wkJ9ZG_sYNGCMCU/edit?usp=sharing"",""ลพบุรี!L501"")+IMPORTRANGE(""https://docs.google.com/spreadsheets/d/10oOiF7loTyfsTkbd4MpaIm0HQ9SwB7IYHdIUvt-U1Uc/edit?usp=sharing"""&amp;",""สระแก้ว!L501"")+IMPORTRANGE(""https://docs.google.com/spreadsheets/d/1xmPlrr1QbdSIKvl1dWUl9K4PjAfSL9oeMr_37QVzcxc/edit?usp=sharing"",""สระบุรี!L501"")+IMPORTRANGE(""https://docs.google.com/spreadsheets/d/1j51vR6CYVGhABJpv6tkstgok82RLpXieLzW1yOY5rHw/edi"&amp;"t?usp=sharing"",""สิงห์บุรี!L501"")+IMPORTRANGE(""https://docs.google.com/spreadsheets/d/1H1EalTWKUSzO4Z1-1CwzoDUaVffgrThEBe2sl74kKG0/edit?usp=sharing"",""สุพรรณบุรี!L501"")+IMPORTRANGE(""https://docs.google.com/spreadsheets/d/1BmIruG_sIrJLYao_Pdr7zVArWsf"&amp;"oBt2692TMi6x_854/edit?usp=sharing"",""อ่างทอง!L501"")"),0)</f>
        <v>0</v>
      </c>
      <c r="M501" s="77">
        <f ca="1">IFERROR(__xludf.DUMMYFUNCTION("IMPORTRANGE(""https://docs.google.com/spreadsheets/d/13wPX838HrBrQMCywv1BsuMkt4PEKTChp52zj44s2izQ/edit?usp=sharing"",""กาญจนบุรี!M501"")+IMPORTRANGE(""https://docs.google.com/spreadsheets/d/1ddFKvqj1W1NEiWytbGlB1zMx_ykJDVtmfEQ-6-lIUBA/edit?usp=sharing"","&amp;"""จันทบุรี!M501"")+IMPORTRANGE(""https://docs.google.com/spreadsheets/d/1T1PQvRODqOBZk8BRht_U031fIS1beLA0Ub2CEytj2q0/edit?usp=sharing"",""ฉะเชิงเทรา!M501"")+IMPORTRANGE(""https://docs.google.com/spreadsheets/d/11tr1B-Bhyr79v2bkwVh5h_fR-PStkgjlZtkrZpYurG0/"&amp;"edit?usp=sharing"",""ชลบุรี!M501"")+IMPORTRANGE(""https://docs.google.com/spreadsheets/d/1hh-FVnSX0vozXhGluamEcS54Dw9_zqW0N7qJUWgJ0Sw/edit?usp=sharing"",""ชัยนาท!M501"")+IMPORTRANGE(""https://docs.google.com/spreadsheets/d/1jkqa6GXxSacMcY1eN8AHjMNJ_7dDXMJ"&amp;"VRLDlaFSOdPM/edit?usp=sharing"",""ตราด!M501"")+IMPORTRANGE(""https://docs.google.com/spreadsheets/d/18hSgUJ3VwClqi_qtULmmW3cLr0oe3OKaSYoKzdpTsYQ/edit?usp=sharing"",""นครนายก!M501"")+IMPORTRANGE(""https://docs.google.com/spreadsheets/d/1YTZo6WM2dQ6Ix6FSdnL"&amp;"5P7uVnVKu40sxZu975tgG10E/edit?usp=sharing"",""นครปฐม!M501"")+IMPORTRANGE(""https://docs.google.com/spreadsheets/d/1OYoGg4WDg5RIzwGeB10padOxJF9E_Vljuvvct_M7RDo/edit?usp=sharing"",""ปทุมธานี!M501"")+IMPORTRANGE(""https://docs.google.com/spreadsheets/d/1GbCI"&amp;"E4D4wk9FUozzqk7SxfDMxDVBwVmI5zcaVUSzKAc/edit?usp=sharing"",""ประจวบคีรีขันธ์!M501"")+IMPORTRANGE(""https://docs.google.com/spreadsheets/d/1vVf6wykvW_lAyu7Yo9L4hUTqHqIeP_qcVuxCtosJEbg/edit?usp=sharing"",""ปราจีนบุรี!M501"")+IMPORTRANGE(""https://docs.googl"&amp;"e.com/spreadsheets/d/1BIDqLLg5jk3v59G8NlR8rk5xfQDKne0sAvZHSj7TI6I/edit?usp=sharing"",""พระนครศรีอยุธยา!M501"")+IMPORTRANGE(""https://docs.google.com/spreadsheets/d/1YXvxf8Yu6_rV4hTBrwMqAcAnv6DfhUxh5emyM3CJp_w/edit?usp=sharing"",""เพชรบุรี!M501"")+IMPORTRA"&amp;"NGE(""https://docs.google.com/spreadsheets/d/19KBlQQs7uwvsao6t2n-KvW3Ax8J8uRRfZPq1zPbXgKc/edit?usp=sharing"",""ระยอง!M501"")+IMPORTRANGE(""https://docs.google.com/spreadsheets/d/1jQ6P4QcrGM89YfqcC_PxOHGCMq5ezhucwJd8ci-NHng/edit?usp=sharing"",""ราชบุรี!M50"&amp;"1"")+IMPORTRANGE(""https://docs.google.com/spreadsheets/d/1lufeA2cfFqM-elVq2hznhDzC6Pr7wkJ9ZG_sYNGCMCU/edit?usp=sharing"",""ลพบุรี!M501"")+IMPORTRANGE(""https://docs.google.com/spreadsheets/d/10oOiF7loTyfsTkbd4MpaIm0HQ9SwB7IYHdIUvt-U1Uc/edit?usp=sharing"""&amp;",""สระแก้ว!M501"")+IMPORTRANGE(""https://docs.google.com/spreadsheets/d/1xmPlrr1QbdSIKvl1dWUl9K4PjAfSL9oeMr_37QVzcxc/edit?usp=sharing"",""สระบุรี!M501"")+IMPORTRANGE(""https://docs.google.com/spreadsheets/d/1j51vR6CYVGhABJpv6tkstgok82RLpXieLzW1yOY5rHw/edi"&amp;"t?usp=sharing"",""สิงห์บุรี!M501"")+IMPORTRANGE(""https://docs.google.com/spreadsheets/d/1H1EalTWKUSzO4Z1-1CwzoDUaVffgrThEBe2sl74kKG0/edit?usp=sharing"",""สุพรรณบุรี!M501"")+IMPORTRANGE(""https://docs.google.com/spreadsheets/d/1BmIruG_sIrJLYao_Pdr7zVArWsf"&amp;"oBt2692TMi6x_854/edit?usp=sharing"",""อ่างทอง!M501"")"),0)</f>
        <v>0</v>
      </c>
      <c r="N501" s="77">
        <f ca="1">IFERROR(__xludf.DUMMYFUNCTION("IMPORTRANGE(""https://docs.google.com/spreadsheets/d/13wPX838HrBrQMCywv1BsuMkt4PEKTChp52zj44s2izQ/edit?usp=sharing"",""กาญจนบุรี!N501"")+IMPORTRANGE(""https://docs.google.com/spreadsheets/d/1ddFKvqj1W1NEiWytbGlB1zMx_ykJDVtmfEQ-6-lIUBA/edit?usp=sharing"","&amp;"""จันทบุรี!N501"")+IMPORTRANGE(""https://docs.google.com/spreadsheets/d/1T1PQvRODqOBZk8BRht_U031fIS1beLA0Ub2CEytj2q0/edit?usp=sharing"",""ฉะเชิงเทรา!N501"")+IMPORTRANGE(""https://docs.google.com/spreadsheets/d/11tr1B-Bhyr79v2bkwVh5h_fR-PStkgjlZtkrZpYurG0/"&amp;"edit?usp=sharing"",""ชลบุรี!N501"")+IMPORTRANGE(""https://docs.google.com/spreadsheets/d/1hh-FVnSX0vozXhGluamEcS54Dw9_zqW0N7qJUWgJ0Sw/edit?usp=sharing"",""ชัยนาท!N501"")+IMPORTRANGE(""https://docs.google.com/spreadsheets/d/1jkqa6GXxSacMcY1eN8AHjMNJ_7dDXMJ"&amp;"VRLDlaFSOdPM/edit?usp=sharing"",""ตราด!N501"")+IMPORTRANGE(""https://docs.google.com/spreadsheets/d/18hSgUJ3VwClqi_qtULmmW3cLr0oe3OKaSYoKzdpTsYQ/edit?usp=sharing"",""นครนายก!N501"")+IMPORTRANGE(""https://docs.google.com/spreadsheets/d/1YTZo6WM2dQ6Ix6FSdnL"&amp;"5P7uVnVKu40sxZu975tgG10E/edit?usp=sharing"",""นครปฐม!N501"")+IMPORTRANGE(""https://docs.google.com/spreadsheets/d/1OYoGg4WDg5RIzwGeB10padOxJF9E_Vljuvvct_M7RDo/edit?usp=sharing"",""ปทุมธานี!N501"")+IMPORTRANGE(""https://docs.google.com/spreadsheets/d/1GbCI"&amp;"E4D4wk9FUozzqk7SxfDMxDVBwVmI5zcaVUSzKAc/edit?usp=sharing"",""ประจวบคีรีขันธ์!N501"")+IMPORTRANGE(""https://docs.google.com/spreadsheets/d/1vVf6wykvW_lAyu7Yo9L4hUTqHqIeP_qcVuxCtosJEbg/edit?usp=sharing"",""ปราจีนบุรี!N501"")+IMPORTRANGE(""https://docs.googl"&amp;"e.com/spreadsheets/d/1BIDqLLg5jk3v59G8NlR8rk5xfQDKne0sAvZHSj7TI6I/edit?usp=sharing"",""พระนครศรีอยุธยา!N501"")+IMPORTRANGE(""https://docs.google.com/spreadsheets/d/1YXvxf8Yu6_rV4hTBrwMqAcAnv6DfhUxh5emyM3CJp_w/edit?usp=sharing"",""เพชรบุรี!N501"")+IMPORTRA"&amp;"NGE(""https://docs.google.com/spreadsheets/d/19KBlQQs7uwvsao6t2n-KvW3Ax8J8uRRfZPq1zPbXgKc/edit?usp=sharing"",""ระยอง!N501"")+IMPORTRANGE(""https://docs.google.com/spreadsheets/d/1jQ6P4QcrGM89YfqcC_PxOHGCMq5ezhucwJd8ci-NHng/edit?usp=sharing"",""ราชบุรี!N50"&amp;"1"")+IMPORTRANGE(""https://docs.google.com/spreadsheets/d/1lufeA2cfFqM-elVq2hznhDzC6Pr7wkJ9ZG_sYNGCMCU/edit?usp=sharing"",""ลพบุรี!N501"")+IMPORTRANGE(""https://docs.google.com/spreadsheets/d/10oOiF7loTyfsTkbd4MpaIm0HQ9SwB7IYHdIUvt-U1Uc/edit?usp=sharing"""&amp;",""สระแก้ว!N501"")+IMPORTRANGE(""https://docs.google.com/spreadsheets/d/1xmPlrr1QbdSIKvl1dWUl9K4PjAfSL9oeMr_37QVzcxc/edit?usp=sharing"",""สระบุรี!N501"")+IMPORTRANGE(""https://docs.google.com/spreadsheets/d/1j51vR6CYVGhABJpv6tkstgok82RLpXieLzW1yOY5rHw/edi"&amp;"t?usp=sharing"",""สิงห์บุรี!N501"")+IMPORTRANGE(""https://docs.google.com/spreadsheets/d/1H1EalTWKUSzO4Z1-1CwzoDUaVffgrThEBe2sl74kKG0/edit?usp=sharing"",""สุพรรณบุรี!N501"")+IMPORTRANGE(""https://docs.google.com/spreadsheets/d/1BmIruG_sIrJLYao_Pdr7zVArWsf"&amp;"oBt2692TMi6x_854/edit?usp=sharing"",""อ่างทอง!N501"")"),0)</f>
        <v>0</v>
      </c>
      <c r="O501" s="77">
        <f t="shared" ca="1" si="339"/>
        <v>0</v>
      </c>
      <c r="P501" s="77">
        <f t="shared" ca="1" si="340"/>
        <v>0</v>
      </c>
      <c r="Q501" s="76">
        <f ca="1">IFERROR(__xludf.DUMMYFUNCTION("IMPORTRANGE(""https://docs.google.com/spreadsheets/d/13wPX838HrBrQMCywv1BsuMkt4PEKTChp52zj44s2izQ/edit?usp=sharing"",""กาญจนบุรี!Q501"")+IMPORTRANGE(""https://docs.google.com/spreadsheets/d/1ddFKvqj1W1NEiWytbGlB1zMx_ykJDVtmfEQ-6-lIUBA/edit?usp=sharing"","&amp;"""จันทบุรี!Q501"")+IMPORTRANGE(""https://docs.google.com/spreadsheets/d/1T1PQvRODqOBZk8BRht_U031fIS1beLA0Ub2CEytj2q0/edit?usp=sharing"",""ฉะเชิงเทรา!Q501"")+IMPORTRANGE(""https://docs.google.com/spreadsheets/d/11tr1B-Bhyr79v2bkwVh5h_fR-PStkgjlZtkrZpYurG0/"&amp;"edit?usp=sharing"",""ชลบุรี!Q501"")+IMPORTRANGE(""https://docs.google.com/spreadsheets/d/1hh-FVnSX0vozXhGluamEcS54Dw9_zqW0N7qJUWgJ0Sw/edit?usp=sharing"",""ชัยนาท!Q501"")+IMPORTRANGE(""https://docs.google.com/spreadsheets/d/1jkqa6GXxSacMcY1eN8AHjMNJ_7dDXMJ"&amp;"VRLDlaFSOdPM/edit?usp=sharing"",""ตราด!Q501"")+IMPORTRANGE(""https://docs.google.com/spreadsheets/d/18hSgUJ3VwClqi_qtULmmW3cLr0oe3OKaSYoKzdpTsYQ/edit?usp=sharing"",""นครนายก!Q501"")+IMPORTRANGE(""https://docs.google.com/spreadsheets/d/1YTZo6WM2dQ6Ix6FSdnL"&amp;"5P7uVnVKu40sxZu975tgG10E/edit?usp=sharing"",""นครปฐม!Q501"")+IMPORTRANGE(""https://docs.google.com/spreadsheets/d/1OYoGg4WDg5RIzwGeB10padOxJF9E_Vljuvvct_M7RDo/edit?usp=sharing"",""ปทุมธานี!Q501"")+IMPORTRANGE(""https://docs.google.com/spreadsheets/d/1GbCI"&amp;"E4D4wk9FUozzqk7SxfDMxDVBwVmI5zcaVUSzKAc/edit?usp=sharing"",""ประจวบคีรีขันธ์!Q501"")+IMPORTRANGE(""https://docs.google.com/spreadsheets/d/1vVf6wykvW_lAyu7Yo9L4hUTqHqIeP_qcVuxCtosJEbg/edit?usp=sharing"",""ปราจีนบุรี!Q501"")+IMPORTRANGE(""https://docs.googl"&amp;"e.com/spreadsheets/d/1BIDqLLg5jk3v59G8NlR8rk5xfQDKne0sAvZHSj7TI6I/edit?usp=sharing"",""พระนครศรีอยุธยา!Q501"")+IMPORTRANGE(""https://docs.google.com/spreadsheets/d/1YXvxf8Yu6_rV4hTBrwMqAcAnv6DfhUxh5emyM3CJp_w/edit?usp=sharing"",""เพชรบุรี!Q501"")+IMPORTRA"&amp;"NGE(""https://docs.google.com/spreadsheets/d/19KBlQQs7uwvsao6t2n-KvW3Ax8J8uRRfZPq1zPbXgKc/edit?usp=sharing"",""ระยอง!Q501"")+IMPORTRANGE(""https://docs.google.com/spreadsheets/d/1jQ6P4QcrGM89YfqcC_PxOHGCMq5ezhucwJd8ci-NHng/edit?usp=sharing"",""ราชบุรี!Q50"&amp;"1"")+IMPORTRANGE(""https://docs.google.com/spreadsheets/d/1lufeA2cfFqM-elVq2hznhDzC6Pr7wkJ9ZG_sYNGCMCU/edit?usp=sharing"",""ลพบุรี!Q501"")+IMPORTRANGE(""https://docs.google.com/spreadsheets/d/10oOiF7loTyfsTkbd4MpaIm0HQ9SwB7IYHdIUvt-U1Uc/edit?usp=sharing"""&amp;",""สระแก้ว!Q501"")+IMPORTRANGE(""https://docs.google.com/spreadsheets/d/1xmPlrr1QbdSIKvl1dWUl9K4PjAfSL9oeMr_37QVzcxc/edit?usp=sharing"",""สระบุรี!Q501"")+IMPORTRANGE(""https://docs.google.com/spreadsheets/d/1j51vR6CYVGhABJpv6tkstgok82RLpXieLzW1yOY5rHw/edi"&amp;"t?usp=sharing"",""สิงห์บุรี!Q501"")+IMPORTRANGE(""https://docs.google.com/spreadsheets/d/1H1EalTWKUSzO4Z1-1CwzoDUaVffgrThEBe2sl74kKG0/edit?usp=sharing"",""สุพรรณบุรี!Q501"")+IMPORTRANGE(""https://docs.google.com/spreadsheets/d/1BmIruG_sIrJLYao_Pdr7zVArWsf"&amp;"oBt2692TMi6x_854/edit?usp=sharing"",""อ่างทอง!Q501"")"),0)</f>
        <v>0</v>
      </c>
      <c r="R501" s="77">
        <f ca="1">IFERROR(__xludf.DUMMYFUNCTION("IMPORTRANGE(""https://docs.google.com/spreadsheets/d/13wPX838HrBrQMCywv1BsuMkt4PEKTChp52zj44s2izQ/edit?usp=sharing"",""กาญจนบุรี!R501"")+IMPORTRANGE(""https://docs.google.com/spreadsheets/d/1ddFKvqj1W1NEiWytbGlB1zMx_ykJDVtmfEQ-6-lIUBA/edit?usp=sharing"","&amp;"""จันทบุรี!R501"")+IMPORTRANGE(""https://docs.google.com/spreadsheets/d/1T1PQvRODqOBZk8BRht_U031fIS1beLA0Ub2CEytj2q0/edit?usp=sharing"",""ฉะเชิงเทรา!R501"")+IMPORTRANGE(""https://docs.google.com/spreadsheets/d/11tr1B-Bhyr79v2bkwVh5h_fR-PStkgjlZtkrZpYurG0/"&amp;"edit?usp=sharing"",""ชลบุรี!R501"")+IMPORTRANGE(""https://docs.google.com/spreadsheets/d/1hh-FVnSX0vozXhGluamEcS54Dw9_zqW0N7qJUWgJ0Sw/edit?usp=sharing"",""ชัยนาท!R501"")+IMPORTRANGE(""https://docs.google.com/spreadsheets/d/1jkqa6GXxSacMcY1eN8AHjMNJ_7dDXMJ"&amp;"VRLDlaFSOdPM/edit?usp=sharing"",""ตราด!R501"")+IMPORTRANGE(""https://docs.google.com/spreadsheets/d/18hSgUJ3VwClqi_qtULmmW3cLr0oe3OKaSYoKzdpTsYQ/edit?usp=sharing"",""นครนายก!R501"")+IMPORTRANGE(""https://docs.google.com/spreadsheets/d/1YTZo6WM2dQ6Ix6FSdnL"&amp;"5P7uVnVKu40sxZu975tgG10E/edit?usp=sharing"",""นครปฐม!R501"")+IMPORTRANGE(""https://docs.google.com/spreadsheets/d/1OYoGg4WDg5RIzwGeB10padOxJF9E_Vljuvvct_M7RDo/edit?usp=sharing"",""ปทุมธานี!R501"")+IMPORTRANGE(""https://docs.google.com/spreadsheets/d/1GbCI"&amp;"E4D4wk9FUozzqk7SxfDMxDVBwVmI5zcaVUSzKAc/edit?usp=sharing"",""ประจวบคีรีขันธ์!R501"")+IMPORTRANGE(""https://docs.google.com/spreadsheets/d/1vVf6wykvW_lAyu7Yo9L4hUTqHqIeP_qcVuxCtosJEbg/edit?usp=sharing"",""ปราจีนบุรี!R501"")+IMPORTRANGE(""https://docs.googl"&amp;"e.com/spreadsheets/d/1BIDqLLg5jk3v59G8NlR8rk5xfQDKne0sAvZHSj7TI6I/edit?usp=sharing"",""พระนครศรีอยุธยา!R501"")+IMPORTRANGE(""https://docs.google.com/spreadsheets/d/1YXvxf8Yu6_rV4hTBrwMqAcAnv6DfhUxh5emyM3CJp_w/edit?usp=sharing"",""เพชรบุรี!R501"")+IMPORTRA"&amp;"NGE(""https://docs.google.com/spreadsheets/d/19KBlQQs7uwvsao6t2n-KvW3Ax8J8uRRfZPq1zPbXgKc/edit?usp=sharing"",""ระยอง!R501"")+IMPORTRANGE(""https://docs.google.com/spreadsheets/d/1jQ6P4QcrGM89YfqcC_PxOHGCMq5ezhucwJd8ci-NHng/edit?usp=sharing"",""ราชบุรี!R50"&amp;"1"")+IMPORTRANGE(""https://docs.google.com/spreadsheets/d/1lufeA2cfFqM-elVq2hznhDzC6Pr7wkJ9ZG_sYNGCMCU/edit?usp=sharing"",""ลพบุรี!R501"")+IMPORTRANGE(""https://docs.google.com/spreadsheets/d/10oOiF7loTyfsTkbd4MpaIm0HQ9SwB7IYHdIUvt-U1Uc/edit?usp=sharing"""&amp;",""สระแก้ว!R501"")+IMPORTRANGE(""https://docs.google.com/spreadsheets/d/1xmPlrr1QbdSIKvl1dWUl9K4PjAfSL9oeMr_37QVzcxc/edit?usp=sharing"",""สระบุรี!R501"")+IMPORTRANGE(""https://docs.google.com/spreadsheets/d/1j51vR6CYVGhABJpv6tkstgok82RLpXieLzW1yOY5rHw/edi"&amp;"t?usp=sharing"",""สิงห์บุรี!R501"")+IMPORTRANGE(""https://docs.google.com/spreadsheets/d/1H1EalTWKUSzO4Z1-1CwzoDUaVffgrThEBe2sl74kKG0/edit?usp=sharing"",""สุพรรณบุรี!R501"")+IMPORTRANGE(""https://docs.google.com/spreadsheets/d/1BmIruG_sIrJLYao_Pdr7zVArWsf"&amp;"oBt2692TMi6x_854/edit?usp=sharing"",""อ่างทอง!R501"")"),0)</f>
        <v>0</v>
      </c>
      <c r="S501" s="77">
        <f ca="1">IFERROR(__xludf.DUMMYFUNCTION("IMPORTRANGE(""https://docs.google.com/spreadsheets/d/13wPX838HrBrQMCywv1BsuMkt4PEKTChp52zj44s2izQ/edit?usp=sharing"",""กาญจนบุรี!S501"")+IMPORTRANGE(""https://docs.google.com/spreadsheets/d/1ddFKvqj1W1NEiWytbGlB1zMx_ykJDVtmfEQ-6-lIUBA/edit?usp=sharing"","&amp;"""จันทบุรี!S501"")+IMPORTRANGE(""https://docs.google.com/spreadsheets/d/1T1PQvRODqOBZk8BRht_U031fIS1beLA0Ub2CEytj2q0/edit?usp=sharing"",""ฉะเชิงเทรา!S501"")+IMPORTRANGE(""https://docs.google.com/spreadsheets/d/11tr1B-Bhyr79v2bkwVh5h_fR-PStkgjlZtkrZpYurG0/"&amp;"edit?usp=sharing"",""ชลบุรี!S501"")+IMPORTRANGE(""https://docs.google.com/spreadsheets/d/1hh-FVnSX0vozXhGluamEcS54Dw9_zqW0N7qJUWgJ0Sw/edit?usp=sharing"",""ชัยนาท!S501"")+IMPORTRANGE(""https://docs.google.com/spreadsheets/d/1jkqa6GXxSacMcY1eN8AHjMNJ_7dDXMJ"&amp;"VRLDlaFSOdPM/edit?usp=sharing"",""ตราด!S501"")+IMPORTRANGE(""https://docs.google.com/spreadsheets/d/18hSgUJ3VwClqi_qtULmmW3cLr0oe3OKaSYoKzdpTsYQ/edit?usp=sharing"",""นครนายก!S501"")+IMPORTRANGE(""https://docs.google.com/spreadsheets/d/1YTZo6WM2dQ6Ix6FSdnL"&amp;"5P7uVnVKu40sxZu975tgG10E/edit?usp=sharing"",""นครปฐม!S501"")+IMPORTRANGE(""https://docs.google.com/spreadsheets/d/1OYoGg4WDg5RIzwGeB10padOxJF9E_Vljuvvct_M7RDo/edit?usp=sharing"",""ปทุมธานี!S501"")+IMPORTRANGE(""https://docs.google.com/spreadsheets/d/1GbCI"&amp;"E4D4wk9FUozzqk7SxfDMxDVBwVmI5zcaVUSzKAc/edit?usp=sharing"",""ประจวบคีรีขันธ์!S501"")+IMPORTRANGE(""https://docs.google.com/spreadsheets/d/1vVf6wykvW_lAyu7Yo9L4hUTqHqIeP_qcVuxCtosJEbg/edit?usp=sharing"",""ปราจีนบุรี!S501"")+IMPORTRANGE(""https://docs.googl"&amp;"e.com/spreadsheets/d/1BIDqLLg5jk3v59G8NlR8rk5xfQDKne0sAvZHSj7TI6I/edit?usp=sharing"",""พระนครศรีอยุธยา!S501"")+IMPORTRANGE(""https://docs.google.com/spreadsheets/d/1YXvxf8Yu6_rV4hTBrwMqAcAnv6DfhUxh5emyM3CJp_w/edit?usp=sharing"",""เพชรบุรี!S501"")+IMPORTRA"&amp;"NGE(""https://docs.google.com/spreadsheets/d/19KBlQQs7uwvsao6t2n-KvW3Ax8J8uRRfZPq1zPbXgKc/edit?usp=sharing"",""ระยอง!S501"")+IMPORTRANGE(""https://docs.google.com/spreadsheets/d/1jQ6P4QcrGM89YfqcC_PxOHGCMq5ezhucwJd8ci-NHng/edit?usp=sharing"",""ราชบุรี!S50"&amp;"1"")+IMPORTRANGE(""https://docs.google.com/spreadsheets/d/1lufeA2cfFqM-elVq2hznhDzC6Pr7wkJ9ZG_sYNGCMCU/edit?usp=sharing"",""ลพบุรี!S501"")+IMPORTRANGE(""https://docs.google.com/spreadsheets/d/10oOiF7loTyfsTkbd4MpaIm0HQ9SwB7IYHdIUvt-U1Uc/edit?usp=sharing"""&amp;",""สระแก้ว!S501"")+IMPORTRANGE(""https://docs.google.com/spreadsheets/d/1xmPlrr1QbdSIKvl1dWUl9K4PjAfSL9oeMr_37QVzcxc/edit?usp=sharing"",""สระบุรี!S501"")+IMPORTRANGE(""https://docs.google.com/spreadsheets/d/1j51vR6CYVGhABJpv6tkstgok82RLpXieLzW1yOY5rHw/edi"&amp;"t?usp=sharing"",""สิงห์บุรี!S501"")+IMPORTRANGE(""https://docs.google.com/spreadsheets/d/1H1EalTWKUSzO4Z1-1CwzoDUaVffgrThEBe2sl74kKG0/edit?usp=sharing"",""สุพรรณบุรี!S501"")+IMPORTRANGE(""https://docs.google.com/spreadsheets/d/1BmIruG_sIrJLYao_Pdr7zVArWsf"&amp;"oBt2692TMi6x_854/edit?usp=sharing"",""อ่างทอง!S501"")"),0)</f>
        <v>0</v>
      </c>
      <c r="T501" s="135">
        <f t="shared" ca="1" si="342"/>
        <v>0</v>
      </c>
      <c r="U501" s="135">
        <f t="shared" ca="1" si="343"/>
        <v>0</v>
      </c>
    </row>
    <row r="502" spans="1:21" ht="19.5" x14ac:dyDescent="0.3">
      <c r="A502" s="278"/>
      <c r="B502" s="279"/>
      <c r="C502" s="308" t="s">
        <v>18</v>
      </c>
      <c r="D502" s="572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295">
        <f ca="1">IFERROR(__xludf.DUMMYFUNCTION("IMPORTRANGE(""https://docs.google.com/spreadsheets/d/13wPX838HrBrQMCywv1BsuMkt4PEKTChp52zj44s2izQ/edit?usp=sharing"",""กาญจนบุรี!I503"")+IMPORTRANGE(""https://docs.google.com/spreadsheets/d/1ddFKvqj1W1NEiWytbGlB1zMx_ykJDVtmfEQ-6-lIUBA/edit?usp=sharing"","&amp;"""จันทบุรี!I503"")+IMPORTRANGE(""https://docs.google.com/spreadsheets/d/1T1PQvRODqOBZk8BRht_U031fIS1beLA0Ub2CEytj2q0/edit?usp=sharing"",""ฉะเชิงเทรา!I503"")+IMPORTRANGE(""https://docs.google.com/spreadsheets/d/11tr1B-Bhyr79v2bkwVh5h_fR-PStkgjlZtkrZpYurG0/"&amp;"edit?usp=sharing"",""ชลบุรี!I503"")+IMPORTRANGE(""https://docs.google.com/spreadsheets/d/1hh-FVnSX0vozXhGluamEcS54Dw9_zqW0N7qJUWgJ0Sw/edit?usp=sharing"",""ชัยนาท!I503"")+IMPORTRANGE(""https://docs.google.com/spreadsheets/d/1jkqa6GXxSacMcY1eN8AHjMNJ_7dDXMJ"&amp;"VRLDlaFSOdPM/edit?usp=sharing"",""ตราด!I503"")+IMPORTRANGE(""https://docs.google.com/spreadsheets/d/18hSgUJ3VwClqi_qtULmmW3cLr0oe3OKaSYoKzdpTsYQ/edit?usp=sharing"",""นครนายก!I503"")+IMPORTRANGE(""https://docs.google.com/spreadsheets/d/1YTZo6WM2dQ6Ix6FSdnL"&amp;"5P7uVnVKu40sxZu975tgG10E/edit?usp=sharing"",""นครปฐม!I503"")+IMPORTRANGE(""https://docs.google.com/spreadsheets/d/1OYoGg4WDg5RIzwGeB10padOxJF9E_Vljuvvct_M7RDo/edit?usp=sharing"",""ปทุมธานี!I503"")+IMPORTRANGE(""https://docs.google.com/spreadsheets/d/1GbCI"&amp;"E4D4wk9FUozzqk7SxfDMxDVBwVmI5zcaVUSzKAc/edit?usp=sharing"",""ประจวบคีรีขันธ์!I503"")+IMPORTRANGE(""https://docs.google.com/spreadsheets/d/1vVf6wykvW_lAyu7Yo9L4hUTqHqIeP_qcVuxCtosJEbg/edit?usp=sharing"",""ปราจีนบุรี!I503"")+IMPORTRANGE(""https://docs.googl"&amp;"e.com/spreadsheets/d/1BIDqLLg5jk3v59G8NlR8rk5xfQDKne0sAvZHSj7TI6I/edit?usp=sharing"",""พระนครศรีอยุธยา!I503"")+IMPORTRANGE(""https://docs.google.com/spreadsheets/d/1YXvxf8Yu6_rV4hTBrwMqAcAnv6DfhUxh5emyM3CJp_w/edit?usp=sharing"",""เพชรบุรี!I503"")+IMPORTRA"&amp;"NGE(""https://docs.google.com/spreadsheets/d/19KBlQQs7uwvsao6t2n-KvW3Ax8J8uRRfZPq1zPbXgKc/edit?usp=sharing"",""ระยอง!I503"")+IMPORTRANGE(""https://docs.google.com/spreadsheets/d/1jQ6P4QcrGM89YfqcC_PxOHGCMq5ezhucwJd8ci-NHng/edit?usp=sharing"",""ราชบุรี!I50"&amp;"3"")+IMPORTRANGE(""https://docs.google.com/spreadsheets/d/1lufeA2cfFqM-elVq2hznhDzC6Pr7wkJ9ZG_sYNGCMCU/edit?usp=sharing"",""ลพบุรี!I503"")+IMPORTRANGE(""https://docs.google.com/spreadsheets/d/10oOiF7loTyfsTkbd4MpaIm0HQ9SwB7IYHdIUvt-U1Uc/edit?usp=sharing"""&amp;",""สระแก้ว!I503"")+IMPORTRANGE(""https://docs.google.com/spreadsheets/d/1xmPlrr1QbdSIKvl1dWUl9K4PjAfSL9oeMr_37QVzcxc/edit?usp=sharing"",""สระบุรี!I503"")+IMPORTRANGE(""https://docs.google.com/spreadsheets/d/1j51vR6CYVGhABJpv6tkstgok82RLpXieLzW1yOY5rHw/edi"&amp;"t?usp=sharing"",""สิงห์บุรี!I503"")+IMPORTRANGE(""https://docs.google.com/spreadsheets/d/1H1EalTWKUSzO4Z1-1CwzoDUaVffgrThEBe2sl74kKG0/edit?usp=sharing"",""สุพรรณบุรี!I503"")+IMPORTRANGE(""https://docs.google.com/spreadsheets/d/1BmIruG_sIrJLYao_Pdr7zVArWsf"&amp;"oBt2692TMi6x_854/edit?usp=sharing"",""อ่างทอง!I503"")"),160)</f>
        <v>160</v>
      </c>
      <c r="J503" s="295">
        <f ca="1">IFERROR(__xludf.DUMMYFUNCTION("IMPORTRANGE(""https://docs.google.com/spreadsheets/d/13wPX838HrBrQMCywv1BsuMkt4PEKTChp52zj44s2izQ/edit?usp=sharing"",""กาญจนบุรี!J503"")+IMPORTRANGE(""https://docs.google.com/spreadsheets/d/1ddFKvqj1W1NEiWytbGlB1zMx_ykJDVtmfEQ-6-lIUBA/edit?usp=sharing"","&amp;"""จันทบุรี!J503"")+IMPORTRANGE(""https://docs.google.com/spreadsheets/d/1T1PQvRODqOBZk8BRht_U031fIS1beLA0Ub2CEytj2q0/edit?usp=sharing"",""ฉะเชิงเทรา!J503"")+IMPORTRANGE(""https://docs.google.com/spreadsheets/d/11tr1B-Bhyr79v2bkwVh5h_fR-PStkgjlZtkrZpYurG0/"&amp;"edit?usp=sharing"",""ชลบุรี!J503"")+IMPORTRANGE(""https://docs.google.com/spreadsheets/d/1hh-FVnSX0vozXhGluamEcS54Dw9_zqW0N7qJUWgJ0Sw/edit?usp=sharing"",""ชัยนาท!J503"")+IMPORTRANGE(""https://docs.google.com/spreadsheets/d/1jkqa6GXxSacMcY1eN8AHjMNJ_7dDXMJ"&amp;"VRLDlaFSOdPM/edit?usp=sharing"",""ตราด!J503"")+IMPORTRANGE(""https://docs.google.com/spreadsheets/d/18hSgUJ3VwClqi_qtULmmW3cLr0oe3OKaSYoKzdpTsYQ/edit?usp=sharing"",""นครนายก!J503"")+IMPORTRANGE(""https://docs.google.com/spreadsheets/d/1YTZo6WM2dQ6Ix6FSdnL"&amp;"5P7uVnVKu40sxZu975tgG10E/edit?usp=sharing"",""นครปฐม!J503"")+IMPORTRANGE(""https://docs.google.com/spreadsheets/d/1OYoGg4WDg5RIzwGeB10padOxJF9E_Vljuvvct_M7RDo/edit?usp=sharing"",""ปทุมธานี!J503"")+IMPORTRANGE(""https://docs.google.com/spreadsheets/d/1GbCI"&amp;"E4D4wk9FUozzqk7SxfDMxDVBwVmI5zcaVUSzKAc/edit?usp=sharing"",""ประจวบคีรีขันธ์!J503"")+IMPORTRANGE(""https://docs.google.com/spreadsheets/d/1vVf6wykvW_lAyu7Yo9L4hUTqHqIeP_qcVuxCtosJEbg/edit?usp=sharing"",""ปราจีนบุรี!J503"")+IMPORTRANGE(""https://docs.googl"&amp;"e.com/spreadsheets/d/1BIDqLLg5jk3v59G8NlR8rk5xfQDKne0sAvZHSj7TI6I/edit?usp=sharing"",""พระนครศรีอยุธยา!J503"")+IMPORTRANGE(""https://docs.google.com/spreadsheets/d/1YXvxf8Yu6_rV4hTBrwMqAcAnv6DfhUxh5emyM3CJp_w/edit?usp=sharing"",""เพชรบุรี!J503"")+IMPORTRA"&amp;"NGE(""https://docs.google.com/spreadsheets/d/19KBlQQs7uwvsao6t2n-KvW3Ax8J8uRRfZPq1zPbXgKc/edit?usp=sharing"",""ระยอง!J503"")+IMPORTRANGE(""https://docs.google.com/spreadsheets/d/1jQ6P4QcrGM89YfqcC_PxOHGCMq5ezhucwJd8ci-NHng/edit?usp=sharing"",""ราชบุรี!J50"&amp;"3"")+IMPORTRANGE(""https://docs.google.com/spreadsheets/d/1lufeA2cfFqM-elVq2hznhDzC6Pr7wkJ9ZG_sYNGCMCU/edit?usp=sharing"",""ลพบุรี!J503"")+IMPORTRANGE(""https://docs.google.com/spreadsheets/d/10oOiF7loTyfsTkbd4MpaIm0HQ9SwB7IYHdIUvt-U1Uc/edit?usp=sharing"""&amp;",""สระแก้ว!J503"")+IMPORTRANGE(""https://docs.google.com/spreadsheets/d/1xmPlrr1QbdSIKvl1dWUl9K4PjAfSL9oeMr_37QVzcxc/edit?usp=sharing"",""สระบุรี!J503"")+IMPORTRANGE(""https://docs.google.com/spreadsheets/d/1j51vR6CYVGhABJpv6tkstgok82RLpXieLzW1yOY5rHw/edi"&amp;"t?usp=sharing"",""สิงห์บุรี!J503"")+IMPORTRANGE(""https://docs.google.com/spreadsheets/d/1H1EalTWKUSzO4Z1-1CwzoDUaVffgrThEBe2sl74kKG0/edit?usp=sharing"",""สุพรรณบุรี!J503"")+IMPORTRANGE(""https://docs.google.com/spreadsheets/d/1BmIruG_sIrJLYao_Pdr7zVArWsf"&amp;"oBt2692TMi6x_854/edit?usp=sharing"",""อ่างทอง!J503"")"),0)</f>
        <v>0</v>
      </c>
      <c r="K503" s="266">
        <f t="shared" ref="K503:K509" ca="1" si="352">IF(I503&gt;0,J503*100/I503,0)</f>
        <v>0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13wPX838HrBrQMCywv1BsuMkt4PEKTChp52zj44s2izQ/edit?usp=sharing"",""กาญจนบุรี!I504"")+IMPORTRANGE(""https://docs.google.com/spreadsheets/d/1ddFKvqj1W1NEiWytbGlB1zMx_ykJDVtmfEQ-6-lIUBA/edit?usp=sharing"","&amp;"""จันทบุรี!I504"")+IMPORTRANGE(""https://docs.google.com/spreadsheets/d/1T1PQvRODqOBZk8BRht_U031fIS1beLA0Ub2CEytj2q0/edit?usp=sharing"",""ฉะเชิงเทรา!I504"")+IMPORTRANGE(""https://docs.google.com/spreadsheets/d/11tr1B-Bhyr79v2bkwVh5h_fR-PStkgjlZtkrZpYurG0/"&amp;"edit?usp=sharing"",""ชลบุรี!I504"")+IMPORTRANGE(""https://docs.google.com/spreadsheets/d/1hh-FVnSX0vozXhGluamEcS54Dw9_zqW0N7qJUWgJ0Sw/edit?usp=sharing"",""ชัยนาท!I504"")+IMPORTRANGE(""https://docs.google.com/spreadsheets/d/1jkqa6GXxSacMcY1eN8AHjMNJ_7dDXMJ"&amp;"VRLDlaFSOdPM/edit?usp=sharing"",""ตราด!I504"")+IMPORTRANGE(""https://docs.google.com/spreadsheets/d/18hSgUJ3VwClqi_qtULmmW3cLr0oe3OKaSYoKzdpTsYQ/edit?usp=sharing"",""นครนายก!I504"")+IMPORTRANGE(""https://docs.google.com/spreadsheets/d/1YTZo6WM2dQ6Ix6FSdnL"&amp;"5P7uVnVKu40sxZu975tgG10E/edit?usp=sharing"",""นครปฐม!I504"")+IMPORTRANGE(""https://docs.google.com/spreadsheets/d/1OYoGg4WDg5RIzwGeB10padOxJF9E_Vljuvvct_M7RDo/edit?usp=sharing"",""ปทุมธานี!I504"")+IMPORTRANGE(""https://docs.google.com/spreadsheets/d/1GbCI"&amp;"E4D4wk9FUozzqk7SxfDMxDVBwVmI5zcaVUSzKAc/edit?usp=sharing"",""ประจวบคีรีขันธ์!I504"")+IMPORTRANGE(""https://docs.google.com/spreadsheets/d/1vVf6wykvW_lAyu7Yo9L4hUTqHqIeP_qcVuxCtosJEbg/edit?usp=sharing"",""ปราจีนบุรี!I504"")+IMPORTRANGE(""https://docs.googl"&amp;"e.com/spreadsheets/d/1BIDqLLg5jk3v59G8NlR8rk5xfQDKne0sAvZHSj7TI6I/edit?usp=sharing"",""พระนครศรีอยุธยา!I504"")+IMPORTRANGE(""https://docs.google.com/spreadsheets/d/1YXvxf8Yu6_rV4hTBrwMqAcAnv6DfhUxh5emyM3CJp_w/edit?usp=sharing"",""เพชรบุรี!I504"")+IMPORTRA"&amp;"NGE(""https://docs.google.com/spreadsheets/d/19KBlQQs7uwvsao6t2n-KvW3Ax8J8uRRfZPq1zPbXgKc/edit?usp=sharing"",""ระยอง!I504"")+IMPORTRANGE(""https://docs.google.com/spreadsheets/d/1jQ6P4QcrGM89YfqcC_PxOHGCMq5ezhucwJd8ci-NHng/edit?usp=sharing"",""ราชบุรี!I50"&amp;"4"")+IMPORTRANGE(""https://docs.google.com/spreadsheets/d/1lufeA2cfFqM-elVq2hznhDzC6Pr7wkJ9ZG_sYNGCMCU/edit?usp=sharing"",""ลพบุรี!I504"")+IMPORTRANGE(""https://docs.google.com/spreadsheets/d/10oOiF7loTyfsTkbd4MpaIm0HQ9SwB7IYHdIUvt-U1Uc/edit?usp=sharing"""&amp;",""สระแก้ว!I504"")+IMPORTRANGE(""https://docs.google.com/spreadsheets/d/1xmPlrr1QbdSIKvl1dWUl9K4PjAfSL9oeMr_37QVzcxc/edit?usp=sharing"",""สระบุรี!I504"")+IMPORTRANGE(""https://docs.google.com/spreadsheets/d/1j51vR6CYVGhABJpv6tkstgok82RLpXieLzW1yOY5rHw/edi"&amp;"t?usp=sharing"",""สิงห์บุรี!I504"")+IMPORTRANGE(""https://docs.google.com/spreadsheets/d/1H1EalTWKUSzO4Z1-1CwzoDUaVffgrThEBe2sl74kKG0/edit?usp=sharing"",""สุพรรณบุรี!I504"")+IMPORTRANGE(""https://docs.google.com/spreadsheets/d/1BmIruG_sIrJLYao_Pdr7zVArWsf"&amp;"oBt2692TMi6x_854/edit?usp=sharing"",""อ่างทอง!I504"")"),0)</f>
        <v>0</v>
      </c>
      <c r="J504" s="296">
        <f ca="1">IFERROR(__xludf.DUMMYFUNCTION("IMPORTRANGE(""https://docs.google.com/spreadsheets/d/13wPX838HrBrQMCywv1BsuMkt4PEKTChp52zj44s2izQ/edit?usp=sharing"",""กาญจนบุรี!J504"")+IMPORTRANGE(""https://docs.google.com/spreadsheets/d/1ddFKvqj1W1NEiWytbGlB1zMx_ykJDVtmfEQ-6-lIUBA/edit?usp=sharing"","&amp;"""จันทบุรี!J504"")+IMPORTRANGE(""https://docs.google.com/spreadsheets/d/1T1PQvRODqOBZk8BRht_U031fIS1beLA0Ub2CEytj2q0/edit?usp=sharing"",""ฉะเชิงเทรา!J504"")+IMPORTRANGE(""https://docs.google.com/spreadsheets/d/11tr1B-Bhyr79v2bkwVh5h_fR-PStkgjlZtkrZpYurG0/"&amp;"edit?usp=sharing"",""ชลบุรี!J504"")+IMPORTRANGE(""https://docs.google.com/spreadsheets/d/1hh-FVnSX0vozXhGluamEcS54Dw9_zqW0N7qJUWgJ0Sw/edit?usp=sharing"",""ชัยนาท!J504"")+IMPORTRANGE(""https://docs.google.com/spreadsheets/d/1jkqa6GXxSacMcY1eN8AHjMNJ_7dDXMJ"&amp;"VRLDlaFSOdPM/edit?usp=sharing"",""ตราด!J504"")+IMPORTRANGE(""https://docs.google.com/spreadsheets/d/18hSgUJ3VwClqi_qtULmmW3cLr0oe3OKaSYoKzdpTsYQ/edit?usp=sharing"",""นครนายก!J504"")+IMPORTRANGE(""https://docs.google.com/spreadsheets/d/1YTZo6WM2dQ6Ix6FSdnL"&amp;"5P7uVnVKu40sxZu975tgG10E/edit?usp=sharing"",""นครปฐม!J504"")+IMPORTRANGE(""https://docs.google.com/spreadsheets/d/1OYoGg4WDg5RIzwGeB10padOxJF9E_Vljuvvct_M7RDo/edit?usp=sharing"",""ปทุมธานี!J504"")+IMPORTRANGE(""https://docs.google.com/spreadsheets/d/1GbCI"&amp;"E4D4wk9FUozzqk7SxfDMxDVBwVmI5zcaVUSzKAc/edit?usp=sharing"",""ประจวบคีรีขันธ์!J504"")+IMPORTRANGE(""https://docs.google.com/spreadsheets/d/1vVf6wykvW_lAyu7Yo9L4hUTqHqIeP_qcVuxCtosJEbg/edit?usp=sharing"",""ปราจีนบุรี!J504"")+IMPORTRANGE(""https://docs.googl"&amp;"e.com/spreadsheets/d/1BIDqLLg5jk3v59G8NlR8rk5xfQDKne0sAvZHSj7TI6I/edit?usp=sharing"",""พระนครศรีอยุธยา!J504"")+IMPORTRANGE(""https://docs.google.com/spreadsheets/d/1YXvxf8Yu6_rV4hTBrwMqAcAnv6DfhUxh5emyM3CJp_w/edit?usp=sharing"",""เพชรบุรี!J504"")+IMPORTRA"&amp;"NGE(""https://docs.google.com/spreadsheets/d/19KBlQQs7uwvsao6t2n-KvW3Ax8J8uRRfZPq1zPbXgKc/edit?usp=sharing"",""ระยอง!J504"")+IMPORTRANGE(""https://docs.google.com/spreadsheets/d/1jQ6P4QcrGM89YfqcC_PxOHGCMq5ezhucwJd8ci-NHng/edit?usp=sharing"",""ราชบุรี!J50"&amp;"4"")+IMPORTRANGE(""https://docs.google.com/spreadsheets/d/1lufeA2cfFqM-elVq2hznhDzC6Pr7wkJ9ZG_sYNGCMCU/edit?usp=sharing"",""ลพบุรี!J504"")+IMPORTRANGE(""https://docs.google.com/spreadsheets/d/10oOiF7loTyfsTkbd4MpaIm0HQ9SwB7IYHdIUvt-U1Uc/edit?usp=sharing"""&amp;",""สระแก้ว!J504"")+IMPORTRANGE(""https://docs.google.com/spreadsheets/d/1xmPlrr1QbdSIKvl1dWUl9K4PjAfSL9oeMr_37QVzcxc/edit?usp=sharing"",""สระบุรี!J504"")+IMPORTRANGE(""https://docs.google.com/spreadsheets/d/1j51vR6CYVGhABJpv6tkstgok82RLpXieLzW1yOY5rHw/edi"&amp;"t?usp=sharing"",""สิงห์บุรี!J504"")+IMPORTRANGE(""https://docs.google.com/spreadsheets/d/1H1EalTWKUSzO4Z1-1CwzoDUaVffgrThEBe2sl74kKG0/edit?usp=sharing"",""สุพรรณบุรี!J504"")+IMPORTRANGE(""https://docs.google.com/spreadsheets/d/1BmIruG_sIrJLYao_Pdr7zVArWsf"&amp;"oBt2692TMi6x_854/edit?usp=sharing"",""อ่างทอง!J504"")"),160)</f>
        <v>160</v>
      </c>
      <c r="K504" s="77">
        <f t="shared" ca="1" si="352"/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13wPX838HrBrQMCywv1BsuMkt4PEKTChp52zj44s2izQ/edit?usp=sharing"",""กาญจนบุรี!I505"")+IMPORTRANGE(""https://docs.google.com/spreadsheets/d/1ddFKvqj1W1NEiWytbGlB1zMx_ykJDVtmfEQ-6-lIUBA/edit?usp=sharing"","&amp;"""จันทบุรี!I505"")+IMPORTRANGE(""https://docs.google.com/spreadsheets/d/1T1PQvRODqOBZk8BRht_U031fIS1beLA0Ub2CEytj2q0/edit?usp=sharing"",""ฉะเชิงเทรา!I505"")+IMPORTRANGE(""https://docs.google.com/spreadsheets/d/11tr1B-Bhyr79v2bkwVh5h_fR-PStkgjlZtkrZpYurG0/"&amp;"edit?usp=sharing"",""ชลบุรี!I505"")+IMPORTRANGE(""https://docs.google.com/spreadsheets/d/1hh-FVnSX0vozXhGluamEcS54Dw9_zqW0N7qJUWgJ0Sw/edit?usp=sharing"",""ชัยนาท!I505"")+IMPORTRANGE(""https://docs.google.com/spreadsheets/d/1jkqa6GXxSacMcY1eN8AHjMNJ_7dDXMJ"&amp;"VRLDlaFSOdPM/edit?usp=sharing"",""ตราด!I505"")+IMPORTRANGE(""https://docs.google.com/spreadsheets/d/18hSgUJ3VwClqi_qtULmmW3cLr0oe3OKaSYoKzdpTsYQ/edit?usp=sharing"",""นครนายก!I505"")+IMPORTRANGE(""https://docs.google.com/spreadsheets/d/1YTZo6WM2dQ6Ix6FSdnL"&amp;"5P7uVnVKu40sxZu975tgG10E/edit?usp=sharing"",""นครปฐม!I505"")+IMPORTRANGE(""https://docs.google.com/spreadsheets/d/1OYoGg4WDg5RIzwGeB10padOxJF9E_Vljuvvct_M7RDo/edit?usp=sharing"",""ปทุมธานี!I505"")+IMPORTRANGE(""https://docs.google.com/spreadsheets/d/1GbCI"&amp;"E4D4wk9FUozzqk7SxfDMxDVBwVmI5zcaVUSzKAc/edit?usp=sharing"",""ประจวบคีรีขันธ์!I505"")+IMPORTRANGE(""https://docs.google.com/spreadsheets/d/1vVf6wykvW_lAyu7Yo9L4hUTqHqIeP_qcVuxCtosJEbg/edit?usp=sharing"",""ปราจีนบุรี!I505"")+IMPORTRANGE(""https://docs.googl"&amp;"e.com/spreadsheets/d/1BIDqLLg5jk3v59G8NlR8rk5xfQDKne0sAvZHSj7TI6I/edit?usp=sharing"",""พระนครศรีอยุธยา!I505"")+IMPORTRANGE(""https://docs.google.com/spreadsheets/d/1YXvxf8Yu6_rV4hTBrwMqAcAnv6DfhUxh5emyM3CJp_w/edit?usp=sharing"",""เพชรบุรี!I505"")+IMPORTRA"&amp;"NGE(""https://docs.google.com/spreadsheets/d/19KBlQQs7uwvsao6t2n-KvW3Ax8J8uRRfZPq1zPbXgKc/edit?usp=sharing"",""ระยอง!I505"")+IMPORTRANGE(""https://docs.google.com/spreadsheets/d/1jQ6P4QcrGM89YfqcC_PxOHGCMq5ezhucwJd8ci-NHng/edit?usp=sharing"",""ราชบุรี!I50"&amp;"5"")+IMPORTRANGE(""https://docs.google.com/spreadsheets/d/1lufeA2cfFqM-elVq2hznhDzC6Pr7wkJ9ZG_sYNGCMCU/edit?usp=sharing"",""ลพบุรี!I505"")+IMPORTRANGE(""https://docs.google.com/spreadsheets/d/10oOiF7loTyfsTkbd4MpaIm0HQ9SwB7IYHdIUvt-U1Uc/edit?usp=sharing"""&amp;",""สระแก้ว!I505"")+IMPORTRANGE(""https://docs.google.com/spreadsheets/d/1xmPlrr1QbdSIKvl1dWUl9K4PjAfSL9oeMr_37QVzcxc/edit?usp=sharing"",""สระบุรี!I505"")+IMPORTRANGE(""https://docs.google.com/spreadsheets/d/1j51vR6CYVGhABJpv6tkstgok82RLpXieLzW1yOY5rHw/edi"&amp;"t?usp=sharing"",""สิงห์บุรี!I505"")+IMPORTRANGE(""https://docs.google.com/spreadsheets/d/1H1EalTWKUSzO4Z1-1CwzoDUaVffgrThEBe2sl74kKG0/edit?usp=sharing"",""สุพรรณบุรี!I505"")+IMPORTRANGE(""https://docs.google.com/spreadsheets/d/1BmIruG_sIrJLYao_Pdr7zVArWsf"&amp;"oBt2692TMi6x_854/edit?usp=sharing"",""อ่างทอง!I505"")"),0)</f>
        <v>0</v>
      </c>
      <c r="J505" s="296">
        <f ca="1">IFERROR(__xludf.DUMMYFUNCTION("IMPORTRANGE(""https://docs.google.com/spreadsheets/d/13wPX838HrBrQMCywv1BsuMkt4PEKTChp52zj44s2izQ/edit?usp=sharing"",""กาญจนบุรี!J505"")+IMPORTRANGE(""https://docs.google.com/spreadsheets/d/1ddFKvqj1W1NEiWytbGlB1zMx_ykJDVtmfEQ-6-lIUBA/edit?usp=sharing"","&amp;"""จันทบุรี!J505"")+IMPORTRANGE(""https://docs.google.com/spreadsheets/d/1T1PQvRODqOBZk8BRht_U031fIS1beLA0Ub2CEytj2q0/edit?usp=sharing"",""ฉะเชิงเทรา!J505"")+IMPORTRANGE(""https://docs.google.com/spreadsheets/d/11tr1B-Bhyr79v2bkwVh5h_fR-PStkgjlZtkrZpYurG0/"&amp;"edit?usp=sharing"",""ชลบุรี!J505"")+IMPORTRANGE(""https://docs.google.com/spreadsheets/d/1hh-FVnSX0vozXhGluamEcS54Dw9_zqW0N7qJUWgJ0Sw/edit?usp=sharing"",""ชัยนาท!J505"")+IMPORTRANGE(""https://docs.google.com/spreadsheets/d/1jkqa6GXxSacMcY1eN8AHjMNJ_7dDXMJ"&amp;"VRLDlaFSOdPM/edit?usp=sharing"",""ตราด!J505"")+IMPORTRANGE(""https://docs.google.com/spreadsheets/d/18hSgUJ3VwClqi_qtULmmW3cLr0oe3OKaSYoKzdpTsYQ/edit?usp=sharing"",""นครนายก!J505"")+IMPORTRANGE(""https://docs.google.com/spreadsheets/d/1YTZo6WM2dQ6Ix6FSdnL"&amp;"5P7uVnVKu40sxZu975tgG10E/edit?usp=sharing"",""นครปฐม!J505"")+IMPORTRANGE(""https://docs.google.com/spreadsheets/d/1OYoGg4WDg5RIzwGeB10padOxJF9E_Vljuvvct_M7RDo/edit?usp=sharing"",""ปทุมธานี!J505"")+IMPORTRANGE(""https://docs.google.com/spreadsheets/d/1GbCI"&amp;"E4D4wk9FUozzqk7SxfDMxDVBwVmI5zcaVUSzKAc/edit?usp=sharing"",""ประจวบคีรีขันธ์!J505"")+IMPORTRANGE(""https://docs.google.com/spreadsheets/d/1vVf6wykvW_lAyu7Yo9L4hUTqHqIeP_qcVuxCtosJEbg/edit?usp=sharing"",""ปราจีนบุรี!J505"")+IMPORTRANGE(""https://docs.googl"&amp;"e.com/spreadsheets/d/1BIDqLLg5jk3v59G8NlR8rk5xfQDKne0sAvZHSj7TI6I/edit?usp=sharing"",""พระนครศรีอยุธยา!J505"")+IMPORTRANGE(""https://docs.google.com/spreadsheets/d/1YXvxf8Yu6_rV4hTBrwMqAcAnv6DfhUxh5emyM3CJp_w/edit?usp=sharing"",""เพชรบุรี!J505"")+IMPORTRA"&amp;"NGE(""https://docs.google.com/spreadsheets/d/19KBlQQs7uwvsao6t2n-KvW3Ax8J8uRRfZPq1zPbXgKc/edit?usp=sharing"",""ระยอง!J505"")+IMPORTRANGE(""https://docs.google.com/spreadsheets/d/1jQ6P4QcrGM89YfqcC_PxOHGCMq5ezhucwJd8ci-NHng/edit?usp=sharing"",""ราชบุรี!J50"&amp;"5"")+IMPORTRANGE(""https://docs.google.com/spreadsheets/d/1lufeA2cfFqM-elVq2hznhDzC6Pr7wkJ9ZG_sYNGCMCU/edit?usp=sharing"",""ลพบุรี!J505"")+IMPORTRANGE(""https://docs.google.com/spreadsheets/d/10oOiF7loTyfsTkbd4MpaIm0HQ9SwB7IYHdIUvt-U1Uc/edit?usp=sharing"""&amp;",""สระแก้ว!J505"")+IMPORTRANGE(""https://docs.google.com/spreadsheets/d/1xmPlrr1QbdSIKvl1dWUl9K4PjAfSL9oeMr_37QVzcxc/edit?usp=sharing"",""สระบุรี!J505"")+IMPORTRANGE(""https://docs.google.com/spreadsheets/d/1j51vR6CYVGhABJpv6tkstgok82RLpXieLzW1yOY5rHw/edi"&amp;"t?usp=sharing"",""สิงห์บุรี!J505"")+IMPORTRANGE(""https://docs.google.com/spreadsheets/d/1H1EalTWKUSzO4Z1-1CwzoDUaVffgrThEBe2sl74kKG0/edit?usp=sharing"",""สุพรรณบุรี!J505"")+IMPORTRANGE(""https://docs.google.com/spreadsheets/d/1BmIruG_sIrJLYao_Pdr7zVArWsf"&amp;"oBt2692TMi6x_854/edit?usp=sharing"",""อ่างทอง!J505"")"),0)</f>
        <v>0</v>
      </c>
      <c r="K505" s="77">
        <f t="shared" ca="1" si="352"/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13wPX838HrBrQMCywv1BsuMkt4PEKTChp52zj44s2izQ/edit?usp=sharing"",""กาญจนบุรี!I506"")+IMPORTRANGE(""https://docs.google.com/spreadsheets/d/1ddFKvqj1W1NEiWytbGlB1zMx_ykJDVtmfEQ-6-lIUBA/edit?usp=sharing"","&amp;"""จันทบุรี!I506"")+IMPORTRANGE(""https://docs.google.com/spreadsheets/d/1T1PQvRODqOBZk8BRht_U031fIS1beLA0Ub2CEytj2q0/edit?usp=sharing"",""ฉะเชิงเทรา!I506"")+IMPORTRANGE(""https://docs.google.com/spreadsheets/d/11tr1B-Bhyr79v2bkwVh5h_fR-PStkgjlZtkrZpYurG0/"&amp;"edit?usp=sharing"",""ชลบุรี!I506"")+IMPORTRANGE(""https://docs.google.com/spreadsheets/d/1hh-FVnSX0vozXhGluamEcS54Dw9_zqW0N7qJUWgJ0Sw/edit?usp=sharing"",""ชัยนาท!I506"")+IMPORTRANGE(""https://docs.google.com/spreadsheets/d/1jkqa6GXxSacMcY1eN8AHjMNJ_7dDXMJ"&amp;"VRLDlaFSOdPM/edit?usp=sharing"",""ตราด!I506"")+IMPORTRANGE(""https://docs.google.com/spreadsheets/d/18hSgUJ3VwClqi_qtULmmW3cLr0oe3OKaSYoKzdpTsYQ/edit?usp=sharing"",""นครนายก!I506"")+IMPORTRANGE(""https://docs.google.com/spreadsheets/d/1YTZo6WM2dQ6Ix6FSdnL"&amp;"5P7uVnVKu40sxZu975tgG10E/edit?usp=sharing"",""นครปฐม!I506"")+IMPORTRANGE(""https://docs.google.com/spreadsheets/d/1OYoGg4WDg5RIzwGeB10padOxJF9E_Vljuvvct_M7RDo/edit?usp=sharing"",""ปทุมธานี!I506"")+IMPORTRANGE(""https://docs.google.com/spreadsheets/d/1GbCI"&amp;"E4D4wk9FUozzqk7SxfDMxDVBwVmI5zcaVUSzKAc/edit?usp=sharing"",""ประจวบคีรีขันธ์!I506"")+IMPORTRANGE(""https://docs.google.com/spreadsheets/d/1vVf6wykvW_lAyu7Yo9L4hUTqHqIeP_qcVuxCtosJEbg/edit?usp=sharing"",""ปราจีนบุรี!I506"")+IMPORTRANGE(""https://docs.googl"&amp;"e.com/spreadsheets/d/1BIDqLLg5jk3v59G8NlR8rk5xfQDKne0sAvZHSj7TI6I/edit?usp=sharing"",""พระนครศรีอยุธยา!I506"")+IMPORTRANGE(""https://docs.google.com/spreadsheets/d/1YXvxf8Yu6_rV4hTBrwMqAcAnv6DfhUxh5emyM3CJp_w/edit?usp=sharing"",""เพชรบุรี!I506"")+IMPORTRA"&amp;"NGE(""https://docs.google.com/spreadsheets/d/19KBlQQs7uwvsao6t2n-KvW3Ax8J8uRRfZPq1zPbXgKc/edit?usp=sharing"",""ระยอง!I506"")+IMPORTRANGE(""https://docs.google.com/spreadsheets/d/1jQ6P4QcrGM89YfqcC_PxOHGCMq5ezhucwJd8ci-NHng/edit?usp=sharing"",""ราชบุรี!I50"&amp;"6"")+IMPORTRANGE(""https://docs.google.com/spreadsheets/d/1lufeA2cfFqM-elVq2hznhDzC6Pr7wkJ9ZG_sYNGCMCU/edit?usp=sharing"",""ลพบุรี!I506"")+IMPORTRANGE(""https://docs.google.com/spreadsheets/d/10oOiF7loTyfsTkbd4MpaIm0HQ9SwB7IYHdIUvt-U1Uc/edit?usp=sharing"""&amp;",""สระแก้ว!I506"")+IMPORTRANGE(""https://docs.google.com/spreadsheets/d/1xmPlrr1QbdSIKvl1dWUl9K4PjAfSL9oeMr_37QVzcxc/edit?usp=sharing"",""สระบุรี!I506"")+IMPORTRANGE(""https://docs.google.com/spreadsheets/d/1j51vR6CYVGhABJpv6tkstgok82RLpXieLzW1yOY5rHw/edi"&amp;"t?usp=sharing"",""สิงห์บุรี!I506"")+IMPORTRANGE(""https://docs.google.com/spreadsheets/d/1H1EalTWKUSzO4Z1-1CwzoDUaVffgrThEBe2sl74kKG0/edit?usp=sharing"",""สุพรรณบุรี!I506"")+IMPORTRANGE(""https://docs.google.com/spreadsheets/d/1BmIruG_sIrJLYao_Pdr7zVArWsf"&amp;"oBt2692TMi6x_854/edit?usp=sharing"",""อ่างทอง!I506"")"),0)</f>
        <v>0</v>
      </c>
      <c r="J506" s="296">
        <f ca="1">IFERROR(__xludf.DUMMYFUNCTION("IMPORTRANGE(""https://docs.google.com/spreadsheets/d/13wPX838HrBrQMCywv1BsuMkt4PEKTChp52zj44s2izQ/edit?usp=sharing"",""กาญจนบุรี!J506"")+IMPORTRANGE(""https://docs.google.com/spreadsheets/d/1ddFKvqj1W1NEiWytbGlB1zMx_ykJDVtmfEQ-6-lIUBA/edit?usp=sharing"","&amp;"""จันทบุรี!J506"")+IMPORTRANGE(""https://docs.google.com/spreadsheets/d/1T1PQvRODqOBZk8BRht_U031fIS1beLA0Ub2CEytj2q0/edit?usp=sharing"",""ฉะเชิงเทรา!J506"")+IMPORTRANGE(""https://docs.google.com/spreadsheets/d/11tr1B-Bhyr79v2bkwVh5h_fR-PStkgjlZtkrZpYurG0/"&amp;"edit?usp=sharing"",""ชลบุรี!J506"")+IMPORTRANGE(""https://docs.google.com/spreadsheets/d/1hh-FVnSX0vozXhGluamEcS54Dw9_zqW0N7qJUWgJ0Sw/edit?usp=sharing"",""ชัยนาท!J506"")+IMPORTRANGE(""https://docs.google.com/spreadsheets/d/1jkqa6GXxSacMcY1eN8AHjMNJ_7dDXMJ"&amp;"VRLDlaFSOdPM/edit?usp=sharing"",""ตราด!J506"")+IMPORTRANGE(""https://docs.google.com/spreadsheets/d/18hSgUJ3VwClqi_qtULmmW3cLr0oe3OKaSYoKzdpTsYQ/edit?usp=sharing"",""นครนายก!J506"")+IMPORTRANGE(""https://docs.google.com/spreadsheets/d/1YTZo6WM2dQ6Ix6FSdnL"&amp;"5P7uVnVKu40sxZu975tgG10E/edit?usp=sharing"",""นครปฐม!J506"")+IMPORTRANGE(""https://docs.google.com/spreadsheets/d/1OYoGg4WDg5RIzwGeB10padOxJF9E_Vljuvvct_M7RDo/edit?usp=sharing"",""ปทุมธานี!J506"")+IMPORTRANGE(""https://docs.google.com/spreadsheets/d/1GbCI"&amp;"E4D4wk9FUozzqk7SxfDMxDVBwVmI5zcaVUSzKAc/edit?usp=sharing"",""ประจวบคีรีขันธ์!J506"")+IMPORTRANGE(""https://docs.google.com/spreadsheets/d/1vVf6wykvW_lAyu7Yo9L4hUTqHqIeP_qcVuxCtosJEbg/edit?usp=sharing"",""ปราจีนบุรี!J506"")+IMPORTRANGE(""https://docs.googl"&amp;"e.com/spreadsheets/d/1BIDqLLg5jk3v59G8NlR8rk5xfQDKne0sAvZHSj7TI6I/edit?usp=sharing"",""พระนครศรีอยุธยา!J506"")+IMPORTRANGE(""https://docs.google.com/spreadsheets/d/1YXvxf8Yu6_rV4hTBrwMqAcAnv6DfhUxh5emyM3CJp_w/edit?usp=sharing"",""เพชรบุรี!J506"")+IMPORTRA"&amp;"NGE(""https://docs.google.com/spreadsheets/d/19KBlQQs7uwvsao6t2n-KvW3Ax8J8uRRfZPq1zPbXgKc/edit?usp=sharing"",""ระยอง!J506"")+IMPORTRANGE(""https://docs.google.com/spreadsheets/d/1jQ6P4QcrGM89YfqcC_PxOHGCMq5ezhucwJd8ci-NHng/edit?usp=sharing"",""ราชบุรี!J50"&amp;"6"")+IMPORTRANGE(""https://docs.google.com/spreadsheets/d/1lufeA2cfFqM-elVq2hznhDzC6Pr7wkJ9ZG_sYNGCMCU/edit?usp=sharing"",""ลพบุรี!J506"")+IMPORTRANGE(""https://docs.google.com/spreadsheets/d/10oOiF7loTyfsTkbd4MpaIm0HQ9SwB7IYHdIUvt-U1Uc/edit?usp=sharing"""&amp;",""สระแก้ว!J506"")+IMPORTRANGE(""https://docs.google.com/spreadsheets/d/1xmPlrr1QbdSIKvl1dWUl9K4PjAfSL9oeMr_37QVzcxc/edit?usp=sharing"",""สระบุรี!J506"")+IMPORTRANGE(""https://docs.google.com/spreadsheets/d/1j51vR6CYVGhABJpv6tkstgok82RLpXieLzW1yOY5rHw/edi"&amp;"t?usp=sharing"",""สิงห์บุรี!J506"")+IMPORTRANGE(""https://docs.google.com/spreadsheets/d/1H1EalTWKUSzO4Z1-1CwzoDUaVffgrThEBe2sl74kKG0/edit?usp=sharing"",""สุพรรณบุรี!J506"")+IMPORTRANGE(""https://docs.google.com/spreadsheets/d/1BmIruG_sIrJLYao_Pdr7zVArWsf"&amp;"oBt2692TMi6x_854/edit?usp=sharing"",""อ่างทอง!J506"")"),0)</f>
        <v>0</v>
      </c>
      <c r="K506" s="77">
        <f t="shared" ca="1" si="352"/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13wPX838HrBrQMCywv1BsuMkt4PEKTChp52zj44s2izQ/edit?usp=sharing"",""กาญจนบุรี!I507"")+IMPORTRANGE(""https://docs.google.com/spreadsheets/d/1ddFKvqj1W1NEiWytbGlB1zMx_ykJDVtmfEQ-6-lIUBA/edit?usp=sharing"","&amp;"""จันทบุรี!I507"")+IMPORTRANGE(""https://docs.google.com/spreadsheets/d/1T1PQvRODqOBZk8BRht_U031fIS1beLA0Ub2CEytj2q0/edit?usp=sharing"",""ฉะเชิงเทรา!I507"")+IMPORTRANGE(""https://docs.google.com/spreadsheets/d/11tr1B-Bhyr79v2bkwVh5h_fR-PStkgjlZtkrZpYurG0/"&amp;"edit?usp=sharing"",""ชลบุรี!I507"")+IMPORTRANGE(""https://docs.google.com/spreadsheets/d/1hh-FVnSX0vozXhGluamEcS54Dw9_zqW0N7qJUWgJ0Sw/edit?usp=sharing"",""ชัยนาท!I507"")+IMPORTRANGE(""https://docs.google.com/spreadsheets/d/1jkqa6GXxSacMcY1eN8AHjMNJ_7dDXMJ"&amp;"VRLDlaFSOdPM/edit?usp=sharing"",""ตราด!I507"")+IMPORTRANGE(""https://docs.google.com/spreadsheets/d/18hSgUJ3VwClqi_qtULmmW3cLr0oe3OKaSYoKzdpTsYQ/edit?usp=sharing"",""นครนายก!I507"")+IMPORTRANGE(""https://docs.google.com/spreadsheets/d/1YTZo6WM2dQ6Ix6FSdnL"&amp;"5P7uVnVKu40sxZu975tgG10E/edit?usp=sharing"",""นครปฐม!I507"")+IMPORTRANGE(""https://docs.google.com/spreadsheets/d/1OYoGg4WDg5RIzwGeB10padOxJF9E_Vljuvvct_M7RDo/edit?usp=sharing"",""ปทุมธานี!I507"")+IMPORTRANGE(""https://docs.google.com/spreadsheets/d/1GbCI"&amp;"E4D4wk9FUozzqk7SxfDMxDVBwVmI5zcaVUSzKAc/edit?usp=sharing"",""ประจวบคีรีขันธ์!I507"")+IMPORTRANGE(""https://docs.google.com/spreadsheets/d/1vVf6wykvW_lAyu7Yo9L4hUTqHqIeP_qcVuxCtosJEbg/edit?usp=sharing"",""ปราจีนบุรี!I507"")+IMPORTRANGE(""https://docs.googl"&amp;"e.com/spreadsheets/d/1BIDqLLg5jk3v59G8NlR8rk5xfQDKne0sAvZHSj7TI6I/edit?usp=sharing"",""พระนครศรีอยุธยา!I507"")+IMPORTRANGE(""https://docs.google.com/spreadsheets/d/1YXvxf8Yu6_rV4hTBrwMqAcAnv6DfhUxh5emyM3CJp_w/edit?usp=sharing"",""เพชรบุรี!I507"")+IMPORTRA"&amp;"NGE(""https://docs.google.com/spreadsheets/d/19KBlQQs7uwvsao6t2n-KvW3Ax8J8uRRfZPq1zPbXgKc/edit?usp=sharing"",""ระยอง!I507"")+IMPORTRANGE(""https://docs.google.com/spreadsheets/d/1jQ6P4QcrGM89YfqcC_PxOHGCMq5ezhucwJd8ci-NHng/edit?usp=sharing"",""ราชบุรี!I50"&amp;"7"")+IMPORTRANGE(""https://docs.google.com/spreadsheets/d/1lufeA2cfFqM-elVq2hznhDzC6Pr7wkJ9ZG_sYNGCMCU/edit?usp=sharing"",""ลพบุรี!I507"")+IMPORTRANGE(""https://docs.google.com/spreadsheets/d/10oOiF7loTyfsTkbd4MpaIm0HQ9SwB7IYHdIUvt-U1Uc/edit?usp=sharing"""&amp;",""สระแก้ว!I507"")+IMPORTRANGE(""https://docs.google.com/spreadsheets/d/1xmPlrr1QbdSIKvl1dWUl9K4PjAfSL9oeMr_37QVzcxc/edit?usp=sharing"",""สระบุรี!I507"")+IMPORTRANGE(""https://docs.google.com/spreadsheets/d/1j51vR6CYVGhABJpv6tkstgok82RLpXieLzW1yOY5rHw/edi"&amp;"t?usp=sharing"",""สิงห์บุรี!I507"")+IMPORTRANGE(""https://docs.google.com/spreadsheets/d/1H1EalTWKUSzO4Z1-1CwzoDUaVffgrThEBe2sl74kKG0/edit?usp=sharing"",""สุพรรณบุรี!I507"")+IMPORTRANGE(""https://docs.google.com/spreadsheets/d/1BmIruG_sIrJLYao_Pdr7zVArWsf"&amp;"oBt2692TMi6x_854/edit?usp=sharing"",""อ่างทอง!I507"")"),0)</f>
        <v>0</v>
      </c>
      <c r="J507" s="296">
        <f ca="1">IFERROR(__xludf.DUMMYFUNCTION("IMPORTRANGE(""https://docs.google.com/spreadsheets/d/13wPX838HrBrQMCywv1BsuMkt4PEKTChp52zj44s2izQ/edit?usp=sharing"",""กาญจนบุรี!J507"")+IMPORTRANGE(""https://docs.google.com/spreadsheets/d/1ddFKvqj1W1NEiWytbGlB1zMx_ykJDVtmfEQ-6-lIUBA/edit?usp=sharing"","&amp;"""จันทบุรี!J507"")+IMPORTRANGE(""https://docs.google.com/spreadsheets/d/1T1PQvRODqOBZk8BRht_U031fIS1beLA0Ub2CEytj2q0/edit?usp=sharing"",""ฉะเชิงเทรา!J507"")+IMPORTRANGE(""https://docs.google.com/spreadsheets/d/11tr1B-Bhyr79v2bkwVh5h_fR-PStkgjlZtkrZpYurG0/"&amp;"edit?usp=sharing"",""ชลบุรี!J507"")+IMPORTRANGE(""https://docs.google.com/spreadsheets/d/1hh-FVnSX0vozXhGluamEcS54Dw9_zqW0N7qJUWgJ0Sw/edit?usp=sharing"",""ชัยนาท!J507"")+IMPORTRANGE(""https://docs.google.com/spreadsheets/d/1jkqa6GXxSacMcY1eN8AHjMNJ_7dDXMJ"&amp;"VRLDlaFSOdPM/edit?usp=sharing"",""ตราด!J507"")+IMPORTRANGE(""https://docs.google.com/spreadsheets/d/18hSgUJ3VwClqi_qtULmmW3cLr0oe3OKaSYoKzdpTsYQ/edit?usp=sharing"",""นครนายก!J507"")+IMPORTRANGE(""https://docs.google.com/spreadsheets/d/1YTZo6WM2dQ6Ix6FSdnL"&amp;"5P7uVnVKu40sxZu975tgG10E/edit?usp=sharing"",""นครปฐม!J507"")+IMPORTRANGE(""https://docs.google.com/spreadsheets/d/1OYoGg4WDg5RIzwGeB10padOxJF9E_Vljuvvct_M7RDo/edit?usp=sharing"",""ปทุมธานี!J507"")+IMPORTRANGE(""https://docs.google.com/spreadsheets/d/1GbCI"&amp;"E4D4wk9FUozzqk7SxfDMxDVBwVmI5zcaVUSzKAc/edit?usp=sharing"",""ประจวบคีรีขันธ์!J507"")+IMPORTRANGE(""https://docs.google.com/spreadsheets/d/1vVf6wykvW_lAyu7Yo9L4hUTqHqIeP_qcVuxCtosJEbg/edit?usp=sharing"",""ปราจีนบุรี!J507"")+IMPORTRANGE(""https://docs.googl"&amp;"e.com/spreadsheets/d/1BIDqLLg5jk3v59G8NlR8rk5xfQDKne0sAvZHSj7TI6I/edit?usp=sharing"",""พระนครศรีอยุธยา!J507"")+IMPORTRANGE(""https://docs.google.com/spreadsheets/d/1YXvxf8Yu6_rV4hTBrwMqAcAnv6DfhUxh5emyM3CJp_w/edit?usp=sharing"",""เพชรบุรี!J507"")+IMPORTRA"&amp;"NGE(""https://docs.google.com/spreadsheets/d/19KBlQQs7uwvsao6t2n-KvW3Ax8J8uRRfZPq1zPbXgKc/edit?usp=sharing"",""ระยอง!J507"")+IMPORTRANGE(""https://docs.google.com/spreadsheets/d/1jQ6P4QcrGM89YfqcC_PxOHGCMq5ezhucwJd8ci-NHng/edit?usp=sharing"",""ราชบุรี!J50"&amp;"7"")+IMPORTRANGE(""https://docs.google.com/spreadsheets/d/1lufeA2cfFqM-elVq2hznhDzC6Pr7wkJ9ZG_sYNGCMCU/edit?usp=sharing"",""ลพบุรี!J507"")+IMPORTRANGE(""https://docs.google.com/spreadsheets/d/10oOiF7loTyfsTkbd4MpaIm0HQ9SwB7IYHdIUvt-U1Uc/edit?usp=sharing"""&amp;",""สระแก้ว!J507"")+IMPORTRANGE(""https://docs.google.com/spreadsheets/d/1xmPlrr1QbdSIKvl1dWUl9K4PjAfSL9oeMr_37QVzcxc/edit?usp=sharing"",""สระบุรี!J507"")+IMPORTRANGE(""https://docs.google.com/spreadsheets/d/1j51vR6CYVGhABJpv6tkstgok82RLpXieLzW1yOY5rHw/edi"&amp;"t?usp=sharing"",""สิงห์บุรี!J507"")+IMPORTRANGE(""https://docs.google.com/spreadsheets/d/1H1EalTWKUSzO4Z1-1CwzoDUaVffgrThEBe2sl74kKG0/edit?usp=sharing"",""สุพรรณบุรี!J507"")+IMPORTRANGE(""https://docs.google.com/spreadsheets/d/1BmIruG_sIrJLYao_Pdr7zVArWsf"&amp;"oBt2692TMi6x_854/edit?usp=sharing"",""อ่างทอง!J507"")"),0)</f>
        <v>0</v>
      </c>
      <c r="K507" s="77">
        <f t="shared" ca="1" si="352"/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 t="shared" si="352"/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295">
        <f ca="1">IFERROR(__xludf.DUMMYFUNCTION("IMPORTRANGE(""https://docs.google.com/spreadsheets/d/13wPX838HrBrQMCywv1BsuMkt4PEKTChp52zj44s2izQ/edit?usp=sharing"",""กาญจนบุรี!I509"")+IMPORTRANGE(""https://docs.google.com/spreadsheets/d/1ddFKvqj1W1NEiWytbGlB1zMx_ykJDVtmfEQ-6-lIUBA/edit?usp=sharing"","&amp;"""จันทบุรี!I509"")+IMPORTRANGE(""https://docs.google.com/spreadsheets/d/1T1PQvRODqOBZk8BRht_U031fIS1beLA0Ub2CEytj2q0/edit?usp=sharing"",""ฉะเชิงเทรา!I509"")+IMPORTRANGE(""https://docs.google.com/spreadsheets/d/11tr1B-Bhyr79v2bkwVh5h_fR-PStkgjlZtkrZpYurG0/"&amp;"edit?usp=sharing"",""ชลบุรี!I509"")+IMPORTRANGE(""https://docs.google.com/spreadsheets/d/1hh-FVnSX0vozXhGluamEcS54Dw9_zqW0N7qJUWgJ0Sw/edit?usp=sharing"",""ชัยนาท!I509"")+IMPORTRANGE(""https://docs.google.com/spreadsheets/d/1jkqa6GXxSacMcY1eN8AHjMNJ_7dDXMJ"&amp;"VRLDlaFSOdPM/edit?usp=sharing"",""ตราด!I509"")+IMPORTRANGE(""https://docs.google.com/spreadsheets/d/18hSgUJ3VwClqi_qtULmmW3cLr0oe3OKaSYoKzdpTsYQ/edit?usp=sharing"",""นครนายก!I509"")+IMPORTRANGE(""https://docs.google.com/spreadsheets/d/1YTZo6WM2dQ6Ix6FSdnL"&amp;"5P7uVnVKu40sxZu975tgG10E/edit?usp=sharing"",""นครปฐม!I509"")+IMPORTRANGE(""https://docs.google.com/spreadsheets/d/1OYoGg4WDg5RIzwGeB10padOxJF9E_Vljuvvct_M7RDo/edit?usp=sharing"",""ปทุมธานี!I509"")+IMPORTRANGE(""https://docs.google.com/spreadsheets/d/1GbCI"&amp;"E4D4wk9FUozzqk7SxfDMxDVBwVmI5zcaVUSzKAc/edit?usp=sharing"",""ประจวบคีรีขันธ์!I509"")+IMPORTRANGE(""https://docs.google.com/spreadsheets/d/1vVf6wykvW_lAyu7Yo9L4hUTqHqIeP_qcVuxCtosJEbg/edit?usp=sharing"",""ปราจีนบุรี!I509"")+IMPORTRANGE(""https://docs.googl"&amp;"e.com/spreadsheets/d/1BIDqLLg5jk3v59G8NlR8rk5xfQDKne0sAvZHSj7TI6I/edit?usp=sharing"",""พระนครศรีอยุธยา!I509"")+IMPORTRANGE(""https://docs.google.com/spreadsheets/d/1YXvxf8Yu6_rV4hTBrwMqAcAnv6DfhUxh5emyM3CJp_w/edit?usp=sharing"",""เพชรบุรี!I509"")+IMPORTRA"&amp;"NGE(""https://docs.google.com/spreadsheets/d/19KBlQQs7uwvsao6t2n-KvW3Ax8J8uRRfZPq1zPbXgKc/edit?usp=sharing"",""ระยอง!I509"")+IMPORTRANGE(""https://docs.google.com/spreadsheets/d/1jQ6P4QcrGM89YfqcC_PxOHGCMq5ezhucwJd8ci-NHng/edit?usp=sharing"",""ราชบุรี!I50"&amp;"9"")+IMPORTRANGE(""https://docs.google.com/spreadsheets/d/1lufeA2cfFqM-elVq2hznhDzC6Pr7wkJ9ZG_sYNGCMCU/edit?usp=sharing"",""ลพบุรี!I509"")+IMPORTRANGE(""https://docs.google.com/spreadsheets/d/10oOiF7loTyfsTkbd4MpaIm0HQ9SwB7IYHdIUvt-U1Uc/edit?usp=sharing"""&amp;",""สระแก้ว!I509"")+IMPORTRANGE(""https://docs.google.com/spreadsheets/d/1xmPlrr1QbdSIKvl1dWUl9K4PjAfSL9oeMr_37QVzcxc/edit?usp=sharing"",""สระบุรี!I509"")+IMPORTRANGE(""https://docs.google.com/spreadsheets/d/1j51vR6CYVGhABJpv6tkstgok82RLpXieLzW1yOY5rHw/edi"&amp;"t?usp=sharing"",""สิงห์บุรี!I509"")+IMPORTRANGE(""https://docs.google.com/spreadsheets/d/1H1EalTWKUSzO4Z1-1CwzoDUaVffgrThEBe2sl74kKG0/edit?usp=sharing"",""สุพรรณบุรี!I509"")+IMPORTRANGE(""https://docs.google.com/spreadsheets/d/1BmIruG_sIrJLYao_Pdr7zVArWsf"&amp;"oBt2692TMi6x_854/edit?usp=sharing"",""อ่างทอง!I509"")"),0)</f>
        <v>0</v>
      </c>
      <c r="J509" s="296">
        <f ca="1">IFERROR(__xludf.DUMMYFUNCTION("IMPORTRANGE(""https://docs.google.com/spreadsheets/d/13wPX838HrBrQMCywv1BsuMkt4PEKTChp52zj44s2izQ/edit?usp=sharing"",""กาญจนบุรี!J509"")+IMPORTRANGE(""https://docs.google.com/spreadsheets/d/1ddFKvqj1W1NEiWytbGlB1zMx_ykJDVtmfEQ-6-lIUBA/edit?usp=sharing"","&amp;"""จันทบุรี!J509"")+IMPORTRANGE(""https://docs.google.com/spreadsheets/d/1T1PQvRODqOBZk8BRht_U031fIS1beLA0Ub2CEytj2q0/edit?usp=sharing"",""ฉะเชิงเทรา!J509"")+IMPORTRANGE(""https://docs.google.com/spreadsheets/d/11tr1B-Bhyr79v2bkwVh5h_fR-PStkgjlZtkrZpYurG0/"&amp;"edit?usp=sharing"",""ชลบุรี!J509"")+IMPORTRANGE(""https://docs.google.com/spreadsheets/d/1hh-FVnSX0vozXhGluamEcS54Dw9_zqW0N7qJUWgJ0Sw/edit?usp=sharing"",""ชัยนาท!J509"")+IMPORTRANGE(""https://docs.google.com/spreadsheets/d/1jkqa6GXxSacMcY1eN8AHjMNJ_7dDXMJ"&amp;"VRLDlaFSOdPM/edit?usp=sharing"",""ตราด!J509"")+IMPORTRANGE(""https://docs.google.com/spreadsheets/d/18hSgUJ3VwClqi_qtULmmW3cLr0oe3OKaSYoKzdpTsYQ/edit?usp=sharing"",""นครนายก!J509"")+IMPORTRANGE(""https://docs.google.com/spreadsheets/d/1YTZo6WM2dQ6Ix6FSdnL"&amp;"5P7uVnVKu40sxZu975tgG10E/edit?usp=sharing"",""นครปฐม!J509"")+IMPORTRANGE(""https://docs.google.com/spreadsheets/d/1OYoGg4WDg5RIzwGeB10padOxJF9E_Vljuvvct_M7RDo/edit?usp=sharing"",""ปทุมธานี!J509"")+IMPORTRANGE(""https://docs.google.com/spreadsheets/d/1GbCI"&amp;"E4D4wk9FUozzqk7SxfDMxDVBwVmI5zcaVUSzKAc/edit?usp=sharing"",""ประจวบคีรีขันธ์!J509"")+IMPORTRANGE(""https://docs.google.com/spreadsheets/d/1vVf6wykvW_lAyu7Yo9L4hUTqHqIeP_qcVuxCtosJEbg/edit?usp=sharing"",""ปราจีนบุรี!J509"")+IMPORTRANGE(""https://docs.googl"&amp;"e.com/spreadsheets/d/1BIDqLLg5jk3v59G8NlR8rk5xfQDKne0sAvZHSj7TI6I/edit?usp=sharing"",""พระนครศรีอยุธยา!J509"")+IMPORTRANGE(""https://docs.google.com/spreadsheets/d/1YXvxf8Yu6_rV4hTBrwMqAcAnv6DfhUxh5emyM3CJp_w/edit?usp=sharing"",""เพชรบุรี!J509"")+IMPORTRA"&amp;"NGE(""https://docs.google.com/spreadsheets/d/19KBlQQs7uwvsao6t2n-KvW3Ax8J8uRRfZPq1zPbXgKc/edit?usp=sharing"",""ระยอง!J509"")+IMPORTRANGE(""https://docs.google.com/spreadsheets/d/1jQ6P4QcrGM89YfqcC_PxOHGCMq5ezhucwJd8ci-NHng/edit?usp=sharing"",""ราชบุรี!J50"&amp;"9"")+IMPORTRANGE(""https://docs.google.com/spreadsheets/d/1lufeA2cfFqM-elVq2hznhDzC6Pr7wkJ9ZG_sYNGCMCU/edit?usp=sharing"",""ลพบุรี!J509"")+IMPORTRANGE(""https://docs.google.com/spreadsheets/d/10oOiF7loTyfsTkbd4MpaIm0HQ9SwB7IYHdIUvt-U1Uc/edit?usp=sharing"""&amp;",""สระแก้ว!J509"")+IMPORTRANGE(""https://docs.google.com/spreadsheets/d/1xmPlrr1QbdSIKvl1dWUl9K4PjAfSL9oeMr_37QVzcxc/edit?usp=sharing"",""สระบุรี!J509"")+IMPORTRANGE(""https://docs.google.com/spreadsheets/d/1j51vR6CYVGhABJpv6tkstgok82RLpXieLzW1yOY5rHw/edi"&amp;"t?usp=sharing"",""สิงห์บุรี!J509"")+IMPORTRANGE(""https://docs.google.com/spreadsheets/d/1H1EalTWKUSzO4Z1-1CwzoDUaVffgrThEBe2sl74kKG0/edit?usp=sharing"",""สุพรรณบุรี!J509"")+IMPORTRANGE(""https://docs.google.com/spreadsheets/d/1BmIruG_sIrJLYao_Pdr7zVArWsf"&amp;"oBt2692TMi6x_854/edit?usp=sharing"",""อ่างทอง!J509"")"),0)</f>
        <v>0</v>
      </c>
      <c r="K509" s="185">
        <f t="shared" ca="1" si="352"/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x14ac:dyDescent="0.3">
      <c r="A510" s="619" t="s">
        <v>206</v>
      </c>
      <c r="B510" s="620"/>
      <c r="C510" s="620"/>
      <c r="D510" s="620"/>
      <c r="E510" s="621"/>
      <c r="F510" s="621"/>
      <c r="G510" s="621"/>
      <c r="H510" s="621"/>
      <c r="I510" s="622"/>
      <c r="J510" s="622"/>
      <c r="K510" s="623"/>
      <c r="L510" s="623"/>
      <c r="M510" s="623"/>
      <c r="N510" s="623"/>
      <c r="O510" s="623"/>
      <c r="P510" s="624"/>
      <c r="Q510" s="625"/>
      <c r="R510" s="626"/>
      <c r="S510" s="626"/>
      <c r="T510" s="626"/>
      <c r="U510" s="626"/>
    </row>
    <row r="511" spans="1:21" ht="19.5" x14ac:dyDescent="0.3">
      <c r="A511" s="627" t="s">
        <v>207</v>
      </c>
      <c r="B511" s="628"/>
      <c r="C511" s="628"/>
      <c r="D511" s="629"/>
      <c r="E511" s="628"/>
      <c r="F511" s="628"/>
      <c r="G511" s="628"/>
      <c r="H511" s="630"/>
      <c r="I511" s="631"/>
      <c r="J511" s="631"/>
      <c r="K511" s="632"/>
      <c r="L511" s="632"/>
      <c r="M511" s="632"/>
      <c r="N511" s="632"/>
      <c r="O511" s="632"/>
      <c r="P511" s="632"/>
      <c r="Q511" s="633"/>
      <c r="R511" s="634"/>
      <c r="S511" s="634"/>
      <c r="T511" s="634"/>
      <c r="U511" s="634"/>
    </row>
    <row r="512" spans="1:21" ht="19.5" x14ac:dyDescent="0.3">
      <c r="A512" s="635"/>
      <c r="B512" s="636" t="s">
        <v>208</v>
      </c>
      <c r="C512" s="637"/>
      <c r="D512" s="638"/>
      <c r="E512" s="638"/>
      <c r="F512" s="638"/>
      <c r="G512" s="639"/>
      <c r="H512" s="640" t="s">
        <v>61</v>
      </c>
      <c r="I512" s="641">
        <f t="shared" ref="I512:J512" si="353">I524</f>
        <v>0</v>
      </c>
      <c r="J512" s="641">
        <f t="shared" si="353"/>
        <v>0</v>
      </c>
      <c r="K512" s="642">
        <f>IF(I512&gt;0,J512*100/I512,0)</f>
        <v>0</v>
      </c>
      <c r="L512" s="643"/>
      <c r="M512" s="643"/>
      <c r="N512" s="643"/>
      <c r="O512" s="643"/>
      <c r="P512" s="643"/>
      <c r="Q512" s="644"/>
      <c r="R512" s="645"/>
      <c r="S512" s="645"/>
      <c r="T512" s="645"/>
      <c r="U512" s="645"/>
    </row>
    <row r="513" spans="1:21" ht="19.5" x14ac:dyDescent="0.3">
      <c r="A513" s="211"/>
      <c r="B513" s="70"/>
      <c r="C513" s="212" t="s">
        <v>18</v>
      </c>
      <c r="D513" s="213" t="s">
        <v>19</v>
      </c>
      <c r="E513" s="70"/>
      <c r="F513" s="70"/>
      <c r="G513" s="72"/>
      <c r="H513" s="214" t="s">
        <v>14</v>
      </c>
      <c r="I513" s="74"/>
      <c r="J513" s="74"/>
      <c r="K513" s="75"/>
      <c r="L513" s="215">
        <f t="shared" ref="L513:N513" ca="1" si="354">L514+L515</f>
        <v>0</v>
      </c>
      <c r="M513" s="215">
        <f t="shared" ca="1" si="354"/>
        <v>0</v>
      </c>
      <c r="N513" s="215">
        <f t="shared" ca="1" si="354"/>
        <v>0</v>
      </c>
      <c r="O513" s="215">
        <f t="shared" ref="O513:O521" ca="1" si="355">IF(L513&gt;0,N513*100/L513,0)</f>
        <v>0</v>
      </c>
      <c r="P513" s="215">
        <f t="shared" ref="P513:P521" ca="1" si="356">IF(M513&gt;0,N513*100/M513,0)</f>
        <v>0</v>
      </c>
      <c r="Q513" s="216">
        <f t="shared" ref="Q513:S513" ca="1" si="357">Q514+Q515</f>
        <v>0</v>
      </c>
      <c r="R513" s="217">
        <f t="shared" ca="1" si="357"/>
        <v>0</v>
      </c>
      <c r="S513" s="217">
        <f t="shared" ca="1" si="357"/>
        <v>0</v>
      </c>
      <c r="T513" s="217">
        <f t="shared" ref="T513:T521" ca="1" si="358">IF(Q513&gt;0,S513*100/Q513,0)</f>
        <v>0</v>
      </c>
      <c r="U513" s="217">
        <f t="shared" ref="U513:U521" ca="1" si="359">IF(R513&gt;0,S513*100/R513,0)</f>
        <v>0</v>
      </c>
    </row>
    <row r="514" spans="1:21" ht="18.75" x14ac:dyDescent="0.25">
      <c r="A514" s="211"/>
      <c r="B514" s="70"/>
      <c r="C514" s="70"/>
      <c r="D514" s="70"/>
      <c r="E514" s="78" t="s">
        <v>20</v>
      </c>
      <c r="F514" s="70"/>
      <c r="G514" s="72"/>
      <c r="H514" s="218" t="s">
        <v>14</v>
      </c>
      <c r="I514" s="74"/>
      <c r="J514" s="74"/>
      <c r="K514" s="75"/>
      <c r="L514" s="91">
        <f t="shared" ref="L514:N514" ca="1" si="360">L517+L520</f>
        <v>0</v>
      </c>
      <c r="M514" s="91">
        <f t="shared" ca="1" si="360"/>
        <v>0</v>
      </c>
      <c r="N514" s="91">
        <f t="shared" ca="1" si="360"/>
        <v>0</v>
      </c>
      <c r="O514" s="91">
        <f t="shared" ca="1" si="355"/>
        <v>0</v>
      </c>
      <c r="P514" s="91">
        <f t="shared" ca="1" si="356"/>
        <v>0</v>
      </c>
      <c r="Q514" s="219">
        <f t="shared" ref="Q514:S514" ca="1" si="361">Q517+Q520</f>
        <v>0</v>
      </c>
      <c r="R514" s="136">
        <f t="shared" ca="1" si="361"/>
        <v>0</v>
      </c>
      <c r="S514" s="136">
        <f t="shared" ca="1" si="361"/>
        <v>0</v>
      </c>
      <c r="T514" s="136">
        <f t="shared" ca="1" si="358"/>
        <v>0</v>
      </c>
      <c r="U514" s="136">
        <f t="shared" ca="1" si="359"/>
        <v>0</v>
      </c>
    </row>
    <row r="515" spans="1:21" ht="18.75" x14ac:dyDescent="0.25">
      <c r="A515" s="211"/>
      <c r="B515" s="70"/>
      <c r="C515" s="70"/>
      <c r="D515" s="70"/>
      <c r="E515" s="78" t="s">
        <v>21</v>
      </c>
      <c r="F515" s="70"/>
      <c r="G515" s="72"/>
      <c r="H515" s="218" t="s">
        <v>14</v>
      </c>
      <c r="I515" s="74"/>
      <c r="J515" s="74"/>
      <c r="K515" s="75"/>
      <c r="L515" s="91">
        <f t="shared" ref="L515:N515" ca="1" si="362">L518+L521</f>
        <v>0</v>
      </c>
      <c r="M515" s="91">
        <f t="shared" ca="1" si="362"/>
        <v>0</v>
      </c>
      <c r="N515" s="91">
        <f t="shared" ca="1" si="362"/>
        <v>0</v>
      </c>
      <c r="O515" s="91">
        <f t="shared" ca="1" si="355"/>
        <v>0</v>
      </c>
      <c r="P515" s="91">
        <f t="shared" ca="1" si="356"/>
        <v>0</v>
      </c>
      <c r="Q515" s="134">
        <f t="shared" ref="Q515:S515" ca="1" si="363">Q518+Q521</f>
        <v>0</v>
      </c>
      <c r="R515" s="135">
        <f t="shared" ca="1" si="363"/>
        <v>0</v>
      </c>
      <c r="S515" s="135">
        <f t="shared" ca="1" si="363"/>
        <v>0</v>
      </c>
      <c r="T515" s="135">
        <f t="shared" ca="1" si="358"/>
        <v>0</v>
      </c>
      <c r="U515" s="135">
        <f t="shared" ca="1" si="359"/>
        <v>0</v>
      </c>
    </row>
    <row r="516" spans="1:21" ht="18.75" x14ac:dyDescent="0.25">
      <c r="A516" s="211"/>
      <c r="B516" s="70"/>
      <c r="C516" s="70"/>
      <c r="D516" s="71" t="s">
        <v>22</v>
      </c>
      <c r="E516" s="70"/>
      <c r="F516" s="70"/>
      <c r="G516" s="72"/>
      <c r="H516" s="220" t="s">
        <v>14</v>
      </c>
      <c r="I516" s="221"/>
      <c r="J516" s="221"/>
      <c r="K516" s="222"/>
      <c r="L516" s="91">
        <f t="shared" ref="L516:N516" ca="1" si="364">L517+L518</f>
        <v>0</v>
      </c>
      <c r="M516" s="91">
        <f t="shared" ca="1" si="364"/>
        <v>0</v>
      </c>
      <c r="N516" s="91">
        <f t="shared" ca="1" si="364"/>
        <v>0</v>
      </c>
      <c r="O516" s="91">
        <f t="shared" ca="1" si="355"/>
        <v>0</v>
      </c>
      <c r="P516" s="91">
        <f t="shared" ca="1" si="356"/>
        <v>0</v>
      </c>
      <c r="Q516" s="134">
        <f t="shared" ref="Q516:S516" ca="1" si="365">Q517+Q518</f>
        <v>0</v>
      </c>
      <c r="R516" s="135">
        <f t="shared" ca="1" si="365"/>
        <v>0</v>
      </c>
      <c r="S516" s="135">
        <f t="shared" ca="1" si="365"/>
        <v>0</v>
      </c>
      <c r="T516" s="135">
        <f t="shared" ca="1" si="358"/>
        <v>0</v>
      </c>
      <c r="U516" s="135">
        <f t="shared" ca="1" si="359"/>
        <v>0</v>
      </c>
    </row>
    <row r="517" spans="1:21" ht="18.75" x14ac:dyDescent="0.25">
      <c r="A517" s="211"/>
      <c r="B517" s="70"/>
      <c r="C517" s="70"/>
      <c r="D517" s="70"/>
      <c r="E517" s="78" t="s">
        <v>36</v>
      </c>
      <c r="F517" s="70"/>
      <c r="G517" s="72"/>
      <c r="H517" s="220" t="s">
        <v>14</v>
      </c>
      <c r="I517" s="221"/>
      <c r="J517" s="221"/>
      <c r="K517" s="222"/>
      <c r="L517" s="91">
        <f ca="1">IFERROR(__xludf.DUMMYFUNCTION("IMPORTRANGE(""https://docs.google.com/spreadsheets/d/13wPX838HrBrQMCywv1BsuMkt4PEKTChp52zj44s2izQ/edit?usp=sharing"",""กาญจนบุรี!L517"")+IMPORTRANGE(""https://docs.google.com/spreadsheets/d/1ddFKvqj1W1NEiWytbGlB1zMx_ykJDVtmfEQ-6-lIUBA/edit?usp=sharing"","&amp;"""จันทบุรี!L517"")+IMPORTRANGE(""https://docs.google.com/spreadsheets/d/1T1PQvRODqOBZk8BRht_U031fIS1beLA0Ub2CEytj2q0/edit?usp=sharing"",""ฉะเชิงเทรา!L517"")+IMPORTRANGE(""https://docs.google.com/spreadsheets/d/11tr1B-Bhyr79v2bkwVh5h_fR-PStkgjlZtkrZpYurG0/"&amp;"edit?usp=sharing"",""ชลบุรี!L517"")+IMPORTRANGE(""https://docs.google.com/spreadsheets/d/1hh-FVnSX0vozXhGluamEcS54Dw9_zqW0N7qJUWgJ0Sw/edit?usp=sharing"",""ชัยนาท!L517"")+IMPORTRANGE(""https://docs.google.com/spreadsheets/d/1jkqa6GXxSacMcY1eN8AHjMNJ_7dDXMJ"&amp;"VRLDlaFSOdPM/edit?usp=sharing"",""ตราด!L517"")+IMPORTRANGE(""https://docs.google.com/spreadsheets/d/18hSgUJ3VwClqi_qtULmmW3cLr0oe3OKaSYoKzdpTsYQ/edit?usp=sharing"",""นครนายก!L517"")+IMPORTRANGE(""https://docs.google.com/spreadsheets/d/1YTZo6WM2dQ6Ix6FSdnL"&amp;"5P7uVnVKu40sxZu975tgG10E/edit?usp=sharing"",""นครปฐม!L517"")+IMPORTRANGE(""https://docs.google.com/spreadsheets/d/1OYoGg4WDg5RIzwGeB10padOxJF9E_Vljuvvct_M7RDo/edit?usp=sharing"",""ปทุมธานี!L517"")+IMPORTRANGE(""https://docs.google.com/spreadsheets/d/1GbCI"&amp;"E4D4wk9FUozzqk7SxfDMxDVBwVmI5zcaVUSzKAc/edit?usp=sharing"",""ประจวบคีรีขันธ์!L517"")+IMPORTRANGE(""https://docs.google.com/spreadsheets/d/1vVf6wykvW_lAyu7Yo9L4hUTqHqIeP_qcVuxCtosJEbg/edit?usp=sharing"",""ปราจีนบุรี!L517"")+IMPORTRANGE(""https://docs.googl"&amp;"e.com/spreadsheets/d/1BIDqLLg5jk3v59G8NlR8rk5xfQDKne0sAvZHSj7TI6I/edit?usp=sharing"",""พระนครศรีอยุธยา!L517"")+IMPORTRANGE(""https://docs.google.com/spreadsheets/d/1YXvxf8Yu6_rV4hTBrwMqAcAnv6DfhUxh5emyM3CJp_w/edit?usp=sharing"",""เพชรบุรี!L517"")+IMPORTRA"&amp;"NGE(""https://docs.google.com/spreadsheets/d/19KBlQQs7uwvsao6t2n-KvW3Ax8J8uRRfZPq1zPbXgKc/edit?usp=sharing"",""ระยอง!L517"")+IMPORTRANGE(""https://docs.google.com/spreadsheets/d/1jQ6P4QcrGM89YfqcC_PxOHGCMq5ezhucwJd8ci-NHng/edit?usp=sharing"",""ราชบุรี!L51"&amp;"7"")+IMPORTRANGE(""https://docs.google.com/spreadsheets/d/1lufeA2cfFqM-elVq2hznhDzC6Pr7wkJ9ZG_sYNGCMCU/edit?usp=sharing"",""ลพบุรี!L517"")+IMPORTRANGE(""https://docs.google.com/spreadsheets/d/10oOiF7loTyfsTkbd4MpaIm0HQ9SwB7IYHdIUvt-U1Uc/edit?usp=sharing"""&amp;",""สระแก้ว!L517"")+IMPORTRANGE(""https://docs.google.com/spreadsheets/d/1xmPlrr1QbdSIKvl1dWUl9K4PjAfSL9oeMr_37QVzcxc/edit?usp=sharing"",""สระบุรี!L517"")+IMPORTRANGE(""https://docs.google.com/spreadsheets/d/1j51vR6CYVGhABJpv6tkstgok82RLpXieLzW1yOY5rHw/edi"&amp;"t?usp=sharing"",""สิงห์บุรี!L517"")+IMPORTRANGE(""https://docs.google.com/spreadsheets/d/1H1EalTWKUSzO4Z1-1CwzoDUaVffgrThEBe2sl74kKG0/edit?usp=sharing"",""สุพรรณบุรี!L517"")+IMPORTRANGE(""https://docs.google.com/spreadsheets/d/1BmIruG_sIrJLYao_Pdr7zVArWsf"&amp;"oBt2692TMi6x_854/edit?usp=sharing"",""อ่างทอง!L517"")"),0)</f>
        <v>0</v>
      </c>
      <c r="M517" s="91">
        <f ca="1">IFERROR(__xludf.DUMMYFUNCTION("IMPORTRANGE(""https://docs.google.com/spreadsheets/d/13wPX838HrBrQMCywv1BsuMkt4PEKTChp52zj44s2izQ/edit?usp=sharing"",""กาญจนบุรี!M517"")+IMPORTRANGE(""https://docs.google.com/spreadsheets/d/1ddFKvqj1W1NEiWytbGlB1zMx_ykJDVtmfEQ-6-lIUBA/edit?usp=sharing"","&amp;"""จันทบุรี!M517"")+IMPORTRANGE(""https://docs.google.com/spreadsheets/d/1T1PQvRODqOBZk8BRht_U031fIS1beLA0Ub2CEytj2q0/edit?usp=sharing"",""ฉะเชิงเทรา!M517"")+IMPORTRANGE(""https://docs.google.com/spreadsheets/d/11tr1B-Bhyr79v2bkwVh5h_fR-PStkgjlZtkrZpYurG0/"&amp;"edit?usp=sharing"",""ชลบุรี!M517"")+IMPORTRANGE(""https://docs.google.com/spreadsheets/d/1hh-FVnSX0vozXhGluamEcS54Dw9_zqW0N7qJUWgJ0Sw/edit?usp=sharing"",""ชัยนาท!M517"")+IMPORTRANGE(""https://docs.google.com/spreadsheets/d/1jkqa6GXxSacMcY1eN8AHjMNJ_7dDXMJ"&amp;"VRLDlaFSOdPM/edit?usp=sharing"",""ตราด!M517"")+IMPORTRANGE(""https://docs.google.com/spreadsheets/d/18hSgUJ3VwClqi_qtULmmW3cLr0oe3OKaSYoKzdpTsYQ/edit?usp=sharing"",""นครนายก!M517"")+IMPORTRANGE(""https://docs.google.com/spreadsheets/d/1YTZo6WM2dQ6Ix6FSdnL"&amp;"5P7uVnVKu40sxZu975tgG10E/edit?usp=sharing"",""นครปฐม!M517"")+IMPORTRANGE(""https://docs.google.com/spreadsheets/d/1OYoGg4WDg5RIzwGeB10padOxJF9E_Vljuvvct_M7RDo/edit?usp=sharing"",""ปทุมธานี!M517"")+IMPORTRANGE(""https://docs.google.com/spreadsheets/d/1GbCI"&amp;"E4D4wk9FUozzqk7SxfDMxDVBwVmI5zcaVUSzKAc/edit?usp=sharing"",""ประจวบคีรีขันธ์!M517"")+IMPORTRANGE(""https://docs.google.com/spreadsheets/d/1vVf6wykvW_lAyu7Yo9L4hUTqHqIeP_qcVuxCtosJEbg/edit?usp=sharing"",""ปราจีนบุรี!M517"")+IMPORTRANGE(""https://docs.googl"&amp;"e.com/spreadsheets/d/1BIDqLLg5jk3v59G8NlR8rk5xfQDKne0sAvZHSj7TI6I/edit?usp=sharing"",""พระนครศรีอยุธยา!M517"")+IMPORTRANGE(""https://docs.google.com/spreadsheets/d/1YXvxf8Yu6_rV4hTBrwMqAcAnv6DfhUxh5emyM3CJp_w/edit?usp=sharing"",""เพชรบุรี!M517"")+IMPORTRA"&amp;"NGE(""https://docs.google.com/spreadsheets/d/19KBlQQs7uwvsao6t2n-KvW3Ax8J8uRRfZPq1zPbXgKc/edit?usp=sharing"",""ระยอง!M517"")+IMPORTRANGE(""https://docs.google.com/spreadsheets/d/1jQ6P4QcrGM89YfqcC_PxOHGCMq5ezhucwJd8ci-NHng/edit?usp=sharing"",""ราชบุรี!M51"&amp;"7"")+IMPORTRANGE(""https://docs.google.com/spreadsheets/d/1lufeA2cfFqM-elVq2hznhDzC6Pr7wkJ9ZG_sYNGCMCU/edit?usp=sharing"",""ลพบุรี!M517"")+IMPORTRANGE(""https://docs.google.com/spreadsheets/d/10oOiF7loTyfsTkbd4MpaIm0HQ9SwB7IYHdIUvt-U1Uc/edit?usp=sharing"""&amp;",""สระแก้ว!M517"")+IMPORTRANGE(""https://docs.google.com/spreadsheets/d/1xmPlrr1QbdSIKvl1dWUl9K4PjAfSL9oeMr_37QVzcxc/edit?usp=sharing"",""สระบุรี!M517"")+IMPORTRANGE(""https://docs.google.com/spreadsheets/d/1j51vR6CYVGhABJpv6tkstgok82RLpXieLzW1yOY5rHw/edi"&amp;"t?usp=sharing"",""สิงห์บุรี!M517"")+IMPORTRANGE(""https://docs.google.com/spreadsheets/d/1H1EalTWKUSzO4Z1-1CwzoDUaVffgrThEBe2sl74kKG0/edit?usp=sharing"",""สุพรรณบุรี!M517"")+IMPORTRANGE(""https://docs.google.com/spreadsheets/d/1BmIruG_sIrJLYao_Pdr7zVArWsf"&amp;"oBt2692TMi6x_854/edit?usp=sharing"",""อ่างทอง!M517"")"),0)</f>
        <v>0</v>
      </c>
      <c r="N517" s="91">
        <f ca="1">IFERROR(__xludf.DUMMYFUNCTION("IMPORTRANGE(""https://docs.google.com/spreadsheets/d/13wPX838HrBrQMCywv1BsuMkt4PEKTChp52zj44s2izQ/edit?usp=sharing"",""กาญจนบุรี!N517"")+IMPORTRANGE(""https://docs.google.com/spreadsheets/d/1ddFKvqj1W1NEiWytbGlB1zMx_ykJDVtmfEQ-6-lIUBA/edit?usp=sharing"","&amp;"""จันทบุรี!N517"")+IMPORTRANGE(""https://docs.google.com/spreadsheets/d/1T1PQvRODqOBZk8BRht_U031fIS1beLA0Ub2CEytj2q0/edit?usp=sharing"",""ฉะเชิงเทรา!N517"")+IMPORTRANGE(""https://docs.google.com/spreadsheets/d/11tr1B-Bhyr79v2bkwVh5h_fR-PStkgjlZtkrZpYurG0/"&amp;"edit?usp=sharing"",""ชลบุรี!N517"")+IMPORTRANGE(""https://docs.google.com/spreadsheets/d/1hh-FVnSX0vozXhGluamEcS54Dw9_zqW0N7qJUWgJ0Sw/edit?usp=sharing"",""ชัยนาท!N517"")+IMPORTRANGE(""https://docs.google.com/spreadsheets/d/1jkqa6GXxSacMcY1eN8AHjMNJ_7dDXMJ"&amp;"VRLDlaFSOdPM/edit?usp=sharing"",""ตราด!N517"")+IMPORTRANGE(""https://docs.google.com/spreadsheets/d/18hSgUJ3VwClqi_qtULmmW3cLr0oe3OKaSYoKzdpTsYQ/edit?usp=sharing"",""นครนายก!N517"")+IMPORTRANGE(""https://docs.google.com/spreadsheets/d/1YTZo6WM2dQ6Ix6FSdnL"&amp;"5P7uVnVKu40sxZu975tgG10E/edit?usp=sharing"",""นครปฐม!N517"")+IMPORTRANGE(""https://docs.google.com/spreadsheets/d/1OYoGg4WDg5RIzwGeB10padOxJF9E_Vljuvvct_M7RDo/edit?usp=sharing"",""ปทุมธานี!N517"")+IMPORTRANGE(""https://docs.google.com/spreadsheets/d/1GbCI"&amp;"E4D4wk9FUozzqk7SxfDMxDVBwVmI5zcaVUSzKAc/edit?usp=sharing"",""ประจวบคีรีขันธ์!N517"")+IMPORTRANGE(""https://docs.google.com/spreadsheets/d/1vVf6wykvW_lAyu7Yo9L4hUTqHqIeP_qcVuxCtosJEbg/edit?usp=sharing"",""ปราจีนบุรี!N517"")+IMPORTRANGE(""https://docs.googl"&amp;"e.com/spreadsheets/d/1BIDqLLg5jk3v59G8NlR8rk5xfQDKne0sAvZHSj7TI6I/edit?usp=sharing"",""พระนครศรีอยุธยา!N517"")+IMPORTRANGE(""https://docs.google.com/spreadsheets/d/1YXvxf8Yu6_rV4hTBrwMqAcAnv6DfhUxh5emyM3CJp_w/edit?usp=sharing"",""เพชรบุรี!N517"")+IMPORTRA"&amp;"NGE(""https://docs.google.com/spreadsheets/d/19KBlQQs7uwvsao6t2n-KvW3Ax8J8uRRfZPq1zPbXgKc/edit?usp=sharing"",""ระยอง!N517"")+IMPORTRANGE(""https://docs.google.com/spreadsheets/d/1jQ6P4QcrGM89YfqcC_PxOHGCMq5ezhucwJd8ci-NHng/edit?usp=sharing"",""ราชบุรี!N51"&amp;"7"")+IMPORTRANGE(""https://docs.google.com/spreadsheets/d/1lufeA2cfFqM-elVq2hznhDzC6Pr7wkJ9ZG_sYNGCMCU/edit?usp=sharing"",""ลพบุรี!N517"")+IMPORTRANGE(""https://docs.google.com/spreadsheets/d/10oOiF7loTyfsTkbd4MpaIm0HQ9SwB7IYHdIUvt-U1Uc/edit?usp=sharing"""&amp;",""สระแก้ว!N517"")+IMPORTRANGE(""https://docs.google.com/spreadsheets/d/1xmPlrr1QbdSIKvl1dWUl9K4PjAfSL9oeMr_37QVzcxc/edit?usp=sharing"",""สระบุรี!N517"")+IMPORTRANGE(""https://docs.google.com/spreadsheets/d/1j51vR6CYVGhABJpv6tkstgok82RLpXieLzW1yOY5rHw/edi"&amp;"t?usp=sharing"",""สิงห์บุรี!N517"")+IMPORTRANGE(""https://docs.google.com/spreadsheets/d/1H1EalTWKUSzO4Z1-1CwzoDUaVffgrThEBe2sl74kKG0/edit?usp=sharing"",""สุพรรณบุรี!N517"")+IMPORTRANGE(""https://docs.google.com/spreadsheets/d/1BmIruG_sIrJLYao_Pdr7zVArWsf"&amp;"oBt2692TMi6x_854/edit?usp=sharing"",""อ่างทอง!N517"")"),0)</f>
        <v>0</v>
      </c>
      <c r="O517" s="91">
        <f t="shared" ca="1" si="355"/>
        <v>0</v>
      </c>
      <c r="P517" s="91">
        <f t="shared" ca="1" si="356"/>
        <v>0</v>
      </c>
      <c r="Q517" s="79">
        <f ca="1">IFERROR(__xludf.DUMMYFUNCTION("IMPORTRANGE(""https://docs.google.com/spreadsheets/d/13wPX838HrBrQMCywv1BsuMkt4PEKTChp52zj44s2izQ/edit?usp=sharing"",""กาญจนบุรี!Q517"")+IMPORTRANGE(""https://docs.google.com/spreadsheets/d/1ddFKvqj1W1NEiWytbGlB1zMx_ykJDVtmfEQ-6-lIUBA/edit?usp=sharing"","&amp;"""จันทบุรี!Q517"")+IMPORTRANGE(""https://docs.google.com/spreadsheets/d/1T1PQvRODqOBZk8BRht_U031fIS1beLA0Ub2CEytj2q0/edit?usp=sharing"",""ฉะเชิงเทรา!Q517"")+IMPORTRANGE(""https://docs.google.com/spreadsheets/d/11tr1B-Bhyr79v2bkwVh5h_fR-PStkgjlZtkrZpYurG0/"&amp;"edit?usp=sharing"",""ชลบุรี!Q517"")+IMPORTRANGE(""https://docs.google.com/spreadsheets/d/1hh-FVnSX0vozXhGluamEcS54Dw9_zqW0N7qJUWgJ0Sw/edit?usp=sharing"",""ชัยนาท!Q517"")+IMPORTRANGE(""https://docs.google.com/spreadsheets/d/1jkqa6GXxSacMcY1eN8AHjMNJ_7dDXMJ"&amp;"VRLDlaFSOdPM/edit?usp=sharing"",""ตราด!Q517"")+IMPORTRANGE(""https://docs.google.com/spreadsheets/d/18hSgUJ3VwClqi_qtULmmW3cLr0oe3OKaSYoKzdpTsYQ/edit?usp=sharing"",""นครนายก!Q517"")+IMPORTRANGE(""https://docs.google.com/spreadsheets/d/1YTZo6WM2dQ6Ix6FSdnL"&amp;"5P7uVnVKu40sxZu975tgG10E/edit?usp=sharing"",""นครปฐม!Q517"")+IMPORTRANGE(""https://docs.google.com/spreadsheets/d/1OYoGg4WDg5RIzwGeB10padOxJF9E_Vljuvvct_M7RDo/edit?usp=sharing"",""ปทุมธานี!Q517"")+IMPORTRANGE(""https://docs.google.com/spreadsheets/d/1GbCI"&amp;"E4D4wk9FUozzqk7SxfDMxDVBwVmI5zcaVUSzKAc/edit?usp=sharing"",""ประจวบคีรีขันธ์!Q517"")+IMPORTRANGE(""https://docs.google.com/spreadsheets/d/1vVf6wykvW_lAyu7Yo9L4hUTqHqIeP_qcVuxCtosJEbg/edit?usp=sharing"",""ปราจีนบุรี!Q517"")+IMPORTRANGE(""https://docs.googl"&amp;"e.com/spreadsheets/d/1BIDqLLg5jk3v59G8NlR8rk5xfQDKne0sAvZHSj7TI6I/edit?usp=sharing"",""พระนครศรีอยุธยา!Q517"")+IMPORTRANGE(""https://docs.google.com/spreadsheets/d/1YXvxf8Yu6_rV4hTBrwMqAcAnv6DfhUxh5emyM3CJp_w/edit?usp=sharing"",""เพชรบุรี!Q517"")+IMPORTRA"&amp;"NGE(""https://docs.google.com/spreadsheets/d/19KBlQQs7uwvsao6t2n-KvW3Ax8J8uRRfZPq1zPbXgKc/edit?usp=sharing"",""ระยอง!Q517"")+IMPORTRANGE(""https://docs.google.com/spreadsheets/d/1jQ6P4QcrGM89YfqcC_PxOHGCMq5ezhucwJd8ci-NHng/edit?usp=sharing"",""ราชบุรี!Q51"&amp;"7"")+IMPORTRANGE(""https://docs.google.com/spreadsheets/d/1lufeA2cfFqM-elVq2hznhDzC6Pr7wkJ9ZG_sYNGCMCU/edit?usp=sharing"",""ลพบุรี!Q517"")+IMPORTRANGE(""https://docs.google.com/spreadsheets/d/10oOiF7loTyfsTkbd4MpaIm0HQ9SwB7IYHdIUvt-U1Uc/edit?usp=sharing"""&amp;",""สระแก้ว!Q517"")+IMPORTRANGE(""https://docs.google.com/spreadsheets/d/1xmPlrr1QbdSIKvl1dWUl9K4PjAfSL9oeMr_37QVzcxc/edit?usp=sharing"",""สระบุรี!Q517"")+IMPORTRANGE(""https://docs.google.com/spreadsheets/d/1j51vR6CYVGhABJpv6tkstgok82RLpXieLzW1yOY5rHw/edi"&amp;"t?usp=sharing"",""สิงห์บุรี!Q517"")+IMPORTRANGE(""https://docs.google.com/spreadsheets/d/1H1EalTWKUSzO4Z1-1CwzoDUaVffgrThEBe2sl74kKG0/edit?usp=sharing"",""สุพรรณบุรี!Q517"")+IMPORTRANGE(""https://docs.google.com/spreadsheets/d/1BmIruG_sIrJLYao_Pdr7zVArWsf"&amp;"oBt2692TMi6x_854/edit?usp=sharing"",""อ่างทอง!Q517"")"),0)</f>
        <v>0</v>
      </c>
      <c r="R517" s="80">
        <f ca="1">IFERROR(__xludf.DUMMYFUNCTION("IMPORTRANGE(""https://docs.google.com/spreadsheets/d/13wPX838HrBrQMCywv1BsuMkt4PEKTChp52zj44s2izQ/edit?usp=sharing"",""กาญจนบุรี!R517"")+IMPORTRANGE(""https://docs.google.com/spreadsheets/d/1ddFKvqj1W1NEiWytbGlB1zMx_ykJDVtmfEQ-6-lIUBA/edit?usp=sharing"","&amp;"""จันทบุรี!R517"")+IMPORTRANGE(""https://docs.google.com/spreadsheets/d/1T1PQvRODqOBZk8BRht_U031fIS1beLA0Ub2CEytj2q0/edit?usp=sharing"",""ฉะเชิงเทรา!R517"")+IMPORTRANGE(""https://docs.google.com/spreadsheets/d/11tr1B-Bhyr79v2bkwVh5h_fR-PStkgjlZtkrZpYurG0/"&amp;"edit?usp=sharing"",""ชลบุรี!R517"")+IMPORTRANGE(""https://docs.google.com/spreadsheets/d/1hh-FVnSX0vozXhGluamEcS54Dw9_zqW0N7qJUWgJ0Sw/edit?usp=sharing"",""ชัยนาท!R517"")+IMPORTRANGE(""https://docs.google.com/spreadsheets/d/1jkqa6GXxSacMcY1eN8AHjMNJ_7dDXMJ"&amp;"VRLDlaFSOdPM/edit?usp=sharing"",""ตราด!R517"")+IMPORTRANGE(""https://docs.google.com/spreadsheets/d/18hSgUJ3VwClqi_qtULmmW3cLr0oe3OKaSYoKzdpTsYQ/edit?usp=sharing"",""นครนายก!R517"")+IMPORTRANGE(""https://docs.google.com/spreadsheets/d/1YTZo6WM2dQ6Ix6FSdnL"&amp;"5P7uVnVKu40sxZu975tgG10E/edit?usp=sharing"",""นครปฐม!R517"")+IMPORTRANGE(""https://docs.google.com/spreadsheets/d/1OYoGg4WDg5RIzwGeB10padOxJF9E_Vljuvvct_M7RDo/edit?usp=sharing"",""ปทุมธานี!R517"")+IMPORTRANGE(""https://docs.google.com/spreadsheets/d/1GbCI"&amp;"E4D4wk9FUozzqk7SxfDMxDVBwVmI5zcaVUSzKAc/edit?usp=sharing"",""ประจวบคีรีขันธ์!R517"")+IMPORTRANGE(""https://docs.google.com/spreadsheets/d/1vVf6wykvW_lAyu7Yo9L4hUTqHqIeP_qcVuxCtosJEbg/edit?usp=sharing"",""ปราจีนบุรี!R517"")+IMPORTRANGE(""https://docs.googl"&amp;"e.com/spreadsheets/d/1BIDqLLg5jk3v59G8NlR8rk5xfQDKne0sAvZHSj7TI6I/edit?usp=sharing"",""พระนครศรีอยุธยา!R517"")+IMPORTRANGE(""https://docs.google.com/spreadsheets/d/1YXvxf8Yu6_rV4hTBrwMqAcAnv6DfhUxh5emyM3CJp_w/edit?usp=sharing"",""เพชรบุรี!R517"")+IMPORTRA"&amp;"NGE(""https://docs.google.com/spreadsheets/d/19KBlQQs7uwvsao6t2n-KvW3Ax8J8uRRfZPq1zPbXgKc/edit?usp=sharing"",""ระยอง!R517"")+IMPORTRANGE(""https://docs.google.com/spreadsheets/d/1jQ6P4QcrGM89YfqcC_PxOHGCMq5ezhucwJd8ci-NHng/edit?usp=sharing"",""ราชบุรี!R51"&amp;"7"")+IMPORTRANGE(""https://docs.google.com/spreadsheets/d/1lufeA2cfFqM-elVq2hznhDzC6Pr7wkJ9ZG_sYNGCMCU/edit?usp=sharing"",""ลพบุรี!R517"")+IMPORTRANGE(""https://docs.google.com/spreadsheets/d/10oOiF7loTyfsTkbd4MpaIm0HQ9SwB7IYHdIUvt-U1Uc/edit?usp=sharing"""&amp;",""สระแก้ว!R517"")+IMPORTRANGE(""https://docs.google.com/spreadsheets/d/1xmPlrr1QbdSIKvl1dWUl9K4PjAfSL9oeMr_37QVzcxc/edit?usp=sharing"",""สระบุรี!R517"")+IMPORTRANGE(""https://docs.google.com/spreadsheets/d/1j51vR6CYVGhABJpv6tkstgok82RLpXieLzW1yOY5rHw/edi"&amp;"t?usp=sharing"",""สิงห์บุรี!R517"")+IMPORTRANGE(""https://docs.google.com/spreadsheets/d/1H1EalTWKUSzO4Z1-1CwzoDUaVffgrThEBe2sl74kKG0/edit?usp=sharing"",""สุพรรณบุรี!R517"")+IMPORTRANGE(""https://docs.google.com/spreadsheets/d/1BmIruG_sIrJLYao_Pdr7zVArWsf"&amp;"oBt2692TMi6x_854/edit?usp=sharing"",""อ่างทอง!R517"")"),0)</f>
        <v>0</v>
      </c>
      <c r="S517" s="80">
        <f ca="1">IFERROR(__xludf.DUMMYFUNCTION("IMPORTRANGE(""https://docs.google.com/spreadsheets/d/13wPX838HrBrQMCywv1BsuMkt4PEKTChp52zj44s2izQ/edit?usp=sharing"",""กาญจนบุรี!S517"")+IMPORTRANGE(""https://docs.google.com/spreadsheets/d/1ddFKvqj1W1NEiWytbGlB1zMx_ykJDVtmfEQ-6-lIUBA/edit?usp=sharing"","&amp;"""จันทบุรี!S517"")+IMPORTRANGE(""https://docs.google.com/spreadsheets/d/1T1PQvRODqOBZk8BRht_U031fIS1beLA0Ub2CEytj2q0/edit?usp=sharing"",""ฉะเชิงเทรา!S517"")+IMPORTRANGE(""https://docs.google.com/spreadsheets/d/11tr1B-Bhyr79v2bkwVh5h_fR-PStkgjlZtkrZpYurG0/"&amp;"edit?usp=sharing"",""ชลบุรี!S517"")+IMPORTRANGE(""https://docs.google.com/spreadsheets/d/1hh-FVnSX0vozXhGluamEcS54Dw9_zqW0N7qJUWgJ0Sw/edit?usp=sharing"",""ชัยนาท!S517"")+IMPORTRANGE(""https://docs.google.com/spreadsheets/d/1jkqa6GXxSacMcY1eN8AHjMNJ_7dDXMJ"&amp;"VRLDlaFSOdPM/edit?usp=sharing"",""ตราด!S517"")+IMPORTRANGE(""https://docs.google.com/spreadsheets/d/18hSgUJ3VwClqi_qtULmmW3cLr0oe3OKaSYoKzdpTsYQ/edit?usp=sharing"",""นครนายก!S517"")+IMPORTRANGE(""https://docs.google.com/spreadsheets/d/1YTZo6WM2dQ6Ix6FSdnL"&amp;"5P7uVnVKu40sxZu975tgG10E/edit?usp=sharing"",""นครปฐม!S517"")+IMPORTRANGE(""https://docs.google.com/spreadsheets/d/1OYoGg4WDg5RIzwGeB10padOxJF9E_Vljuvvct_M7RDo/edit?usp=sharing"",""ปทุมธานี!S517"")+IMPORTRANGE(""https://docs.google.com/spreadsheets/d/1GbCI"&amp;"E4D4wk9FUozzqk7SxfDMxDVBwVmI5zcaVUSzKAc/edit?usp=sharing"",""ประจวบคีรีขันธ์!S517"")+IMPORTRANGE(""https://docs.google.com/spreadsheets/d/1vVf6wykvW_lAyu7Yo9L4hUTqHqIeP_qcVuxCtosJEbg/edit?usp=sharing"",""ปราจีนบุรี!S517"")+IMPORTRANGE(""https://docs.googl"&amp;"e.com/spreadsheets/d/1BIDqLLg5jk3v59G8NlR8rk5xfQDKne0sAvZHSj7TI6I/edit?usp=sharing"",""พระนครศรีอยุธยา!S517"")+IMPORTRANGE(""https://docs.google.com/spreadsheets/d/1YXvxf8Yu6_rV4hTBrwMqAcAnv6DfhUxh5emyM3CJp_w/edit?usp=sharing"",""เพชรบุรี!S517"")+IMPORTRA"&amp;"NGE(""https://docs.google.com/spreadsheets/d/19KBlQQs7uwvsao6t2n-KvW3Ax8J8uRRfZPq1zPbXgKc/edit?usp=sharing"",""ระยอง!S517"")+IMPORTRANGE(""https://docs.google.com/spreadsheets/d/1jQ6P4QcrGM89YfqcC_PxOHGCMq5ezhucwJd8ci-NHng/edit?usp=sharing"",""ราชบุรี!S51"&amp;"7"")+IMPORTRANGE(""https://docs.google.com/spreadsheets/d/1lufeA2cfFqM-elVq2hznhDzC6Pr7wkJ9ZG_sYNGCMCU/edit?usp=sharing"",""ลพบุรี!S517"")+IMPORTRANGE(""https://docs.google.com/spreadsheets/d/10oOiF7loTyfsTkbd4MpaIm0HQ9SwB7IYHdIUvt-U1Uc/edit?usp=sharing"""&amp;",""สระแก้ว!S517"")+IMPORTRANGE(""https://docs.google.com/spreadsheets/d/1xmPlrr1QbdSIKvl1dWUl9K4PjAfSL9oeMr_37QVzcxc/edit?usp=sharing"",""สระบุรี!S517"")+IMPORTRANGE(""https://docs.google.com/spreadsheets/d/1j51vR6CYVGhABJpv6tkstgok82RLpXieLzW1yOY5rHw/edi"&amp;"t?usp=sharing"",""สิงห์บุรี!S517"")+IMPORTRANGE(""https://docs.google.com/spreadsheets/d/1H1EalTWKUSzO4Z1-1CwzoDUaVffgrThEBe2sl74kKG0/edit?usp=sharing"",""สุพรรณบุรี!S517"")+IMPORTRANGE(""https://docs.google.com/spreadsheets/d/1BmIruG_sIrJLYao_Pdr7zVArWsf"&amp;"oBt2692TMi6x_854/edit?usp=sharing"",""อ่างทอง!S517"")"),0)</f>
        <v>0</v>
      </c>
      <c r="T517" s="136">
        <f t="shared" ca="1" si="358"/>
        <v>0</v>
      </c>
      <c r="U517" s="136">
        <f t="shared" ca="1" si="359"/>
        <v>0</v>
      </c>
    </row>
    <row r="518" spans="1:21" ht="18.75" x14ac:dyDescent="0.25">
      <c r="A518" s="211"/>
      <c r="B518" s="70"/>
      <c r="C518" s="70"/>
      <c r="D518" s="70"/>
      <c r="E518" s="78" t="s">
        <v>37</v>
      </c>
      <c r="F518" s="70"/>
      <c r="G518" s="72"/>
      <c r="H518" s="220" t="s">
        <v>14</v>
      </c>
      <c r="I518" s="221"/>
      <c r="J518" s="221"/>
      <c r="K518" s="222"/>
      <c r="L518" s="91">
        <f ca="1">IFERROR(__xludf.DUMMYFUNCTION("IMPORTRANGE(""https://docs.google.com/spreadsheets/d/13wPX838HrBrQMCywv1BsuMkt4PEKTChp52zj44s2izQ/edit?usp=sharing"",""กาญจนบุรี!L518"")+IMPORTRANGE(""https://docs.google.com/spreadsheets/d/1ddFKvqj1W1NEiWytbGlB1zMx_ykJDVtmfEQ-6-lIUBA/edit?usp=sharing"","&amp;"""จันทบุรี!L518"")+IMPORTRANGE(""https://docs.google.com/spreadsheets/d/1T1PQvRODqOBZk8BRht_U031fIS1beLA0Ub2CEytj2q0/edit?usp=sharing"",""ฉะเชิงเทรา!L518"")+IMPORTRANGE(""https://docs.google.com/spreadsheets/d/11tr1B-Bhyr79v2bkwVh5h_fR-PStkgjlZtkrZpYurG0/"&amp;"edit?usp=sharing"",""ชลบุรี!L518"")+IMPORTRANGE(""https://docs.google.com/spreadsheets/d/1hh-FVnSX0vozXhGluamEcS54Dw9_zqW0N7qJUWgJ0Sw/edit?usp=sharing"",""ชัยนาท!L518"")+IMPORTRANGE(""https://docs.google.com/spreadsheets/d/1jkqa6GXxSacMcY1eN8AHjMNJ_7dDXMJ"&amp;"VRLDlaFSOdPM/edit?usp=sharing"",""ตราด!L518"")+IMPORTRANGE(""https://docs.google.com/spreadsheets/d/18hSgUJ3VwClqi_qtULmmW3cLr0oe3OKaSYoKzdpTsYQ/edit?usp=sharing"",""นครนายก!L518"")+IMPORTRANGE(""https://docs.google.com/spreadsheets/d/1YTZo6WM2dQ6Ix6FSdnL"&amp;"5P7uVnVKu40sxZu975tgG10E/edit?usp=sharing"",""นครปฐม!L518"")+IMPORTRANGE(""https://docs.google.com/spreadsheets/d/1OYoGg4WDg5RIzwGeB10padOxJF9E_Vljuvvct_M7RDo/edit?usp=sharing"",""ปทุมธานี!L518"")+IMPORTRANGE(""https://docs.google.com/spreadsheets/d/1GbCI"&amp;"E4D4wk9FUozzqk7SxfDMxDVBwVmI5zcaVUSzKAc/edit?usp=sharing"",""ประจวบคีรีขันธ์!L518"")+IMPORTRANGE(""https://docs.google.com/spreadsheets/d/1vVf6wykvW_lAyu7Yo9L4hUTqHqIeP_qcVuxCtosJEbg/edit?usp=sharing"",""ปราจีนบุรี!L518"")+IMPORTRANGE(""https://docs.googl"&amp;"e.com/spreadsheets/d/1BIDqLLg5jk3v59G8NlR8rk5xfQDKne0sAvZHSj7TI6I/edit?usp=sharing"",""พระนครศรีอยุธยา!L518"")+IMPORTRANGE(""https://docs.google.com/spreadsheets/d/1YXvxf8Yu6_rV4hTBrwMqAcAnv6DfhUxh5emyM3CJp_w/edit?usp=sharing"",""เพชรบุรี!L518"")+IMPORTRA"&amp;"NGE(""https://docs.google.com/spreadsheets/d/19KBlQQs7uwvsao6t2n-KvW3Ax8J8uRRfZPq1zPbXgKc/edit?usp=sharing"",""ระยอง!L518"")+IMPORTRANGE(""https://docs.google.com/spreadsheets/d/1jQ6P4QcrGM89YfqcC_PxOHGCMq5ezhucwJd8ci-NHng/edit?usp=sharing"",""ราชบุรี!L51"&amp;"8"")+IMPORTRANGE(""https://docs.google.com/spreadsheets/d/1lufeA2cfFqM-elVq2hznhDzC6Pr7wkJ9ZG_sYNGCMCU/edit?usp=sharing"",""ลพบุรี!L518"")+IMPORTRANGE(""https://docs.google.com/spreadsheets/d/10oOiF7loTyfsTkbd4MpaIm0HQ9SwB7IYHdIUvt-U1Uc/edit?usp=sharing"""&amp;",""สระแก้ว!L518"")+IMPORTRANGE(""https://docs.google.com/spreadsheets/d/1xmPlrr1QbdSIKvl1dWUl9K4PjAfSL9oeMr_37QVzcxc/edit?usp=sharing"",""สระบุรี!L518"")+IMPORTRANGE(""https://docs.google.com/spreadsheets/d/1j51vR6CYVGhABJpv6tkstgok82RLpXieLzW1yOY5rHw/edi"&amp;"t?usp=sharing"",""สิงห์บุรี!L518"")+IMPORTRANGE(""https://docs.google.com/spreadsheets/d/1H1EalTWKUSzO4Z1-1CwzoDUaVffgrThEBe2sl74kKG0/edit?usp=sharing"",""สุพรรณบุรี!L518"")+IMPORTRANGE(""https://docs.google.com/spreadsheets/d/1BmIruG_sIrJLYao_Pdr7zVArWsf"&amp;"oBt2692TMi6x_854/edit?usp=sharing"",""อ่างทอง!L518"")"),0)</f>
        <v>0</v>
      </c>
      <c r="M518" s="91">
        <f ca="1">IFERROR(__xludf.DUMMYFUNCTION("IMPORTRANGE(""https://docs.google.com/spreadsheets/d/13wPX838HrBrQMCywv1BsuMkt4PEKTChp52zj44s2izQ/edit?usp=sharing"",""กาญจนบุรี!M518"")+IMPORTRANGE(""https://docs.google.com/spreadsheets/d/1ddFKvqj1W1NEiWytbGlB1zMx_ykJDVtmfEQ-6-lIUBA/edit?usp=sharing"","&amp;"""จันทบุรี!M518"")+IMPORTRANGE(""https://docs.google.com/spreadsheets/d/1T1PQvRODqOBZk8BRht_U031fIS1beLA0Ub2CEytj2q0/edit?usp=sharing"",""ฉะเชิงเทรา!M518"")+IMPORTRANGE(""https://docs.google.com/spreadsheets/d/11tr1B-Bhyr79v2bkwVh5h_fR-PStkgjlZtkrZpYurG0/"&amp;"edit?usp=sharing"",""ชลบุรี!M518"")+IMPORTRANGE(""https://docs.google.com/spreadsheets/d/1hh-FVnSX0vozXhGluamEcS54Dw9_zqW0N7qJUWgJ0Sw/edit?usp=sharing"",""ชัยนาท!M518"")+IMPORTRANGE(""https://docs.google.com/spreadsheets/d/1jkqa6GXxSacMcY1eN8AHjMNJ_7dDXMJ"&amp;"VRLDlaFSOdPM/edit?usp=sharing"",""ตราด!M518"")+IMPORTRANGE(""https://docs.google.com/spreadsheets/d/18hSgUJ3VwClqi_qtULmmW3cLr0oe3OKaSYoKzdpTsYQ/edit?usp=sharing"",""นครนายก!M518"")+IMPORTRANGE(""https://docs.google.com/spreadsheets/d/1YTZo6WM2dQ6Ix6FSdnL"&amp;"5P7uVnVKu40sxZu975tgG10E/edit?usp=sharing"",""นครปฐม!M518"")+IMPORTRANGE(""https://docs.google.com/spreadsheets/d/1OYoGg4WDg5RIzwGeB10padOxJF9E_Vljuvvct_M7RDo/edit?usp=sharing"",""ปทุมธานี!M518"")+IMPORTRANGE(""https://docs.google.com/spreadsheets/d/1GbCI"&amp;"E4D4wk9FUozzqk7SxfDMxDVBwVmI5zcaVUSzKAc/edit?usp=sharing"",""ประจวบคีรีขันธ์!M518"")+IMPORTRANGE(""https://docs.google.com/spreadsheets/d/1vVf6wykvW_lAyu7Yo9L4hUTqHqIeP_qcVuxCtosJEbg/edit?usp=sharing"",""ปราจีนบุรี!M518"")+IMPORTRANGE(""https://docs.googl"&amp;"e.com/spreadsheets/d/1BIDqLLg5jk3v59G8NlR8rk5xfQDKne0sAvZHSj7TI6I/edit?usp=sharing"",""พระนครศรีอยุธยา!M518"")+IMPORTRANGE(""https://docs.google.com/spreadsheets/d/1YXvxf8Yu6_rV4hTBrwMqAcAnv6DfhUxh5emyM3CJp_w/edit?usp=sharing"",""เพชรบุรี!M518"")+IMPORTRA"&amp;"NGE(""https://docs.google.com/spreadsheets/d/19KBlQQs7uwvsao6t2n-KvW3Ax8J8uRRfZPq1zPbXgKc/edit?usp=sharing"",""ระยอง!M518"")+IMPORTRANGE(""https://docs.google.com/spreadsheets/d/1jQ6P4QcrGM89YfqcC_PxOHGCMq5ezhucwJd8ci-NHng/edit?usp=sharing"",""ราชบุรี!M51"&amp;"8"")+IMPORTRANGE(""https://docs.google.com/spreadsheets/d/1lufeA2cfFqM-elVq2hznhDzC6Pr7wkJ9ZG_sYNGCMCU/edit?usp=sharing"",""ลพบุรี!M518"")+IMPORTRANGE(""https://docs.google.com/spreadsheets/d/10oOiF7loTyfsTkbd4MpaIm0HQ9SwB7IYHdIUvt-U1Uc/edit?usp=sharing"""&amp;",""สระแก้ว!M518"")+IMPORTRANGE(""https://docs.google.com/spreadsheets/d/1xmPlrr1QbdSIKvl1dWUl9K4PjAfSL9oeMr_37QVzcxc/edit?usp=sharing"",""สระบุรี!M518"")+IMPORTRANGE(""https://docs.google.com/spreadsheets/d/1j51vR6CYVGhABJpv6tkstgok82RLpXieLzW1yOY5rHw/edi"&amp;"t?usp=sharing"",""สิงห์บุรี!M518"")+IMPORTRANGE(""https://docs.google.com/spreadsheets/d/1H1EalTWKUSzO4Z1-1CwzoDUaVffgrThEBe2sl74kKG0/edit?usp=sharing"",""สุพรรณบุรี!M518"")+IMPORTRANGE(""https://docs.google.com/spreadsheets/d/1BmIruG_sIrJLYao_Pdr7zVArWsf"&amp;"oBt2692TMi6x_854/edit?usp=sharing"",""อ่างทอง!M518"")"),0)</f>
        <v>0</v>
      </c>
      <c r="N518" s="91">
        <f ca="1">IFERROR(__xludf.DUMMYFUNCTION("IMPORTRANGE(""https://docs.google.com/spreadsheets/d/13wPX838HrBrQMCywv1BsuMkt4PEKTChp52zj44s2izQ/edit?usp=sharing"",""กาญจนบุรี!N518"")+IMPORTRANGE(""https://docs.google.com/spreadsheets/d/1ddFKvqj1W1NEiWytbGlB1zMx_ykJDVtmfEQ-6-lIUBA/edit?usp=sharing"","&amp;"""จันทบุรี!N518"")+IMPORTRANGE(""https://docs.google.com/spreadsheets/d/1T1PQvRODqOBZk8BRht_U031fIS1beLA0Ub2CEytj2q0/edit?usp=sharing"",""ฉะเชิงเทรา!N518"")+IMPORTRANGE(""https://docs.google.com/spreadsheets/d/11tr1B-Bhyr79v2bkwVh5h_fR-PStkgjlZtkrZpYurG0/"&amp;"edit?usp=sharing"",""ชลบุรี!N518"")+IMPORTRANGE(""https://docs.google.com/spreadsheets/d/1hh-FVnSX0vozXhGluamEcS54Dw9_zqW0N7qJUWgJ0Sw/edit?usp=sharing"",""ชัยนาท!N518"")+IMPORTRANGE(""https://docs.google.com/spreadsheets/d/1jkqa6GXxSacMcY1eN8AHjMNJ_7dDXMJ"&amp;"VRLDlaFSOdPM/edit?usp=sharing"",""ตราด!N518"")+IMPORTRANGE(""https://docs.google.com/spreadsheets/d/18hSgUJ3VwClqi_qtULmmW3cLr0oe3OKaSYoKzdpTsYQ/edit?usp=sharing"",""นครนายก!N518"")+IMPORTRANGE(""https://docs.google.com/spreadsheets/d/1YTZo6WM2dQ6Ix6FSdnL"&amp;"5P7uVnVKu40sxZu975tgG10E/edit?usp=sharing"",""นครปฐม!N518"")+IMPORTRANGE(""https://docs.google.com/spreadsheets/d/1OYoGg4WDg5RIzwGeB10padOxJF9E_Vljuvvct_M7RDo/edit?usp=sharing"",""ปทุมธานี!N518"")+IMPORTRANGE(""https://docs.google.com/spreadsheets/d/1GbCI"&amp;"E4D4wk9FUozzqk7SxfDMxDVBwVmI5zcaVUSzKAc/edit?usp=sharing"",""ประจวบคีรีขันธ์!N518"")+IMPORTRANGE(""https://docs.google.com/spreadsheets/d/1vVf6wykvW_lAyu7Yo9L4hUTqHqIeP_qcVuxCtosJEbg/edit?usp=sharing"",""ปราจีนบุรี!N518"")+IMPORTRANGE(""https://docs.googl"&amp;"e.com/spreadsheets/d/1BIDqLLg5jk3v59G8NlR8rk5xfQDKne0sAvZHSj7TI6I/edit?usp=sharing"",""พระนครศรีอยุธยา!N518"")+IMPORTRANGE(""https://docs.google.com/spreadsheets/d/1YXvxf8Yu6_rV4hTBrwMqAcAnv6DfhUxh5emyM3CJp_w/edit?usp=sharing"",""เพชรบุรี!N518"")+IMPORTRA"&amp;"NGE(""https://docs.google.com/spreadsheets/d/19KBlQQs7uwvsao6t2n-KvW3Ax8J8uRRfZPq1zPbXgKc/edit?usp=sharing"",""ระยอง!N518"")+IMPORTRANGE(""https://docs.google.com/spreadsheets/d/1jQ6P4QcrGM89YfqcC_PxOHGCMq5ezhucwJd8ci-NHng/edit?usp=sharing"",""ราชบุรี!N51"&amp;"8"")+IMPORTRANGE(""https://docs.google.com/spreadsheets/d/1lufeA2cfFqM-elVq2hznhDzC6Pr7wkJ9ZG_sYNGCMCU/edit?usp=sharing"",""ลพบุรี!N518"")+IMPORTRANGE(""https://docs.google.com/spreadsheets/d/10oOiF7loTyfsTkbd4MpaIm0HQ9SwB7IYHdIUvt-U1Uc/edit?usp=sharing"""&amp;",""สระแก้ว!N518"")+IMPORTRANGE(""https://docs.google.com/spreadsheets/d/1xmPlrr1QbdSIKvl1dWUl9K4PjAfSL9oeMr_37QVzcxc/edit?usp=sharing"",""สระบุรี!N518"")+IMPORTRANGE(""https://docs.google.com/spreadsheets/d/1j51vR6CYVGhABJpv6tkstgok82RLpXieLzW1yOY5rHw/edi"&amp;"t?usp=sharing"",""สิงห์บุรี!N518"")+IMPORTRANGE(""https://docs.google.com/spreadsheets/d/1H1EalTWKUSzO4Z1-1CwzoDUaVffgrThEBe2sl74kKG0/edit?usp=sharing"",""สุพรรณบุรี!N518"")+IMPORTRANGE(""https://docs.google.com/spreadsheets/d/1BmIruG_sIrJLYao_Pdr7zVArWsf"&amp;"oBt2692TMi6x_854/edit?usp=sharing"",""อ่างทอง!N518"")"),0)</f>
        <v>0</v>
      </c>
      <c r="O518" s="91">
        <f t="shared" ca="1" si="355"/>
        <v>0</v>
      </c>
      <c r="P518" s="91">
        <f t="shared" ca="1" si="356"/>
        <v>0</v>
      </c>
      <c r="Q518" s="76">
        <f ca="1">IFERROR(__xludf.DUMMYFUNCTION("IMPORTRANGE(""https://docs.google.com/spreadsheets/d/13wPX838HrBrQMCywv1BsuMkt4PEKTChp52zj44s2izQ/edit?usp=sharing"",""กาญจนบุรี!Q518"")+IMPORTRANGE(""https://docs.google.com/spreadsheets/d/1ddFKvqj1W1NEiWytbGlB1zMx_ykJDVtmfEQ-6-lIUBA/edit?usp=sharing"","&amp;"""จันทบุรี!Q518"")+IMPORTRANGE(""https://docs.google.com/spreadsheets/d/1T1PQvRODqOBZk8BRht_U031fIS1beLA0Ub2CEytj2q0/edit?usp=sharing"",""ฉะเชิงเทรา!Q518"")+IMPORTRANGE(""https://docs.google.com/spreadsheets/d/11tr1B-Bhyr79v2bkwVh5h_fR-PStkgjlZtkrZpYurG0/"&amp;"edit?usp=sharing"",""ชลบุรี!Q518"")+IMPORTRANGE(""https://docs.google.com/spreadsheets/d/1hh-FVnSX0vozXhGluamEcS54Dw9_zqW0N7qJUWgJ0Sw/edit?usp=sharing"",""ชัยนาท!Q518"")+IMPORTRANGE(""https://docs.google.com/spreadsheets/d/1jkqa6GXxSacMcY1eN8AHjMNJ_7dDXMJ"&amp;"VRLDlaFSOdPM/edit?usp=sharing"",""ตราด!Q518"")+IMPORTRANGE(""https://docs.google.com/spreadsheets/d/18hSgUJ3VwClqi_qtULmmW3cLr0oe3OKaSYoKzdpTsYQ/edit?usp=sharing"",""นครนายก!Q518"")+IMPORTRANGE(""https://docs.google.com/spreadsheets/d/1YTZo6WM2dQ6Ix6FSdnL"&amp;"5P7uVnVKu40sxZu975tgG10E/edit?usp=sharing"",""นครปฐม!Q518"")+IMPORTRANGE(""https://docs.google.com/spreadsheets/d/1OYoGg4WDg5RIzwGeB10padOxJF9E_Vljuvvct_M7RDo/edit?usp=sharing"",""ปทุมธานี!Q518"")+IMPORTRANGE(""https://docs.google.com/spreadsheets/d/1GbCI"&amp;"E4D4wk9FUozzqk7SxfDMxDVBwVmI5zcaVUSzKAc/edit?usp=sharing"",""ประจวบคีรีขันธ์!Q518"")+IMPORTRANGE(""https://docs.google.com/spreadsheets/d/1vVf6wykvW_lAyu7Yo9L4hUTqHqIeP_qcVuxCtosJEbg/edit?usp=sharing"",""ปราจีนบุรี!Q518"")+IMPORTRANGE(""https://docs.googl"&amp;"e.com/spreadsheets/d/1BIDqLLg5jk3v59G8NlR8rk5xfQDKne0sAvZHSj7TI6I/edit?usp=sharing"",""พระนครศรีอยุธยา!Q518"")+IMPORTRANGE(""https://docs.google.com/spreadsheets/d/1YXvxf8Yu6_rV4hTBrwMqAcAnv6DfhUxh5emyM3CJp_w/edit?usp=sharing"",""เพชรบุรี!Q518"")+IMPORTRA"&amp;"NGE(""https://docs.google.com/spreadsheets/d/19KBlQQs7uwvsao6t2n-KvW3Ax8J8uRRfZPq1zPbXgKc/edit?usp=sharing"",""ระยอง!Q518"")+IMPORTRANGE(""https://docs.google.com/spreadsheets/d/1jQ6P4QcrGM89YfqcC_PxOHGCMq5ezhucwJd8ci-NHng/edit?usp=sharing"",""ราชบุรี!Q51"&amp;"8"")+IMPORTRANGE(""https://docs.google.com/spreadsheets/d/1lufeA2cfFqM-elVq2hznhDzC6Pr7wkJ9ZG_sYNGCMCU/edit?usp=sharing"",""ลพบุรี!Q518"")+IMPORTRANGE(""https://docs.google.com/spreadsheets/d/10oOiF7loTyfsTkbd4MpaIm0HQ9SwB7IYHdIUvt-U1Uc/edit?usp=sharing"""&amp;",""สระแก้ว!Q518"")+IMPORTRANGE(""https://docs.google.com/spreadsheets/d/1xmPlrr1QbdSIKvl1dWUl9K4PjAfSL9oeMr_37QVzcxc/edit?usp=sharing"",""สระบุรี!Q518"")+IMPORTRANGE(""https://docs.google.com/spreadsheets/d/1j51vR6CYVGhABJpv6tkstgok82RLpXieLzW1yOY5rHw/edi"&amp;"t?usp=sharing"",""สิงห์บุรี!Q518"")+IMPORTRANGE(""https://docs.google.com/spreadsheets/d/1H1EalTWKUSzO4Z1-1CwzoDUaVffgrThEBe2sl74kKG0/edit?usp=sharing"",""สุพรรณบุรี!Q518"")+IMPORTRANGE(""https://docs.google.com/spreadsheets/d/1BmIruG_sIrJLYao_Pdr7zVArWsf"&amp;"oBt2692TMi6x_854/edit?usp=sharing"",""อ่างทอง!Q518"")"),0)</f>
        <v>0</v>
      </c>
      <c r="R518" s="77">
        <f ca="1">IFERROR(__xludf.DUMMYFUNCTION("IMPORTRANGE(""https://docs.google.com/spreadsheets/d/13wPX838HrBrQMCywv1BsuMkt4PEKTChp52zj44s2izQ/edit?usp=sharing"",""กาญจนบุรี!R518"")+IMPORTRANGE(""https://docs.google.com/spreadsheets/d/1ddFKvqj1W1NEiWytbGlB1zMx_ykJDVtmfEQ-6-lIUBA/edit?usp=sharing"","&amp;"""จันทบุรี!R518"")+IMPORTRANGE(""https://docs.google.com/spreadsheets/d/1T1PQvRODqOBZk8BRht_U031fIS1beLA0Ub2CEytj2q0/edit?usp=sharing"",""ฉะเชิงเทรา!R518"")+IMPORTRANGE(""https://docs.google.com/spreadsheets/d/11tr1B-Bhyr79v2bkwVh5h_fR-PStkgjlZtkrZpYurG0/"&amp;"edit?usp=sharing"",""ชลบุรี!R518"")+IMPORTRANGE(""https://docs.google.com/spreadsheets/d/1hh-FVnSX0vozXhGluamEcS54Dw9_zqW0N7qJUWgJ0Sw/edit?usp=sharing"",""ชัยนาท!R518"")+IMPORTRANGE(""https://docs.google.com/spreadsheets/d/1jkqa6GXxSacMcY1eN8AHjMNJ_7dDXMJ"&amp;"VRLDlaFSOdPM/edit?usp=sharing"",""ตราด!R518"")+IMPORTRANGE(""https://docs.google.com/spreadsheets/d/18hSgUJ3VwClqi_qtULmmW3cLr0oe3OKaSYoKzdpTsYQ/edit?usp=sharing"",""นครนายก!R518"")+IMPORTRANGE(""https://docs.google.com/spreadsheets/d/1YTZo6WM2dQ6Ix6FSdnL"&amp;"5P7uVnVKu40sxZu975tgG10E/edit?usp=sharing"",""นครปฐม!R518"")+IMPORTRANGE(""https://docs.google.com/spreadsheets/d/1OYoGg4WDg5RIzwGeB10padOxJF9E_Vljuvvct_M7RDo/edit?usp=sharing"",""ปทุมธานี!R518"")+IMPORTRANGE(""https://docs.google.com/spreadsheets/d/1GbCI"&amp;"E4D4wk9FUozzqk7SxfDMxDVBwVmI5zcaVUSzKAc/edit?usp=sharing"",""ประจวบคีรีขันธ์!R518"")+IMPORTRANGE(""https://docs.google.com/spreadsheets/d/1vVf6wykvW_lAyu7Yo9L4hUTqHqIeP_qcVuxCtosJEbg/edit?usp=sharing"",""ปราจีนบุรี!R518"")+IMPORTRANGE(""https://docs.googl"&amp;"e.com/spreadsheets/d/1BIDqLLg5jk3v59G8NlR8rk5xfQDKne0sAvZHSj7TI6I/edit?usp=sharing"",""พระนครศรีอยุธยา!R518"")+IMPORTRANGE(""https://docs.google.com/spreadsheets/d/1YXvxf8Yu6_rV4hTBrwMqAcAnv6DfhUxh5emyM3CJp_w/edit?usp=sharing"",""เพชรบุรี!R518"")+IMPORTRA"&amp;"NGE(""https://docs.google.com/spreadsheets/d/19KBlQQs7uwvsao6t2n-KvW3Ax8J8uRRfZPq1zPbXgKc/edit?usp=sharing"",""ระยอง!R518"")+IMPORTRANGE(""https://docs.google.com/spreadsheets/d/1jQ6P4QcrGM89YfqcC_PxOHGCMq5ezhucwJd8ci-NHng/edit?usp=sharing"",""ราชบุรี!R51"&amp;"8"")+IMPORTRANGE(""https://docs.google.com/spreadsheets/d/1lufeA2cfFqM-elVq2hznhDzC6Pr7wkJ9ZG_sYNGCMCU/edit?usp=sharing"",""ลพบุรี!R518"")+IMPORTRANGE(""https://docs.google.com/spreadsheets/d/10oOiF7loTyfsTkbd4MpaIm0HQ9SwB7IYHdIUvt-U1Uc/edit?usp=sharing"""&amp;",""สระแก้ว!R518"")+IMPORTRANGE(""https://docs.google.com/spreadsheets/d/1xmPlrr1QbdSIKvl1dWUl9K4PjAfSL9oeMr_37QVzcxc/edit?usp=sharing"",""สระบุรี!R518"")+IMPORTRANGE(""https://docs.google.com/spreadsheets/d/1j51vR6CYVGhABJpv6tkstgok82RLpXieLzW1yOY5rHw/edi"&amp;"t?usp=sharing"",""สิงห์บุรี!R518"")+IMPORTRANGE(""https://docs.google.com/spreadsheets/d/1H1EalTWKUSzO4Z1-1CwzoDUaVffgrThEBe2sl74kKG0/edit?usp=sharing"",""สุพรรณบุรี!R518"")+IMPORTRANGE(""https://docs.google.com/spreadsheets/d/1BmIruG_sIrJLYao_Pdr7zVArWsf"&amp;"oBt2692TMi6x_854/edit?usp=sharing"",""อ่างทอง!R518"")"),0)</f>
        <v>0</v>
      </c>
      <c r="S518" s="77">
        <f ca="1">IFERROR(__xludf.DUMMYFUNCTION("IMPORTRANGE(""https://docs.google.com/spreadsheets/d/13wPX838HrBrQMCywv1BsuMkt4PEKTChp52zj44s2izQ/edit?usp=sharing"",""กาญจนบุรี!S518"")+IMPORTRANGE(""https://docs.google.com/spreadsheets/d/1ddFKvqj1W1NEiWytbGlB1zMx_ykJDVtmfEQ-6-lIUBA/edit?usp=sharing"","&amp;"""จันทบุรี!S518"")+IMPORTRANGE(""https://docs.google.com/spreadsheets/d/1T1PQvRODqOBZk8BRht_U031fIS1beLA0Ub2CEytj2q0/edit?usp=sharing"",""ฉะเชิงเทรา!S518"")+IMPORTRANGE(""https://docs.google.com/spreadsheets/d/11tr1B-Bhyr79v2bkwVh5h_fR-PStkgjlZtkrZpYurG0/"&amp;"edit?usp=sharing"",""ชลบุรี!S518"")+IMPORTRANGE(""https://docs.google.com/spreadsheets/d/1hh-FVnSX0vozXhGluamEcS54Dw9_zqW0N7qJUWgJ0Sw/edit?usp=sharing"",""ชัยนาท!S518"")+IMPORTRANGE(""https://docs.google.com/spreadsheets/d/1jkqa6GXxSacMcY1eN8AHjMNJ_7dDXMJ"&amp;"VRLDlaFSOdPM/edit?usp=sharing"",""ตราด!S518"")+IMPORTRANGE(""https://docs.google.com/spreadsheets/d/18hSgUJ3VwClqi_qtULmmW3cLr0oe3OKaSYoKzdpTsYQ/edit?usp=sharing"",""นครนายก!S518"")+IMPORTRANGE(""https://docs.google.com/spreadsheets/d/1YTZo6WM2dQ6Ix6FSdnL"&amp;"5P7uVnVKu40sxZu975tgG10E/edit?usp=sharing"",""นครปฐม!S518"")+IMPORTRANGE(""https://docs.google.com/spreadsheets/d/1OYoGg4WDg5RIzwGeB10padOxJF9E_Vljuvvct_M7RDo/edit?usp=sharing"",""ปทุมธานี!S518"")+IMPORTRANGE(""https://docs.google.com/spreadsheets/d/1GbCI"&amp;"E4D4wk9FUozzqk7SxfDMxDVBwVmI5zcaVUSzKAc/edit?usp=sharing"",""ประจวบคีรีขันธ์!S518"")+IMPORTRANGE(""https://docs.google.com/spreadsheets/d/1vVf6wykvW_lAyu7Yo9L4hUTqHqIeP_qcVuxCtosJEbg/edit?usp=sharing"",""ปราจีนบุรี!S518"")+IMPORTRANGE(""https://docs.googl"&amp;"e.com/spreadsheets/d/1BIDqLLg5jk3v59G8NlR8rk5xfQDKne0sAvZHSj7TI6I/edit?usp=sharing"",""พระนครศรีอยุธยา!S518"")+IMPORTRANGE(""https://docs.google.com/spreadsheets/d/1YXvxf8Yu6_rV4hTBrwMqAcAnv6DfhUxh5emyM3CJp_w/edit?usp=sharing"",""เพชรบุรี!S518"")+IMPORTRA"&amp;"NGE(""https://docs.google.com/spreadsheets/d/19KBlQQs7uwvsao6t2n-KvW3Ax8J8uRRfZPq1zPbXgKc/edit?usp=sharing"",""ระยอง!S518"")+IMPORTRANGE(""https://docs.google.com/spreadsheets/d/1jQ6P4QcrGM89YfqcC_PxOHGCMq5ezhucwJd8ci-NHng/edit?usp=sharing"",""ราชบุรี!S51"&amp;"8"")+IMPORTRANGE(""https://docs.google.com/spreadsheets/d/1lufeA2cfFqM-elVq2hznhDzC6Pr7wkJ9ZG_sYNGCMCU/edit?usp=sharing"",""ลพบุรี!S518"")+IMPORTRANGE(""https://docs.google.com/spreadsheets/d/10oOiF7loTyfsTkbd4MpaIm0HQ9SwB7IYHdIUvt-U1Uc/edit?usp=sharing"""&amp;",""สระแก้ว!S518"")+IMPORTRANGE(""https://docs.google.com/spreadsheets/d/1xmPlrr1QbdSIKvl1dWUl9K4PjAfSL9oeMr_37QVzcxc/edit?usp=sharing"",""สระบุรี!S518"")+IMPORTRANGE(""https://docs.google.com/spreadsheets/d/1j51vR6CYVGhABJpv6tkstgok82RLpXieLzW1yOY5rHw/edi"&amp;"t?usp=sharing"",""สิงห์บุรี!S518"")+IMPORTRANGE(""https://docs.google.com/spreadsheets/d/1H1EalTWKUSzO4Z1-1CwzoDUaVffgrThEBe2sl74kKG0/edit?usp=sharing"",""สุพรรณบุรี!S518"")+IMPORTRANGE(""https://docs.google.com/spreadsheets/d/1BmIruG_sIrJLYao_Pdr7zVArWsf"&amp;"oBt2692TMi6x_854/edit?usp=sharing"",""อ่างทอง!S518"")"),0)</f>
        <v>0</v>
      </c>
      <c r="T518" s="135">
        <f t="shared" ca="1" si="358"/>
        <v>0</v>
      </c>
      <c r="U518" s="135">
        <f t="shared" ca="1" si="359"/>
        <v>0</v>
      </c>
    </row>
    <row r="519" spans="1:21" ht="18.75" x14ac:dyDescent="0.25">
      <c r="A519" s="211"/>
      <c r="B519" s="70"/>
      <c r="C519" s="70"/>
      <c r="D519" s="71" t="s">
        <v>23</v>
      </c>
      <c r="E519" s="70"/>
      <c r="F519" s="70"/>
      <c r="G519" s="72"/>
      <c r="H519" s="223" t="s">
        <v>14</v>
      </c>
      <c r="I519" s="221"/>
      <c r="J519" s="221"/>
      <c r="K519" s="222"/>
      <c r="L519" s="91">
        <f t="shared" ref="L519:N519" ca="1" si="366">L520+L521</f>
        <v>0</v>
      </c>
      <c r="M519" s="91">
        <f t="shared" ca="1" si="366"/>
        <v>0</v>
      </c>
      <c r="N519" s="91">
        <f t="shared" ca="1" si="366"/>
        <v>0</v>
      </c>
      <c r="O519" s="91">
        <f t="shared" ca="1" si="355"/>
        <v>0</v>
      </c>
      <c r="P519" s="91">
        <f t="shared" ca="1" si="356"/>
        <v>0</v>
      </c>
      <c r="Q519" s="134">
        <f t="shared" ref="Q519:S519" ca="1" si="367">Q520+Q521</f>
        <v>0</v>
      </c>
      <c r="R519" s="135">
        <f t="shared" ca="1" si="367"/>
        <v>0</v>
      </c>
      <c r="S519" s="135">
        <f t="shared" ca="1" si="367"/>
        <v>0</v>
      </c>
      <c r="T519" s="135">
        <f t="shared" ca="1" si="358"/>
        <v>0</v>
      </c>
      <c r="U519" s="135">
        <f t="shared" ca="1" si="359"/>
        <v>0</v>
      </c>
    </row>
    <row r="520" spans="1:21" ht="18.75" x14ac:dyDescent="0.25">
      <c r="A520" s="211"/>
      <c r="B520" s="70"/>
      <c r="C520" s="70"/>
      <c r="D520" s="70"/>
      <c r="E520" s="78" t="s">
        <v>20</v>
      </c>
      <c r="F520" s="70"/>
      <c r="G520" s="72"/>
      <c r="H520" s="220" t="s">
        <v>14</v>
      </c>
      <c r="I520" s="221"/>
      <c r="J520" s="221"/>
      <c r="K520" s="222"/>
      <c r="L520" s="91">
        <f ca="1">IFERROR(__xludf.DUMMYFUNCTION("IMPORTRANGE(""https://docs.google.com/spreadsheets/d/13wPX838HrBrQMCywv1BsuMkt4PEKTChp52zj44s2izQ/edit?usp=sharing"",""กาญจนบุรี!L520"")+IMPORTRANGE(""https://docs.google.com/spreadsheets/d/1ddFKvqj1W1NEiWytbGlB1zMx_ykJDVtmfEQ-6-lIUBA/edit?usp=sharing"","&amp;"""จันทบุรี!L520"")+IMPORTRANGE(""https://docs.google.com/spreadsheets/d/1T1PQvRODqOBZk8BRht_U031fIS1beLA0Ub2CEytj2q0/edit?usp=sharing"",""ฉะเชิงเทรา!L520"")+IMPORTRANGE(""https://docs.google.com/spreadsheets/d/11tr1B-Bhyr79v2bkwVh5h_fR-PStkgjlZtkrZpYurG0/"&amp;"edit?usp=sharing"",""ชลบุรี!L520"")+IMPORTRANGE(""https://docs.google.com/spreadsheets/d/1hh-FVnSX0vozXhGluamEcS54Dw9_zqW0N7qJUWgJ0Sw/edit?usp=sharing"",""ชัยนาท!L520"")+IMPORTRANGE(""https://docs.google.com/spreadsheets/d/1jkqa6GXxSacMcY1eN8AHjMNJ_7dDXMJ"&amp;"VRLDlaFSOdPM/edit?usp=sharing"",""ตราด!L520"")+IMPORTRANGE(""https://docs.google.com/spreadsheets/d/18hSgUJ3VwClqi_qtULmmW3cLr0oe3OKaSYoKzdpTsYQ/edit?usp=sharing"",""นครนายก!L520"")+IMPORTRANGE(""https://docs.google.com/spreadsheets/d/1YTZo6WM2dQ6Ix6FSdnL"&amp;"5P7uVnVKu40sxZu975tgG10E/edit?usp=sharing"",""นครปฐม!L520"")+IMPORTRANGE(""https://docs.google.com/spreadsheets/d/1OYoGg4WDg5RIzwGeB10padOxJF9E_Vljuvvct_M7RDo/edit?usp=sharing"",""ปทุมธานี!L520"")+IMPORTRANGE(""https://docs.google.com/spreadsheets/d/1GbCI"&amp;"E4D4wk9FUozzqk7SxfDMxDVBwVmI5zcaVUSzKAc/edit?usp=sharing"",""ประจวบคีรีขันธ์!L520"")+IMPORTRANGE(""https://docs.google.com/spreadsheets/d/1vVf6wykvW_lAyu7Yo9L4hUTqHqIeP_qcVuxCtosJEbg/edit?usp=sharing"",""ปราจีนบุรี!L520"")+IMPORTRANGE(""https://docs.googl"&amp;"e.com/spreadsheets/d/1BIDqLLg5jk3v59G8NlR8rk5xfQDKne0sAvZHSj7TI6I/edit?usp=sharing"",""พระนครศรีอยุธยา!L520"")+IMPORTRANGE(""https://docs.google.com/spreadsheets/d/1YXvxf8Yu6_rV4hTBrwMqAcAnv6DfhUxh5emyM3CJp_w/edit?usp=sharing"",""เพชรบุรี!L520"")+IMPORTRA"&amp;"NGE(""https://docs.google.com/spreadsheets/d/19KBlQQs7uwvsao6t2n-KvW3Ax8J8uRRfZPq1zPbXgKc/edit?usp=sharing"",""ระยอง!L520"")+IMPORTRANGE(""https://docs.google.com/spreadsheets/d/1jQ6P4QcrGM89YfqcC_PxOHGCMq5ezhucwJd8ci-NHng/edit?usp=sharing"",""ราชบุรี!L52"&amp;"0"")+IMPORTRANGE(""https://docs.google.com/spreadsheets/d/1lufeA2cfFqM-elVq2hznhDzC6Pr7wkJ9ZG_sYNGCMCU/edit?usp=sharing"",""ลพบุรี!L520"")+IMPORTRANGE(""https://docs.google.com/spreadsheets/d/10oOiF7loTyfsTkbd4MpaIm0HQ9SwB7IYHdIUvt-U1Uc/edit?usp=sharing"""&amp;",""สระแก้ว!L520"")+IMPORTRANGE(""https://docs.google.com/spreadsheets/d/1xmPlrr1QbdSIKvl1dWUl9K4PjAfSL9oeMr_37QVzcxc/edit?usp=sharing"",""สระบุรี!L520"")+IMPORTRANGE(""https://docs.google.com/spreadsheets/d/1j51vR6CYVGhABJpv6tkstgok82RLpXieLzW1yOY5rHw/edi"&amp;"t?usp=sharing"",""สิงห์บุรี!L520"")+IMPORTRANGE(""https://docs.google.com/spreadsheets/d/1H1EalTWKUSzO4Z1-1CwzoDUaVffgrThEBe2sl74kKG0/edit?usp=sharing"",""สุพรรณบุรี!L520"")+IMPORTRANGE(""https://docs.google.com/spreadsheets/d/1BmIruG_sIrJLYao_Pdr7zVArWsf"&amp;"oBt2692TMi6x_854/edit?usp=sharing"",""อ่างทอง!L520"")"),0)</f>
        <v>0</v>
      </c>
      <c r="M520" s="91">
        <f ca="1">IFERROR(__xludf.DUMMYFUNCTION("IMPORTRANGE(""https://docs.google.com/spreadsheets/d/13wPX838HrBrQMCywv1BsuMkt4PEKTChp52zj44s2izQ/edit?usp=sharing"",""กาญจนบุรี!M520"")+IMPORTRANGE(""https://docs.google.com/spreadsheets/d/1ddFKvqj1W1NEiWytbGlB1zMx_ykJDVtmfEQ-6-lIUBA/edit?usp=sharing"","&amp;"""จันทบุรี!M520"")+IMPORTRANGE(""https://docs.google.com/spreadsheets/d/1T1PQvRODqOBZk8BRht_U031fIS1beLA0Ub2CEytj2q0/edit?usp=sharing"",""ฉะเชิงเทรา!M520"")+IMPORTRANGE(""https://docs.google.com/spreadsheets/d/11tr1B-Bhyr79v2bkwVh5h_fR-PStkgjlZtkrZpYurG0/"&amp;"edit?usp=sharing"",""ชลบุรี!M520"")+IMPORTRANGE(""https://docs.google.com/spreadsheets/d/1hh-FVnSX0vozXhGluamEcS54Dw9_zqW0N7qJUWgJ0Sw/edit?usp=sharing"",""ชัยนาท!M520"")+IMPORTRANGE(""https://docs.google.com/spreadsheets/d/1jkqa6GXxSacMcY1eN8AHjMNJ_7dDXMJ"&amp;"VRLDlaFSOdPM/edit?usp=sharing"",""ตราด!M520"")+IMPORTRANGE(""https://docs.google.com/spreadsheets/d/18hSgUJ3VwClqi_qtULmmW3cLr0oe3OKaSYoKzdpTsYQ/edit?usp=sharing"",""นครนายก!M520"")+IMPORTRANGE(""https://docs.google.com/spreadsheets/d/1YTZo6WM2dQ6Ix6FSdnL"&amp;"5P7uVnVKu40sxZu975tgG10E/edit?usp=sharing"",""นครปฐม!M520"")+IMPORTRANGE(""https://docs.google.com/spreadsheets/d/1OYoGg4WDg5RIzwGeB10padOxJF9E_Vljuvvct_M7RDo/edit?usp=sharing"",""ปทุมธานี!M520"")+IMPORTRANGE(""https://docs.google.com/spreadsheets/d/1GbCI"&amp;"E4D4wk9FUozzqk7SxfDMxDVBwVmI5zcaVUSzKAc/edit?usp=sharing"",""ประจวบคีรีขันธ์!M520"")+IMPORTRANGE(""https://docs.google.com/spreadsheets/d/1vVf6wykvW_lAyu7Yo9L4hUTqHqIeP_qcVuxCtosJEbg/edit?usp=sharing"",""ปราจีนบุรี!M520"")+IMPORTRANGE(""https://docs.googl"&amp;"e.com/spreadsheets/d/1BIDqLLg5jk3v59G8NlR8rk5xfQDKne0sAvZHSj7TI6I/edit?usp=sharing"",""พระนครศรีอยุธยา!M520"")+IMPORTRANGE(""https://docs.google.com/spreadsheets/d/1YXvxf8Yu6_rV4hTBrwMqAcAnv6DfhUxh5emyM3CJp_w/edit?usp=sharing"",""เพชรบุรี!M520"")+IMPORTRA"&amp;"NGE(""https://docs.google.com/spreadsheets/d/19KBlQQs7uwvsao6t2n-KvW3Ax8J8uRRfZPq1zPbXgKc/edit?usp=sharing"",""ระยอง!M520"")+IMPORTRANGE(""https://docs.google.com/spreadsheets/d/1jQ6P4QcrGM89YfqcC_PxOHGCMq5ezhucwJd8ci-NHng/edit?usp=sharing"",""ราชบุรี!M52"&amp;"0"")+IMPORTRANGE(""https://docs.google.com/spreadsheets/d/1lufeA2cfFqM-elVq2hznhDzC6Pr7wkJ9ZG_sYNGCMCU/edit?usp=sharing"",""ลพบุรี!M520"")+IMPORTRANGE(""https://docs.google.com/spreadsheets/d/10oOiF7loTyfsTkbd4MpaIm0HQ9SwB7IYHdIUvt-U1Uc/edit?usp=sharing"""&amp;",""สระแก้ว!M520"")+IMPORTRANGE(""https://docs.google.com/spreadsheets/d/1xmPlrr1QbdSIKvl1dWUl9K4PjAfSL9oeMr_37QVzcxc/edit?usp=sharing"",""สระบุรี!M520"")+IMPORTRANGE(""https://docs.google.com/spreadsheets/d/1j51vR6CYVGhABJpv6tkstgok82RLpXieLzW1yOY5rHw/edi"&amp;"t?usp=sharing"",""สิงห์บุรี!M520"")+IMPORTRANGE(""https://docs.google.com/spreadsheets/d/1H1EalTWKUSzO4Z1-1CwzoDUaVffgrThEBe2sl74kKG0/edit?usp=sharing"",""สุพรรณบุรี!M520"")+IMPORTRANGE(""https://docs.google.com/spreadsheets/d/1BmIruG_sIrJLYao_Pdr7zVArWsf"&amp;"oBt2692TMi6x_854/edit?usp=sharing"",""อ่างทอง!M520"")"),0)</f>
        <v>0</v>
      </c>
      <c r="N520" s="91">
        <f ca="1">IFERROR(__xludf.DUMMYFUNCTION("IMPORTRANGE(""https://docs.google.com/spreadsheets/d/13wPX838HrBrQMCywv1BsuMkt4PEKTChp52zj44s2izQ/edit?usp=sharing"",""กาญจนบุรี!N520"")+IMPORTRANGE(""https://docs.google.com/spreadsheets/d/1ddFKvqj1W1NEiWytbGlB1zMx_ykJDVtmfEQ-6-lIUBA/edit?usp=sharing"","&amp;"""จันทบุรี!N520"")+IMPORTRANGE(""https://docs.google.com/spreadsheets/d/1T1PQvRODqOBZk8BRht_U031fIS1beLA0Ub2CEytj2q0/edit?usp=sharing"",""ฉะเชิงเทรา!N520"")+IMPORTRANGE(""https://docs.google.com/spreadsheets/d/11tr1B-Bhyr79v2bkwVh5h_fR-PStkgjlZtkrZpYurG0/"&amp;"edit?usp=sharing"",""ชลบุรี!N520"")+IMPORTRANGE(""https://docs.google.com/spreadsheets/d/1hh-FVnSX0vozXhGluamEcS54Dw9_zqW0N7qJUWgJ0Sw/edit?usp=sharing"",""ชัยนาท!N520"")+IMPORTRANGE(""https://docs.google.com/spreadsheets/d/1jkqa6GXxSacMcY1eN8AHjMNJ_7dDXMJ"&amp;"VRLDlaFSOdPM/edit?usp=sharing"",""ตราด!N520"")+IMPORTRANGE(""https://docs.google.com/spreadsheets/d/18hSgUJ3VwClqi_qtULmmW3cLr0oe3OKaSYoKzdpTsYQ/edit?usp=sharing"",""นครนายก!N520"")+IMPORTRANGE(""https://docs.google.com/spreadsheets/d/1YTZo6WM2dQ6Ix6FSdnL"&amp;"5P7uVnVKu40sxZu975tgG10E/edit?usp=sharing"",""นครปฐม!N520"")+IMPORTRANGE(""https://docs.google.com/spreadsheets/d/1OYoGg4WDg5RIzwGeB10padOxJF9E_Vljuvvct_M7RDo/edit?usp=sharing"",""ปทุมธานี!N520"")+IMPORTRANGE(""https://docs.google.com/spreadsheets/d/1GbCI"&amp;"E4D4wk9FUozzqk7SxfDMxDVBwVmI5zcaVUSzKAc/edit?usp=sharing"",""ประจวบคีรีขันธ์!N520"")+IMPORTRANGE(""https://docs.google.com/spreadsheets/d/1vVf6wykvW_lAyu7Yo9L4hUTqHqIeP_qcVuxCtosJEbg/edit?usp=sharing"",""ปราจีนบุรี!N520"")+IMPORTRANGE(""https://docs.googl"&amp;"e.com/spreadsheets/d/1BIDqLLg5jk3v59G8NlR8rk5xfQDKne0sAvZHSj7TI6I/edit?usp=sharing"",""พระนครศรีอยุธยา!N520"")+IMPORTRANGE(""https://docs.google.com/spreadsheets/d/1YXvxf8Yu6_rV4hTBrwMqAcAnv6DfhUxh5emyM3CJp_w/edit?usp=sharing"",""เพชรบุรี!N520"")+IMPORTRA"&amp;"NGE(""https://docs.google.com/spreadsheets/d/19KBlQQs7uwvsao6t2n-KvW3Ax8J8uRRfZPq1zPbXgKc/edit?usp=sharing"",""ระยอง!N520"")+IMPORTRANGE(""https://docs.google.com/spreadsheets/d/1jQ6P4QcrGM89YfqcC_PxOHGCMq5ezhucwJd8ci-NHng/edit?usp=sharing"",""ราชบุรี!N52"&amp;"0"")+IMPORTRANGE(""https://docs.google.com/spreadsheets/d/1lufeA2cfFqM-elVq2hznhDzC6Pr7wkJ9ZG_sYNGCMCU/edit?usp=sharing"",""ลพบุรี!N520"")+IMPORTRANGE(""https://docs.google.com/spreadsheets/d/10oOiF7loTyfsTkbd4MpaIm0HQ9SwB7IYHdIUvt-U1Uc/edit?usp=sharing"""&amp;",""สระแก้ว!N520"")+IMPORTRANGE(""https://docs.google.com/spreadsheets/d/1xmPlrr1QbdSIKvl1dWUl9K4PjAfSL9oeMr_37QVzcxc/edit?usp=sharing"",""สระบุรี!N520"")+IMPORTRANGE(""https://docs.google.com/spreadsheets/d/1j51vR6CYVGhABJpv6tkstgok82RLpXieLzW1yOY5rHw/edi"&amp;"t?usp=sharing"",""สิงห์บุรี!N520"")+IMPORTRANGE(""https://docs.google.com/spreadsheets/d/1H1EalTWKUSzO4Z1-1CwzoDUaVffgrThEBe2sl74kKG0/edit?usp=sharing"",""สุพรรณบุรี!N520"")+IMPORTRANGE(""https://docs.google.com/spreadsheets/d/1BmIruG_sIrJLYao_Pdr7zVArWsf"&amp;"oBt2692TMi6x_854/edit?usp=sharing"",""อ่างทอง!N520"")"),0)</f>
        <v>0</v>
      </c>
      <c r="O520" s="91">
        <f t="shared" ca="1" si="355"/>
        <v>0</v>
      </c>
      <c r="P520" s="91">
        <f t="shared" ca="1" si="356"/>
        <v>0</v>
      </c>
      <c r="Q520" s="79">
        <f ca="1">IFERROR(__xludf.DUMMYFUNCTION("IMPORTRANGE(""https://docs.google.com/spreadsheets/d/13wPX838HrBrQMCywv1BsuMkt4PEKTChp52zj44s2izQ/edit?usp=sharing"",""กาญจนบุรี!Q520"")+IMPORTRANGE(""https://docs.google.com/spreadsheets/d/1ddFKvqj1W1NEiWytbGlB1zMx_ykJDVtmfEQ-6-lIUBA/edit?usp=sharing"","&amp;"""จันทบุรี!Q520"")+IMPORTRANGE(""https://docs.google.com/spreadsheets/d/1T1PQvRODqOBZk8BRht_U031fIS1beLA0Ub2CEytj2q0/edit?usp=sharing"",""ฉะเชิงเทรา!Q520"")+IMPORTRANGE(""https://docs.google.com/spreadsheets/d/11tr1B-Bhyr79v2bkwVh5h_fR-PStkgjlZtkrZpYurG0/"&amp;"edit?usp=sharing"",""ชลบุรี!Q520"")+IMPORTRANGE(""https://docs.google.com/spreadsheets/d/1hh-FVnSX0vozXhGluamEcS54Dw9_zqW0N7qJUWgJ0Sw/edit?usp=sharing"",""ชัยนาท!Q520"")+IMPORTRANGE(""https://docs.google.com/spreadsheets/d/1jkqa6GXxSacMcY1eN8AHjMNJ_7dDXMJ"&amp;"VRLDlaFSOdPM/edit?usp=sharing"",""ตราด!Q520"")+IMPORTRANGE(""https://docs.google.com/spreadsheets/d/18hSgUJ3VwClqi_qtULmmW3cLr0oe3OKaSYoKzdpTsYQ/edit?usp=sharing"",""นครนายก!Q520"")+IMPORTRANGE(""https://docs.google.com/spreadsheets/d/1YTZo6WM2dQ6Ix6FSdnL"&amp;"5P7uVnVKu40sxZu975tgG10E/edit?usp=sharing"",""นครปฐม!Q520"")+IMPORTRANGE(""https://docs.google.com/spreadsheets/d/1OYoGg4WDg5RIzwGeB10padOxJF9E_Vljuvvct_M7RDo/edit?usp=sharing"",""ปทุมธานี!Q520"")+IMPORTRANGE(""https://docs.google.com/spreadsheets/d/1GbCI"&amp;"E4D4wk9FUozzqk7SxfDMxDVBwVmI5zcaVUSzKAc/edit?usp=sharing"",""ประจวบคีรีขันธ์!Q520"")+IMPORTRANGE(""https://docs.google.com/spreadsheets/d/1vVf6wykvW_lAyu7Yo9L4hUTqHqIeP_qcVuxCtosJEbg/edit?usp=sharing"",""ปราจีนบุรี!Q520"")+IMPORTRANGE(""https://docs.googl"&amp;"e.com/spreadsheets/d/1BIDqLLg5jk3v59G8NlR8rk5xfQDKne0sAvZHSj7TI6I/edit?usp=sharing"",""พระนครศรีอยุธยา!Q520"")+IMPORTRANGE(""https://docs.google.com/spreadsheets/d/1YXvxf8Yu6_rV4hTBrwMqAcAnv6DfhUxh5emyM3CJp_w/edit?usp=sharing"",""เพชรบุรี!Q520"")+IMPORTRA"&amp;"NGE(""https://docs.google.com/spreadsheets/d/19KBlQQs7uwvsao6t2n-KvW3Ax8J8uRRfZPq1zPbXgKc/edit?usp=sharing"",""ระยอง!Q520"")+IMPORTRANGE(""https://docs.google.com/spreadsheets/d/1jQ6P4QcrGM89YfqcC_PxOHGCMq5ezhucwJd8ci-NHng/edit?usp=sharing"",""ราชบุรี!Q52"&amp;"0"")+IMPORTRANGE(""https://docs.google.com/spreadsheets/d/1lufeA2cfFqM-elVq2hznhDzC6Pr7wkJ9ZG_sYNGCMCU/edit?usp=sharing"",""ลพบุรี!Q520"")+IMPORTRANGE(""https://docs.google.com/spreadsheets/d/10oOiF7loTyfsTkbd4MpaIm0HQ9SwB7IYHdIUvt-U1Uc/edit?usp=sharing"""&amp;",""สระแก้ว!Q520"")+IMPORTRANGE(""https://docs.google.com/spreadsheets/d/1xmPlrr1QbdSIKvl1dWUl9K4PjAfSL9oeMr_37QVzcxc/edit?usp=sharing"",""สระบุรี!Q520"")+IMPORTRANGE(""https://docs.google.com/spreadsheets/d/1j51vR6CYVGhABJpv6tkstgok82RLpXieLzW1yOY5rHw/edi"&amp;"t?usp=sharing"",""สิงห์บุรี!Q520"")+IMPORTRANGE(""https://docs.google.com/spreadsheets/d/1H1EalTWKUSzO4Z1-1CwzoDUaVffgrThEBe2sl74kKG0/edit?usp=sharing"",""สุพรรณบุรี!Q520"")+IMPORTRANGE(""https://docs.google.com/spreadsheets/d/1BmIruG_sIrJLYao_Pdr7zVArWsf"&amp;"oBt2692TMi6x_854/edit?usp=sharing"",""อ่างทอง!Q520"")"),0)</f>
        <v>0</v>
      </c>
      <c r="R520" s="80">
        <f ca="1">IFERROR(__xludf.DUMMYFUNCTION("IMPORTRANGE(""https://docs.google.com/spreadsheets/d/13wPX838HrBrQMCywv1BsuMkt4PEKTChp52zj44s2izQ/edit?usp=sharing"",""กาญจนบุรี!R520"")+IMPORTRANGE(""https://docs.google.com/spreadsheets/d/1ddFKvqj1W1NEiWytbGlB1zMx_ykJDVtmfEQ-6-lIUBA/edit?usp=sharing"","&amp;"""จันทบุรี!R520"")+IMPORTRANGE(""https://docs.google.com/spreadsheets/d/1T1PQvRODqOBZk8BRht_U031fIS1beLA0Ub2CEytj2q0/edit?usp=sharing"",""ฉะเชิงเทรา!R520"")+IMPORTRANGE(""https://docs.google.com/spreadsheets/d/11tr1B-Bhyr79v2bkwVh5h_fR-PStkgjlZtkrZpYurG0/"&amp;"edit?usp=sharing"",""ชลบุรี!R520"")+IMPORTRANGE(""https://docs.google.com/spreadsheets/d/1hh-FVnSX0vozXhGluamEcS54Dw9_zqW0N7qJUWgJ0Sw/edit?usp=sharing"",""ชัยนาท!R520"")+IMPORTRANGE(""https://docs.google.com/spreadsheets/d/1jkqa6GXxSacMcY1eN8AHjMNJ_7dDXMJ"&amp;"VRLDlaFSOdPM/edit?usp=sharing"",""ตราด!R520"")+IMPORTRANGE(""https://docs.google.com/spreadsheets/d/18hSgUJ3VwClqi_qtULmmW3cLr0oe3OKaSYoKzdpTsYQ/edit?usp=sharing"",""นครนายก!R520"")+IMPORTRANGE(""https://docs.google.com/spreadsheets/d/1YTZo6WM2dQ6Ix6FSdnL"&amp;"5P7uVnVKu40sxZu975tgG10E/edit?usp=sharing"",""นครปฐม!R520"")+IMPORTRANGE(""https://docs.google.com/spreadsheets/d/1OYoGg4WDg5RIzwGeB10padOxJF9E_Vljuvvct_M7RDo/edit?usp=sharing"",""ปทุมธานี!R520"")+IMPORTRANGE(""https://docs.google.com/spreadsheets/d/1GbCI"&amp;"E4D4wk9FUozzqk7SxfDMxDVBwVmI5zcaVUSzKAc/edit?usp=sharing"",""ประจวบคีรีขันธ์!R520"")+IMPORTRANGE(""https://docs.google.com/spreadsheets/d/1vVf6wykvW_lAyu7Yo9L4hUTqHqIeP_qcVuxCtosJEbg/edit?usp=sharing"",""ปราจีนบุรี!R520"")+IMPORTRANGE(""https://docs.googl"&amp;"e.com/spreadsheets/d/1BIDqLLg5jk3v59G8NlR8rk5xfQDKne0sAvZHSj7TI6I/edit?usp=sharing"",""พระนครศรีอยุธยา!R520"")+IMPORTRANGE(""https://docs.google.com/spreadsheets/d/1YXvxf8Yu6_rV4hTBrwMqAcAnv6DfhUxh5emyM3CJp_w/edit?usp=sharing"",""เพชรบุรี!R520"")+IMPORTRA"&amp;"NGE(""https://docs.google.com/spreadsheets/d/19KBlQQs7uwvsao6t2n-KvW3Ax8J8uRRfZPq1zPbXgKc/edit?usp=sharing"",""ระยอง!R520"")+IMPORTRANGE(""https://docs.google.com/spreadsheets/d/1jQ6P4QcrGM89YfqcC_PxOHGCMq5ezhucwJd8ci-NHng/edit?usp=sharing"",""ราชบุรี!R52"&amp;"0"")+IMPORTRANGE(""https://docs.google.com/spreadsheets/d/1lufeA2cfFqM-elVq2hznhDzC6Pr7wkJ9ZG_sYNGCMCU/edit?usp=sharing"",""ลพบุรี!R520"")+IMPORTRANGE(""https://docs.google.com/spreadsheets/d/10oOiF7loTyfsTkbd4MpaIm0HQ9SwB7IYHdIUvt-U1Uc/edit?usp=sharing"""&amp;",""สระแก้ว!R520"")+IMPORTRANGE(""https://docs.google.com/spreadsheets/d/1xmPlrr1QbdSIKvl1dWUl9K4PjAfSL9oeMr_37QVzcxc/edit?usp=sharing"",""สระบุรี!R520"")+IMPORTRANGE(""https://docs.google.com/spreadsheets/d/1j51vR6CYVGhABJpv6tkstgok82RLpXieLzW1yOY5rHw/edi"&amp;"t?usp=sharing"",""สิงห์บุรี!R520"")+IMPORTRANGE(""https://docs.google.com/spreadsheets/d/1H1EalTWKUSzO4Z1-1CwzoDUaVffgrThEBe2sl74kKG0/edit?usp=sharing"",""สุพรรณบุรี!R520"")+IMPORTRANGE(""https://docs.google.com/spreadsheets/d/1BmIruG_sIrJLYao_Pdr7zVArWsf"&amp;"oBt2692TMi6x_854/edit?usp=sharing"",""อ่างทอง!R520"")"),0)</f>
        <v>0</v>
      </c>
      <c r="S520" s="80">
        <f ca="1">IFERROR(__xludf.DUMMYFUNCTION("IMPORTRANGE(""https://docs.google.com/spreadsheets/d/13wPX838HrBrQMCywv1BsuMkt4PEKTChp52zj44s2izQ/edit?usp=sharing"",""กาญจนบุรี!S520"")+IMPORTRANGE(""https://docs.google.com/spreadsheets/d/1ddFKvqj1W1NEiWytbGlB1zMx_ykJDVtmfEQ-6-lIUBA/edit?usp=sharing"","&amp;"""จันทบุรี!S520"")+IMPORTRANGE(""https://docs.google.com/spreadsheets/d/1T1PQvRODqOBZk8BRht_U031fIS1beLA0Ub2CEytj2q0/edit?usp=sharing"",""ฉะเชิงเทรา!S520"")+IMPORTRANGE(""https://docs.google.com/spreadsheets/d/11tr1B-Bhyr79v2bkwVh5h_fR-PStkgjlZtkrZpYurG0/"&amp;"edit?usp=sharing"",""ชลบุรี!S520"")+IMPORTRANGE(""https://docs.google.com/spreadsheets/d/1hh-FVnSX0vozXhGluamEcS54Dw9_zqW0N7qJUWgJ0Sw/edit?usp=sharing"",""ชัยนาท!S520"")+IMPORTRANGE(""https://docs.google.com/spreadsheets/d/1jkqa6GXxSacMcY1eN8AHjMNJ_7dDXMJ"&amp;"VRLDlaFSOdPM/edit?usp=sharing"",""ตราด!S520"")+IMPORTRANGE(""https://docs.google.com/spreadsheets/d/18hSgUJ3VwClqi_qtULmmW3cLr0oe3OKaSYoKzdpTsYQ/edit?usp=sharing"",""นครนายก!S520"")+IMPORTRANGE(""https://docs.google.com/spreadsheets/d/1YTZo6WM2dQ6Ix6FSdnL"&amp;"5P7uVnVKu40sxZu975tgG10E/edit?usp=sharing"",""นครปฐม!S520"")+IMPORTRANGE(""https://docs.google.com/spreadsheets/d/1OYoGg4WDg5RIzwGeB10padOxJF9E_Vljuvvct_M7RDo/edit?usp=sharing"",""ปทุมธานี!S520"")+IMPORTRANGE(""https://docs.google.com/spreadsheets/d/1GbCI"&amp;"E4D4wk9FUozzqk7SxfDMxDVBwVmI5zcaVUSzKAc/edit?usp=sharing"",""ประจวบคีรีขันธ์!S520"")+IMPORTRANGE(""https://docs.google.com/spreadsheets/d/1vVf6wykvW_lAyu7Yo9L4hUTqHqIeP_qcVuxCtosJEbg/edit?usp=sharing"",""ปราจีนบุรี!S520"")+IMPORTRANGE(""https://docs.googl"&amp;"e.com/spreadsheets/d/1BIDqLLg5jk3v59G8NlR8rk5xfQDKne0sAvZHSj7TI6I/edit?usp=sharing"",""พระนครศรีอยุธยา!S520"")+IMPORTRANGE(""https://docs.google.com/spreadsheets/d/1YXvxf8Yu6_rV4hTBrwMqAcAnv6DfhUxh5emyM3CJp_w/edit?usp=sharing"",""เพชรบุรี!S520"")+IMPORTRA"&amp;"NGE(""https://docs.google.com/spreadsheets/d/19KBlQQs7uwvsao6t2n-KvW3Ax8J8uRRfZPq1zPbXgKc/edit?usp=sharing"",""ระยอง!S520"")+IMPORTRANGE(""https://docs.google.com/spreadsheets/d/1jQ6P4QcrGM89YfqcC_PxOHGCMq5ezhucwJd8ci-NHng/edit?usp=sharing"",""ราชบุรี!S52"&amp;"0"")+IMPORTRANGE(""https://docs.google.com/spreadsheets/d/1lufeA2cfFqM-elVq2hznhDzC6Pr7wkJ9ZG_sYNGCMCU/edit?usp=sharing"",""ลพบุรี!S520"")+IMPORTRANGE(""https://docs.google.com/spreadsheets/d/10oOiF7loTyfsTkbd4MpaIm0HQ9SwB7IYHdIUvt-U1Uc/edit?usp=sharing"""&amp;",""สระแก้ว!S520"")+IMPORTRANGE(""https://docs.google.com/spreadsheets/d/1xmPlrr1QbdSIKvl1dWUl9K4PjAfSL9oeMr_37QVzcxc/edit?usp=sharing"",""สระบุรี!S520"")+IMPORTRANGE(""https://docs.google.com/spreadsheets/d/1j51vR6CYVGhABJpv6tkstgok82RLpXieLzW1yOY5rHw/edi"&amp;"t?usp=sharing"",""สิงห์บุรี!S520"")+IMPORTRANGE(""https://docs.google.com/spreadsheets/d/1H1EalTWKUSzO4Z1-1CwzoDUaVffgrThEBe2sl74kKG0/edit?usp=sharing"",""สุพรรณบุรี!S520"")+IMPORTRANGE(""https://docs.google.com/spreadsheets/d/1BmIruG_sIrJLYao_Pdr7zVArWsf"&amp;"oBt2692TMi6x_854/edit?usp=sharing"",""อ่างทอง!S520"")"),0)</f>
        <v>0</v>
      </c>
      <c r="T520" s="136">
        <f t="shared" ca="1" si="358"/>
        <v>0</v>
      </c>
      <c r="U520" s="136">
        <f t="shared" ca="1" si="359"/>
        <v>0</v>
      </c>
    </row>
    <row r="521" spans="1:21" ht="18.75" x14ac:dyDescent="0.25">
      <c r="A521" s="211"/>
      <c r="B521" s="70"/>
      <c r="C521" s="70"/>
      <c r="D521" s="70"/>
      <c r="E521" s="78" t="s">
        <v>21</v>
      </c>
      <c r="F521" s="70"/>
      <c r="G521" s="72"/>
      <c r="H521" s="223" t="s">
        <v>14</v>
      </c>
      <c r="I521" s="221"/>
      <c r="J521" s="221"/>
      <c r="K521" s="222"/>
      <c r="L521" s="91">
        <f ca="1">IFERROR(__xludf.DUMMYFUNCTION("IMPORTRANGE(""https://docs.google.com/spreadsheets/d/13wPX838HrBrQMCywv1BsuMkt4PEKTChp52zj44s2izQ/edit?usp=sharing"",""กาญจนบุรี!L521"")+IMPORTRANGE(""https://docs.google.com/spreadsheets/d/1ddFKvqj1W1NEiWytbGlB1zMx_ykJDVtmfEQ-6-lIUBA/edit?usp=sharing"","&amp;"""จันทบุรี!L521"")+IMPORTRANGE(""https://docs.google.com/spreadsheets/d/1T1PQvRODqOBZk8BRht_U031fIS1beLA0Ub2CEytj2q0/edit?usp=sharing"",""ฉะเชิงเทรา!L521"")+IMPORTRANGE(""https://docs.google.com/spreadsheets/d/11tr1B-Bhyr79v2bkwVh5h_fR-PStkgjlZtkrZpYurG0/"&amp;"edit?usp=sharing"",""ชลบุรี!L521"")+IMPORTRANGE(""https://docs.google.com/spreadsheets/d/1hh-FVnSX0vozXhGluamEcS54Dw9_zqW0N7qJUWgJ0Sw/edit?usp=sharing"",""ชัยนาท!L521"")+IMPORTRANGE(""https://docs.google.com/spreadsheets/d/1jkqa6GXxSacMcY1eN8AHjMNJ_7dDXMJ"&amp;"VRLDlaFSOdPM/edit?usp=sharing"",""ตราด!L521"")+IMPORTRANGE(""https://docs.google.com/spreadsheets/d/18hSgUJ3VwClqi_qtULmmW3cLr0oe3OKaSYoKzdpTsYQ/edit?usp=sharing"",""นครนายก!L521"")+IMPORTRANGE(""https://docs.google.com/spreadsheets/d/1YTZo6WM2dQ6Ix6FSdnL"&amp;"5P7uVnVKu40sxZu975tgG10E/edit?usp=sharing"",""นครปฐม!L521"")+IMPORTRANGE(""https://docs.google.com/spreadsheets/d/1OYoGg4WDg5RIzwGeB10padOxJF9E_Vljuvvct_M7RDo/edit?usp=sharing"",""ปทุมธานี!L521"")+IMPORTRANGE(""https://docs.google.com/spreadsheets/d/1GbCI"&amp;"E4D4wk9FUozzqk7SxfDMxDVBwVmI5zcaVUSzKAc/edit?usp=sharing"",""ประจวบคีรีขันธ์!L521"")+IMPORTRANGE(""https://docs.google.com/spreadsheets/d/1vVf6wykvW_lAyu7Yo9L4hUTqHqIeP_qcVuxCtosJEbg/edit?usp=sharing"",""ปราจีนบุรี!L521"")+IMPORTRANGE(""https://docs.googl"&amp;"e.com/spreadsheets/d/1BIDqLLg5jk3v59G8NlR8rk5xfQDKne0sAvZHSj7TI6I/edit?usp=sharing"",""พระนครศรีอยุธยา!L521"")+IMPORTRANGE(""https://docs.google.com/spreadsheets/d/1YXvxf8Yu6_rV4hTBrwMqAcAnv6DfhUxh5emyM3CJp_w/edit?usp=sharing"",""เพชรบุรี!L521"")+IMPORTRA"&amp;"NGE(""https://docs.google.com/spreadsheets/d/19KBlQQs7uwvsao6t2n-KvW3Ax8J8uRRfZPq1zPbXgKc/edit?usp=sharing"",""ระยอง!L521"")+IMPORTRANGE(""https://docs.google.com/spreadsheets/d/1jQ6P4QcrGM89YfqcC_PxOHGCMq5ezhucwJd8ci-NHng/edit?usp=sharing"",""ราชบุรี!L52"&amp;"1"")+IMPORTRANGE(""https://docs.google.com/spreadsheets/d/1lufeA2cfFqM-elVq2hznhDzC6Pr7wkJ9ZG_sYNGCMCU/edit?usp=sharing"",""ลพบุรี!L521"")+IMPORTRANGE(""https://docs.google.com/spreadsheets/d/10oOiF7loTyfsTkbd4MpaIm0HQ9SwB7IYHdIUvt-U1Uc/edit?usp=sharing"""&amp;",""สระแก้ว!L521"")+IMPORTRANGE(""https://docs.google.com/spreadsheets/d/1xmPlrr1QbdSIKvl1dWUl9K4PjAfSL9oeMr_37QVzcxc/edit?usp=sharing"",""สระบุรี!L521"")+IMPORTRANGE(""https://docs.google.com/spreadsheets/d/1j51vR6CYVGhABJpv6tkstgok82RLpXieLzW1yOY5rHw/edi"&amp;"t?usp=sharing"",""สิงห์บุรี!L521"")+IMPORTRANGE(""https://docs.google.com/spreadsheets/d/1H1EalTWKUSzO4Z1-1CwzoDUaVffgrThEBe2sl74kKG0/edit?usp=sharing"",""สุพรรณบุรี!L521"")+IMPORTRANGE(""https://docs.google.com/spreadsheets/d/1BmIruG_sIrJLYao_Pdr7zVArWsf"&amp;"oBt2692TMi6x_854/edit?usp=sharing"",""อ่างทอง!L521"")"),0)</f>
        <v>0</v>
      </c>
      <c r="M521" s="91">
        <f ca="1">IFERROR(__xludf.DUMMYFUNCTION("IMPORTRANGE(""https://docs.google.com/spreadsheets/d/13wPX838HrBrQMCywv1BsuMkt4PEKTChp52zj44s2izQ/edit?usp=sharing"",""กาญจนบุรี!M521"")+IMPORTRANGE(""https://docs.google.com/spreadsheets/d/1ddFKvqj1W1NEiWytbGlB1zMx_ykJDVtmfEQ-6-lIUBA/edit?usp=sharing"","&amp;"""จันทบุรี!M521"")+IMPORTRANGE(""https://docs.google.com/spreadsheets/d/1T1PQvRODqOBZk8BRht_U031fIS1beLA0Ub2CEytj2q0/edit?usp=sharing"",""ฉะเชิงเทรา!M521"")+IMPORTRANGE(""https://docs.google.com/spreadsheets/d/11tr1B-Bhyr79v2bkwVh5h_fR-PStkgjlZtkrZpYurG0/"&amp;"edit?usp=sharing"",""ชลบุรี!M521"")+IMPORTRANGE(""https://docs.google.com/spreadsheets/d/1hh-FVnSX0vozXhGluamEcS54Dw9_zqW0N7qJUWgJ0Sw/edit?usp=sharing"",""ชัยนาท!M521"")+IMPORTRANGE(""https://docs.google.com/spreadsheets/d/1jkqa6GXxSacMcY1eN8AHjMNJ_7dDXMJ"&amp;"VRLDlaFSOdPM/edit?usp=sharing"",""ตราด!M521"")+IMPORTRANGE(""https://docs.google.com/spreadsheets/d/18hSgUJ3VwClqi_qtULmmW3cLr0oe3OKaSYoKzdpTsYQ/edit?usp=sharing"",""นครนายก!M521"")+IMPORTRANGE(""https://docs.google.com/spreadsheets/d/1YTZo6WM2dQ6Ix6FSdnL"&amp;"5P7uVnVKu40sxZu975tgG10E/edit?usp=sharing"",""นครปฐม!M521"")+IMPORTRANGE(""https://docs.google.com/spreadsheets/d/1OYoGg4WDg5RIzwGeB10padOxJF9E_Vljuvvct_M7RDo/edit?usp=sharing"",""ปทุมธานี!M521"")+IMPORTRANGE(""https://docs.google.com/spreadsheets/d/1GbCI"&amp;"E4D4wk9FUozzqk7SxfDMxDVBwVmI5zcaVUSzKAc/edit?usp=sharing"",""ประจวบคีรีขันธ์!M521"")+IMPORTRANGE(""https://docs.google.com/spreadsheets/d/1vVf6wykvW_lAyu7Yo9L4hUTqHqIeP_qcVuxCtosJEbg/edit?usp=sharing"",""ปราจีนบุรี!M521"")+IMPORTRANGE(""https://docs.googl"&amp;"e.com/spreadsheets/d/1BIDqLLg5jk3v59G8NlR8rk5xfQDKne0sAvZHSj7TI6I/edit?usp=sharing"",""พระนครศรีอยุธยา!M521"")+IMPORTRANGE(""https://docs.google.com/spreadsheets/d/1YXvxf8Yu6_rV4hTBrwMqAcAnv6DfhUxh5emyM3CJp_w/edit?usp=sharing"",""เพชรบุรี!M521"")+IMPORTRA"&amp;"NGE(""https://docs.google.com/spreadsheets/d/19KBlQQs7uwvsao6t2n-KvW3Ax8J8uRRfZPq1zPbXgKc/edit?usp=sharing"",""ระยอง!M521"")+IMPORTRANGE(""https://docs.google.com/spreadsheets/d/1jQ6P4QcrGM89YfqcC_PxOHGCMq5ezhucwJd8ci-NHng/edit?usp=sharing"",""ราชบุรี!M52"&amp;"1"")+IMPORTRANGE(""https://docs.google.com/spreadsheets/d/1lufeA2cfFqM-elVq2hznhDzC6Pr7wkJ9ZG_sYNGCMCU/edit?usp=sharing"",""ลพบุรี!M521"")+IMPORTRANGE(""https://docs.google.com/spreadsheets/d/10oOiF7loTyfsTkbd4MpaIm0HQ9SwB7IYHdIUvt-U1Uc/edit?usp=sharing"""&amp;",""สระแก้ว!M521"")+IMPORTRANGE(""https://docs.google.com/spreadsheets/d/1xmPlrr1QbdSIKvl1dWUl9K4PjAfSL9oeMr_37QVzcxc/edit?usp=sharing"",""สระบุรี!M521"")+IMPORTRANGE(""https://docs.google.com/spreadsheets/d/1j51vR6CYVGhABJpv6tkstgok82RLpXieLzW1yOY5rHw/edi"&amp;"t?usp=sharing"",""สิงห์บุรี!M521"")+IMPORTRANGE(""https://docs.google.com/spreadsheets/d/1H1EalTWKUSzO4Z1-1CwzoDUaVffgrThEBe2sl74kKG0/edit?usp=sharing"",""สุพรรณบุรี!M521"")+IMPORTRANGE(""https://docs.google.com/spreadsheets/d/1BmIruG_sIrJLYao_Pdr7zVArWsf"&amp;"oBt2692TMi6x_854/edit?usp=sharing"",""อ่างทอง!M521"")"),0)</f>
        <v>0</v>
      </c>
      <c r="N521" s="91">
        <f ca="1">IFERROR(__xludf.DUMMYFUNCTION("IMPORTRANGE(""https://docs.google.com/spreadsheets/d/13wPX838HrBrQMCywv1BsuMkt4PEKTChp52zj44s2izQ/edit?usp=sharing"",""กาญจนบุรี!N521"")+IMPORTRANGE(""https://docs.google.com/spreadsheets/d/1ddFKvqj1W1NEiWytbGlB1zMx_ykJDVtmfEQ-6-lIUBA/edit?usp=sharing"","&amp;"""จันทบุรี!N521"")+IMPORTRANGE(""https://docs.google.com/spreadsheets/d/1T1PQvRODqOBZk8BRht_U031fIS1beLA0Ub2CEytj2q0/edit?usp=sharing"",""ฉะเชิงเทรา!N521"")+IMPORTRANGE(""https://docs.google.com/spreadsheets/d/11tr1B-Bhyr79v2bkwVh5h_fR-PStkgjlZtkrZpYurG0/"&amp;"edit?usp=sharing"",""ชลบุรี!N521"")+IMPORTRANGE(""https://docs.google.com/spreadsheets/d/1hh-FVnSX0vozXhGluamEcS54Dw9_zqW0N7qJUWgJ0Sw/edit?usp=sharing"",""ชัยนาท!N521"")+IMPORTRANGE(""https://docs.google.com/spreadsheets/d/1jkqa6GXxSacMcY1eN8AHjMNJ_7dDXMJ"&amp;"VRLDlaFSOdPM/edit?usp=sharing"",""ตราด!N521"")+IMPORTRANGE(""https://docs.google.com/spreadsheets/d/18hSgUJ3VwClqi_qtULmmW3cLr0oe3OKaSYoKzdpTsYQ/edit?usp=sharing"",""นครนายก!N521"")+IMPORTRANGE(""https://docs.google.com/spreadsheets/d/1YTZo6WM2dQ6Ix6FSdnL"&amp;"5P7uVnVKu40sxZu975tgG10E/edit?usp=sharing"",""นครปฐม!N521"")+IMPORTRANGE(""https://docs.google.com/spreadsheets/d/1OYoGg4WDg5RIzwGeB10padOxJF9E_Vljuvvct_M7RDo/edit?usp=sharing"",""ปทุมธานี!N521"")+IMPORTRANGE(""https://docs.google.com/spreadsheets/d/1GbCI"&amp;"E4D4wk9FUozzqk7SxfDMxDVBwVmI5zcaVUSzKAc/edit?usp=sharing"",""ประจวบคีรีขันธ์!N521"")+IMPORTRANGE(""https://docs.google.com/spreadsheets/d/1vVf6wykvW_lAyu7Yo9L4hUTqHqIeP_qcVuxCtosJEbg/edit?usp=sharing"",""ปราจีนบุรี!N521"")+IMPORTRANGE(""https://docs.googl"&amp;"e.com/spreadsheets/d/1BIDqLLg5jk3v59G8NlR8rk5xfQDKne0sAvZHSj7TI6I/edit?usp=sharing"",""พระนครศรีอยุธยา!N521"")+IMPORTRANGE(""https://docs.google.com/spreadsheets/d/1YXvxf8Yu6_rV4hTBrwMqAcAnv6DfhUxh5emyM3CJp_w/edit?usp=sharing"",""เพชรบุรี!N521"")+IMPORTRA"&amp;"NGE(""https://docs.google.com/spreadsheets/d/19KBlQQs7uwvsao6t2n-KvW3Ax8J8uRRfZPq1zPbXgKc/edit?usp=sharing"",""ระยอง!N521"")+IMPORTRANGE(""https://docs.google.com/spreadsheets/d/1jQ6P4QcrGM89YfqcC_PxOHGCMq5ezhucwJd8ci-NHng/edit?usp=sharing"",""ราชบุรี!N52"&amp;"1"")+IMPORTRANGE(""https://docs.google.com/spreadsheets/d/1lufeA2cfFqM-elVq2hznhDzC6Pr7wkJ9ZG_sYNGCMCU/edit?usp=sharing"",""ลพบุรี!N521"")+IMPORTRANGE(""https://docs.google.com/spreadsheets/d/10oOiF7loTyfsTkbd4MpaIm0HQ9SwB7IYHdIUvt-U1Uc/edit?usp=sharing"""&amp;",""สระแก้ว!N521"")+IMPORTRANGE(""https://docs.google.com/spreadsheets/d/1xmPlrr1QbdSIKvl1dWUl9K4PjAfSL9oeMr_37QVzcxc/edit?usp=sharing"",""สระบุรี!N521"")+IMPORTRANGE(""https://docs.google.com/spreadsheets/d/1j51vR6CYVGhABJpv6tkstgok82RLpXieLzW1yOY5rHw/edi"&amp;"t?usp=sharing"",""สิงห์บุรี!N521"")+IMPORTRANGE(""https://docs.google.com/spreadsheets/d/1H1EalTWKUSzO4Z1-1CwzoDUaVffgrThEBe2sl74kKG0/edit?usp=sharing"",""สุพรรณบุรี!N521"")+IMPORTRANGE(""https://docs.google.com/spreadsheets/d/1BmIruG_sIrJLYao_Pdr7zVArWsf"&amp;"oBt2692TMi6x_854/edit?usp=sharing"",""อ่างทอง!N521"")"),0)</f>
        <v>0</v>
      </c>
      <c r="O521" s="91">
        <f t="shared" ca="1" si="355"/>
        <v>0</v>
      </c>
      <c r="P521" s="91">
        <f t="shared" ca="1" si="356"/>
        <v>0</v>
      </c>
      <c r="Q521" s="76">
        <f ca="1">IFERROR(__xludf.DUMMYFUNCTION("IMPORTRANGE(""https://docs.google.com/spreadsheets/d/13wPX838HrBrQMCywv1BsuMkt4PEKTChp52zj44s2izQ/edit?usp=sharing"",""กาญจนบุรี!Q521"")+IMPORTRANGE(""https://docs.google.com/spreadsheets/d/1ddFKvqj1W1NEiWytbGlB1zMx_ykJDVtmfEQ-6-lIUBA/edit?usp=sharing"","&amp;"""จันทบุรี!Q521"")+IMPORTRANGE(""https://docs.google.com/spreadsheets/d/1T1PQvRODqOBZk8BRht_U031fIS1beLA0Ub2CEytj2q0/edit?usp=sharing"",""ฉะเชิงเทรา!Q521"")+IMPORTRANGE(""https://docs.google.com/spreadsheets/d/11tr1B-Bhyr79v2bkwVh5h_fR-PStkgjlZtkrZpYurG0/"&amp;"edit?usp=sharing"",""ชลบุรี!Q521"")+IMPORTRANGE(""https://docs.google.com/spreadsheets/d/1hh-FVnSX0vozXhGluamEcS54Dw9_zqW0N7qJUWgJ0Sw/edit?usp=sharing"",""ชัยนาท!Q521"")+IMPORTRANGE(""https://docs.google.com/spreadsheets/d/1jkqa6GXxSacMcY1eN8AHjMNJ_7dDXMJ"&amp;"VRLDlaFSOdPM/edit?usp=sharing"",""ตราด!Q521"")+IMPORTRANGE(""https://docs.google.com/spreadsheets/d/18hSgUJ3VwClqi_qtULmmW3cLr0oe3OKaSYoKzdpTsYQ/edit?usp=sharing"",""นครนายก!Q521"")+IMPORTRANGE(""https://docs.google.com/spreadsheets/d/1YTZo6WM2dQ6Ix6FSdnL"&amp;"5P7uVnVKu40sxZu975tgG10E/edit?usp=sharing"",""นครปฐม!Q521"")+IMPORTRANGE(""https://docs.google.com/spreadsheets/d/1OYoGg4WDg5RIzwGeB10padOxJF9E_Vljuvvct_M7RDo/edit?usp=sharing"",""ปทุมธานี!Q521"")+IMPORTRANGE(""https://docs.google.com/spreadsheets/d/1GbCI"&amp;"E4D4wk9FUozzqk7SxfDMxDVBwVmI5zcaVUSzKAc/edit?usp=sharing"",""ประจวบคีรีขันธ์!Q521"")+IMPORTRANGE(""https://docs.google.com/spreadsheets/d/1vVf6wykvW_lAyu7Yo9L4hUTqHqIeP_qcVuxCtosJEbg/edit?usp=sharing"",""ปราจีนบุรี!Q521"")+IMPORTRANGE(""https://docs.googl"&amp;"e.com/spreadsheets/d/1BIDqLLg5jk3v59G8NlR8rk5xfQDKne0sAvZHSj7TI6I/edit?usp=sharing"",""พระนครศรีอยุธยา!Q521"")+IMPORTRANGE(""https://docs.google.com/spreadsheets/d/1YXvxf8Yu6_rV4hTBrwMqAcAnv6DfhUxh5emyM3CJp_w/edit?usp=sharing"",""เพชรบุรี!Q521"")+IMPORTRA"&amp;"NGE(""https://docs.google.com/spreadsheets/d/19KBlQQs7uwvsao6t2n-KvW3Ax8J8uRRfZPq1zPbXgKc/edit?usp=sharing"",""ระยอง!Q521"")+IMPORTRANGE(""https://docs.google.com/spreadsheets/d/1jQ6P4QcrGM89YfqcC_PxOHGCMq5ezhucwJd8ci-NHng/edit?usp=sharing"",""ราชบุรี!Q52"&amp;"1"")+IMPORTRANGE(""https://docs.google.com/spreadsheets/d/1lufeA2cfFqM-elVq2hznhDzC6Pr7wkJ9ZG_sYNGCMCU/edit?usp=sharing"",""ลพบุรี!Q521"")+IMPORTRANGE(""https://docs.google.com/spreadsheets/d/10oOiF7loTyfsTkbd4MpaIm0HQ9SwB7IYHdIUvt-U1Uc/edit?usp=sharing"""&amp;",""สระแก้ว!Q521"")+IMPORTRANGE(""https://docs.google.com/spreadsheets/d/1xmPlrr1QbdSIKvl1dWUl9K4PjAfSL9oeMr_37QVzcxc/edit?usp=sharing"",""สระบุรี!Q521"")+IMPORTRANGE(""https://docs.google.com/spreadsheets/d/1j51vR6CYVGhABJpv6tkstgok82RLpXieLzW1yOY5rHw/edi"&amp;"t?usp=sharing"",""สิงห์บุรี!Q521"")+IMPORTRANGE(""https://docs.google.com/spreadsheets/d/1H1EalTWKUSzO4Z1-1CwzoDUaVffgrThEBe2sl74kKG0/edit?usp=sharing"",""สุพรรณบุรี!Q521"")+IMPORTRANGE(""https://docs.google.com/spreadsheets/d/1BmIruG_sIrJLYao_Pdr7zVArWsf"&amp;"oBt2692TMi6x_854/edit?usp=sharing"",""อ่างทอง!Q521"")"),0)</f>
        <v>0</v>
      </c>
      <c r="R521" s="77">
        <f ca="1">IFERROR(__xludf.DUMMYFUNCTION("IMPORTRANGE(""https://docs.google.com/spreadsheets/d/13wPX838HrBrQMCywv1BsuMkt4PEKTChp52zj44s2izQ/edit?usp=sharing"",""กาญจนบุรี!R521"")+IMPORTRANGE(""https://docs.google.com/spreadsheets/d/1ddFKvqj1W1NEiWytbGlB1zMx_ykJDVtmfEQ-6-lIUBA/edit?usp=sharing"","&amp;"""จันทบุรี!R521"")+IMPORTRANGE(""https://docs.google.com/spreadsheets/d/1T1PQvRODqOBZk8BRht_U031fIS1beLA0Ub2CEytj2q0/edit?usp=sharing"",""ฉะเชิงเทรา!R521"")+IMPORTRANGE(""https://docs.google.com/spreadsheets/d/11tr1B-Bhyr79v2bkwVh5h_fR-PStkgjlZtkrZpYurG0/"&amp;"edit?usp=sharing"",""ชลบุรี!R521"")+IMPORTRANGE(""https://docs.google.com/spreadsheets/d/1hh-FVnSX0vozXhGluamEcS54Dw9_zqW0N7qJUWgJ0Sw/edit?usp=sharing"",""ชัยนาท!R521"")+IMPORTRANGE(""https://docs.google.com/spreadsheets/d/1jkqa6GXxSacMcY1eN8AHjMNJ_7dDXMJ"&amp;"VRLDlaFSOdPM/edit?usp=sharing"",""ตราด!R521"")+IMPORTRANGE(""https://docs.google.com/spreadsheets/d/18hSgUJ3VwClqi_qtULmmW3cLr0oe3OKaSYoKzdpTsYQ/edit?usp=sharing"",""นครนายก!R521"")+IMPORTRANGE(""https://docs.google.com/spreadsheets/d/1YTZo6WM2dQ6Ix6FSdnL"&amp;"5P7uVnVKu40sxZu975tgG10E/edit?usp=sharing"",""นครปฐม!R521"")+IMPORTRANGE(""https://docs.google.com/spreadsheets/d/1OYoGg4WDg5RIzwGeB10padOxJF9E_Vljuvvct_M7RDo/edit?usp=sharing"",""ปทุมธานี!R521"")+IMPORTRANGE(""https://docs.google.com/spreadsheets/d/1GbCI"&amp;"E4D4wk9FUozzqk7SxfDMxDVBwVmI5zcaVUSzKAc/edit?usp=sharing"",""ประจวบคีรีขันธ์!R521"")+IMPORTRANGE(""https://docs.google.com/spreadsheets/d/1vVf6wykvW_lAyu7Yo9L4hUTqHqIeP_qcVuxCtosJEbg/edit?usp=sharing"",""ปราจีนบุรี!R521"")+IMPORTRANGE(""https://docs.googl"&amp;"e.com/spreadsheets/d/1BIDqLLg5jk3v59G8NlR8rk5xfQDKne0sAvZHSj7TI6I/edit?usp=sharing"",""พระนครศรีอยุธยา!R521"")+IMPORTRANGE(""https://docs.google.com/spreadsheets/d/1YXvxf8Yu6_rV4hTBrwMqAcAnv6DfhUxh5emyM3CJp_w/edit?usp=sharing"",""เพชรบุรี!R521"")+IMPORTRA"&amp;"NGE(""https://docs.google.com/spreadsheets/d/19KBlQQs7uwvsao6t2n-KvW3Ax8J8uRRfZPq1zPbXgKc/edit?usp=sharing"",""ระยอง!R521"")+IMPORTRANGE(""https://docs.google.com/spreadsheets/d/1jQ6P4QcrGM89YfqcC_PxOHGCMq5ezhucwJd8ci-NHng/edit?usp=sharing"",""ราชบุรี!R52"&amp;"1"")+IMPORTRANGE(""https://docs.google.com/spreadsheets/d/1lufeA2cfFqM-elVq2hznhDzC6Pr7wkJ9ZG_sYNGCMCU/edit?usp=sharing"",""ลพบุรี!R521"")+IMPORTRANGE(""https://docs.google.com/spreadsheets/d/10oOiF7loTyfsTkbd4MpaIm0HQ9SwB7IYHdIUvt-U1Uc/edit?usp=sharing"""&amp;",""สระแก้ว!R521"")+IMPORTRANGE(""https://docs.google.com/spreadsheets/d/1xmPlrr1QbdSIKvl1dWUl9K4PjAfSL9oeMr_37QVzcxc/edit?usp=sharing"",""สระบุรี!R521"")+IMPORTRANGE(""https://docs.google.com/spreadsheets/d/1j51vR6CYVGhABJpv6tkstgok82RLpXieLzW1yOY5rHw/edi"&amp;"t?usp=sharing"",""สิงห์บุรี!R521"")+IMPORTRANGE(""https://docs.google.com/spreadsheets/d/1H1EalTWKUSzO4Z1-1CwzoDUaVffgrThEBe2sl74kKG0/edit?usp=sharing"",""สุพรรณบุรี!R521"")+IMPORTRANGE(""https://docs.google.com/spreadsheets/d/1BmIruG_sIrJLYao_Pdr7zVArWsf"&amp;"oBt2692TMi6x_854/edit?usp=sharing"",""อ่างทอง!R521"")"),0)</f>
        <v>0</v>
      </c>
      <c r="S521" s="77">
        <f ca="1">IFERROR(__xludf.DUMMYFUNCTION("IMPORTRANGE(""https://docs.google.com/spreadsheets/d/13wPX838HrBrQMCywv1BsuMkt4PEKTChp52zj44s2izQ/edit?usp=sharing"",""กาญจนบุรี!S521"")+IMPORTRANGE(""https://docs.google.com/spreadsheets/d/1ddFKvqj1W1NEiWytbGlB1zMx_ykJDVtmfEQ-6-lIUBA/edit?usp=sharing"","&amp;"""จันทบุรี!S521"")+IMPORTRANGE(""https://docs.google.com/spreadsheets/d/1T1PQvRODqOBZk8BRht_U031fIS1beLA0Ub2CEytj2q0/edit?usp=sharing"",""ฉะเชิงเทรา!S521"")+IMPORTRANGE(""https://docs.google.com/spreadsheets/d/11tr1B-Bhyr79v2bkwVh5h_fR-PStkgjlZtkrZpYurG0/"&amp;"edit?usp=sharing"",""ชลบุรี!S521"")+IMPORTRANGE(""https://docs.google.com/spreadsheets/d/1hh-FVnSX0vozXhGluamEcS54Dw9_zqW0N7qJUWgJ0Sw/edit?usp=sharing"",""ชัยนาท!S521"")+IMPORTRANGE(""https://docs.google.com/spreadsheets/d/1jkqa6GXxSacMcY1eN8AHjMNJ_7dDXMJ"&amp;"VRLDlaFSOdPM/edit?usp=sharing"",""ตราด!S521"")+IMPORTRANGE(""https://docs.google.com/spreadsheets/d/18hSgUJ3VwClqi_qtULmmW3cLr0oe3OKaSYoKzdpTsYQ/edit?usp=sharing"",""นครนายก!S521"")+IMPORTRANGE(""https://docs.google.com/spreadsheets/d/1YTZo6WM2dQ6Ix6FSdnL"&amp;"5P7uVnVKu40sxZu975tgG10E/edit?usp=sharing"",""นครปฐม!S521"")+IMPORTRANGE(""https://docs.google.com/spreadsheets/d/1OYoGg4WDg5RIzwGeB10padOxJF9E_Vljuvvct_M7RDo/edit?usp=sharing"",""ปทุมธานี!S521"")+IMPORTRANGE(""https://docs.google.com/spreadsheets/d/1GbCI"&amp;"E4D4wk9FUozzqk7SxfDMxDVBwVmI5zcaVUSzKAc/edit?usp=sharing"",""ประจวบคีรีขันธ์!S521"")+IMPORTRANGE(""https://docs.google.com/spreadsheets/d/1vVf6wykvW_lAyu7Yo9L4hUTqHqIeP_qcVuxCtosJEbg/edit?usp=sharing"",""ปราจีนบุรี!S521"")+IMPORTRANGE(""https://docs.googl"&amp;"e.com/spreadsheets/d/1BIDqLLg5jk3v59G8NlR8rk5xfQDKne0sAvZHSj7TI6I/edit?usp=sharing"",""พระนครศรีอยุธยา!S521"")+IMPORTRANGE(""https://docs.google.com/spreadsheets/d/1YXvxf8Yu6_rV4hTBrwMqAcAnv6DfhUxh5emyM3CJp_w/edit?usp=sharing"",""เพชรบุรี!S521"")+IMPORTRA"&amp;"NGE(""https://docs.google.com/spreadsheets/d/19KBlQQs7uwvsao6t2n-KvW3Ax8J8uRRfZPq1zPbXgKc/edit?usp=sharing"",""ระยอง!S521"")+IMPORTRANGE(""https://docs.google.com/spreadsheets/d/1jQ6P4QcrGM89YfqcC_PxOHGCMq5ezhucwJd8ci-NHng/edit?usp=sharing"",""ราชบุรี!S52"&amp;"1"")+IMPORTRANGE(""https://docs.google.com/spreadsheets/d/1lufeA2cfFqM-elVq2hznhDzC6Pr7wkJ9ZG_sYNGCMCU/edit?usp=sharing"",""ลพบุรี!S521"")+IMPORTRANGE(""https://docs.google.com/spreadsheets/d/10oOiF7loTyfsTkbd4MpaIm0HQ9SwB7IYHdIUvt-U1Uc/edit?usp=sharing"""&amp;",""สระแก้ว!S521"")+IMPORTRANGE(""https://docs.google.com/spreadsheets/d/1xmPlrr1QbdSIKvl1dWUl9K4PjAfSL9oeMr_37QVzcxc/edit?usp=sharing"",""สระบุรี!S521"")+IMPORTRANGE(""https://docs.google.com/spreadsheets/d/1j51vR6CYVGhABJpv6tkstgok82RLpXieLzW1yOY5rHw/edi"&amp;"t?usp=sharing"",""สิงห์บุรี!S521"")+IMPORTRANGE(""https://docs.google.com/spreadsheets/d/1H1EalTWKUSzO4Z1-1CwzoDUaVffgrThEBe2sl74kKG0/edit?usp=sharing"",""สุพรรณบุรี!S521"")+IMPORTRANGE(""https://docs.google.com/spreadsheets/d/1BmIruG_sIrJLYao_Pdr7zVArWsf"&amp;"oBt2692TMi6x_854/edit?usp=sharing"",""อ่างทอง!S521"")"),0)</f>
        <v>0</v>
      </c>
      <c r="T521" s="135">
        <f t="shared" ca="1" si="358"/>
        <v>0</v>
      </c>
      <c r="U521" s="135">
        <f t="shared" ca="1" si="359"/>
        <v>0</v>
      </c>
    </row>
    <row r="522" spans="1:21" ht="19.5" x14ac:dyDescent="0.3">
      <c r="A522" s="224"/>
      <c r="B522" s="225"/>
      <c r="C522" s="212" t="s">
        <v>18</v>
      </c>
      <c r="D522" s="226" t="s">
        <v>38</v>
      </c>
      <c r="E522" s="227"/>
      <c r="F522" s="227"/>
      <c r="G522" s="228"/>
      <c r="H522" s="229"/>
      <c r="I522" s="221"/>
      <c r="J522" s="74"/>
      <c r="K522" s="75"/>
      <c r="L522" s="75"/>
      <c r="M522" s="75"/>
      <c r="N522" s="75"/>
      <c r="O522" s="222"/>
      <c r="P522" s="222"/>
      <c r="Q522" s="89"/>
      <c r="R522" s="90"/>
      <c r="S522" s="90"/>
      <c r="T522" s="231"/>
      <c r="U522" s="231"/>
    </row>
    <row r="523" spans="1:21" ht="18.75" x14ac:dyDescent="0.25">
      <c r="A523" s="368"/>
      <c r="B523" s="70"/>
      <c r="C523" s="371"/>
      <c r="D523" s="238" t="s">
        <v>209</v>
      </c>
      <c r="E523" s="225"/>
      <c r="F523" s="70"/>
      <c r="G523" s="72"/>
      <c r="H523" s="370" t="s">
        <v>11</v>
      </c>
      <c r="I523" s="241">
        <v>0</v>
      </c>
      <c r="J523" s="241">
        <v>0</v>
      </c>
      <c r="K523" s="91">
        <f t="shared" ref="K523:K524" si="368">IF(I523&gt;0,J523*100/I523,0)</f>
        <v>0</v>
      </c>
      <c r="L523" s="75"/>
      <c r="M523" s="75"/>
      <c r="N523" s="75"/>
      <c r="O523" s="75"/>
      <c r="P523" s="75"/>
      <c r="Q523" s="89"/>
      <c r="R523" s="90"/>
      <c r="S523" s="90"/>
      <c r="T523" s="90"/>
      <c r="U523" s="90"/>
    </row>
    <row r="524" spans="1:21" ht="18.75" x14ac:dyDescent="0.25">
      <c r="A524" s="646"/>
      <c r="B524" s="93"/>
      <c r="C524" s="647"/>
      <c r="D524" s="648" t="s">
        <v>210</v>
      </c>
      <c r="E524" s="649"/>
      <c r="F524" s="93"/>
      <c r="G524" s="95"/>
      <c r="H524" s="650" t="s">
        <v>61</v>
      </c>
      <c r="I524" s="651">
        <v>0</v>
      </c>
      <c r="J524" s="651">
        <v>0</v>
      </c>
      <c r="K524" s="99">
        <f t="shared" si="368"/>
        <v>0</v>
      </c>
      <c r="L524" s="98"/>
      <c r="M524" s="98"/>
      <c r="N524" s="98"/>
      <c r="O524" s="98"/>
      <c r="P524" s="98"/>
      <c r="Q524" s="89"/>
      <c r="R524" s="90"/>
      <c r="S524" s="90"/>
      <c r="T524" s="90"/>
      <c r="U524" s="90"/>
    </row>
    <row r="525" spans="1:21" ht="12.75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658"/>
      <c r="M525" s="658"/>
      <c r="N525" s="658"/>
      <c r="O525" s="658"/>
      <c r="P525" s="658"/>
      <c r="Q525" s="579"/>
      <c r="R525" s="578"/>
      <c r="S525" s="578"/>
      <c r="T525" s="578"/>
      <c r="U525" s="578"/>
    </row>
    <row r="526" spans="1:21" ht="12.75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668">
        <f t="shared" ref="I533:J533" si="369">I545</f>
        <v>0</v>
      </c>
      <c r="J533" s="668">
        <f t="shared" si="369"/>
        <v>0</v>
      </c>
      <c r="K533" s="669">
        <f>IF(I533&gt;0,J533*100/I533,0)</f>
        <v>0</v>
      </c>
      <c r="L533" s="645"/>
      <c r="M533" s="645"/>
      <c r="N533" s="645"/>
      <c r="O533" s="645"/>
      <c r="P533" s="645"/>
      <c r="Q533" s="644"/>
      <c r="R533" s="645"/>
      <c r="S533" s="645"/>
      <c r="T533" s="645"/>
      <c r="U533" s="645"/>
    </row>
    <row r="534" spans="1:21" ht="19.5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 t="shared" ref="L534:N534" ca="1" si="370">L535+L536</f>
        <v>0</v>
      </c>
      <c r="M534" s="266">
        <f t="shared" ca="1" si="370"/>
        <v>0</v>
      </c>
      <c r="N534" s="266">
        <f t="shared" ca="1" si="370"/>
        <v>0</v>
      </c>
      <c r="O534" s="266">
        <f t="shared" ref="O534:O542" ca="1" si="371">IF(L534&gt;0,N534*100/L534,0)</f>
        <v>0</v>
      </c>
      <c r="P534" s="266">
        <f t="shared" ref="P534:P542" ca="1" si="372">IF(M534&gt;0,N534*100/M534,0)</f>
        <v>0</v>
      </c>
      <c r="Q534" s="216">
        <f t="shared" ref="Q534:S534" ca="1" si="373">Q535+Q536</f>
        <v>0</v>
      </c>
      <c r="R534" s="217">
        <f t="shared" ca="1" si="373"/>
        <v>0</v>
      </c>
      <c r="S534" s="217">
        <f t="shared" ca="1" si="373"/>
        <v>0</v>
      </c>
      <c r="T534" s="217">
        <f t="shared" ref="T534:T542" ca="1" si="374">IF(Q534&gt;0,S534*100/Q534,0)</f>
        <v>0</v>
      </c>
      <c r="U534" s="217">
        <f t="shared" ref="U534:U542" ca="1" si="375">IF(R534&gt;0,S534*100/R534,0)</f>
        <v>0</v>
      </c>
    </row>
    <row r="535" spans="1:21" ht="18.75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 t="shared" ref="L535:N535" ca="1" si="376">L538+L541</f>
        <v>0</v>
      </c>
      <c r="M535" s="80">
        <f t="shared" ca="1" si="376"/>
        <v>0</v>
      </c>
      <c r="N535" s="80">
        <f t="shared" ca="1" si="376"/>
        <v>0</v>
      </c>
      <c r="O535" s="80">
        <f t="shared" ca="1" si="371"/>
        <v>0</v>
      </c>
      <c r="P535" s="80">
        <f t="shared" ca="1" si="372"/>
        <v>0</v>
      </c>
      <c r="Q535" s="219">
        <f t="shared" ref="Q535:S535" ca="1" si="377">Q538+Q541</f>
        <v>0</v>
      </c>
      <c r="R535" s="136">
        <f t="shared" ca="1" si="377"/>
        <v>0</v>
      </c>
      <c r="S535" s="136">
        <f t="shared" ca="1" si="377"/>
        <v>0</v>
      </c>
      <c r="T535" s="136">
        <f t="shared" ca="1" si="374"/>
        <v>0</v>
      </c>
      <c r="U535" s="136">
        <f t="shared" ca="1" si="375"/>
        <v>0</v>
      </c>
    </row>
    <row r="536" spans="1:21" ht="18.75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 t="shared" ref="L536:N536" ca="1" si="378">L539+L542</f>
        <v>0</v>
      </c>
      <c r="M536" s="77">
        <f t="shared" ca="1" si="378"/>
        <v>0</v>
      </c>
      <c r="N536" s="77">
        <f t="shared" ca="1" si="378"/>
        <v>0</v>
      </c>
      <c r="O536" s="77">
        <f t="shared" ca="1" si="371"/>
        <v>0</v>
      </c>
      <c r="P536" s="77">
        <f t="shared" ca="1" si="372"/>
        <v>0</v>
      </c>
      <c r="Q536" s="134">
        <f t="shared" ref="Q536:S536" ca="1" si="379">Q539+Q542</f>
        <v>0</v>
      </c>
      <c r="R536" s="135">
        <f t="shared" ca="1" si="379"/>
        <v>0</v>
      </c>
      <c r="S536" s="135">
        <f t="shared" ca="1" si="379"/>
        <v>0</v>
      </c>
      <c r="T536" s="135">
        <f t="shared" ca="1" si="374"/>
        <v>0</v>
      </c>
      <c r="U536" s="135">
        <f t="shared" ca="1" si="375"/>
        <v>0</v>
      </c>
    </row>
    <row r="537" spans="1:21" ht="18.75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 t="shared" ref="L537:N537" ca="1" si="380">L538+L539</f>
        <v>0</v>
      </c>
      <c r="M537" s="77">
        <f t="shared" ca="1" si="380"/>
        <v>0</v>
      </c>
      <c r="N537" s="77">
        <f t="shared" ca="1" si="380"/>
        <v>0</v>
      </c>
      <c r="O537" s="77">
        <f t="shared" ca="1" si="371"/>
        <v>0</v>
      </c>
      <c r="P537" s="77">
        <f t="shared" ca="1" si="372"/>
        <v>0</v>
      </c>
      <c r="Q537" s="134">
        <f t="shared" ref="Q537:S537" ca="1" si="381">Q538+Q539</f>
        <v>0</v>
      </c>
      <c r="R537" s="135">
        <f t="shared" ca="1" si="381"/>
        <v>0</v>
      </c>
      <c r="S537" s="135">
        <f t="shared" ca="1" si="381"/>
        <v>0</v>
      </c>
      <c r="T537" s="135">
        <f t="shared" ca="1" si="374"/>
        <v>0</v>
      </c>
      <c r="U537" s="135">
        <f t="shared" ca="1" si="375"/>
        <v>0</v>
      </c>
    </row>
    <row r="538" spans="1:21" ht="18.75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f ca="1">IFERROR(__xludf.DUMMYFUNCTION("IMPORTRANGE(""https://docs.google.com/spreadsheets/d/13wPX838HrBrQMCywv1BsuMkt4PEKTChp52zj44s2izQ/edit?usp=sharing"",""กาญจนบุรี!L538"")+IMPORTRANGE(""https://docs.google.com/spreadsheets/d/1ddFKvqj1W1NEiWytbGlB1zMx_ykJDVtmfEQ-6-lIUBA/edit?usp=sharing"","&amp;"""จันทบุรี!L538"")+IMPORTRANGE(""https://docs.google.com/spreadsheets/d/1T1PQvRODqOBZk8BRht_U031fIS1beLA0Ub2CEytj2q0/edit?usp=sharing"",""ฉะเชิงเทรา!L538"")+IMPORTRANGE(""https://docs.google.com/spreadsheets/d/11tr1B-Bhyr79v2bkwVh5h_fR-PStkgjlZtkrZpYurG0/"&amp;"edit?usp=sharing"",""ชลบุรี!L538"")+IMPORTRANGE(""https://docs.google.com/spreadsheets/d/1hh-FVnSX0vozXhGluamEcS54Dw9_zqW0N7qJUWgJ0Sw/edit?usp=sharing"",""ชัยนาท!L538"")+IMPORTRANGE(""https://docs.google.com/spreadsheets/d/1jkqa6GXxSacMcY1eN8AHjMNJ_7dDXMJ"&amp;"VRLDlaFSOdPM/edit?usp=sharing"",""ตราด!L538"")+IMPORTRANGE(""https://docs.google.com/spreadsheets/d/18hSgUJ3VwClqi_qtULmmW3cLr0oe3OKaSYoKzdpTsYQ/edit?usp=sharing"",""นครนายก!L538"")+IMPORTRANGE(""https://docs.google.com/spreadsheets/d/1YTZo6WM2dQ6Ix6FSdnL"&amp;"5P7uVnVKu40sxZu975tgG10E/edit?usp=sharing"",""นครปฐม!L538"")+IMPORTRANGE(""https://docs.google.com/spreadsheets/d/1OYoGg4WDg5RIzwGeB10padOxJF9E_Vljuvvct_M7RDo/edit?usp=sharing"",""ปทุมธานี!L538"")+IMPORTRANGE(""https://docs.google.com/spreadsheets/d/1GbCI"&amp;"E4D4wk9FUozzqk7SxfDMxDVBwVmI5zcaVUSzKAc/edit?usp=sharing"",""ประจวบคีรีขันธ์!L538"")+IMPORTRANGE(""https://docs.google.com/spreadsheets/d/1vVf6wykvW_lAyu7Yo9L4hUTqHqIeP_qcVuxCtosJEbg/edit?usp=sharing"",""ปราจีนบุรี!L538"")+IMPORTRANGE(""https://docs.googl"&amp;"e.com/spreadsheets/d/1BIDqLLg5jk3v59G8NlR8rk5xfQDKne0sAvZHSj7TI6I/edit?usp=sharing"",""พระนครศรีอยุธยา!L538"")+IMPORTRANGE(""https://docs.google.com/spreadsheets/d/1YXvxf8Yu6_rV4hTBrwMqAcAnv6DfhUxh5emyM3CJp_w/edit?usp=sharing"",""เพชรบุรี!L538"")+IMPORTRA"&amp;"NGE(""https://docs.google.com/spreadsheets/d/19KBlQQs7uwvsao6t2n-KvW3Ax8J8uRRfZPq1zPbXgKc/edit?usp=sharing"",""ระยอง!L538"")+IMPORTRANGE(""https://docs.google.com/spreadsheets/d/1jQ6P4QcrGM89YfqcC_PxOHGCMq5ezhucwJd8ci-NHng/edit?usp=sharing"",""ราชบุรี!L53"&amp;"8"")+IMPORTRANGE(""https://docs.google.com/spreadsheets/d/1lufeA2cfFqM-elVq2hznhDzC6Pr7wkJ9ZG_sYNGCMCU/edit?usp=sharing"",""ลพบุรี!L538"")+IMPORTRANGE(""https://docs.google.com/spreadsheets/d/10oOiF7loTyfsTkbd4MpaIm0HQ9SwB7IYHdIUvt-U1Uc/edit?usp=sharing"""&amp;",""สระแก้ว!L538"")+IMPORTRANGE(""https://docs.google.com/spreadsheets/d/1xmPlrr1QbdSIKvl1dWUl9K4PjAfSL9oeMr_37QVzcxc/edit?usp=sharing"",""สระบุรี!L538"")+IMPORTRANGE(""https://docs.google.com/spreadsheets/d/1j51vR6CYVGhABJpv6tkstgok82RLpXieLzW1yOY5rHw/edi"&amp;"t?usp=sharing"",""สิงห์บุรี!L538"")+IMPORTRANGE(""https://docs.google.com/spreadsheets/d/1H1EalTWKUSzO4Z1-1CwzoDUaVffgrThEBe2sl74kKG0/edit?usp=sharing"",""สุพรรณบุรี!L538"")+IMPORTRANGE(""https://docs.google.com/spreadsheets/d/1BmIruG_sIrJLYao_Pdr7zVArWsf"&amp;"oBt2692TMi6x_854/edit?usp=sharing"",""อ่างทอง!L538"")"),0)</f>
        <v>0</v>
      </c>
      <c r="M538" s="80">
        <f ca="1">IFERROR(__xludf.DUMMYFUNCTION("IMPORTRANGE(""https://docs.google.com/spreadsheets/d/13wPX838HrBrQMCywv1BsuMkt4PEKTChp52zj44s2izQ/edit?usp=sharing"",""กาญจนบุรี!M538"")+IMPORTRANGE(""https://docs.google.com/spreadsheets/d/1ddFKvqj1W1NEiWytbGlB1zMx_ykJDVtmfEQ-6-lIUBA/edit?usp=sharing"","&amp;"""จันทบุรี!M538"")+IMPORTRANGE(""https://docs.google.com/spreadsheets/d/1T1PQvRODqOBZk8BRht_U031fIS1beLA0Ub2CEytj2q0/edit?usp=sharing"",""ฉะเชิงเทรา!M538"")+IMPORTRANGE(""https://docs.google.com/spreadsheets/d/11tr1B-Bhyr79v2bkwVh5h_fR-PStkgjlZtkrZpYurG0/"&amp;"edit?usp=sharing"",""ชลบุรี!M538"")+IMPORTRANGE(""https://docs.google.com/spreadsheets/d/1hh-FVnSX0vozXhGluamEcS54Dw9_zqW0N7qJUWgJ0Sw/edit?usp=sharing"",""ชัยนาท!M538"")+IMPORTRANGE(""https://docs.google.com/spreadsheets/d/1jkqa6GXxSacMcY1eN8AHjMNJ_7dDXMJ"&amp;"VRLDlaFSOdPM/edit?usp=sharing"",""ตราด!M538"")+IMPORTRANGE(""https://docs.google.com/spreadsheets/d/18hSgUJ3VwClqi_qtULmmW3cLr0oe3OKaSYoKzdpTsYQ/edit?usp=sharing"",""นครนายก!M538"")+IMPORTRANGE(""https://docs.google.com/spreadsheets/d/1YTZo6WM2dQ6Ix6FSdnL"&amp;"5P7uVnVKu40sxZu975tgG10E/edit?usp=sharing"",""นครปฐม!M538"")+IMPORTRANGE(""https://docs.google.com/spreadsheets/d/1OYoGg4WDg5RIzwGeB10padOxJF9E_Vljuvvct_M7RDo/edit?usp=sharing"",""ปทุมธานี!M538"")+IMPORTRANGE(""https://docs.google.com/spreadsheets/d/1GbCI"&amp;"E4D4wk9FUozzqk7SxfDMxDVBwVmI5zcaVUSzKAc/edit?usp=sharing"",""ประจวบคีรีขันธ์!M538"")+IMPORTRANGE(""https://docs.google.com/spreadsheets/d/1vVf6wykvW_lAyu7Yo9L4hUTqHqIeP_qcVuxCtosJEbg/edit?usp=sharing"",""ปราจีนบุรี!M538"")+IMPORTRANGE(""https://docs.googl"&amp;"e.com/spreadsheets/d/1BIDqLLg5jk3v59G8NlR8rk5xfQDKne0sAvZHSj7TI6I/edit?usp=sharing"",""พระนครศรีอยุธยา!M538"")+IMPORTRANGE(""https://docs.google.com/spreadsheets/d/1YXvxf8Yu6_rV4hTBrwMqAcAnv6DfhUxh5emyM3CJp_w/edit?usp=sharing"",""เพชรบุรี!M538"")+IMPORTRA"&amp;"NGE(""https://docs.google.com/spreadsheets/d/19KBlQQs7uwvsao6t2n-KvW3Ax8J8uRRfZPq1zPbXgKc/edit?usp=sharing"",""ระยอง!M538"")+IMPORTRANGE(""https://docs.google.com/spreadsheets/d/1jQ6P4QcrGM89YfqcC_PxOHGCMq5ezhucwJd8ci-NHng/edit?usp=sharing"",""ราชบุรี!M53"&amp;"8"")+IMPORTRANGE(""https://docs.google.com/spreadsheets/d/1lufeA2cfFqM-elVq2hznhDzC6Pr7wkJ9ZG_sYNGCMCU/edit?usp=sharing"",""ลพบุรี!M538"")+IMPORTRANGE(""https://docs.google.com/spreadsheets/d/10oOiF7loTyfsTkbd4MpaIm0HQ9SwB7IYHdIUvt-U1Uc/edit?usp=sharing"""&amp;",""สระแก้ว!M538"")+IMPORTRANGE(""https://docs.google.com/spreadsheets/d/1xmPlrr1QbdSIKvl1dWUl9K4PjAfSL9oeMr_37QVzcxc/edit?usp=sharing"",""สระบุรี!M538"")+IMPORTRANGE(""https://docs.google.com/spreadsheets/d/1j51vR6CYVGhABJpv6tkstgok82RLpXieLzW1yOY5rHw/edi"&amp;"t?usp=sharing"",""สิงห์บุรี!M538"")+IMPORTRANGE(""https://docs.google.com/spreadsheets/d/1H1EalTWKUSzO4Z1-1CwzoDUaVffgrThEBe2sl74kKG0/edit?usp=sharing"",""สุพรรณบุรี!M538"")+IMPORTRANGE(""https://docs.google.com/spreadsheets/d/1BmIruG_sIrJLYao_Pdr7zVArWsf"&amp;"oBt2692TMi6x_854/edit?usp=sharing"",""อ่างทอง!M538"")"),0)</f>
        <v>0</v>
      </c>
      <c r="N538" s="80">
        <f ca="1">IFERROR(__xludf.DUMMYFUNCTION("IMPORTRANGE(""https://docs.google.com/spreadsheets/d/13wPX838HrBrQMCywv1BsuMkt4PEKTChp52zj44s2izQ/edit?usp=sharing"",""กาญจนบุรี!N538"")+IMPORTRANGE(""https://docs.google.com/spreadsheets/d/1ddFKvqj1W1NEiWytbGlB1zMx_ykJDVtmfEQ-6-lIUBA/edit?usp=sharing"","&amp;"""จันทบุรี!N538"")+IMPORTRANGE(""https://docs.google.com/spreadsheets/d/1T1PQvRODqOBZk8BRht_U031fIS1beLA0Ub2CEytj2q0/edit?usp=sharing"",""ฉะเชิงเทรา!N538"")+IMPORTRANGE(""https://docs.google.com/spreadsheets/d/11tr1B-Bhyr79v2bkwVh5h_fR-PStkgjlZtkrZpYurG0/"&amp;"edit?usp=sharing"",""ชลบุรี!N538"")+IMPORTRANGE(""https://docs.google.com/spreadsheets/d/1hh-FVnSX0vozXhGluamEcS54Dw9_zqW0N7qJUWgJ0Sw/edit?usp=sharing"",""ชัยนาท!N538"")+IMPORTRANGE(""https://docs.google.com/spreadsheets/d/1jkqa6GXxSacMcY1eN8AHjMNJ_7dDXMJ"&amp;"VRLDlaFSOdPM/edit?usp=sharing"",""ตราด!N538"")+IMPORTRANGE(""https://docs.google.com/spreadsheets/d/18hSgUJ3VwClqi_qtULmmW3cLr0oe3OKaSYoKzdpTsYQ/edit?usp=sharing"",""นครนายก!N538"")+IMPORTRANGE(""https://docs.google.com/spreadsheets/d/1YTZo6WM2dQ6Ix6FSdnL"&amp;"5P7uVnVKu40sxZu975tgG10E/edit?usp=sharing"",""นครปฐม!N538"")+IMPORTRANGE(""https://docs.google.com/spreadsheets/d/1OYoGg4WDg5RIzwGeB10padOxJF9E_Vljuvvct_M7RDo/edit?usp=sharing"",""ปทุมธานี!N538"")+IMPORTRANGE(""https://docs.google.com/spreadsheets/d/1GbCI"&amp;"E4D4wk9FUozzqk7SxfDMxDVBwVmI5zcaVUSzKAc/edit?usp=sharing"",""ประจวบคีรีขันธ์!N538"")+IMPORTRANGE(""https://docs.google.com/spreadsheets/d/1vVf6wykvW_lAyu7Yo9L4hUTqHqIeP_qcVuxCtosJEbg/edit?usp=sharing"",""ปราจีนบุรี!N538"")+IMPORTRANGE(""https://docs.googl"&amp;"e.com/spreadsheets/d/1BIDqLLg5jk3v59G8NlR8rk5xfQDKne0sAvZHSj7TI6I/edit?usp=sharing"",""พระนครศรีอยุธยา!N538"")+IMPORTRANGE(""https://docs.google.com/spreadsheets/d/1YXvxf8Yu6_rV4hTBrwMqAcAnv6DfhUxh5emyM3CJp_w/edit?usp=sharing"",""เพชรบุรี!N538"")+IMPORTRA"&amp;"NGE(""https://docs.google.com/spreadsheets/d/19KBlQQs7uwvsao6t2n-KvW3Ax8J8uRRfZPq1zPbXgKc/edit?usp=sharing"",""ระยอง!N538"")+IMPORTRANGE(""https://docs.google.com/spreadsheets/d/1jQ6P4QcrGM89YfqcC_PxOHGCMq5ezhucwJd8ci-NHng/edit?usp=sharing"",""ราชบุรี!N53"&amp;"8"")+IMPORTRANGE(""https://docs.google.com/spreadsheets/d/1lufeA2cfFqM-elVq2hznhDzC6Pr7wkJ9ZG_sYNGCMCU/edit?usp=sharing"",""ลพบุรี!N538"")+IMPORTRANGE(""https://docs.google.com/spreadsheets/d/10oOiF7loTyfsTkbd4MpaIm0HQ9SwB7IYHdIUvt-U1Uc/edit?usp=sharing"""&amp;",""สระแก้ว!N538"")+IMPORTRANGE(""https://docs.google.com/spreadsheets/d/1xmPlrr1QbdSIKvl1dWUl9K4PjAfSL9oeMr_37QVzcxc/edit?usp=sharing"",""สระบุรี!N538"")+IMPORTRANGE(""https://docs.google.com/spreadsheets/d/1j51vR6CYVGhABJpv6tkstgok82RLpXieLzW1yOY5rHw/edi"&amp;"t?usp=sharing"",""สิงห์บุรี!N538"")+IMPORTRANGE(""https://docs.google.com/spreadsheets/d/1H1EalTWKUSzO4Z1-1CwzoDUaVffgrThEBe2sl74kKG0/edit?usp=sharing"",""สุพรรณบุรี!N538"")+IMPORTRANGE(""https://docs.google.com/spreadsheets/d/1BmIruG_sIrJLYao_Pdr7zVArWsf"&amp;"oBt2692TMi6x_854/edit?usp=sharing"",""อ่างทอง!N538"")"),0)</f>
        <v>0</v>
      </c>
      <c r="O538" s="80">
        <f t="shared" ca="1" si="371"/>
        <v>0</v>
      </c>
      <c r="P538" s="80">
        <f t="shared" ca="1" si="372"/>
        <v>0</v>
      </c>
      <c r="Q538" s="79">
        <f ca="1">IFERROR(__xludf.DUMMYFUNCTION("IMPORTRANGE(""https://docs.google.com/spreadsheets/d/13wPX838HrBrQMCywv1BsuMkt4PEKTChp52zj44s2izQ/edit?usp=sharing"",""กาญจนบุรี!Q538"")+IMPORTRANGE(""https://docs.google.com/spreadsheets/d/1ddFKvqj1W1NEiWytbGlB1zMx_ykJDVtmfEQ-6-lIUBA/edit?usp=sharing"","&amp;"""จันทบุรี!Q538"")+IMPORTRANGE(""https://docs.google.com/spreadsheets/d/1T1PQvRODqOBZk8BRht_U031fIS1beLA0Ub2CEytj2q0/edit?usp=sharing"",""ฉะเชิงเทรา!Q538"")+IMPORTRANGE(""https://docs.google.com/spreadsheets/d/11tr1B-Bhyr79v2bkwVh5h_fR-PStkgjlZtkrZpYurG0/"&amp;"edit?usp=sharing"",""ชลบุรี!Q538"")+IMPORTRANGE(""https://docs.google.com/spreadsheets/d/1hh-FVnSX0vozXhGluamEcS54Dw9_zqW0N7qJUWgJ0Sw/edit?usp=sharing"",""ชัยนาท!Q538"")+IMPORTRANGE(""https://docs.google.com/spreadsheets/d/1jkqa6GXxSacMcY1eN8AHjMNJ_7dDXMJ"&amp;"VRLDlaFSOdPM/edit?usp=sharing"",""ตราด!Q538"")+IMPORTRANGE(""https://docs.google.com/spreadsheets/d/18hSgUJ3VwClqi_qtULmmW3cLr0oe3OKaSYoKzdpTsYQ/edit?usp=sharing"",""นครนายก!Q538"")+IMPORTRANGE(""https://docs.google.com/spreadsheets/d/1YTZo6WM2dQ6Ix6FSdnL"&amp;"5P7uVnVKu40sxZu975tgG10E/edit?usp=sharing"",""นครปฐม!Q538"")+IMPORTRANGE(""https://docs.google.com/spreadsheets/d/1OYoGg4WDg5RIzwGeB10padOxJF9E_Vljuvvct_M7RDo/edit?usp=sharing"",""ปทุมธานี!Q538"")+IMPORTRANGE(""https://docs.google.com/spreadsheets/d/1GbCI"&amp;"E4D4wk9FUozzqk7SxfDMxDVBwVmI5zcaVUSzKAc/edit?usp=sharing"",""ประจวบคีรีขันธ์!Q538"")+IMPORTRANGE(""https://docs.google.com/spreadsheets/d/1vVf6wykvW_lAyu7Yo9L4hUTqHqIeP_qcVuxCtosJEbg/edit?usp=sharing"",""ปราจีนบุรี!Q538"")+IMPORTRANGE(""https://docs.googl"&amp;"e.com/spreadsheets/d/1BIDqLLg5jk3v59G8NlR8rk5xfQDKne0sAvZHSj7TI6I/edit?usp=sharing"",""พระนครศรีอยุธยา!Q538"")+IMPORTRANGE(""https://docs.google.com/spreadsheets/d/1YXvxf8Yu6_rV4hTBrwMqAcAnv6DfhUxh5emyM3CJp_w/edit?usp=sharing"",""เพชรบุรี!Q538"")+IMPORTRA"&amp;"NGE(""https://docs.google.com/spreadsheets/d/19KBlQQs7uwvsao6t2n-KvW3Ax8J8uRRfZPq1zPbXgKc/edit?usp=sharing"",""ระยอง!Q538"")+IMPORTRANGE(""https://docs.google.com/spreadsheets/d/1jQ6P4QcrGM89YfqcC_PxOHGCMq5ezhucwJd8ci-NHng/edit?usp=sharing"",""ราชบุรี!Q53"&amp;"8"")+IMPORTRANGE(""https://docs.google.com/spreadsheets/d/1lufeA2cfFqM-elVq2hznhDzC6Pr7wkJ9ZG_sYNGCMCU/edit?usp=sharing"",""ลพบุรี!Q538"")+IMPORTRANGE(""https://docs.google.com/spreadsheets/d/10oOiF7loTyfsTkbd4MpaIm0HQ9SwB7IYHdIUvt-U1Uc/edit?usp=sharing"""&amp;",""สระแก้ว!Q538"")+IMPORTRANGE(""https://docs.google.com/spreadsheets/d/1xmPlrr1QbdSIKvl1dWUl9K4PjAfSL9oeMr_37QVzcxc/edit?usp=sharing"",""สระบุรี!Q538"")+IMPORTRANGE(""https://docs.google.com/spreadsheets/d/1j51vR6CYVGhABJpv6tkstgok82RLpXieLzW1yOY5rHw/edi"&amp;"t?usp=sharing"",""สิงห์บุรี!Q538"")+IMPORTRANGE(""https://docs.google.com/spreadsheets/d/1H1EalTWKUSzO4Z1-1CwzoDUaVffgrThEBe2sl74kKG0/edit?usp=sharing"",""สุพรรณบุรี!Q538"")+IMPORTRANGE(""https://docs.google.com/spreadsheets/d/1BmIruG_sIrJLYao_Pdr7zVArWsf"&amp;"oBt2692TMi6x_854/edit?usp=sharing"",""อ่างทอง!Q538"")"),0)</f>
        <v>0</v>
      </c>
      <c r="R538" s="80">
        <f ca="1">IFERROR(__xludf.DUMMYFUNCTION("IMPORTRANGE(""https://docs.google.com/spreadsheets/d/13wPX838HrBrQMCywv1BsuMkt4PEKTChp52zj44s2izQ/edit?usp=sharing"",""กาญจนบุรี!R538"")+IMPORTRANGE(""https://docs.google.com/spreadsheets/d/1ddFKvqj1W1NEiWytbGlB1zMx_ykJDVtmfEQ-6-lIUBA/edit?usp=sharing"","&amp;"""จันทบุรี!R538"")+IMPORTRANGE(""https://docs.google.com/spreadsheets/d/1T1PQvRODqOBZk8BRht_U031fIS1beLA0Ub2CEytj2q0/edit?usp=sharing"",""ฉะเชิงเทรา!R538"")+IMPORTRANGE(""https://docs.google.com/spreadsheets/d/11tr1B-Bhyr79v2bkwVh5h_fR-PStkgjlZtkrZpYurG0/"&amp;"edit?usp=sharing"",""ชลบุรี!R538"")+IMPORTRANGE(""https://docs.google.com/spreadsheets/d/1hh-FVnSX0vozXhGluamEcS54Dw9_zqW0N7qJUWgJ0Sw/edit?usp=sharing"",""ชัยนาท!R538"")+IMPORTRANGE(""https://docs.google.com/spreadsheets/d/1jkqa6GXxSacMcY1eN8AHjMNJ_7dDXMJ"&amp;"VRLDlaFSOdPM/edit?usp=sharing"",""ตราด!R538"")+IMPORTRANGE(""https://docs.google.com/spreadsheets/d/18hSgUJ3VwClqi_qtULmmW3cLr0oe3OKaSYoKzdpTsYQ/edit?usp=sharing"",""นครนายก!R538"")+IMPORTRANGE(""https://docs.google.com/spreadsheets/d/1YTZo6WM2dQ6Ix6FSdnL"&amp;"5P7uVnVKu40sxZu975tgG10E/edit?usp=sharing"",""นครปฐม!R538"")+IMPORTRANGE(""https://docs.google.com/spreadsheets/d/1OYoGg4WDg5RIzwGeB10padOxJF9E_Vljuvvct_M7RDo/edit?usp=sharing"",""ปทุมธานี!R538"")+IMPORTRANGE(""https://docs.google.com/spreadsheets/d/1GbCI"&amp;"E4D4wk9FUozzqk7SxfDMxDVBwVmI5zcaVUSzKAc/edit?usp=sharing"",""ประจวบคีรีขันธ์!R538"")+IMPORTRANGE(""https://docs.google.com/spreadsheets/d/1vVf6wykvW_lAyu7Yo9L4hUTqHqIeP_qcVuxCtosJEbg/edit?usp=sharing"",""ปราจีนบุรี!R538"")+IMPORTRANGE(""https://docs.googl"&amp;"e.com/spreadsheets/d/1BIDqLLg5jk3v59G8NlR8rk5xfQDKne0sAvZHSj7TI6I/edit?usp=sharing"",""พระนครศรีอยุธยา!R538"")+IMPORTRANGE(""https://docs.google.com/spreadsheets/d/1YXvxf8Yu6_rV4hTBrwMqAcAnv6DfhUxh5emyM3CJp_w/edit?usp=sharing"",""เพชรบุรี!R538"")+IMPORTRA"&amp;"NGE(""https://docs.google.com/spreadsheets/d/19KBlQQs7uwvsao6t2n-KvW3Ax8J8uRRfZPq1zPbXgKc/edit?usp=sharing"",""ระยอง!R538"")+IMPORTRANGE(""https://docs.google.com/spreadsheets/d/1jQ6P4QcrGM89YfqcC_PxOHGCMq5ezhucwJd8ci-NHng/edit?usp=sharing"",""ราชบุรี!R53"&amp;"8"")+IMPORTRANGE(""https://docs.google.com/spreadsheets/d/1lufeA2cfFqM-elVq2hznhDzC6Pr7wkJ9ZG_sYNGCMCU/edit?usp=sharing"",""ลพบุรี!R538"")+IMPORTRANGE(""https://docs.google.com/spreadsheets/d/10oOiF7loTyfsTkbd4MpaIm0HQ9SwB7IYHdIUvt-U1Uc/edit?usp=sharing"""&amp;",""สระแก้ว!R538"")+IMPORTRANGE(""https://docs.google.com/spreadsheets/d/1xmPlrr1QbdSIKvl1dWUl9K4PjAfSL9oeMr_37QVzcxc/edit?usp=sharing"",""สระบุรี!R538"")+IMPORTRANGE(""https://docs.google.com/spreadsheets/d/1j51vR6CYVGhABJpv6tkstgok82RLpXieLzW1yOY5rHw/edi"&amp;"t?usp=sharing"",""สิงห์บุรี!R538"")+IMPORTRANGE(""https://docs.google.com/spreadsheets/d/1H1EalTWKUSzO4Z1-1CwzoDUaVffgrThEBe2sl74kKG0/edit?usp=sharing"",""สุพรรณบุรี!R538"")+IMPORTRANGE(""https://docs.google.com/spreadsheets/d/1BmIruG_sIrJLYao_Pdr7zVArWsf"&amp;"oBt2692TMi6x_854/edit?usp=sharing"",""อ่างทอง!R538"")"),0)</f>
        <v>0</v>
      </c>
      <c r="S538" s="80">
        <f ca="1">IFERROR(__xludf.DUMMYFUNCTION("IMPORTRANGE(""https://docs.google.com/spreadsheets/d/13wPX838HrBrQMCywv1BsuMkt4PEKTChp52zj44s2izQ/edit?usp=sharing"",""กาญจนบุรี!S538"")+IMPORTRANGE(""https://docs.google.com/spreadsheets/d/1ddFKvqj1W1NEiWytbGlB1zMx_ykJDVtmfEQ-6-lIUBA/edit?usp=sharing"","&amp;"""จันทบุรี!S538"")+IMPORTRANGE(""https://docs.google.com/spreadsheets/d/1T1PQvRODqOBZk8BRht_U031fIS1beLA0Ub2CEytj2q0/edit?usp=sharing"",""ฉะเชิงเทรา!S538"")+IMPORTRANGE(""https://docs.google.com/spreadsheets/d/11tr1B-Bhyr79v2bkwVh5h_fR-PStkgjlZtkrZpYurG0/"&amp;"edit?usp=sharing"",""ชลบุรี!S538"")+IMPORTRANGE(""https://docs.google.com/spreadsheets/d/1hh-FVnSX0vozXhGluamEcS54Dw9_zqW0N7qJUWgJ0Sw/edit?usp=sharing"",""ชัยนาท!S538"")+IMPORTRANGE(""https://docs.google.com/spreadsheets/d/1jkqa6GXxSacMcY1eN8AHjMNJ_7dDXMJ"&amp;"VRLDlaFSOdPM/edit?usp=sharing"",""ตราด!S538"")+IMPORTRANGE(""https://docs.google.com/spreadsheets/d/18hSgUJ3VwClqi_qtULmmW3cLr0oe3OKaSYoKzdpTsYQ/edit?usp=sharing"",""นครนายก!S538"")+IMPORTRANGE(""https://docs.google.com/spreadsheets/d/1YTZo6WM2dQ6Ix6FSdnL"&amp;"5P7uVnVKu40sxZu975tgG10E/edit?usp=sharing"",""นครปฐม!S538"")+IMPORTRANGE(""https://docs.google.com/spreadsheets/d/1OYoGg4WDg5RIzwGeB10padOxJF9E_Vljuvvct_M7RDo/edit?usp=sharing"",""ปทุมธานี!S538"")+IMPORTRANGE(""https://docs.google.com/spreadsheets/d/1GbCI"&amp;"E4D4wk9FUozzqk7SxfDMxDVBwVmI5zcaVUSzKAc/edit?usp=sharing"",""ประจวบคีรีขันธ์!S538"")+IMPORTRANGE(""https://docs.google.com/spreadsheets/d/1vVf6wykvW_lAyu7Yo9L4hUTqHqIeP_qcVuxCtosJEbg/edit?usp=sharing"",""ปราจีนบุรี!S538"")+IMPORTRANGE(""https://docs.googl"&amp;"e.com/spreadsheets/d/1BIDqLLg5jk3v59G8NlR8rk5xfQDKne0sAvZHSj7TI6I/edit?usp=sharing"",""พระนครศรีอยุธยา!S538"")+IMPORTRANGE(""https://docs.google.com/spreadsheets/d/1YXvxf8Yu6_rV4hTBrwMqAcAnv6DfhUxh5emyM3CJp_w/edit?usp=sharing"",""เพชรบุรี!S538"")+IMPORTRA"&amp;"NGE(""https://docs.google.com/spreadsheets/d/19KBlQQs7uwvsao6t2n-KvW3Ax8J8uRRfZPq1zPbXgKc/edit?usp=sharing"",""ระยอง!S538"")+IMPORTRANGE(""https://docs.google.com/spreadsheets/d/1jQ6P4QcrGM89YfqcC_PxOHGCMq5ezhucwJd8ci-NHng/edit?usp=sharing"",""ราชบุรี!S53"&amp;"8"")+IMPORTRANGE(""https://docs.google.com/spreadsheets/d/1lufeA2cfFqM-elVq2hznhDzC6Pr7wkJ9ZG_sYNGCMCU/edit?usp=sharing"",""ลพบุรี!S538"")+IMPORTRANGE(""https://docs.google.com/spreadsheets/d/10oOiF7loTyfsTkbd4MpaIm0HQ9SwB7IYHdIUvt-U1Uc/edit?usp=sharing"""&amp;",""สระแก้ว!S538"")+IMPORTRANGE(""https://docs.google.com/spreadsheets/d/1xmPlrr1QbdSIKvl1dWUl9K4PjAfSL9oeMr_37QVzcxc/edit?usp=sharing"",""สระบุรี!S538"")+IMPORTRANGE(""https://docs.google.com/spreadsheets/d/1j51vR6CYVGhABJpv6tkstgok82RLpXieLzW1yOY5rHw/edi"&amp;"t?usp=sharing"",""สิงห์บุรี!S538"")+IMPORTRANGE(""https://docs.google.com/spreadsheets/d/1H1EalTWKUSzO4Z1-1CwzoDUaVffgrThEBe2sl74kKG0/edit?usp=sharing"",""สุพรรณบุรี!S538"")+IMPORTRANGE(""https://docs.google.com/spreadsheets/d/1BmIruG_sIrJLYao_Pdr7zVArWsf"&amp;"oBt2692TMi6x_854/edit?usp=sharing"",""อ่างทอง!S538"")"),0)</f>
        <v>0</v>
      </c>
      <c r="T538" s="136">
        <f t="shared" ca="1" si="374"/>
        <v>0</v>
      </c>
      <c r="U538" s="136">
        <f t="shared" ca="1" si="375"/>
        <v>0</v>
      </c>
    </row>
    <row r="539" spans="1:21" ht="18.75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f ca="1">IFERROR(__xludf.DUMMYFUNCTION("IMPORTRANGE(""https://docs.google.com/spreadsheets/d/13wPX838HrBrQMCywv1BsuMkt4PEKTChp52zj44s2izQ/edit?usp=sharing"",""กาญจนบุรี!L539"")+IMPORTRANGE(""https://docs.google.com/spreadsheets/d/1ddFKvqj1W1NEiWytbGlB1zMx_ykJDVtmfEQ-6-lIUBA/edit?usp=sharing"","&amp;"""จันทบุรี!L539"")+IMPORTRANGE(""https://docs.google.com/spreadsheets/d/1T1PQvRODqOBZk8BRht_U031fIS1beLA0Ub2CEytj2q0/edit?usp=sharing"",""ฉะเชิงเทรา!L539"")+IMPORTRANGE(""https://docs.google.com/spreadsheets/d/11tr1B-Bhyr79v2bkwVh5h_fR-PStkgjlZtkrZpYurG0/"&amp;"edit?usp=sharing"",""ชลบุรี!L539"")+IMPORTRANGE(""https://docs.google.com/spreadsheets/d/1hh-FVnSX0vozXhGluamEcS54Dw9_zqW0N7qJUWgJ0Sw/edit?usp=sharing"",""ชัยนาท!L539"")+IMPORTRANGE(""https://docs.google.com/spreadsheets/d/1jkqa6GXxSacMcY1eN8AHjMNJ_7dDXMJ"&amp;"VRLDlaFSOdPM/edit?usp=sharing"",""ตราด!L539"")+IMPORTRANGE(""https://docs.google.com/spreadsheets/d/18hSgUJ3VwClqi_qtULmmW3cLr0oe3OKaSYoKzdpTsYQ/edit?usp=sharing"",""นครนายก!L539"")+IMPORTRANGE(""https://docs.google.com/spreadsheets/d/1YTZo6WM2dQ6Ix6FSdnL"&amp;"5P7uVnVKu40sxZu975tgG10E/edit?usp=sharing"",""นครปฐม!L539"")+IMPORTRANGE(""https://docs.google.com/spreadsheets/d/1OYoGg4WDg5RIzwGeB10padOxJF9E_Vljuvvct_M7RDo/edit?usp=sharing"",""ปทุมธานี!L539"")+IMPORTRANGE(""https://docs.google.com/spreadsheets/d/1GbCI"&amp;"E4D4wk9FUozzqk7SxfDMxDVBwVmI5zcaVUSzKAc/edit?usp=sharing"",""ประจวบคีรีขันธ์!L539"")+IMPORTRANGE(""https://docs.google.com/spreadsheets/d/1vVf6wykvW_lAyu7Yo9L4hUTqHqIeP_qcVuxCtosJEbg/edit?usp=sharing"",""ปราจีนบุรี!L539"")+IMPORTRANGE(""https://docs.googl"&amp;"e.com/spreadsheets/d/1BIDqLLg5jk3v59G8NlR8rk5xfQDKne0sAvZHSj7TI6I/edit?usp=sharing"",""พระนครศรีอยุธยา!L539"")+IMPORTRANGE(""https://docs.google.com/spreadsheets/d/1YXvxf8Yu6_rV4hTBrwMqAcAnv6DfhUxh5emyM3CJp_w/edit?usp=sharing"",""เพชรบุรี!L539"")+IMPORTRA"&amp;"NGE(""https://docs.google.com/spreadsheets/d/19KBlQQs7uwvsao6t2n-KvW3Ax8J8uRRfZPq1zPbXgKc/edit?usp=sharing"",""ระยอง!L539"")+IMPORTRANGE(""https://docs.google.com/spreadsheets/d/1jQ6P4QcrGM89YfqcC_PxOHGCMq5ezhucwJd8ci-NHng/edit?usp=sharing"",""ราชบุรี!L53"&amp;"9"")+IMPORTRANGE(""https://docs.google.com/spreadsheets/d/1lufeA2cfFqM-elVq2hznhDzC6Pr7wkJ9ZG_sYNGCMCU/edit?usp=sharing"",""ลพบุรี!L539"")+IMPORTRANGE(""https://docs.google.com/spreadsheets/d/10oOiF7loTyfsTkbd4MpaIm0HQ9SwB7IYHdIUvt-U1Uc/edit?usp=sharing"""&amp;",""สระแก้ว!L539"")+IMPORTRANGE(""https://docs.google.com/spreadsheets/d/1xmPlrr1QbdSIKvl1dWUl9K4PjAfSL9oeMr_37QVzcxc/edit?usp=sharing"",""สระบุรี!L539"")+IMPORTRANGE(""https://docs.google.com/spreadsheets/d/1j51vR6CYVGhABJpv6tkstgok82RLpXieLzW1yOY5rHw/edi"&amp;"t?usp=sharing"",""สิงห์บุรี!L539"")+IMPORTRANGE(""https://docs.google.com/spreadsheets/d/1H1EalTWKUSzO4Z1-1CwzoDUaVffgrThEBe2sl74kKG0/edit?usp=sharing"",""สุพรรณบุรี!L539"")+IMPORTRANGE(""https://docs.google.com/spreadsheets/d/1BmIruG_sIrJLYao_Pdr7zVArWsf"&amp;"oBt2692TMi6x_854/edit?usp=sharing"",""อ่างทอง!L539"")"),0)</f>
        <v>0</v>
      </c>
      <c r="M539" s="77">
        <f ca="1">IFERROR(__xludf.DUMMYFUNCTION("IMPORTRANGE(""https://docs.google.com/spreadsheets/d/13wPX838HrBrQMCywv1BsuMkt4PEKTChp52zj44s2izQ/edit?usp=sharing"",""กาญจนบุรี!M539"")+IMPORTRANGE(""https://docs.google.com/spreadsheets/d/1ddFKvqj1W1NEiWytbGlB1zMx_ykJDVtmfEQ-6-lIUBA/edit?usp=sharing"","&amp;"""จันทบุรี!M539"")+IMPORTRANGE(""https://docs.google.com/spreadsheets/d/1T1PQvRODqOBZk8BRht_U031fIS1beLA0Ub2CEytj2q0/edit?usp=sharing"",""ฉะเชิงเทรา!M539"")+IMPORTRANGE(""https://docs.google.com/spreadsheets/d/11tr1B-Bhyr79v2bkwVh5h_fR-PStkgjlZtkrZpYurG0/"&amp;"edit?usp=sharing"",""ชลบุรี!M539"")+IMPORTRANGE(""https://docs.google.com/spreadsheets/d/1hh-FVnSX0vozXhGluamEcS54Dw9_zqW0N7qJUWgJ0Sw/edit?usp=sharing"",""ชัยนาท!M539"")+IMPORTRANGE(""https://docs.google.com/spreadsheets/d/1jkqa6GXxSacMcY1eN8AHjMNJ_7dDXMJ"&amp;"VRLDlaFSOdPM/edit?usp=sharing"",""ตราด!M539"")+IMPORTRANGE(""https://docs.google.com/spreadsheets/d/18hSgUJ3VwClqi_qtULmmW3cLr0oe3OKaSYoKzdpTsYQ/edit?usp=sharing"",""นครนายก!M539"")+IMPORTRANGE(""https://docs.google.com/spreadsheets/d/1YTZo6WM2dQ6Ix6FSdnL"&amp;"5P7uVnVKu40sxZu975tgG10E/edit?usp=sharing"",""นครปฐม!M539"")+IMPORTRANGE(""https://docs.google.com/spreadsheets/d/1OYoGg4WDg5RIzwGeB10padOxJF9E_Vljuvvct_M7RDo/edit?usp=sharing"",""ปทุมธานี!M539"")+IMPORTRANGE(""https://docs.google.com/spreadsheets/d/1GbCI"&amp;"E4D4wk9FUozzqk7SxfDMxDVBwVmI5zcaVUSzKAc/edit?usp=sharing"",""ประจวบคีรีขันธ์!M539"")+IMPORTRANGE(""https://docs.google.com/spreadsheets/d/1vVf6wykvW_lAyu7Yo9L4hUTqHqIeP_qcVuxCtosJEbg/edit?usp=sharing"",""ปราจีนบุรี!M539"")+IMPORTRANGE(""https://docs.googl"&amp;"e.com/spreadsheets/d/1BIDqLLg5jk3v59G8NlR8rk5xfQDKne0sAvZHSj7TI6I/edit?usp=sharing"",""พระนครศรีอยุธยา!M539"")+IMPORTRANGE(""https://docs.google.com/spreadsheets/d/1YXvxf8Yu6_rV4hTBrwMqAcAnv6DfhUxh5emyM3CJp_w/edit?usp=sharing"",""เพชรบุรี!M539"")+IMPORTRA"&amp;"NGE(""https://docs.google.com/spreadsheets/d/19KBlQQs7uwvsao6t2n-KvW3Ax8J8uRRfZPq1zPbXgKc/edit?usp=sharing"",""ระยอง!M539"")+IMPORTRANGE(""https://docs.google.com/spreadsheets/d/1jQ6P4QcrGM89YfqcC_PxOHGCMq5ezhucwJd8ci-NHng/edit?usp=sharing"",""ราชบุรี!M53"&amp;"9"")+IMPORTRANGE(""https://docs.google.com/spreadsheets/d/1lufeA2cfFqM-elVq2hznhDzC6Pr7wkJ9ZG_sYNGCMCU/edit?usp=sharing"",""ลพบุรี!M539"")+IMPORTRANGE(""https://docs.google.com/spreadsheets/d/10oOiF7loTyfsTkbd4MpaIm0HQ9SwB7IYHdIUvt-U1Uc/edit?usp=sharing"""&amp;",""สระแก้ว!M539"")+IMPORTRANGE(""https://docs.google.com/spreadsheets/d/1xmPlrr1QbdSIKvl1dWUl9K4PjAfSL9oeMr_37QVzcxc/edit?usp=sharing"",""สระบุรี!M539"")+IMPORTRANGE(""https://docs.google.com/spreadsheets/d/1j51vR6CYVGhABJpv6tkstgok82RLpXieLzW1yOY5rHw/edi"&amp;"t?usp=sharing"",""สิงห์บุรี!M539"")+IMPORTRANGE(""https://docs.google.com/spreadsheets/d/1H1EalTWKUSzO4Z1-1CwzoDUaVffgrThEBe2sl74kKG0/edit?usp=sharing"",""สุพรรณบุรี!M539"")+IMPORTRANGE(""https://docs.google.com/spreadsheets/d/1BmIruG_sIrJLYao_Pdr7zVArWsf"&amp;"oBt2692TMi6x_854/edit?usp=sharing"",""อ่างทอง!M539"")"),0)</f>
        <v>0</v>
      </c>
      <c r="N539" s="77">
        <f ca="1">IFERROR(__xludf.DUMMYFUNCTION("IMPORTRANGE(""https://docs.google.com/spreadsheets/d/13wPX838HrBrQMCywv1BsuMkt4PEKTChp52zj44s2izQ/edit?usp=sharing"",""กาญจนบุรี!N539"")+IMPORTRANGE(""https://docs.google.com/spreadsheets/d/1ddFKvqj1W1NEiWytbGlB1zMx_ykJDVtmfEQ-6-lIUBA/edit?usp=sharing"","&amp;"""จันทบุรี!N539"")+IMPORTRANGE(""https://docs.google.com/spreadsheets/d/1T1PQvRODqOBZk8BRht_U031fIS1beLA0Ub2CEytj2q0/edit?usp=sharing"",""ฉะเชิงเทรา!N539"")+IMPORTRANGE(""https://docs.google.com/spreadsheets/d/11tr1B-Bhyr79v2bkwVh5h_fR-PStkgjlZtkrZpYurG0/"&amp;"edit?usp=sharing"",""ชลบุรี!N539"")+IMPORTRANGE(""https://docs.google.com/spreadsheets/d/1hh-FVnSX0vozXhGluamEcS54Dw9_zqW0N7qJUWgJ0Sw/edit?usp=sharing"",""ชัยนาท!N539"")+IMPORTRANGE(""https://docs.google.com/spreadsheets/d/1jkqa6GXxSacMcY1eN8AHjMNJ_7dDXMJ"&amp;"VRLDlaFSOdPM/edit?usp=sharing"",""ตราด!N539"")+IMPORTRANGE(""https://docs.google.com/spreadsheets/d/18hSgUJ3VwClqi_qtULmmW3cLr0oe3OKaSYoKzdpTsYQ/edit?usp=sharing"",""นครนายก!N539"")+IMPORTRANGE(""https://docs.google.com/spreadsheets/d/1YTZo6WM2dQ6Ix6FSdnL"&amp;"5P7uVnVKu40sxZu975tgG10E/edit?usp=sharing"",""นครปฐม!N539"")+IMPORTRANGE(""https://docs.google.com/spreadsheets/d/1OYoGg4WDg5RIzwGeB10padOxJF9E_Vljuvvct_M7RDo/edit?usp=sharing"",""ปทุมธานี!N539"")+IMPORTRANGE(""https://docs.google.com/spreadsheets/d/1GbCI"&amp;"E4D4wk9FUozzqk7SxfDMxDVBwVmI5zcaVUSzKAc/edit?usp=sharing"",""ประจวบคีรีขันธ์!N539"")+IMPORTRANGE(""https://docs.google.com/spreadsheets/d/1vVf6wykvW_lAyu7Yo9L4hUTqHqIeP_qcVuxCtosJEbg/edit?usp=sharing"",""ปราจีนบุรี!N539"")+IMPORTRANGE(""https://docs.googl"&amp;"e.com/spreadsheets/d/1BIDqLLg5jk3v59G8NlR8rk5xfQDKne0sAvZHSj7TI6I/edit?usp=sharing"",""พระนครศรีอยุธยา!N539"")+IMPORTRANGE(""https://docs.google.com/spreadsheets/d/1YXvxf8Yu6_rV4hTBrwMqAcAnv6DfhUxh5emyM3CJp_w/edit?usp=sharing"",""เพชรบุรี!N539"")+IMPORTRA"&amp;"NGE(""https://docs.google.com/spreadsheets/d/19KBlQQs7uwvsao6t2n-KvW3Ax8J8uRRfZPq1zPbXgKc/edit?usp=sharing"",""ระยอง!N539"")+IMPORTRANGE(""https://docs.google.com/spreadsheets/d/1jQ6P4QcrGM89YfqcC_PxOHGCMq5ezhucwJd8ci-NHng/edit?usp=sharing"",""ราชบุรี!N53"&amp;"9"")+IMPORTRANGE(""https://docs.google.com/spreadsheets/d/1lufeA2cfFqM-elVq2hznhDzC6Pr7wkJ9ZG_sYNGCMCU/edit?usp=sharing"",""ลพบุรี!N539"")+IMPORTRANGE(""https://docs.google.com/spreadsheets/d/10oOiF7loTyfsTkbd4MpaIm0HQ9SwB7IYHdIUvt-U1Uc/edit?usp=sharing"""&amp;",""สระแก้ว!N539"")+IMPORTRANGE(""https://docs.google.com/spreadsheets/d/1xmPlrr1QbdSIKvl1dWUl9K4PjAfSL9oeMr_37QVzcxc/edit?usp=sharing"",""สระบุรี!N539"")+IMPORTRANGE(""https://docs.google.com/spreadsheets/d/1j51vR6CYVGhABJpv6tkstgok82RLpXieLzW1yOY5rHw/edi"&amp;"t?usp=sharing"",""สิงห์บุรี!N539"")+IMPORTRANGE(""https://docs.google.com/spreadsheets/d/1H1EalTWKUSzO4Z1-1CwzoDUaVffgrThEBe2sl74kKG0/edit?usp=sharing"",""สุพรรณบุรี!N539"")+IMPORTRANGE(""https://docs.google.com/spreadsheets/d/1BmIruG_sIrJLYao_Pdr7zVArWsf"&amp;"oBt2692TMi6x_854/edit?usp=sharing"",""อ่างทอง!N539"")"),0)</f>
        <v>0</v>
      </c>
      <c r="O539" s="77">
        <f t="shared" ca="1" si="371"/>
        <v>0</v>
      </c>
      <c r="P539" s="77">
        <f t="shared" ca="1" si="372"/>
        <v>0</v>
      </c>
      <c r="Q539" s="76">
        <f ca="1">IFERROR(__xludf.DUMMYFUNCTION("IMPORTRANGE(""https://docs.google.com/spreadsheets/d/13wPX838HrBrQMCywv1BsuMkt4PEKTChp52zj44s2izQ/edit?usp=sharing"",""กาญจนบุรี!Q539"")+IMPORTRANGE(""https://docs.google.com/spreadsheets/d/1ddFKvqj1W1NEiWytbGlB1zMx_ykJDVtmfEQ-6-lIUBA/edit?usp=sharing"","&amp;"""จันทบุรี!Q539"")+IMPORTRANGE(""https://docs.google.com/spreadsheets/d/1T1PQvRODqOBZk8BRht_U031fIS1beLA0Ub2CEytj2q0/edit?usp=sharing"",""ฉะเชิงเทรา!Q539"")+IMPORTRANGE(""https://docs.google.com/spreadsheets/d/11tr1B-Bhyr79v2bkwVh5h_fR-PStkgjlZtkrZpYurG0/"&amp;"edit?usp=sharing"",""ชลบุรี!Q539"")+IMPORTRANGE(""https://docs.google.com/spreadsheets/d/1hh-FVnSX0vozXhGluamEcS54Dw9_zqW0N7qJUWgJ0Sw/edit?usp=sharing"",""ชัยนาท!Q539"")+IMPORTRANGE(""https://docs.google.com/spreadsheets/d/1jkqa6GXxSacMcY1eN8AHjMNJ_7dDXMJ"&amp;"VRLDlaFSOdPM/edit?usp=sharing"",""ตราด!Q539"")+IMPORTRANGE(""https://docs.google.com/spreadsheets/d/18hSgUJ3VwClqi_qtULmmW3cLr0oe3OKaSYoKzdpTsYQ/edit?usp=sharing"",""นครนายก!Q539"")+IMPORTRANGE(""https://docs.google.com/spreadsheets/d/1YTZo6WM2dQ6Ix6FSdnL"&amp;"5P7uVnVKu40sxZu975tgG10E/edit?usp=sharing"",""นครปฐม!Q539"")+IMPORTRANGE(""https://docs.google.com/spreadsheets/d/1OYoGg4WDg5RIzwGeB10padOxJF9E_Vljuvvct_M7RDo/edit?usp=sharing"",""ปทุมธานี!Q539"")+IMPORTRANGE(""https://docs.google.com/spreadsheets/d/1GbCI"&amp;"E4D4wk9FUozzqk7SxfDMxDVBwVmI5zcaVUSzKAc/edit?usp=sharing"",""ประจวบคีรีขันธ์!Q539"")+IMPORTRANGE(""https://docs.google.com/spreadsheets/d/1vVf6wykvW_lAyu7Yo9L4hUTqHqIeP_qcVuxCtosJEbg/edit?usp=sharing"",""ปราจีนบุรี!Q539"")+IMPORTRANGE(""https://docs.googl"&amp;"e.com/spreadsheets/d/1BIDqLLg5jk3v59G8NlR8rk5xfQDKne0sAvZHSj7TI6I/edit?usp=sharing"",""พระนครศรีอยุธยา!Q539"")+IMPORTRANGE(""https://docs.google.com/spreadsheets/d/1YXvxf8Yu6_rV4hTBrwMqAcAnv6DfhUxh5emyM3CJp_w/edit?usp=sharing"",""เพชรบุรี!Q539"")+IMPORTRA"&amp;"NGE(""https://docs.google.com/spreadsheets/d/19KBlQQs7uwvsao6t2n-KvW3Ax8J8uRRfZPq1zPbXgKc/edit?usp=sharing"",""ระยอง!Q539"")+IMPORTRANGE(""https://docs.google.com/spreadsheets/d/1jQ6P4QcrGM89YfqcC_PxOHGCMq5ezhucwJd8ci-NHng/edit?usp=sharing"",""ราชบุรี!Q53"&amp;"9"")+IMPORTRANGE(""https://docs.google.com/spreadsheets/d/1lufeA2cfFqM-elVq2hznhDzC6Pr7wkJ9ZG_sYNGCMCU/edit?usp=sharing"",""ลพบุรี!Q539"")+IMPORTRANGE(""https://docs.google.com/spreadsheets/d/10oOiF7loTyfsTkbd4MpaIm0HQ9SwB7IYHdIUvt-U1Uc/edit?usp=sharing"""&amp;",""สระแก้ว!Q539"")+IMPORTRANGE(""https://docs.google.com/spreadsheets/d/1xmPlrr1QbdSIKvl1dWUl9K4PjAfSL9oeMr_37QVzcxc/edit?usp=sharing"",""สระบุรี!Q539"")+IMPORTRANGE(""https://docs.google.com/spreadsheets/d/1j51vR6CYVGhABJpv6tkstgok82RLpXieLzW1yOY5rHw/edi"&amp;"t?usp=sharing"",""สิงห์บุรี!Q539"")+IMPORTRANGE(""https://docs.google.com/spreadsheets/d/1H1EalTWKUSzO4Z1-1CwzoDUaVffgrThEBe2sl74kKG0/edit?usp=sharing"",""สุพรรณบุรี!Q539"")+IMPORTRANGE(""https://docs.google.com/spreadsheets/d/1BmIruG_sIrJLYao_Pdr7zVArWsf"&amp;"oBt2692TMi6x_854/edit?usp=sharing"",""อ่างทอง!Q539"")"),0)</f>
        <v>0</v>
      </c>
      <c r="R539" s="77">
        <f ca="1">IFERROR(__xludf.DUMMYFUNCTION("IMPORTRANGE(""https://docs.google.com/spreadsheets/d/13wPX838HrBrQMCywv1BsuMkt4PEKTChp52zj44s2izQ/edit?usp=sharing"",""กาญจนบุรี!R539"")+IMPORTRANGE(""https://docs.google.com/spreadsheets/d/1ddFKvqj1W1NEiWytbGlB1zMx_ykJDVtmfEQ-6-lIUBA/edit?usp=sharing"","&amp;"""จันทบุรี!R539"")+IMPORTRANGE(""https://docs.google.com/spreadsheets/d/1T1PQvRODqOBZk8BRht_U031fIS1beLA0Ub2CEytj2q0/edit?usp=sharing"",""ฉะเชิงเทรา!R539"")+IMPORTRANGE(""https://docs.google.com/spreadsheets/d/11tr1B-Bhyr79v2bkwVh5h_fR-PStkgjlZtkrZpYurG0/"&amp;"edit?usp=sharing"",""ชลบุรี!R539"")+IMPORTRANGE(""https://docs.google.com/spreadsheets/d/1hh-FVnSX0vozXhGluamEcS54Dw9_zqW0N7qJUWgJ0Sw/edit?usp=sharing"",""ชัยนาท!R539"")+IMPORTRANGE(""https://docs.google.com/spreadsheets/d/1jkqa6GXxSacMcY1eN8AHjMNJ_7dDXMJ"&amp;"VRLDlaFSOdPM/edit?usp=sharing"",""ตราด!R539"")+IMPORTRANGE(""https://docs.google.com/spreadsheets/d/18hSgUJ3VwClqi_qtULmmW3cLr0oe3OKaSYoKzdpTsYQ/edit?usp=sharing"",""นครนายก!R539"")+IMPORTRANGE(""https://docs.google.com/spreadsheets/d/1YTZo6WM2dQ6Ix6FSdnL"&amp;"5P7uVnVKu40sxZu975tgG10E/edit?usp=sharing"",""นครปฐม!R539"")+IMPORTRANGE(""https://docs.google.com/spreadsheets/d/1OYoGg4WDg5RIzwGeB10padOxJF9E_Vljuvvct_M7RDo/edit?usp=sharing"",""ปทุมธานี!R539"")+IMPORTRANGE(""https://docs.google.com/spreadsheets/d/1GbCI"&amp;"E4D4wk9FUozzqk7SxfDMxDVBwVmI5zcaVUSzKAc/edit?usp=sharing"",""ประจวบคีรีขันธ์!R539"")+IMPORTRANGE(""https://docs.google.com/spreadsheets/d/1vVf6wykvW_lAyu7Yo9L4hUTqHqIeP_qcVuxCtosJEbg/edit?usp=sharing"",""ปราจีนบุรี!R539"")+IMPORTRANGE(""https://docs.googl"&amp;"e.com/spreadsheets/d/1BIDqLLg5jk3v59G8NlR8rk5xfQDKne0sAvZHSj7TI6I/edit?usp=sharing"",""พระนครศรีอยุธยา!R539"")+IMPORTRANGE(""https://docs.google.com/spreadsheets/d/1YXvxf8Yu6_rV4hTBrwMqAcAnv6DfhUxh5emyM3CJp_w/edit?usp=sharing"",""เพชรบุรี!R539"")+IMPORTRA"&amp;"NGE(""https://docs.google.com/spreadsheets/d/19KBlQQs7uwvsao6t2n-KvW3Ax8J8uRRfZPq1zPbXgKc/edit?usp=sharing"",""ระยอง!R539"")+IMPORTRANGE(""https://docs.google.com/spreadsheets/d/1jQ6P4QcrGM89YfqcC_PxOHGCMq5ezhucwJd8ci-NHng/edit?usp=sharing"",""ราชบุรี!R53"&amp;"9"")+IMPORTRANGE(""https://docs.google.com/spreadsheets/d/1lufeA2cfFqM-elVq2hznhDzC6Pr7wkJ9ZG_sYNGCMCU/edit?usp=sharing"",""ลพบุรี!R539"")+IMPORTRANGE(""https://docs.google.com/spreadsheets/d/10oOiF7loTyfsTkbd4MpaIm0HQ9SwB7IYHdIUvt-U1Uc/edit?usp=sharing"""&amp;",""สระแก้ว!R539"")+IMPORTRANGE(""https://docs.google.com/spreadsheets/d/1xmPlrr1QbdSIKvl1dWUl9K4PjAfSL9oeMr_37QVzcxc/edit?usp=sharing"",""สระบุรี!R539"")+IMPORTRANGE(""https://docs.google.com/spreadsheets/d/1j51vR6CYVGhABJpv6tkstgok82RLpXieLzW1yOY5rHw/edi"&amp;"t?usp=sharing"",""สิงห์บุรี!R539"")+IMPORTRANGE(""https://docs.google.com/spreadsheets/d/1H1EalTWKUSzO4Z1-1CwzoDUaVffgrThEBe2sl74kKG0/edit?usp=sharing"",""สุพรรณบุรี!R539"")+IMPORTRANGE(""https://docs.google.com/spreadsheets/d/1BmIruG_sIrJLYao_Pdr7zVArWsf"&amp;"oBt2692TMi6x_854/edit?usp=sharing"",""อ่างทอง!R539"")"),0)</f>
        <v>0</v>
      </c>
      <c r="S539" s="77">
        <f ca="1">IFERROR(__xludf.DUMMYFUNCTION("IMPORTRANGE(""https://docs.google.com/spreadsheets/d/13wPX838HrBrQMCywv1BsuMkt4PEKTChp52zj44s2izQ/edit?usp=sharing"",""กาญจนบุรี!S539"")+IMPORTRANGE(""https://docs.google.com/spreadsheets/d/1ddFKvqj1W1NEiWytbGlB1zMx_ykJDVtmfEQ-6-lIUBA/edit?usp=sharing"","&amp;"""จันทบุรี!S539"")+IMPORTRANGE(""https://docs.google.com/spreadsheets/d/1T1PQvRODqOBZk8BRht_U031fIS1beLA0Ub2CEytj2q0/edit?usp=sharing"",""ฉะเชิงเทรา!S539"")+IMPORTRANGE(""https://docs.google.com/spreadsheets/d/11tr1B-Bhyr79v2bkwVh5h_fR-PStkgjlZtkrZpYurG0/"&amp;"edit?usp=sharing"",""ชลบุรี!S539"")+IMPORTRANGE(""https://docs.google.com/spreadsheets/d/1hh-FVnSX0vozXhGluamEcS54Dw9_zqW0N7qJUWgJ0Sw/edit?usp=sharing"",""ชัยนาท!S539"")+IMPORTRANGE(""https://docs.google.com/spreadsheets/d/1jkqa6GXxSacMcY1eN8AHjMNJ_7dDXMJ"&amp;"VRLDlaFSOdPM/edit?usp=sharing"",""ตราด!S539"")+IMPORTRANGE(""https://docs.google.com/spreadsheets/d/18hSgUJ3VwClqi_qtULmmW3cLr0oe3OKaSYoKzdpTsYQ/edit?usp=sharing"",""นครนายก!S539"")+IMPORTRANGE(""https://docs.google.com/spreadsheets/d/1YTZo6WM2dQ6Ix6FSdnL"&amp;"5P7uVnVKu40sxZu975tgG10E/edit?usp=sharing"",""นครปฐม!S539"")+IMPORTRANGE(""https://docs.google.com/spreadsheets/d/1OYoGg4WDg5RIzwGeB10padOxJF9E_Vljuvvct_M7RDo/edit?usp=sharing"",""ปทุมธานี!S539"")+IMPORTRANGE(""https://docs.google.com/spreadsheets/d/1GbCI"&amp;"E4D4wk9FUozzqk7SxfDMxDVBwVmI5zcaVUSzKAc/edit?usp=sharing"",""ประจวบคีรีขันธ์!S539"")+IMPORTRANGE(""https://docs.google.com/spreadsheets/d/1vVf6wykvW_lAyu7Yo9L4hUTqHqIeP_qcVuxCtosJEbg/edit?usp=sharing"",""ปราจีนบุรี!S539"")+IMPORTRANGE(""https://docs.googl"&amp;"e.com/spreadsheets/d/1BIDqLLg5jk3v59G8NlR8rk5xfQDKne0sAvZHSj7TI6I/edit?usp=sharing"",""พระนครศรีอยุธยา!S539"")+IMPORTRANGE(""https://docs.google.com/spreadsheets/d/1YXvxf8Yu6_rV4hTBrwMqAcAnv6DfhUxh5emyM3CJp_w/edit?usp=sharing"",""เพชรบุรี!S539"")+IMPORTRA"&amp;"NGE(""https://docs.google.com/spreadsheets/d/19KBlQQs7uwvsao6t2n-KvW3Ax8J8uRRfZPq1zPbXgKc/edit?usp=sharing"",""ระยอง!S539"")+IMPORTRANGE(""https://docs.google.com/spreadsheets/d/1jQ6P4QcrGM89YfqcC_PxOHGCMq5ezhucwJd8ci-NHng/edit?usp=sharing"",""ราชบุรี!S53"&amp;"9"")+IMPORTRANGE(""https://docs.google.com/spreadsheets/d/1lufeA2cfFqM-elVq2hznhDzC6Pr7wkJ9ZG_sYNGCMCU/edit?usp=sharing"",""ลพบุรี!S539"")+IMPORTRANGE(""https://docs.google.com/spreadsheets/d/10oOiF7loTyfsTkbd4MpaIm0HQ9SwB7IYHdIUvt-U1Uc/edit?usp=sharing"""&amp;",""สระแก้ว!S539"")+IMPORTRANGE(""https://docs.google.com/spreadsheets/d/1xmPlrr1QbdSIKvl1dWUl9K4PjAfSL9oeMr_37QVzcxc/edit?usp=sharing"",""สระบุรี!S539"")+IMPORTRANGE(""https://docs.google.com/spreadsheets/d/1j51vR6CYVGhABJpv6tkstgok82RLpXieLzW1yOY5rHw/edi"&amp;"t?usp=sharing"",""สิงห์บุรี!S539"")+IMPORTRANGE(""https://docs.google.com/spreadsheets/d/1H1EalTWKUSzO4Z1-1CwzoDUaVffgrThEBe2sl74kKG0/edit?usp=sharing"",""สุพรรณบุรี!S539"")+IMPORTRANGE(""https://docs.google.com/spreadsheets/d/1BmIruG_sIrJLYao_Pdr7zVArWsf"&amp;"oBt2692TMi6x_854/edit?usp=sharing"",""อ่างทอง!S539"")"),0)</f>
        <v>0</v>
      </c>
      <c r="T539" s="135">
        <f t="shared" ca="1" si="374"/>
        <v>0</v>
      </c>
      <c r="U539" s="135">
        <f t="shared" ca="1" si="375"/>
        <v>0</v>
      </c>
    </row>
    <row r="540" spans="1:21" ht="18.75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 t="shared" ref="L540:N540" ca="1" si="382">L541+L542</f>
        <v>0</v>
      </c>
      <c r="M540" s="77">
        <f t="shared" ca="1" si="382"/>
        <v>0</v>
      </c>
      <c r="N540" s="77">
        <f t="shared" ca="1" si="382"/>
        <v>0</v>
      </c>
      <c r="O540" s="77">
        <f t="shared" ca="1" si="371"/>
        <v>0</v>
      </c>
      <c r="P540" s="77">
        <f t="shared" ca="1" si="372"/>
        <v>0</v>
      </c>
      <c r="Q540" s="134">
        <f t="shared" ref="Q540:S540" ca="1" si="383">Q541+Q542</f>
        <v>0</v>
      </c>
      <c r="R540" s="135">
        <f t="shared" ca="1" si="383"/>
        <v>0</v>
      </c>
      <c r="S540" s="135">
        <f t="shared" ca="1" si="383"/>
        <v>0</v>
      </c>
      <c r="T540" s="135">
        <f t="shared" ca="1" si="374"/>
        <v>0</v>
      </c>
      <c r="U540" s="135">
        <f t="shared" ca="1" si="375"/>
        <v>0</v>
      </c>
    </row>
    <row r="541" spans="1:21" ht="18.75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f ca="1">IFERROR(__xludf.DUMMYFUNCTION("IMPORTRANGE(""https://docs.google.com/spreadsheets/d/13wPX838HrBrQMCywv1BsuMkt4PEKTChp52zj44s2izQ/edit?usp=sharing"",""กาญจนบุรี!L541"")+IMPORTRANGE(""https://docs.google.com/spreadsheets/d/1ddFKvqj1W1NEiWytbGlB1zMx_ykJDVtmfEQ-6-lIUBA/edit?usp=sharing"","&amp;"""จันทบุรี!L541"")+IMPORTRANGE(""https://docs.google.com/spreadsheets/d/1T1PQvRODqOBZk8BRht_U031fIS1beLA0Ub2CEytj2q0/edit?usp=sharing"",""ฉะเชิงเทรา!L541"")+IMPORTRANGE(""https://docs.google.com/spreadsheets/d/11tr1B-Bhyr79v2bkwVh5h_fR-PStkgjlZtkrZpYurG0/"&amp;"edit?usp=sharing"",""ชลบุรี!L541"")+IMPORTRANGE(""https://docs.google.com/spreadsheets/d/1hh-FVnSX0vozXhGluamEcS54Dw9_zqW0N7qJUWgJ0Sw/edit?usp=sharing"",""ชัยนาท!L541"")+IMPORTRANGE(""https://docs.google.com/spreadsheets/d/1jkqa6GXxSacMcY1eN8AHjMNJ_7dDXMJ"&amp;"VRLDlaFSOdPM/edit?usp=sharing"",""ตราด!L541"")+IMPORTRANGE(""https://docs.google.com/spreadsheets/d/18hSgUJ3VwClqi_qtULmmW3cLr0oe3OKaSYoKzdpTsYQ/edit?usp=sharing"",""นครนายก!L541"")+IMPORTRANGE(""https://docs.google.com/spreadsheets/d/1YTZo6WM2dQ6Ix6FSdnL"&amp;"5P7uVnVKu40sxZu975tgG10E/edit?usp=sharing"",""นครปฐม!L541"")+IMPORTRANGE(""https://docs.google.com/spreadsheets/d/1OYoGg4WDg5RIzwGeB10padOxJF9E_Vljuvvct_M7RDo/edit?usp=sharing"",""ปทุมธานี!L541"")+IMPORTRANGE(""https://docs.google.com/spreadsheets/d/1GbCI"&amp;"E4D4wk9FUozzqk7SxfDMxDVBwVmI5zcaVUSzKAc/edit?usp=sharing"",""ประจวบคีรีขันธ์!L541"")+IMPORTRANGE(""https://docs.google.com/spreadsheets/d/1vVf6wykvW_lAyu7Yo9L4hUTqHqIeP_qcVuxCtosJEbg/edit?usp=sharing"",""ปราจีนบุรี!L541"")+IMPORTRANGE(""https://docs.googl"&amp;"e.com/spreadsheets/d/1BIDqLLg5jk3v59G8NlR8rk5xfQDKne0sAvZHSj7TI6I/edit?usp=sharing"",""พระนครศรีอยุธยา!L541"")+IMPORTRANGE(""https://docs.google.com/spreadsheets/d/1YXvxf8Yu6_rV4hTBrwMqAcAnv6DfhUxh5emyM3CJp_w/edit?usp=sharing"",""เพชรบุรี!L541"")+IMPORTRA"&amp;"NGE(""https://docs.google.com/spreadsheets/d/19KBlQQs7uwvsao6t2n-KvW3Ax8J8uRRfZPq1zPbXgKc/edit?usp=sharing"",""ระยอง!L541"")+IMPORTRANGE(""https://docs.google.com/spreadsheets/d/1jQ6P4QcrGM89YfqcC_PxOHGCMq5ezhucwJd8ci-NHng/edit?usp=sharing"",""ราชบุรี!L54"&amp;"1"")+IMPORTRANGE(""https://docs.google.com/spreadsheets/d/1lufeA2cfFqM-elVq2hznhDzC6Pr7wkJ9ZG_sYNGCMCU/edit?usp=sharing"",""ลพบุรี!L541"")+IMPORTRANGE(""https://docs.google.com/spreadsheets/d/10oOiF7loTyfsTkbd4MpaIm0HQ9SwB7IYHdIUvt-U1Uc/edit?usp=sharing"""&amp;",""สระแก้ว!L541"")+IMPORTRANGE(""https://docs.google.com/spreadsheets/d/1xmPlrr1QbdSIKvl1dWUl9K4PjAfSL9oeMr_37QVzcxc/edit?usp=sharing"",""สระบุรี!L541"")+IMPORTRANGE(""https://docs.google.com/spreadsheets/d/1j51vR6CYVGhABJpv6tkstgok82RLpXieLzW1yOY5rHw/edi"&amp;"t?usp=sharing"",""สิงห์บุรี!L541"")+IMPORTRANGE(""https://docs.google.com/spreadsheets/d/1H1EalTWKUSzO4Z1-1CwzoDUaVffgrThEBe2sl74kKG0/edit?usp=sharing"",""สุพรรณบุรี!L541"")+IMPORTRANGE(""https://docs.google.com/spreadsheets/d/1BmIruG_sIrJLYao_Pdr7zVArWsf"&amp;"oBt2692TMi6x_854/edit?usp=sharing"",""อ่างทอง!L541"")"),0)</f>
        <v>0</v>
      </c>
      <c r="M541" s="80">
        <f ca="1">IFERROR(__xludf.DUMMYFUNCTION("IMPORTRANGE(""https://docs.google.com/spreadsheets/d/13wPX838HrBrQMCywv1BsuMkt4PEKTChp52zj44s2izQ/edit?usp=sharing"",""กาญจนบุรี!M541"")+IMPORTRANGE(""https://docs.google.com/spreadsheets/d/1ddFKvqj1W1NEiWytbGlB1zMx_ykJDVtmfEQ-6-lIUBA/edit?usp=sharing"","&amp;"""จันทบุรี!M541"")+IMPORTRANGE(""https://docs.google.com/spreadsheets/d/1T1PQvRODqOBZk8BRht_U031fIS1beLA0Ub2CEytj2q0/edit?usp=sharing"",""ฉะเชิงเทรา!M541"")+IMPORTRANGE(""https://docs.google.com/spreadsheets/d/11tr1B-Bhyr79v2bkwVh5h_fR-PStkgjlZtkrZpYurG0/"&amp;"edit?usp=sharing"",""ชลบุรี!M541"")+IMPORTRANGE(""https://docs.google.com/spreadsheets/d/1hh-FVnSX0vozXhGluamEcS54Dw9_zqW0N7qJUWgJ0Sw/edit?usp=sharing"",""ชัยนาท!M541"")+IMPORTRANGE(""https://docs.google.com/spreadsheets/d/1jkqa6GXxSacMcY1eN8AHjMNJ_7dDXMJ"&amp;"VRLDlaFSOdPM/edit?usp=sharing"",""ตราด!M541"")+IMPORTRANGE(""https://docs.google.com/spreadsheets/d/18hSgUJ3VwClqi_qtULmmW3cLr0oe3OKaSYoKzdpTsYQ/edit?usp=sharing"",""นครนายก!M541"")+IMPORTRANGE(""https://docs.google.com/spreadsheets/d/1YTZo6WM2dQ6Ix6FSdnL"&amp;"5P7uVnVKu40sxZu975tgG10E/edit?usp=sharing"",""นครปฐม!M541"")+IMPORTRANGE(""https://docs.google.com/spreadsheets/d/1OYoGg4WDg5RIzwGeB10padOxJF9E_Vljuvvct_M7RDo/edit?usp=sharing"",""ปทุมธานี!M541"")+IMPORTRANGE(""https://docs.google.com/spreadsheets/d/1GbCI"&amp;"E4D4wk9FUozzqk7SxfDMxDVBwVmI5zcaVUSzKAc/edit?usp=sharing"",""ประจวบคีรีขันธ์!M541"")+IMPORTRANGE(""https://docs.google.com/spreadsheets/d/1vVf6wykvW_lAyu7Yo9L4hUTqHqIeP_qcVuxCtosJEbg/edit?usp=sharing"",""ปราจีนบุรี!M541"")+IMPORTRANGE(""https://docs.googl"&amp;"e.com/spreadsheets/d/1BIDqLLg5jk3v59G8NlR8rk5xfQDKne0sAvZHSj7TI6I/edit?usp=sharing"",""พระนครศรีอยุธยา!M541"")+IMPORTRANGE(""https://docs.google.com/spreadsheets/d/1YXvxf8Yu6_rV4hTBrwMqAcAnv6DfhUxh5emyM3CJp_w/edit?usp=sharing"",""เพชรบุรี!M541"")+IMPORTRA"&amp;"NGE(""https://docs.google.com/spreadsheets/d/19KBlQQs7uwvsao6t2n-KvW3Ax8J8uRRfZPq1zPbXgKc/edit?usp=sharing"",""ระยอง!M541"")+IMPORTRANGE(""https://docs.google.com/spreadsheets/d/1jQ6P4QcrGM89YfqcC_PxOHGCMq5ezhucwJd8ci-NHng/edit?usp=sharing"",""ราชบุรี!M54"&amp;"1"")+IMPORTRANGE(""https://docs.google.com/spreadsheets/d/1lufeA2cfFqM-elVq2hznhDzC6Pr7wkJ9ZG_sYNGCMCU/edit?usp=sharing"",""ลพบุรี!M541"")+IMPORTRANGE(""https://docs.google.com/spreadsheets/d/10oOiF7loTyfsTkbd4MpaIm0HQ9SwB7IYHdIUvt-U1Uc/edit?usp=sharing"""&amp;",""สระแก้ว!M541"")+IMPORTRANGE(""https://docs.google.com/spreadsheets/d/1xmPlrr1QbdSIKvl1dWUl9K4PjAfSL9oeMr_37QVzcxc/edit?usp=sharing"",""สระบุรี!M541"")+IMPORTRANGE(""https://docs.google.com/spreadsheets/d/1j51vR6CYVGhABJpv6tkstgok82RLpXieLzW1yOY5rHw/edi"&amp;"t?usp=sharing"",""สิงห์บุรี!M541"")+IMPORTRANGE(""https://docs.google.com/spreadsheets/d/1H1EalTWKUSzO4Z1-1CwzoDUaVffgrThEBe2sl74kKG0/edit?usp=sharing"",""สุพรรณบุรี!M541"")+IMPORTRANGE(""https://docs.google.com/spreadsheets/d/1BmIruG_sIrJLYao_Pdr7zVArWsf"&amp;"oBt2692TMi6x_854/edit?usp=sharing"",""อ่างทอง!M541"")"),0)</f>
        <v>0</v>
      </c>
      <c r="N541" s="80">
        <f ca="1">IFERROR(__xludf.DUMMYFUNCTION("IMPORTRANGE(""https://docs.google.com/spreadsheets/d/13wPX838HrBrQMCywv1BsuMkt4PEKTChp52zj44s2izQ/edit?usp=sharing"",""กาญจนบุรี!N541"")+IMPORTRANGE(""https://docs.google.com/spreadsheets/d/1ddFKvqj1W1NEiWytbGlB1zMx_ykJDVtmfEQ-6-lIUBA/edit?usp=sharing"","&amp;"""จันทบุรี!N541"")+IMPORTRANGE(""https://docs.google.com/spreadsheets/d/1T1PQvRODqOBZk8BRht_U031fIS1beLA0Ub2CEytj2q0/edit?usp=sharing"",""ฉะเชิงเทรา!N541"")+IMPORTRANGE(""https://docs.google.com/spreadsheets/d/11tr1B-Bhyr79v2bkwVh5h_fR-PStkgjlZtkrZpYurG0/"&amp;"edit?usp=sharing"",""ชลบุรี!N541"")+IMPORTRANGE(""https://docs.google.com/spreadsheets/d/1hh-FVnSX0vozXhGluamEcS54Dw9_zqW0N7qJUWgJ0Sw/edit?usp=sharing"",""ชัยนาท!N541"")+IMPORTRANGE(""https://docs.google.com/spreadsheets/d/1jkqa6GXxSacMcY1eN8AHjMNJ_7dDXMJ"&amp;"VRLDlaFSOdPM/edit?usp=sharing"",""ตราด!N541"")+IMPORTRANGE(""https://docs.google.com/spreadsheets/d/18hSgUJ3VwClqi_qtULmmW3cLr0oe3OKaSYoKzdpTsYQ/edit?usp=sharing"",""นครนายก!N541"")+IMPORTRANGE(""https://docs.google.com/spreadsheets/d/1YTZo6WM2dQ6Ix6FSdnL"&amp;"5P7uVnVKu40sxZu975tgG10E/edit?usp=sharing"",""นครปฐม!N541"")+IMPORTRANGE(""https://docs.google.com/spreadsheets/d/1OYoGg4WDg5RIzwGeB10padOxJF9E_Vljuvvct_M7RDo/edit?usp=sharing"",""ปทุมธานี!N541"")+IMPORTRANGE(""https://docs.google.com/spreadsheets/d/1GbCI"&amp;"E4D4wk9FUozzqk7SxfDMxDVBwVmI5zcaVUSzKAc/edit?usp=sharing"",""ประจวบคีรีขันธ์!N541"")+IMPORTRANGE(""https://docs.google.com/spreadsheets/d/1vVf6wykvW_lAyu7Yo9L4hUTqHqIeP_qcVuxCtosJEbg/edit?usp=sharing"",""ปราจีนบุรี!N541"")+IMPORTRANGE(""https://docs.googl"&amp;"e.com/spreadsheets/d/1BIDqLLg5jk3v59G8NlR8rk5xfQDKne0sAvZHSj7TI6I/edit?usp=sharing"",""พระนครศรีอยุธยา!N541"")+IMPORTRANGE(""https://docs.google.com/spreadsheets/d/1YXvxf8Yu6_rV4hTBrwMqAcAnv6DfhUxh5emyM3CJp_w/edit?usp=sharing"",""เพชรบุรี!N541"")+IMPORTRA"&amp;"NGE(""https://docs.google.com/spreadsheets/d/19KBlQQs7uwvsao6t2n-KvW3Ax8J8uRRfZPq1zPbXgKc/edit?usp=sharing"",""ระยอง!N541"")+IMPORTRANGE(""https://docs.google.com/spreadsheets/d/1jQ6P4QcrGM89YfqcC_PxOHGCMq5ezhucwJd8ci-NHng/edit?usp=sharing"",""ราชบุรี!N54"&amp;"1"")+IMPORTRANGE(""https://docs.google.com/spreadsheets/d/1lufeA2cfFqM-elVq2hznhDzC6Pr7wkJ9ZG_sYNGCMCU/edit?usp=sharing"",""ลพบุรี!N541"")+IMPORTRANGE(""https://docs.google.com/spreadsheets/d/10oOiF7loTyfsTkbd4MpaIm0HQ9SwB7IYHdIUvt-U1Uc/edit?usp=sharing"""&amp;",""สระแก้ว!N541"")+IMPORTRANGE(""https://docs.google.com/spreadsheets/d/1xmPlrr1QbdSIKvl1dWUl9K4PjAfSL9oeMr_37QVzcxc/edit?usp=sharing"",""สระบุรี!N541"")+IMPORTRANGE(""https://docs.google.com/spreadsheets/d/1j51vR6CYVGhABJpv6tkstgok82RLpXieLzW1yOY5rHw/edi"&amp;"t?usp=sharing"",""สิงห์บุรี!N541"")+IMPORTRANGE(""https://docs.google.com/spreadsheets/d/1H1EalTWKUSzO4Z1-1CwzoDUaVffgrThEBe2sl74kKG0/edit?usp=sharing"",""สุพรรณบุรี!N541"")+IMPORTRANGE(""https://docs.google.com/spreadsheets/d/1BmIruG_sIrJLYao_Pdr7zVArWsf"&amp;"oBt2692TMi6x_854/edit?usp=sharing"",""อ่างทอง!N541"")"),0)</f>
        <v>0</v>
      </c>
      <c r="O541" s="80">
        <f t="shared" ca="1" si="371"/>
        <v>0</v>
      </c>
      <c r="P541" s="80">
        <f t="shared" ca="1" si="372"/>
        <v>0</v>
      </c>
      <c r="Q541" s="79">
        <f ca="1">IFERROR(__xludf.DUMMYFUNCTION("IMPORTRANGE(""https://docs.google.com/spreadsheets/d/13wPX838HrBrQMCywv1BsuMkt4PEKTChp52zj44s2izQ/edit?usp=sharing"",""กาญจนบุรี!Q541"")+IMPORTRANGE(""https://docs.google.com/spreadsheets/d/1ddFKvqj1W1NEiWytbGlB1zMx_ykJDVtmfEQ-6-lIUBA/edit?usp=sharing"","&amp;"""จันทบุรี!Q541"")+IMPORTRANGE(""https://docs.google.com/spreadsheets/d/1T1PQvRODqOBZk8BRht_U031fIS1beLA0Ub2CEytj2q0/edit?usp=sharing"",""ฉะเชิงเทรา!Q541"")+IMPORTRANGE(""https://docs.google.com/spreadsheets/d/11tr1B-Bhyr79v2bkwVh5h_fR-PStkgjlZtkrZpYurG0/"&amp;"edit?usp=sharing"",""ชลบุรี!Q541"")+IMPORTRANGE(""https://docs.google.com/spreadsheets/d/1hh-FVnSX0vozXhGluamEcS54Dw9_zqW0N7qJUWgJ0Sw/edit?usp=sharing"",""ชัยนาท!Q541"")+IMPORTRANGE(""https://docs.google.com/spreadsheets/d/1jkqa6GXxSacMcY1eN8AHjMNJ_7dDXMJ"&amp;"VRLDlaFSOdPM/edit?usp=sharing"",""ตราด!Q541"")+IMPORTRANGE(""https://docs.google.com/spreadsheets/d/18hSgUJ3VwClqi_qtULmmW3cLr0oe3OKaSYoKzdpTsYQ/edit?usp=sharing"",""นครนายก!Q541"")+IMPORTRANGE(""https://docs.google.com/spreadsheets/d/1YTZo6WM2dQ6Ix6FSdnL"&amp;"5P7uVnVKu40sxZu975tgG10E/edit?usp=sharing"",""นครปฐม!Q541"")+IMPORTRANGE(""https://docs.google.com/spreadsheets/d/1OYoGg4WDg5RIzwGeB10padOxJF9E_Vljuvvct_M7RDo/edit?usp=sharing"",""ปทุมธานี!Q541"")+IMPORTRANGE(""https://docs.google.com/spreadsheets/d/1GbCI"&amp;"E4D4wk9FUozzqk7SxfDMxDVBwVmI5zcaVUSzKAc/edit?usp=sharing"",""ประจวบคีรีขันธ์!Q541"")+IMPORTRANGE(""https://docs.google.com/spreadsheets/d/1vVf6wykvW_lAyu7Yo9L4hUTqHqIeP_qcVuxCtosJEbg/edit?usp=sharing"",""ปราจีนบุรี!Q541"")+IMPORTRANGE(""https://docs.googl"&amp;"e.com/spreadsheets/d/1BIDqLLg5jk3v59G8NlR8rk5xfQDKne0sAvZHSj7TI6I/edit?usp=sharing"",""พระนครศรีอยุธยา!Q541"")+IMPORTRANGE(""https://docs.google.com/spreadsheets/d/1YXvxf8Yu6_rV4hTBrwMqAcAnv6DfhUxh5emyM3CJp_w/edit?usp=sharing"",""เพชรบุรี!Q541"")+IMPORTRA"&amp;"NGE(""https://docs.google.com/spreadsheets/d/19KBlQQs7uwvsao6t2n-KvW3Ax8J8uRRfZPq1zPbXgKc/edit?usp=sharing"",""ระยอง!Q541"")+IMPORTRANGE(""https://docs.google.com/spreadsheets/d/1jQ6P4QcrGM89YfqcC_PxOHGCMq5ezhucwJd8ci-NHng/edit?usp=sharing"",""ราชบุรี!Q54"&amp;"1"")+IMPORTRANGE(""https://docs.google.com/spreadsheets/d/1lufeA2cfFqM-elVq2hznhDzC6Pr7wkJ9ZG_sYNGCMCU/edit?usp=sharing"",""ลพบุรี!Q541"")+IMPORTRANGE(""https://docs.google.com/spreadsheets/d/10oOiF7loTyfsTkbd4MpaIm0HQ9SwB7IYHdIUvt-U1Uc/edit?usp=sharing"""&amp;",""สระแก้ว!Q541"")+IMPORTRANGE(""https://docs.google.com/spreadsheets/d/1xmPlrr1QbdSIKvl1dWUl9K4PjAfSL9oeMr_37QVzcxc/edit?usp=sharing"",""สระบุรี!Q541"")+IMPORTRANGE(""https://docs.google.com/spreadsheets/d/1j51vR6CYVGhABJpv6tkstgok82RLpXieLzW1yOY5rHw/edi"&amp;"t?usp=sharing"",""สิงห์บุรี!Q541"")+IMPORTRANGE(""https://docs.google.com/spreadsheets/d/1H1EalTWKUSzO4Z1-1CwzoDUaVffgrThEBe2sl74kKG0/edit?usp=sharing"",""สุพรรณบุรี!Q541"")+IMPORTRANGE(""https://docs.google.com/spreadsheets/d/1BmIruG_sIrJLYao_Pdr7zVArWsf"&amp;"oBt2692TMi6x_854/edit?usp=sharing"",""อ่างทอง!Q541"")"),0)</f>
        <v>0</v>
      </c>
      <c r="R541" s="80">
        <f ca="1">IFERROR(__xludf.DUMMYFUNCTION("IMPORTRANGE(""https://docs.google.com/spreadsheets/d/13wPX838HrBrQMCywv1BsuMkt4PEKTChp52zj44s2izQ/edit?usp=sharing"",""กาญจนบุรี!R541"")+IMPORTRANGE(""https://docs.google.com/spreadsheets/d/1ddFKvqj1W1NEiWytbGlB1zMx_ykJDVtmfEQ-6-lIUBA/edit?usp=sharing"","&amp;"""จันทบุรี!R541"")+IMPORTRANGE(""https://docs.google.com/spreadsheets/d/1T1PQvRODqOBZk8BRht_U031fIS1beLA0Ub2CEytj2q0/edit?usp=sharing"",""ฉะเชิงเทรา!R541"")+IMPORTRANGE(""https://docs.google.com/spreadsheets/d/11tr1B-Bhyr79v2bkwVh5h_fR-PStkgjlZtkrZpYurG0/"&amp;"edit?usp=sharing"",""ชลบุรี!R541"")+IMPORTRANGE(""https://docs.google.com/spreadsheets/d/1hh-FVnSX0vozXhGluamEcS54Dw9_zqW0N7qJUWgJ0Sw/edit?usp=sharing"",""ชัยนาท!R541"")+IMPORTRANGE(""https://docs.google.com/spreadsheets/d/1jkqa6GXxSacMcY1eN8AHjMNJ_7dDXMJ"&amp;"VRLDlaFSOdPM/edit?usp=sharing"",""ตราด!R541"")+IMPORTRANGE(""https://docs.google.com/spreadsheets/d/18hSgUJ3VwClqi_qtULmmW3cLr0oe3OKaSYoKzdpTsYQ/edit?usp=sharing"",""นครนายก!R541"")+IMPORTRANGE(""https://docs.google.com/spreadsheets/d/1YTZo6WM2dQ6Ix6FSdnL"&amp;"5P7uVnVKu40sxZu975tgG10E/edit?usp=sharing"",""นครปฐม!R541"")+IMPORTRANGE(""https://docs.google.com/spreadsheets/d/1OYoGg4WDg5RIzwGeB10padOxJF9E_Vljuvvct_M7RDo/edit?usp=sharing"",""ปทุมธานี!R541"")+IMPORTRANGE(""https://docs.google.com/spreadsheets/d/1GbCI"&amp;"E4D4wk9FUozzqk7SxfDMxDVBwVmI5zcaVUSzKAc/edit?usp=sharing"",""ประจวบคีรีขันธ์!R541"")+IMPORTRANGE(""https://docs.google.com/spreadsheets/d/1vVf6wykvW_lAyu7Yo9L4hUTqHqIeP_qcVuxCtosJEbg/edit?usp=sharing"",""ปราจีนบุรี!R541"")+IMPORTRANGE(""https://docs.googl"&amp;"e.com/spreadsheets/d/1BIDqLLg5jk3v59G8NlR8rk5xfQDKne0sAvZHSj7TI6I/edit?usp=sharing"",""พระนครศรีอยุธยา!R541"")+IMPORTRANGE(""https://docs.google.com/spreadsheets/d/1YXvxf8Yu6_rV4hTBrwMqAcAnv6DfhUxh5emyM3CJp_w/edit?usp=sharing"",""เพชรบุรี!R541"")+IMPORTRA"&amp;"NGE(""https://docs.google.com/spreadsheets/d/19KBlQQs7uwvsao6t2n-KvW3Ax8J8uRRfZPq1zPbXgKc/edit?usp=sharing"",""ระยอง!R541"")+IMPORTRANGE(""https://docs.google.com/spreadsheets/d/1jQ6P4QcrGM89YfqcC_PxOHGCMq5ezhucwJd8ci-NHng/edit?usp=sharing"",""ราชบุรี!R54"&amp;"1"")+IMPORTRANGE(""https://docs.google.com/spreadsheets/d/1lufeA2cfFqM-elVq2hznhDzC6Pr7wkJ9ZG_sYNGCMCU/edit?usp=sharing"",""ลพบุรี!R541"")+IMPORTRANGE(""https://docs.google.com/spreadsheets/d/10oOiF7loTyfsTkbd4MpaIm0HQ9SwB7IYHdIUvt-U1Uc/edit?usp=sharing"""&amp;",""สระแก้ว!R541"")+IMPORTRANGE(""https://docs.google.com/spreadsheets/d/1xmPlrr1QbdSIKvl1dWUl9K4PjAfSL9oeMr_37QVzcxc/edit?usp=sharing"",""สระบุรี!R541"")+IMPORTRANGE(""https://docs.google.com/spreadsheets/d/1j51vR6CYVGhABJpv6tkstgok82RLpXieLzW1yOY5rHw/edi"&amp;"t?usp=sharing"",""สิงห์บุรี!R541"")+IMPORTRANGE(""https://docs.google.com/spreadsheets/d/1H1EalTWKUSzO4Z1-1CwzoDUaVffgrThEBe2sl74kKG0/edit?usp=sharing"",""สุพรรณบุรี!R541"")+IMPORTRANGE(""https://docs.google.com/spreadsheets/d/1BmIruG_sIrJLYao_Pdr7zVArWsf"&amp;"oBt2692TMi6x_854/edit?usp=sharing"",""อ่างทอง!R541"")"),0)</f>
        <v>0</v>
      </c>
      <c r="S541" s="80">
        <f ca="1">IFERROR(__xludf.DUMMYFUNCTION("IMPORTRANGE(""https://docs.google.com/spreadsheets/d/13wPX838HrBrQMCywv1BsuMkt4PEKTChp52zj44s2izQ/edit?usp=sharing"",""กาญจนบุรี!S541"")+IMPORTRANGE(""https://docs.google.com/spreadsheets/d/1ddFKvqj1W1NEiWytbGlB1zMx_ykJDVtmfEQ-6-lIUBA/edit?usp=sharing"","&amp;"""จันทบุรี!S541"")+IMPORTRANGE(""https://docs.google.com/spreadsheets/d/1T1PQvRODqOBZk8BRht_U031fIS1beLA0Ub2CEytj2q0/edit?usp=sharing"",""ฉะเชิงเทรา!S541"")+IMPORTRANGE(""https://docs.google.com/spreadsheets/d/11tr1B-Bhyr79v2bkwVh5h_fR-PStkgjlZtkrZpYurG0/"&amp;"edit?usp=sharing"",""ชลบุรี!S541"")+IMPORTRANGE(""https://docs.google.com/spreadsheets/d/1hh-FVnSX0vozXhGluamEcS54Dw9_zqW0N7qJUWgJ0Sw/edit?usp=sharing"",""ชัยนาท!S541"")+IMPORTRANGE(""https://docs.google.com/spreadsheets/d/1jkqa6GXxSacMcY1eN8AHjMNJ_7dDXMJ"&amp;"VRLDlaFSOdPM/edit?usp=sharing"",""ตราด!S541"")+IMPORTRANGE(""https://docs.google.com/spreadsheets/d/18hSgUJ3VwClqi_qtULmmW3cLr0oe3OKaSYoKzdpTsYQ/edit?usp=sharing"",""นครนายก!S541"")+IMPORTRANGE(""https://docs.google.com/spreadsheets/d/1YTZo6WM2dQ6Ix6FSdnL"&amp;"5P7uVnVKu40sxZu975tgG10E/edit?usp=sharing"",""นครปฐม!S541"")+IMPORTRANGE(""https://docs.google.com/spreadsheets/d/1OYoGg4WDg5RIzwGeB10padOxJF9E_Vljuvvct_M7RDo/edit?usp=sharing"",""ปทุมธานี!S541"")+IMPORTRANGE(""https://docs.google.com/spreadsheets/d/1GbCI"&amp;"E4D4wk9FUozzqk7SxfDMxDVBwVmI5zcaVUSzKAc/edit?usp=sharing"",""ประจวบคีรีขันธ์!S541"")+IMPORTRANGE(""https://docs.google.com/spreadsheets/d/1vVf6wykvW_lAyu7Yo9L4hUTqHqIeP_qcVuxCtosJEbg/edit?usp=sharing"",""ปราจีนบุรี!S541"")+IMPORTRANGE(""https://docs.googl"&amp;"e.com/spreadsheets/d/1BIDqLLg5jk3v59G8NlR8rk5xfQDKne0sAvZHSj7TI6I/edit?usp=sharing"",""พระนครศรีอยุธยา!S541"")+IMPORTRANGE(""https://docs.google.com/spreadsheets/d/1YXvxf8Yu6_rV4hTBrwMqAcAnv6DfhUxh5emyM3CJp_w/edit?usp=sharing"",""เพชรบุรี!S541"")+IMPORTRA"&amp;"NGE(""https://docs.google.com/spreadsheets/d/19KBlQQs7uwvsao6t2n-KvW3Ax8J8uRRfZPq1zPbXgKc/edit?usp=sharing"",""ระยอง!S541"")+IMPORTRANGE(""https://docs.google.com/spreadsheets/d/1jQ6P4QcrGM89YfqcC_PxOHGCMq5ezhucwJd8ci-NHng/edit?usp=sharing"",""ราชบุรี!S54"&amp;"1"")+IMPORTRANGE(""https://docs.google.com/spreadsheets/d/1lufeA2cfFqM-elVq2hznhDzC6Pr7wkJ9ZG_sYNGCMCU/edit?usp=sharing"",""ลพบุรี!S541"")+IMPORTRANGE(""https://docs.google.com/spreadsheets/d/10oOiF7loTyfsTkbd4MpaIm0HQ9SwB7IYHdIUvt-U1Uc/edit?usp=sharing"""&amp;",""สระแก้ว!S541"")+IMPORTRANGE(""https://docs.google.com/spreadsheets/d/1xmPlrr1QbdSIKvl1dWUl9K4PjAfSL9oeMr_37QVzcxc/edit?usp=sharing"",""สระบุรี!S541"")+IMPORTRANGE(""https://docs.google.com/spreadsheets/d/1j51vR6CYVGhABJpv6tkstgok82RLpXieLzW1yOY5rHw/edi"&amp;"t?usp=sharing"",""สิงห์บุรี!S541"")+IMPORTRANGE(""https://docs.google.com/spreadsheets/d/1H1EalTWKUSzO4Z1-1CwzoDUaVffgrThEBe2sl74kKG0/edit?usp=sharing"",""สุพรรณบุรี!S541"")+IMPORTRANGE(""https://docs.google.com/spreadsheets/d/1BmIruG_sIrJLYao_Pdr7zVArWsf"&amp;"oBt2692TMi6x_854/edit?usp=sharing"",""อ่างทอง!S541"")"),0)</f>
        <v>0</v>
      </c>
      <c r="T541" s="136">
        <f t="shared" ca="1" si="374"/>
        <v>0</v>
      </c>
      <c r="U541" s="136">
        <f t="shared" ca="1" si="375"/>
        <v>0</v>
      </c>
    </row>
    <row r="542" spans="1:21" ht="18.75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f ca="1">IFERROR(__xludf.DUMMYFUNCTION("IMPORTRANGE(""https://docs.google.com/spreadsheets/d/13wPX838HrBrQMCywv1BsuMkt4PEKTChp52zj44s2izQ/edit?usp=sharing"",""กาญจนบุรี!L542"")+IMPORTRANGE(""https://docs.google.com/spreadsheets/d/1ddFKvqj1W1NEiWytbGlB1zMx_ykJDVtmfEQ-6-lIUBA/edit?usp=sharing"","&amp;"""จันทบุรี!L542"")+IMPORTRANGE(""https://docs.google.com/spreadsheets/d/1T1PQvRODqOBZk8BRht_U031fIS1beLA0Ub2CEytj2q0/edit?usp=sharing"",""ฉะเชิงเทรา!L542"")+IMPORTRANGE(""https://docs.google.com/spreadsheets/d/11tr1B-Bhyr79v2bkwVh5h_fR-PStkgjlZtkrZpYurG0/"&amp;"edit?usp=sharing"",""ชลบุรี!L542"")+IMPORTRANGE(""https://docs.google.com/spreadsheets/d/1hh-FVnSX0vozXhGluamEcS54Dw9_zqW0N7qJUWgJ0Sw/edit?usp=sharing"",""ชัยนาท!L542"")+IMPORTRANGE(""https://docs.google.com/spreadsheets/d/1jkqa6GXxSacMcY1eN8AHjMNJ_7dDXMJ"&amp;"VRLDlaFSOdPM/edit?usp=sharing"",""ตราด!L542"")+IMPORTRANGE(""https://docs.google.com/spreadsheets/d/18hSgUJ3VwClqi_qtULmmW3cLr0oe3OKaSYoKzdpTsYQ/edit?usp=sharing"",""นครนายก!L542"")+IMPORTRANGE(""https://docs.google.com/spreadsheets/d/1YTZo6WM2dQ6Ix6FSdnL"&amp;"5P7uVnVKu40sxZu975tgG10E/edit?usp=sharing"",""นครปฐม!L542"")+IMPORTRANGE(""https://docs.google.com/spreadsheets/d/1OYoGg4WDg5RIzwGeB10padOxJF9E_Vljuvvct_M7RDo/edit?usp=sharing"",""ปทุมธานี!L542"")+IMPORTRANGE(""https://docs.google.com/spreadsheets/d/1GbCI"&amp;"E4D4wk9FUozzqk7SxfDMxDVBwVmI5zcaVUSzKAc/edit?usp=sharing"",""ประจวบคีรีขันธ์!L542"")+IMPORTRANGE(""https://docs.google.com/spreadsheets/d/1vVf6wykvW_lAyu7Yo9L4hUTqHqIeP_qcVuxCtosJEbg/edit?usp=sharing"",""ปราจีนบุรี!L542"")+IMPORTRANGE(""https://docs.googl"&amp;"e.com/spreadsheets/d/1BIDqLLg5jk3v59G8NlR8rk5xfQDKne0sAvZHSj7TI6I/edit?usp=sharing"",""พระนครศรีอยุธยา!L542"")+IMPORTRANGE(""https://docs.google.com/spreadsheets/d/1YXvxf8Yu6_rV4hTBrwMqAcAnv6DfhUxh5emyM3CJp_w/edit?usp=sharing"",""เพชรบุรี!L542"")+IMPORTRA"&amp;"NGE(""https://docs.google.com/spreadsheets/d/19KBlQQs7uwvsao6t2n-KvW3Ax8J8uRRfZPq1zPbXgKc/edit?usp=sharing"",""ระยอง!L542"")+IMPORTRANGE(""https://docs.google.com/spreadsheets/d/1jQ6P4QcrGM89YfqcC_PxOHGCMq5ezhucwJd8ci-NHng/edit?usp=sharing"",""ราชบุรี!L54"&amp;"2"")+IMPORTRANGE(""https://docs.google.com/spreadsheets/d/1lufeA2cfFqM-elVq2hznhDzC6Pr7wkJ9ZG_sYNGCMCU/edit?usp=sharing"",""ลพบุรี!L542"")+IMPORTRANGE(""https://docs.google.com/spreadsheets/d/10oOiF7loTyfsTkbd4MpaIm0HQ9SwB7IYHdIUvt-U1Uc/edit?usp=sharing"""&amp;",""สระแก้ว!L542"")+IMPORTRANGE(""https://docs.google.com/spreadsheets/d/1xmPlrr1QbdSIKvl1dWUl9K4PjAfSL9oeMr_37QVzcxc/edit?usp=sharing"",""สระบุรี!L542"")+IMPORTRANGE(""https://docs.google.com/spreadsheets/d/1j51vR6CYVGhABJpv6tkstgok82RLpXieLzW1yOY5rHw/edi"&amp;"t?usp=sharing"",""สิงห์บุรี!L542"")+IMPORTRANGE(""https://docs.google.com/spreadsheets/d/1H1EalTWKUSzO4Z1-1CwzoDUaVffgrThEBe2sl74kKG0/edit?usp=sharing"",""สุพรรณบุรี!L542"")+IMPORTRANGE(""https://docs.google.com/spreadsheets/d/1BmIruG_sIrJLYao_Pdr7zVArWsf"&amp;"oBt2692TMi6x_854/edit?usp=sharing"",""อ่างทอง!L542"")"),0)</f>
        <v>0</v>
      </c>
      <c r="M542" s="77">
        <f ca="1">IFERROR(__xludf.DUMMYFUNCTION("IMPORTRANGE(""https://docs.google.com/spreadsheets/d/13wPX838HrBrQMCywv1BsuMkt4PEKTChp52zj44s2izQ/edit?usp=sharing"",""กาญจนบุรี!M542"")+IMPORTRANGE(""https://docs.google.com/spreadsheets/d/1ddFKvqj1W1NEiWytbGlB1zMx_ykJDVtmfEQ-6-lIUBA/edit?usp=sharing"","&amp;"""จันทบุรี!M542"")+IMPORTRANGE(""https://docs.google.com/spreadsheets/d/1T1PQvRODqOBZk8BRht_U031fIS1beLA0Ub2CEytj2q0/edit?usp=sharing"",""ฉะเชิงเทรา!M542"")+IMPORTRANGE(""https://docs.google.com/spreadsheets/d/11tr1B-Bhyr79v2bkwVh5h_fR-PStkgjlZtkrZpYurG0/"&amp;"edit?usp=sharing"",""ชลบุรี!M542"")+IMPORTRANGE(""https://docs.google.com/spreadsheets/d/1hh-FVnSX0vozXhGluamEcS54Dw9_zqW0N7qJUWgJ0Sw/edit?usp=sharing"",""ชัยนาท!M542"")+IMPORTRANGE(""https://docs.google.com/spreadsheets/d/1jkqa6GXxSacMcY1eN8AHjMNJ_7dDXMJ"&amp;"VRLDlaFSOdPM/edit?usp=sharing"",""ตราด!M542"")+IMPORTRANGE(""https://docs.google.com/spreadsheets/d/18hSgUJ3VwClqi_qtULmmW3cLr0oe3OKaSYoKzdpTsYQ/edit?usp=sharing"",""นครนายก!M542"")+IMPORTRANGE(""https://docs.google.com/spreadsheets/d/1YTZo6WM2dQ6Ix6FSdnL"&amp;"5P7uVnVKu40sxZu975tgG10E/edit?usp=sharing"",""นครปฐม!M542"")+IMPORTRANGE(""https://docs.google.com/spreadsheets/d/1OYoGg4WDg5RIzwGeB10padOxJF9E_Vljuvvct_M7RDo/edit?usp=sharing"",""ปทุมธานี!M542"")+IMPORTRANGE(""https://docs.google.com/spreadsheets/d/1GbCI"&amp;"E4D4wk9FUozzqk7SxfDMxDVBwVmI5zcaVUSzKAc/edit?usp=sharing"",""ประจวบคีรีขันธ์!M542"")+IMPORTRANGE(""https://docs.google.com/spreadsheets/d/1vVf6wykvW_lAyu7Yo9L4hUTqHqIeP_qcVuxCtosJEbg/edit?usp=sharing"",""ปราจีนบุรี!M542"")+IMPORTRANGE(""https://docs.googl"&amp;"e.com/spreadsheets/d/1BIDqLLg5jk3v59G8NlR8rk5xfQDKne0sAvZHSj7TI6I/edit?usp=sharing"",""พระนครศรีอยุธยา!M542"")+IMPORTRANGE(""https://docs.google.com/spreadsheets/d/1YXvxf8Yu6_rV4hTBrwMqAcAnv6DfhUxh5emyM3CJp_w/edit?usp=sharing"",""เพชรบุรี!M542"")+IMPORTRA"&amp;"NGE(""https://docs.google.com/spreadsheets/d/19KBlQQs7uwvsao6t2n-KvW3Ax8J8uRRfZPq1zPbXgKc/edit?usp=sharing"",""ระยอง!M542"")+IMPORTRANGE(""https://docs.google.com/spreadsheets/d/1jQ6P4QcrGM89YfqcC_PxOHGCMq5ezhucwJd8ci-NHng/edit?usp=sharing"",""ราชบุรี!M54"&amp;"2"")+IMPORTRANGE(""https://docs.google.com/spreadsheets/d/1lufeA2cfFqM-elVq2hznhDzC6Pr7wkJ9ZG_sYNGCMCU/edit?usp=sharing"",""ลพบุรี!M542"")+IMPORTRANGE(""https://docs.google.com/spreadsheets/d/10oOiF7loTyfsTkbd4MpaIm0HQ9SwB7IYHdIUvt-U1Uc/edit?usp=sharing"""&amp;",""สระแก้ว!M542"")+IMPORTRANGE(""https://docs.google.com/spreadsheets/d/1xmPlrr1QbdSIKvl1dWUl9K4PjAfSL9oeMr_37QVzcxc/edit?usp=sharing"",""สระบุรี!M542"")+IMPORTRANGE(""https://docs.google.com/spreadsheets/d/1j51vR6CYVGhABJpv6tkstgok82RLpXieLzW1yOY5rHw/edi"&amp;"t?usp=sharing"",""สิงห์บุรี!M542"")+IMPORTRANGE(""https://docs.google.com/spreadsheets/d/1H1EalTWKUSzO4Z1-1CwzoDUaVffgrThEBe2sl74kKG0/edit?usp=sharing"",""สุพรรณบุรี!M542"")+IMPORTRANGE(""https://docs.google.com/spreadsheets/d/1BmIruG_sIrJLYao_Pdr7zVArWsf"&amp;"oBt2692TMi6x_854/edit?usp=sharing"",""อ่างทอง!M542"")"),0)</f>
        <v>0</v>
      </c>
      <c r="N542" s="77">
        <f ca="1">IFERROR(__xludf.DUMMYFUNCTION("IMPORTRANGE(""https://docs.google.com/spreadsheets/d/13wPX838HrBrQMCywv1BsuMkt4PEKTChp52zj44s2izQ/edit?usp=sharing"",""กาญจนบุรี!N542"")+IMPORTRANGE(""https://docs.google.com/spreadsheets/d/1ddFKvqj1W1NEiWytbGlB1zMx_ykJDVtmfEQ-6-lIUBA/edit?usp=sharing"","&amp;"""จันทบุรี!N542"")+IMPORTRANGE(""https://docs.google.com/spreadsheets/d/1T1PQvRODqOBZk8BRht_U031fIS1beLA0Ub2CEytj2q0/edit?usp=sharing"",""ฉะเชิงเทรา!N542"")+IMPORTRANGE(""https://docs.google.com/spreadsheets/d/11tr1B-Bhyr79v2bkwVh5h_fR-PStkgjlZtkrZpYurG0/"&amp;"edit?usp=sharing"",""ชลบุรี!N542"")+IMPORTRANGE(""https://docs.google.com/spreadsheets/d/1hh-FVnSX0vozXhGluamEcS54Dw9_zqW0N7qJUWgJ0Sw/edit?usp=sharing"",""ชัยนาท!N542"")+IMPORTRANGE(""https://docs.google.com/spreadsheets/d/1jkqa6GXxSacMcY1eN8AHjMNJ_7dDXMJ"&amp;"VRLDlaFSOdPM/edit?usp=sharing"",""ตราด!N542"")+IMPORTRANGE(""https://docs.google.com/spreadsheets/d/18hSgUJ3VwClqi_qtULmmW3cLr0oe3OKaSYoKzdpTsYQ/edit?usp=sharing"",""นครนายก!N542"")+IMPORTRANGE(""https://docs.google.com/spreadsheets/d/1YTZo6WM2dQ6Ix6FSdnL"&amp;"5P7uVnVKu40sxZu975tgG10E/edit?usp=sharing"",""นครปฐม!N542"")+IMPORTRANGE(""https://docs.google.com/spreadsheets/d/1OYoGg4WDg5RIzwGeB10padOxJF9E_Vljuvvct_M7RDo/edit?usp=sharing"",""ปทุมธานี!N542"")+IMPORTRANGE(""https://docs.google.com/spreadsheets/d/1GbCI"&amp;"E4D4wk9FUozzqk7SxfDMxDVBwVmI5zcaVUSzKAc/edit?usp=sharing"",""ประจวบคีรีขันธ์!N542"")+IMPORTRANGE(""https://docs.google.com/spreadsheets/d/1vVf6wykvW_lAyu7Yo9L4hUTqHqIeP_qcVuxCtosJEbg/edit?usp=sharing"",""ปราจีนบุรี!N542"")+IMPORTRANGE(""https://docs.googl"&amp;"e.com/spreadsheets/d/1BIDqLLg5jk3v59G8NlR8rk5xfQDKne0sAvZHSj7TI6I/edit?usp=sharing"",""พระนครศรีอยุธยา!N542"")+IMPORTRANGE(""https://docs.google.com/spreadsheets/d/1YXvxf8Yu6_rV4hTBrwMqAcAnv6DfhUxh5emyM3CJp_w/edit?usp=sharing"",""เพชรบุรี!N542"")+IMPORTRA"&amp;"NGE(""https://docs.google.com/spreadsheets/d/19KBlQQs7uwvsao6t2n-KvW3Ax8J8uRRfZPq1zPbXgKc/edit?usp=sharing"",""ระยอง!N542"")+IMPORTRANGE(""https://docs.google.com/spreadsheets/d/1jQ6P4QcrGM89YfqcC_PxOHGCMq5ezhucwJd8ci-NHng/edit?usp=sharing"",""ราชบุรี!N54"&amp;"2"")+IMPORTRANGE(""https://docs.google.com/spreadsheets/d/1lufeA2cfFqM-elVq2hznhDzC6Pr7wkJ9ZG_sYNGCMCU/edit?usp=sharing"",""ลพบุรี!N542"")+IMPORTRANGE(""https://docs.google.com/spreadsheets/d/10oOiF7loTyfsTkbd4MpaIm0HQ9SwB7IYHdIUvt-U1Uc/edit?usp=sharing"""&amp;",""สระแก้ว!N542"")+IMPORTRANGE(""https://docs.google.com/spreadsheets/d/1xmPlrr1QbdSIKvl1dWUl9K4PjAfSL9oeMr_37QVzcxc/edit?usp=sharing"",""สระบุรี!N542"")+IMPORTRANGE(""https://docs.google.com/spreadsheets/d/1j51vR6CYVGhABJpv6tkstgok82RLpXieLzW1yOY5rHw/edi"&amp;"t?usp=sharing"",""สิงห์บุรี!N542"")+IMPORTRANGE(""https://docs.google.com/spreadsheets/d/1H1EalTWKUSzO4Z1-1CwzoDUaVffgrThEBe2sl74kKG0/edit?usp=sharing"",""สุพรรณบุรี!N542"")+IMPORTRANGE(""https://docs.google.com/spreadsheets/d/1BmIruG_sIrJLYao_Pdr7zVArWsf"&amp;"oBt2692TMi6x_854/edit?usp=sharing"",""อ่างทอง!N542"")"),0)</f>
        <v>0</v>
      </c>
      <c r="O542" s="77">
        <f t="shared" ca="1" si="371"/>
        <v>0</v>
      </c>
      <c r="P542" s="77">
        <f t="shared" ca="1" si="372"/>
        <v>0</v>
      </c>
      <c r="Q542" s="76">
        <f ca="1">IFERROR(__xludf.DUMMYFUNCTION("IMPORTRANGE(""https://docs.google.com/spreadsheets/d/13wPX838HrBrQMCywv1BsuMkt4PEKTChp52zj44s2izQ/edit?usp=sharing"",""กาญจนบุรี!Q542"")+IMPORTRANGE(""https://docs.google.com/spreadsheets/d/1ddFKvqj1W1NEiWytbGlB1zMx_ykJDVtmfEQ-6-lIUBA/edit?usp=sharing"","&amp;"""จันทบุรี!Q542"")+IMPORTRANGE(""https://docs.google.com/spreadsheets/d/1T1PQvRODqOBZk8BRht_U031fIS1beLA0Ub2CEytj2q0/edit?usp=sharing"",""ฉะเชิงเทรา!Q542"")+IMPORTRANGE(""https://docs.google.com/spreadsheets/d/11tr1B-Bhyr79v2bkwVh5h_fR-PStkgjlZtkrZpYurG0/"&amp;"edit?usp=sharing"",""ชลบุรี!Q542"")+IMPORTRANGE(""https://docs.google.com/spreadsheets/d/1hh-FVnSX0vozXhGluamEcS54Dw9_zqW0N7qJUWgJ0Sw/edit?usp=sharing"",""ชัยนาท!Q542"")+IMPORTRANGE(""https://docs.google.com/spreadsheets/d/1jkqa6GXxSacMcY1eN8AHjMNJ_7dDXMJ"&amp;"VRLDlaFSOdPM/edit?usp=sharing"",""ตราด!Q542"")+IMPORTRANGE(""https://docs.google.com/spreadsheets/d/18hSgUJ3VwClqi_qtULmmW3cLr0oe3OKaSYoKzdpTsYQ/edit?usp=sharing"",""นครนายก!Q542"")+IMPORTRANGE(""https://docs.google.com/spreadsheets/d/1YTZo6WM2dQ6Ix6FSdnL"&amp;"5P7uVnVKu40sxZu975tgG10E/edit?usp=sharing"",""นครปฐม!Q542"")+IMPORTRANGE(""https://docs.google.com/spreadsheets/d/1OYoGg4WDg5RIzwGeB10padOxJF9E_Vljuvvct_M7RDo/edit?usp=sharing"",""ปทุมธานี!Q542"")+IMPORTRANGE(""https://docs.google.com/spreadsheets/d/1GbCI"&amp;"E4D4wk9FUozzqk7SxfDMxDVBwVmI5zcaVUSzKAc/edit?usp=sharing"",""ประจวบคีรีขันธ์!Q542"")+IMPORTRANGE(""https://docs.google.com/spreadsheets/d/1vVf6wykvW_lAyu7Yo9L4hUTqHqIeP_qcVuxCtosJEbg/edit?usp=sharing"",""ปราจีนบุรี!Q542"")+IMPORTRANGE(""https://docs.googl"&amp;"e.com/spreadsheets/d/1BIDqLLg5jk3v59G8NlR8rk5xfQDKne0sAvZHSj7TI6I/edit?usp=sharing"",""พระนครศรีอยุธยา!Q542"")+IMPORTRANGE(""https://docs.google.com/spreadsheets/d/1YXvxf8Yu6_rV4hTBrwMqAcAnv6DfhUxh5emyM3CJp_w/edit?usp=sharing"",""เพชรบุรี!Q542"")+IMPORTRA"&amp;"NGE(""https://docs.google.com/spreadsheets/d/19KBlQQs7uwvsao6t2n-KvW3Ax8J8uRRfZPq1zPbXgKc/edit?usp=sharing"",""ระยอง!Q542"")+IMPORTRANGE(""https://docs.google.com/spreadsheets/d/1jQ6P4QcrGM89YfqcC_PxOHGCMq5ezhucwJd8ci-NHng/edit?usp=sharing"",""ราชบุรี!Q54"&amp;"2"")+IMPORTRANGE(""https://docs.google.com/spreadsheets/d/1lufeA2cfFqM-elVq2hznhDzC6Pr7wkJ9ZG_sYNGCMCU/edit?usp=sharing"",""ลพบุรี!Q542"")+IMPORTRANGE(""https://docs.google.com/spreadsheets/d/10oOiF7loTyfsTkbd4MpaIm0HQ9SwB7IYHdIUvt-U1Uc/edit?usp=sharing"""&amp;",""สระแก้ว!Q542"")+IMPORTRANGE(""https://docs.google.com/spreadsheets/d/1xmPlrr1QbdSIKvl1dWUl9K4PjAfSL9oeMr_37QVzcxc/edit?usp=sharing"",""สระบุรี!Q542"")+IMPORTRANGE(""https://docs.google.com/spreadsheets/d/1j51vR6CYVGhABJpv6tkstgok82RLpXieLzW1yOY5rHw/edi"&amp;"t?usp=sharing"",""สิงห์บุรี!Q542"")+IMPORTRANGE(""https://docs.google.com/spreadsheets/d/1H1EalTWKUSzO4Z1-1CwzoDUaVffgrThEBe2sl74kKG0/edit?usp=sharing"",""สุพรรณบุรี!Q542"")+IMPORTRANGE(""https://docs.google.com/spreadsheets/d/1BmIruG_sIrJLYao_Pdr7zVArWsf"&amp;"oBt2692TMi6x_854/edit?usp=sharing"",""อ่างทอง!Q542"")"),0)</f>
        <v>0</v>
      </c>
      <c r="R542" s="77">
        <f ca="1">IFERROR(__xludf.DUMMYFUNCTION("IMPORTRANGE(""https://docs.google.com/spreadsheets/d/13wPX838HrBrQMCywv1BsuMkt4PEKTChp52zj44s2izQ/edit?usp=sharing"",""กาญจนบุรี!R542"")+IMPORTRANGE(""https://docs.google.com/spreadsheets/d/1ddFKvqj1W1NEiWytbGlB1zMx_ykJDVtmfEQ-6-lIUBA/edit?usp=sharing"","&amp;"""จันทบุรี!R542"")+IMPORTRANGE(""https://docs.google.com/spreadsheets/d/1T1PQvRODqOBZk8BRht_U031fIS1beLA0Ub2CEytj2q0/edit?usp=sharing"",""ฉะเชิงเทรา!R542"")+IMPORTRANGE(""https://docs.google.com/spreadsheets/d/11tr1B-Bhyr79v2bkwVh5h_fR-PStkgjlZtkrZpYurG0/"&amp;"edit?usp=sharing"",""ชลบุรี!R542"")+IMPORTRANGE(""https://docs.google.com/spreadsheets/d/1hh-FVnSX0vozXhGluamEcS54Dw9_zqW0N7qJUWgJ0Sw/edit?usp=sharing"",""ชัยนาท!R542"")+IMPORTRANGE(""https://docs.google.com/spreadsheets/d/1jkqa6GXxSacMcY1eN8AHjMNJ_7dDXMJ"&amp;"VRLDlaFSOdPM/edit?usp=sharing"",""ตราด!R542"")+IMPORTRANGE(""https://docs.google.com/spreadsheets/d/18hSgUJ3VwClqi_qtULmmW3cLr0oe3OKaSYoKzdpTsYQ/edit?usp=sharing"",""นครนายก!R542"")+IMPORTRANGE(""https://docs.google.com/spreadsheets/d/1YTZo6WM2dQ6Ix6FSdnL"&amp;"5P7uVnVKu40sxZu975tgG10E/edit?usp=sharing"",""นครปฐม!R542"")+IMPORTRANGE(""https://docs.google.com/spreadsheets/d/1OYoGg4WDg5RIzwGeB10padOxJF9E_Vljuvvct_M7RDo/edit?usp=sharing"",""ปทุมธานี!R542"")+IMPORTRANGE(""https://docs.google.com/spreadsheets/d/1GbCI"&amp;"E4D4wk9FUozzqk7SxfDMxDVBwVmI5zcaVUSzKAc/edit?usp=sharing"",""ประจวบคีรีขันธ์!R542"")+IMPORTRANGE(""https://docs.google.com/spreadsheets/d/1vVf6wykvW_lAyu7Yo9L4hUTqHqIeP_qcVuxCtosJEbg/edit?usp=sharing"",""ปราจีนบุรี!R542"")+IMPORTRANGE(""https://docs.googl"&amp;"e.com/spreadsheets/d/1BIDqLLg5jk3v59G8NlR8rk5xfQDKne0sAvZHSj7TI6I/edit?usp=sharing"",""พระนครศรีอยุธยา!R542"")+IMPORTRANGE(""https://docs.google.com/spreadsheets/d/1YXvxf8Yu6_rV4hTBrwMqAcAnv6DfhUxh5emyM3CJp_w/edit?usp=sharing"",""เพชรบุรี!R542"")+IMPORTRA"&amp;"NGE(""https://docs.google.com/spreadsheets/d/19KBlQQs7uwvsao6t2n-KvW3Ax8J8uRRfZPq1zPbXgKc/edit?usp=sharing"",""ระยอง!R542"")+IMPORTRANGE(""https://docs.google.com/spreadsheets/d/1jQ6P4QcrGM89YfqcC_PxOHGCMq5ezhucwJd8ci-NHng/edit?usp=sharing"",""ราชบุรี!R54"&amp;"2"")+IMPORTRANGE(""https://docs.google.com/spreadsheets/d/1lufeA2cfFqM-elVq2hznhDzC6Pr7wkJ9ZG_sYNGCMCU/edit?usp=sharing"",""ลพบุรี!R542"")+IMPORTRANGE(""https://docs.google.com/spreadsheets/d/10oOiF7loTyfsTkbd4MpaIm0HQ9SwB7IYHdIUvt-U1Uc/edit?usp=sharing"""&amp;",""สระแก้ว!R542"")+IMPORTRANGE(""https://docs.google.com/spreadsheets/d/1xmPlrr1QbdSIKvl1dWUl9K4PjAfSL9oeMr_37QVzcxc/edit?usp=sharing"",""สระบุรี!R542"")+IMPORTRANGE(""https://docs.google.com/spreadsheets/d/1j51vR6CYVGhABJpv6tkstgok82RLpXieLzW1yOY5rHw/edi"&amp;"t?usp=sharing"",""สิงห์บุรี!R542"")+IMPORTRANGE(""https://docs.google.com/spreadsheets/d/1H1EalTWKUSzO4Z1-1CwzoDUaVffgrThEBe2sl74kKG0/edit?usp=sharing"",""สุพรรณบุรี!R542"")+IMPORTRANGE(""https://docs.google.com/spreadsheets/d/1BmIruG_sIrJLYao_Pdr7zVArWsf"&amp;"oBt2692TMi6x_854/edit?usp=sharing"",""อ่างทอง!R542"")"),0)</f>
        <v>0</v>
      </c>
      <c r="S542" s="77">
        <f ca="1">IFERROR(__xludf.DUMMYFUNCTION("IMPORTRANGE(""https://docs.google.com/spreadsheets/d/13wPX838HrBrQMCywv1BsuMkt4PEKTChp52zj44s2izQ/edit?usp=sharing"",""กาญจนบุรี!S542"")+IMPORTRANGE(""https://docs.google.com/spreadsheets/d/1ddFKvqj1W1NEiWytbGlB1zMx_ykJDVtmfEQ-6-lIUBA/edit?usp=sharing"","&amp;"""จันทบุรี!S542"")+IMPORTRANGE(""https://docs.google.com/spreadsheets/d/1T1PQvRODqOBZk8BRht_U031fIS1beLA0Ub2CEytj2q0/edit?usp=sharing"",""ฉะเชิงเทรา!S542"")+IMPORTRANGE(""https://docs.google.com/spreadsheets/d/11tr1B-Bhyr79v2bkwVh5h_fR-PStkgjlZtkrZpYurG0/"&amp;"edit?usp=sharing"",""ชลบุรี!S542"")+IMPORTRANGE(""https://docs.google.com/spreadsheets/d/1hh-FVnSX0vozXhGluamEcS54Dw9_zqW0N7qJUWgJ0Sw/edit?usp=sharing"",""ชัยนาท!S542"")+IMPORTRANGE(""https://docs.google.com/spreadsheets/d/1jkqa6GXxSacMcY1eN8AHjMNJ_7dDXMJ"&amp;"VRLDlaFSOdPM/edit?usp=sharing"",""ตราด!S542"")+IMPORTRANGE(""https://docs.google.com/spreadsheets/d/18hSgUJ3VwClqi_qtULmmW3cLr0oe3OKaSYoKzdpTsYQ/edit?usp=sharing"",""นครนายก!S542"")+IMPORTRANGE(""https://docs.google.com/spreadsheets/d/1YTZo6WM2dQ6Ix6FSdnL"&amp;"5P7uVnVKu40sxZu975tgG10E/edit?usp=sharing"",""นครปฐม!S542"")+IMPORTRANGE(""https://docs.google.com/spreadsheets/d/1OYoGg4WDg5RIzwGeB10padOxJF9E_Vljuvvct_M7RDo/edit?usp=sharing"",""ปทุมธานี!S542"")+IMPORTRANGE(""https://docs.google.com/spreadsheets/d/1GbCI"&amp;"E4D4wk9FUozzqk7SxfDMxDVBwVmI5zcaVUSzKAc/edit?usp=sharing"",""ประจวบคีรีขันธ์!S542"")+IMPORTRANGE(""https://docs.google.com/spreadsheets/d/1vVf6wykvW_lAyu7Yo9L4hUTqHqIeP_qcVuxCtosJEbg/edit?usp=sharing"",""ปราจีนบุรี!S542"")+IMPORTRANGE(""https://docs.googl"&amp;"e.com/spreadsheets/d/1BIDqLLg5jk3v59G8NlR8rk5xfQDKne0sAvZHSj7TI6I/edit?usp=sharing"",""พระนครศรีอยุธยา!S542"")+IMPORTRANGE(""https://docs.google.com/spreadsheets/d/1YXvxf8Yu6_rV4hTBrwMqAcAnv6DfhUxh5emyM3CJp_w/edit?usp=sharing"",""เพชรบุรี!S542"")+IMPORTRA"&amp;"NGE(""https://docs.google.com/spreadsheets/d/19KBlQQs7uwvsao6t2n-KvW3Ax8J8uRRfZPq1zPbXgKc/edit?usp=sharing"",""ระยอง!S542"")+IMPORTRANGE(""https://docs.google.com/spreadsheets/d/1jQ6P4QcrGM89YfqcC_PxOHGCMq5ezhucwJd8ci-NHng/edit?usp=sharing"",""ราชบุรี!S54"&amp;"2"")+IMPORTRANGE(""https://docs.google.com/spreadsheets/d/1lufeA2cfFqM-elVq2hznhDzC6Pr7wkJ9ZG_sYNGCMCU/edit?usp=sharing"",""ลพบุรี!S542"")+IMPORTRANGE(""https://docs.google.com/spreadsheets/d/10oOiF7loTyfsTkbd4MpaIm0HQ9SwB7IYHdIUvt-U1Uc/edit?usp=sharing"""&amp;",""สระแก้ว!S542"")+IMPORTRANGE(""https://docs.google.com/spreadsheets/d/1xmPlrr1QbdSIKvl1dWUl9K4PjAfSL9oeMr_37QVzcxc/edit?usp=sharing"",""สระบุรี!S542"")+IMPORTRANGE(""https://docs.google.com/spreadsheets/d/1j51vR6CYVGhABJpv6tkstgok82RLpXieLzW1yOY5rHw/edi"&amp;"t?usp=sharing"",""สิงห์บุรี!S542"")+IMPORTRANGE(""https://docs.google.com/spreadsheets/d/1H1EalTWKUSzO4Z1-1CwzoDUaVffgrThEBe2sl74kKG0/edit?usp=sharing"",""สุพรรณบุรี!S542"")+IMPORTRANGE(""https://docs.google.com/spreadsheets/d/1BmIruG_sIrJLYao_Pdr7zVArWsf"&amp;"oBt2692TMi6x_854/edit?usp=sharing"",""อ่างทอง!S542"")"),0)</f>
        <v>0</v>
      </c>
      <c r="T542" s="135">
        <f t="shared" ca="1" si="374"/>
        <v>0</v>
      </c>
      <c r="U542" s="135">
        <f t="shared" ca="1" si="375"/>
        <v>0</v>
      </c>
    </row>
    <row r="543" spans="1:21" ht="19.5" x14ac:dyDescent="0.3">
      <c r="A543" s="278"/>
      <c r="B543" s="279"/>
      <c r="C543" s="670" t="s">
        <v>18</v>
      </c>
      <c r="D543" s="281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2.75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8"/>
      <c r="M544" s="578"/>
      <c r="N544" s="578"/>
      <c r="O544" s="578"/>
      <c r="P544" s="578"/>
      <c r="Q544" s="579"/>
      <c r="R544" s="578"/>
      <c r="S544" s="578"/>
      <c r="T544" s="578"/>
      <c r="U544" s="578"/>
    </row>
    <row r="545" spans="1:21" ht="12.75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668">
        <f t="shared" ref="I554:J554" si="384">I566</f>
        <v>0</v>
      </c>
      <c r="J554" s="668">
        <f t="shared" si="384"/>
        <v>0</v>
      </c>
      <c r="K554" s="669">
        <f>IF(I554&gt;0,J554*100/I554,0)</f>
        <v>0</v>
      </c>
      <c r="L554" s="645"/>
      <c r="M554" s="645"/>
      <c r="N554" s="645"/>
      <c r="O554" s="645"/>
      <c r="P554" s="645"/>
      <c r="Q554" s="644"/>
      <c r="R554" s="645"/>
      <c r="S554" s="645"/>
      <c r="T554" s="645"/>
      <c r="U554" s="645"/>
    </row>
    <row r="555" spans="1:21" ht="19.5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 t="shared" ref="L555:N555" ca="1" si="385">L556+L557</f>
        <v>0</v>
      </c>
      <c r="M555" s="266">
        <f t="shared" ca="1" si="385"/>
        <v>0</v>
      </c>
      <c r="N555" s="266">
        <f t="shared" ca="1" si="385"/>
        <v>0</v>
      </c>
      <c r="O555" s="266">
        <f t="shared" ref="O555:O563" ca="1" si="386">IF(L555&gt;0,N555*100/L555,0)</f>
        <v>0</v>
      </c>
      <c r="P555" s="266">
        <f t="shared" ref="P555:P563" ca="1" si="387">IF(M555&gt;0,N555*100/M555,0)</f>
        <v>0</v>
      </c>
      <c r="Q555" s="216">
        <f t="shared" ref="Q555:S555" ca="1" si="388">Q556+Q557</f>
        <v>0</v>
      </c>
      <c r="R555" s="217">
        <f t="shared" ca="1" si="388"/>
        <v>0</v>
      </c>
      <c r="S555" s="217">
        <f t="shared" ca="1" si="388"/>
        <v>0</v>
      </c>
      <c r="T555" s="217">
        <f t="shared" ref="T555:T563" ca="1" si="389">IF(Q555&gt;0,S555*100/Q555,0)</f>
        <v>0</v>
      </c>
      <c r="U555" s="217">
        <f t="shared" ref="U555:U563" ca="1" si="390">IF(R555&gt;0,S555*100/R555,0)</f>
        <v>0</v>
      </c>
    </row>
    <row r="556" spans="1:21" ht="18.75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 t="shared" ref="L556:N556" ca="1" si="391">L559+L562</f>
        <v>0</v>
      </c>
      <c r="M556" s="80">
        <f t="shared" ca="1" si="391"/>
        <v>0</v>
      </c>
      <c r="N556" s="80">
        <f t="shared" ca="1" si="391"/>
        <v>0</v>
      </c>
      <c r="O556" s="80">
        <f t="shared" ca="1" si="386"/>
        <v>0</v>
      </c>
      <c r="P556" s="80">
        <f t="shared" ca="1" si="387"/>
        <v>0</v>
      </c>
      <c r="Q556" s="219">
        <f t="shared" ref="Q556:S556" ca="1" si="392">Q559+Q562</f>
        <v>0</v>
      </c>
      <c r="R556" s="136">
        <f t="shared" ca="1" si="392"/>
        <v>0</v>
      </c>
      <c r="S556" s="136">
        <f t="shared" ca="1" si="392"/>
        <v>0</v>
      </c>
      <c r="T556" s="136">
        <f t="shared" ca="1" si="389"/>
        <v>0</v>
      </c>
      <c r="U556" s="136">
        <f t="shared" ca="1" si="390"/>
        <v>0</v>
      </c>
    </row>
    <row r="557" spans="1:21" ht="18.75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 t="shared" ref="L557:N557" ca="1" si="393">L560+L563</f>
        <v>0</v>
      </c>
      <c r="M557" s="77">
        <f t="shared" ca="1" si="393"/>
        <v>0</v>
      </c>
      <c r="N557" s="77">
        <f t="shared" ca="1" si="393"/>
        <v>0</v>
      </c>
      <c r="O557" s="77">
        <f t="shared" ca="1" si="386"/>
        <v>0</v>
      </c>
      <c r="P557" s="77">
        <f t="shared" ca="1" si="387"/>
        <v>0</v>
      </c>
      <c r="Q557" s="134">
        <f t="shared" ref="Q557:S557" ca="1" si="394">Q560+Q563</f>
        <v>0</v>
      </c>
      <c r="R557" s="135">
        <f t="shared" ca="1" si="394"/>
        <v>0</v>
      </c>
      <c r="S557" s="135">
        <f t="shared" ca="1" si="394"/>
        <v>0</v>
      </c>
      <c r="T557" s="135">
        <f t="shared" ca="1" si="389"/>
        <v>0</v>
      </c>
      <c r="U557" s="135">
        <f t="shared" ca="1" si="390"/>
        <v>0</v>
      </c>
    </row>
    <row r="558" spans="1:21" ht="18.75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 t="shared" ref="L558:N558" ca="1" si="395">L559+L560</f>
        <v>0</v>
      </c>
      <c r="M558" s="77">
        <f t="shared" ca="1" si="395"/>
        <v>0</v>
      </c>
      <c r="N558" s="77">
        <f t="shared" ca="1" si="395"/>
        <v>0</v>
      </c>
      <c r="O558" s="77">
        <f t="shared" ca="1" si="386"/>
        <v>0</v>
      </c>
      <c r="P558" s="77">
        <f t="shared" ca="1" si="387"/>
        <v>0</v>
      </c>
      <c r="Q558" s="134">
        <f t="shared" ref="Q558:S558" ca="1" si="396">Q559+Q560</f>
        <v>0</v>
      </c>
      <c r="R558" s="135">
        <f t="shared" ca="1" si="396"/>
        <v>0</v>
      </c>
      <c r="S558" s="135">
        <f t="shared" ca="1" si="396"/>
        <v>0</v>
      </c>
      <c r="T558" s="135">
        <f t="shared" ca="1" si="389"/>
        <v>0</v>
      </c>
      <c r="U558" s="135">
        <f t="shared" ca="1" si="390"/>
        <v>0</v>
      </c>
    </row>
    <row r="559" spans="1:21" ht="18.75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f ca="1">IFERROR(__xludf.DUMMYFUNCTION("IMPORTRANGE(""https://docs.google.com/spreadsheets/d/13wPX838HrBrQMCywv1BsuMkt4PEKTChp52zj44s2izQ/edit?usp=sharing"",""กาญจนบุรี!L559"")+IMPORTRANGE(""https://docs.google.com/spreadsheets/d/1ddFKvqj1W1NEiWytbGlB1zMx_ykJDVtmfEQ-6-lIUBA/edit?usp=sharing"","&amp;"""จันทบุรี!L559"")+IMPORTRANGE(""https://docs.google.com/spreadsheets/d/1T1PQvRODqOBZk8BRht_U031fIS1beLA0Ub2CEytj2q0/edit?usp=sharing"",""ฉะเชิงเทรา!L559"")+IMPORTRANGE(""https://docs.google.com/spreadsheets/d/11tr1B-Bhyr79v2bkwVh5h_fR-PStkgjlZtkrZpYurG0/"&amp;"edit?usp=sharing"",""ชลบุรี!L559"")+IMPORTRANGE(""https://docs.google.com/spreadsheets/d/1hh-FVnSX0vozXhGluamEcS54Dw9_zqW0N7qJUWgJ0Sw/edit?usp=sharing"",""ชัยนาท!L559"")+IMPORTRANGE(""https://docs.google.com/spreadsheets/d/1jkqa6GXxSacMcY1eN8AHjMNJ_7dDXMJ"&amp;"VRLDlaFSOdPM/edit?usp=sharing"",""ตราด!L559"")+IMPORTRANGE(""https://docs.google.com/spreadsheets/d/18hSgUJ3VwClqi_qtULmmW3cLr0oe3OKaSYoKzdpTsYQ/edit?usp=sharing"",""นครนายก!L559"")+IMPORTRANGE(""https://docs.google.com/spreadsheets/d/1YTZo6WM2dQ6Ix6FSdnL"&amp;"5P7uVnVKu40sxZu975tgG10E/edit?usp=sharing"",""นครปฐม!L559"")+IMPORTRANGE(""https://docs.google.com/spreadsheets/d/1OYoGg4WDg5RIzwGeB10padOxJF9E_Vljuvvct_M7RDo/edit?usp=sharing"",""ปทุมธานี!L559"")+IMPORTRANGE(""https://docs.google.com/spreadsheets/d/1GbCI"&amp;"E4D4wk9FUozzqk7SxfDMxDVBwVmI5zcaVUSzKAc/edit?usp=sharing"",""ประจวบคีรีขันธ์!L559"")+IMPORTRANGE(""https://docs.google.com/spreadsheets/d/1vVf6wykvW_lAyu7Yo9L4hUTqHqIeP_qcVuxCtosJEbg/edit?usp=sharing"",""ปราจีนบุรี!L559"")+IMPORTRANGE(""https://docs.googl"&amp;"e.com/spreadsheets/d/1BIDqLLg5jk3v59G8NlR8rk5xfQDKne0sAvZHSj7TI6I/edit?usp=sharing"",""พระนครศรีอยุธยา!L559"")+IMPORTRANGE(""https://docs.google.com/spreadsheets/d/1YXvxf8Yu6_rV4hTBrwMqAcAnv6DfhUxh5emyM3CJp_w/edit?usp=sharing"",""เพชรบุรี!L559"")+IMPORTRA"&amp;"NGE(""https://docs.google.com/spreadsheets/d/19KBlQQs7uwvsao6t2n-KvW3Ax8J8uRRfZPq1zPbXgKc/edit?usp=sharing"",""ระยอง!L559"")+IMPORTRANGE(""https://docs.google.com/spreadsheets/d/1jQ6P4QcrGM89YfqcC_PxOHGCMq5ezhucwJd8ci-NHng/edit?usp=sharing"",""ราชบุรี!L55"&amp;"9"")+IMPORTRANGE(""https://docs.google.com/spreadsheets/d/1lufeA2cfFqM-elVq2hznhDzC6Pr7wkJ9ZG_sYNGCMCU/edit?usp=sharing"",""ลพบุรี!L559"")+IMPORTRANGE(""https://docs.google.com/spreadsheets/d/10oOiF7loTyfsTkbd4MpaIm0HQ9SwB7IYHdIUvt-U1Uc/edit?usp=sharing"""&amp;",""สระแก้ว!L559"")+IMPORTRANGE(""https://docs.google.com/spreadsheets/d/1xmPlrr1QbdSIKvl1dWUl9K4PjAfSL9oeMr_37QVzcxc/edit?usp=sharing"",""สระบุรี!L559"")+IMPORTRANGE(""https://docs.google.com/spreadsheets/d/1j51vR6CYVGhABJpv6tkstgok82RLpXieLzW1yOY5rHw/edi"&amp;"t?usp=sharing"",""สิงห์บุรี!L559"")+IMPORTRANGE(""https://docs.google.com/spreadsheets/d/1H1EalTWKUSzO4Z1-1CwzoDUaVffgrThEBe2sl74kKG0/edit?usp=sharing"",""สุพรรณบุรี!L559"")+IMPORTRANGE(""https://docs.google.com/spreadsheets/d/1BmIruG_sIrJLYao_Pdr7zVArWsf"&amp;"oBt2692TMi6x_854/edit?usp=sharing"",""อ่างทอง!L559"")"),0)</f>
        <v>0</v>
      </c>
      <c r="M559" s="80">
        <f ca="1">IFERROR(__xludf.DUMMYFUNCTION("IMPORTRANGE(""https://docs.google.com/spreadsheets/d/13wPX838HrBrQMCywv1BsuMkt4PEKTChp52zj44s2izQ/edit?usp=sharing"",""กาญจนบุรี!M559"")+IMPORTRANGE(""https://docs.google.com/spreadsheets/d/1ddFKvqj1W1NEiWytbGlB1zMx_ykJDVtmfEQ-6-lIUBA/edit?usp=sharing"","&amp;"""จันทบุรี!M559"")+IMPORTRANGE(""https://docs.google.com/spreadsheets/d/1T1PQvRODqOBZk8BRht_U031fIS1beLA0Ub2CEytj2q0/edit?usp=sharing"",""ฉะเชิงเทรา!M559"")+IMPORTRANGE(""https://docs.google.com/spreadsheets/d/11tr1B-Bhyr79v2bkwVh5h_fR-PStkgjlZtkrZpYurG0/"&amp;"edit?usp=sharing"",""ชลบุรี!M559"")+IMPORTRANGE(""https://docs.google.com/spreadsheets/d/1hh-FVnSX0vozXhGluamEcS54Dw9_zqW0N7qJUWgJ0Sw/edit?usp=sharing"",""ชัยนาท!M559"")+IMPORTRANGE(""https://docs.google.com/spreadsheets/d/1jkqa6GXxSacMcY1eN8AHjMNJ_7dDXMJ"&amp;"VRLDlaFSOdPM/edit?usp=sharing"",""ตราด!M559"")+IMPORTRANGE(""https://docs.google.com/spreadsheets/d/18hSgUJ3VwClqi_qtULmmW3cLr0oe3OKaSYoKzdpTsYQ/edit?usp=sharing"",""นครนายก!M559"")+IMPORTRANGE(""https://docs.google.com/spreadsheets/d/1YTZo6WM2dQ6Ix6FSdnL"&amp;"5P7uVnVKu40sxZu975tgG10E/edit?usp=sharing"",""นครปฐม!M559"")+IMPORTRANGE(""https://docs.google.com/spreadsheets/d/1OYoGg4WDg5RIzwGeB10padOxJF9E_Vljuvvct_M7RDo/edit?usp=sharing"",""ปทุมธานี!M559"")+IMPORTRANGE(""https://docs.google.com/spreadsheets/d/1GbCI"&amp;"E4D4wk9FUozzqk7SxfDMxDVBwVmI5zcaVUSzKAc/edit?usp=sharing"",""ประจวบคีรีขันธ์!M559"")+IMPORTRANGE(""https://docs.google.com/spreadsheets/d/1vVf6wykvW_lAyu7Yo9L4hUTqHqIeP_qcVuxCtosJEbg/edit?usp=sharing"",""ปราจีนบุรี!M559"")+IMPORTRANGE(""https://docs.googl"&amp;"e.com/spreadsheets/d/1BIDqLLg5jk3v59G8NlR8rk5xfQDKne0sAvZHSj7TI6I/edit?usp=sharing"",""พระนครศรีอยุธยา!M559"")+IMPORTRANGE(""https://docs.google.com/spreadsheets/d/1YXvxf8Yu6_rV4hTBrwMqAcAnv6DfhUxh5emyM3CJp_w/edit?usp=sharing"",""เพชรบุรี!M559"")+IMPORTRA"&amp;"NGE(""https://docs.google.com/spreadsheets/d/19KBlQQs7uwvsao6t2n-KvW3Ax8J8uRRfZPq1zPbXgKc/edit?usp=sharing"",""ระยอง!M559"")+IMPORTRANGE(""https://docs.google.com/spreadsheets/d/1jQ6P4QcrGM89YfqcC_PxOHGCMq5ezhucwJd8ci-NHng/edit?usp=sharing"",""ราชบุรี!M55"&amp;"9"")+IMPORTRANGE(""https://docs.google.com/spreadsheets/d/1lufeA2cfFqM-elVq2hznhDzC6Pr7wkJ9ZG_sYNGCMCU/edit?usp=sharing"",""ลพบุรี!M559"")+IMPORTRANGE(""https://docs.google.com/spreadsheets/d/10oOiF7loTyfsTkbd4MpaIm0HQ9SwB7IYHdIUvt-U1Uc/edit?usp=sharing"""&amp;",""สระแก้ว!M559"")+IMPORTRANGE(""https://docs.google.com/spreadsheets/d/1xmPlrr1QbdSIKvl1dWUl9K4PjAfSL9oeMr_37QVzcxc/edit?usp=sharing"",""สระบุรี!M559"")+IMPORTRANGE(""https://docs.google.com/spreadsheets/d/1j51vR6CYVGhABJpv6tkstgok82RLpXieLzW1yOY5rHw/edi"&amp;"t?usp=sharing"",""สิงห์บุรี!M559"")+IMPORTRANGE(""https://docs.google.com/spreadsheets/d/1H1EalTWKUSzO4Z1-1CwzoDUaVffgrThEBe2sl74kKG0/edit?usp=sharing"",""สุพรรณบุรี!M559"")+IMPORTRANGE(""https://docs.google.com/spreadsheets/d/1BmIruG_sIrJLYao_Pdr7zVArWsf"&amp;"oBt2692TMi6x_854/edit?usp=sharing"",""อ่างทอง!M559"")"),0)</f>
        <v>0</v>
      </c>
      <c r="N559" s="80">
        <f ca="1">IFERROR(__xludf.DUMMYFUNCTION("IMPORTRANGE(""https://docs.google.com/spreadsheets/d/13wPX838HrBrQMCywv1BsuMkt4PEKTChp52zj44s2izQ/edit?usp=sharing"",""กาญจนบุรี!N559"")+IMPORTRANGE(""https://docs.google.com/spreadsheets/d/1ddFKvqj1W1NEiWytbGlB1zMx_ykJDVtmfEQ-6-lIUBA/edit?usp=sharing"","&amp;"""จันทบุรี!N559"")+IMPORTRANGE(""https://docs.google.com/spreadsheets/d/1T1PQvRODqOBZk8BRht_U031fIS1beLA0Ub2CEytj2q0/edit?usp=sharing"",""ฉะเชิงเทรา!N559"")+IMPORTRANGE(""https://docs.google.com/spreadsheets/d/11tr1B-Bhyr79v2bkwVh5h_fR-PStkgjlZtkrZpYurG0/"&amp;"edit?usp=sharing"",""ชลบุรี!N559"")+IMPORTRANGE(""https://docs.google.com/spreadsheets/d/1hh-FVnSX0vozXhGluamEcS54Dw9_zqW0N7qJUWgJ0Sw/edit?usp=sharing"",""ชัยนาท!N559"")+IMPORTRANGE(""https://docs.google.com/spreadsheets/d/1jkqa6GXxSacMcY1eN8AHjMNJ_7dDXMJ"&amp;"VRLDlaFSOdPM/edit?usp=sharing"",""ตราด!N559"")+IMPORTRANGE(""https://docs.google.com/spreadsheets/d/18hSgUJ3VwClqi_qtULmmW3cLr0oe3OKaSYoKzdpTsYQ/edit?usp=sharing"",""นครนายก!N559"")+IMPORTRANGE(""https://docs.google.com/spreadsheets/d/1YTZo6WM2dQ6Ix6FSdnL"&amp;"5P7uVnVKu40sxZu975tgG10E/edit?usp=sharing"",""นครปฐม!N559"")+IMPORTRANGE(""https://docs.google.com/spreadsheets/d/1OYoGg4WDg5RIzwGeB10padOxJF9E_Vljuvvct_M7RDo/edit?usp=sharing"",""ปทุมธานี!N559"")+IMPORTRANGE(""https://docs.google.com/spreadsheets/d/1GbCI"&amp;"E4D4wk9FUozzqk7SxfDMxDVBwVmI5zcaVUSzKAc/edit?usp=sharing"",""ประจวบคีรีขันธ์!N559"")+IMPORTRANGE(""https://docs.google.com/spreadsheets/d/1vVf6wykvW_lAyu7Yo9L4hUTqHqIeP_qcVuxCtosJEbg/edit?usp=sharing"",""ปราจีนบุรี!N559"")+IMPORTRANGE(""https://docs.googl"&amp;"e.com/spreadsheets/d/1BIDqLLg5jk3v59G8NlR8rk5xfQDKne0sAvZHSj7TI6I/edit?usp=sharing"",""พระนครศรีอยุธยา!N559"")+IMPORTRANGE(""https://docs.google.com/spreadsheets/d/1YXvxf8Yu6_rV4hTBrwMqAcAnv6DfhUxh5emyM3CJp_w/edit?usp=sharing"",""เพชรบุรี!N559"")+IMPORTRA"&amp;"NGE(""https://docs.google.com/spreadsheets/d/19KBlQQs7uwvsao6t2n-KvW3Ax8J8uRRfZPq1zPbXgKc/edit?usp=sharing"",""ระยอง!N559"")+IMPORTRANGE(""https://docs.google.com/spreadsheets/d/1jQ6P4QcrGM89YfqcC_PxOHGCMq5ezhucwJd8ci-NHng/edit?usp=sharing"",""ราชบุรี!N55"&amp;"9"")+IMPORTRANGE(""https://docs.google.com/spreadsheets/d/1lufeA2cfFqM-elVq2hznhDzC6Pr7wkJ9ZG_sYNGCMCU/edit?usp=sharing"",""ลพบุรี!N559"")+IMPORTRANGE(""https://docs.google.com/spreadsheets/d/10oOiF7loTyfsTkbd4MpaIm0HQ9SwB7IYHdIUvt-U1Uc/edit?usp=sharing"""&amp;",""สระแก้ว!N559"")+IMPORTRANGE(""https://docs.google.com/spreadsheets/d/1xmPlrr1QbdSIKvl1dWUl9K4PjAfSL9oeMr_37QVzcxc/edit?usp=sharing"",""สระบุรี!N559"")+IMPORTRANGE(""https://docs.google.com/spreadsheets/d/1j51vR6CYVGhABJpv6tkstgok82RLpXieLzW1yOY5rHw/edi"&amp;"t?usp=sharing"",""สิงห์บุรี!N559"")+IMPORTRANGE(""https://docs.google.com/spreadsheets/d/1H1EalTWKUSzO4Z1-1CwzoDUaVffgrThEBe2sl74kKG0/edit?usp=sharing"",""สุพรรณบุรี!N559"")+IMPORTRANGE(""https://docs.google.com/spreadsheets/d/1BmIruG_sIrJLYao_Pdr7zVArWsf"&amp;"oBt2692TMi6x_854/edit?usp=sharing"",""อ่างทอง!N559"")"),0)</f>
        <v>0</v>
      </c>
      <c r="O559" s="80">
        <f t="shared" ca="1" si="386"/>
        <v>0</v>
      </c>
      <c r="P559" s="80">
        <f t="shared" ca="1" si="387"/>
        <v>0</v>
      </c>
      <c r="Q559" s="79">
        <f ca="1">IFERROR(__xludf.DUMMYFUNCTION("IMPORTRANGE(""https://docs.google.com/spreadsheets/d/13wPX838HrBrQMCywv1BsuMkt4PEKTChp52zj44s2izQ/edit?usp=sharing"",""กาญจนบุรี!Q559"")+IMPORTRANGE(""https://docs.google.com/spreadsheets/d/1ddFKvqj1W1NEiWytbGlB1zMx_ykJDVtmfEQ-6-lIUBA/edit?usp=sharing"","&amp;"""จันทบุรี!Q559"")+IMPORTRANGE(""https://docs.google.com/spreadsheets/d/1T1PQvRODqOBZk8BRht_U031fIS1beLA0Ub2CEytj2q0/edit?usp=sharing"",""ฉะเชิงเทรา!Q559"")+IMPORTRANGE(""https://docs.google.com/spreadsheets/d/11tr1B-Bhyr79v2bkwVh5h_fR-PStkgjlZtkrZpYurG0/"&amp;"edit?usp=sharing"",""ชลบุรี!Q559"")+IMPORTRANGE(""https://docs.google.com/spreadsheets/d/1hh-FVnSX0vozXhGluamEcS54Dw9_zqW0N7qJUWgJ0Sw/edit?usp=sharing"",""ชัยนาท!Q559"")+IMPORTRANGE(""https://docs.google.com/spreadsheets/d/1jkqa6GXxSacMcY1eN8AHjMNJ_7dDXMJ"&amp;"VRLDlaFSOdPM/edit?usp=sharing"",""ตราด!Q559"")+IMPORTRANGE(""https://docs.google.com/spreadsheets/d/18hSgUJ3VwClqi_qtULmmW3cLr0oe3OKaSYoKzdpTsYQ/edit?usp=sharing"",""นครนายก!Q559"")+IMPORTRANGE(""https://docs.google.com/spreadsheets/d/1YTZo6WM2dQ6Ix6FSdnL"&amp;"5P7uVnVKu40sxZu975tgG10E/edit?usp=sharing"",""นครปฐม!Q559"")+IMPORTRANGE(""https://docs.google.com/spreadsheets/d/1OYoGg4WDg5RIzwGeB10padOxJF9E_Vljuvvct_M7RDo/edit?usp=sharing"",""ปทุมธานี!Q559"")+IMPORTRANGE(""https://docs.google.com/spreadsheets/d/1GbCI"&amp;"E4D4wk9FUozzqk7SxfDMxDVBwVmI5zcaVUSzKAc/edit?usp=sharing"",""ประจวบคีรีขันธ์!Q559"")+IMPORTRANGE(""https://docs.google.com/spreadsheets/d/1vVf6wykvW_lAyu7Yo9L4hUTqHqIeP_qcVuxCtosJEbg/edit?usp=sharing"",""ปราจีนบุรี!Q559"")+IMPORTRANGE(""https://docs.googl"&amp;"e.com/spreadsheets/d/1BIDqLLg5jk3v59G8NlR8rk5xfQDKne0sAvZHSj7TI6I/edit?usp=sharing"",""พระนครศรีอยุธยา!Q559"")+IMPORTRANGE(""https://docs.google.com/spreadsheets/d/1YXvxf8Yu6_rV4hTBrwMqAcAnv6DfhUxh5emyM3CJp_w/edit?usp=sharing"",""เพชรบุรี!Q559"")+IMPORTRA"&amp;"NGE(""https://docs.google.com/spreadsheets/d/19KBlQQs7uwvsao6t2n-KvW3Ax8J8uRRfZPq1zPbXgKc/edit?usp=sharing"",""ระยอง!Q559"")+IMPORTRANGE(""https://docs.google.com/spreadsheets/d/1jQ6P4QcrGM89YfqcC_PxOHGCMq5ezhucwJd8ci-NHng/edit?usp=sharing"",""ราชบุรี!Q55"&amp;"9"")+IMPORTRANGE(""https://docs.google.com/spreadsheets/d/1lufeA2cfFqM-elVq2hznhDzC6Pr7wkJ9ZG_sYNGCMCU/edit?usp=sharing"",""ลพบุรี!Q559"")+IMPORTRANGE(""https://docs.google.com/spreadsheets/d/10oOiF7loTyfsTkbd4MpaIm0HQ9SwB7IYHdIUvt-U1Uc/edit?usp=sharing"""&amp;",""สระแก้ว!Q559"")+IMPORTRANGE(""https://docs.google.com/spreadsheets/d/1xmPlrr1QbdSIKvl1dWUl9K4PjAfSL9oeMr_37QVzcxc/edit?usp=sharing"",""สระบุรี!Q559"")+IMPORTRANGE(""https://docs.google.com/spreadsheets/d/1j51vR6CYVGhABJpv6tkstgok82RLpXieLzW1yOY5rHw/edi"&amp;"t?usp=sharing"",""สิงห์บุรี!Q559"")+IMPORTRANGE(""https://docs.google.com/spreadsheets/d/1H1EalTWKUSzO4Z1-1CwzoDUaVffgrThEBe2sl74kKG0/edit?usp=sharing"",""สุพรรณบุรี!Q559"")+IMPORTRANGE(""https://docs.google.com/spreadsheets/d/1BmIruG_sIrJLYao_Pdr7zVArWsf"&amp;"oBt2692TMi6x_854/edit?usp=sharing"",""อ่างทอง!Q559"")"),0)</f>
        <v>0</v>
      </c>
      <c r="R559" s="80">
        <f ca="1">IFERROR(__xludf.DUMMYFUNCTION("IMPORTRANGE(""https://docs.google.com/spreadsheets/d/13wPX838HrBrQMCywv1BsuMkt4PEKTChp52zj44s2izQ/edit?usp=sharing"",""กาญจนบุรี!R559"")+IMPORTRANGE(""https://docs.google.com/spreadsheets/d/1ddFKvqj1W1NEiWytbGlB1zMx_ykJDVtmfEQ-6-lIUBA/edit?usp=sharing"","&amp;"""จันทบุรี!R559"")+IMPORTRANGE(""https://docs.google.com/spreadsheets/d/1T1PQvRODqOBZk8BRht_U031fIS1beLA0Ub2CEytj2q0/edit?usp=sharing"",""ฉะเชิงเทรา!R559"")+IMPORTRANGE(""https://docs.google.com/spreadsheets/d/11tr1B-Bhyr79v2bkwVh5h_fR-PStkgjlZtkrZpYurG0/"&amp;"edit?usp=sharing"",""ชลบุรี!R559"")+IMPORTRANGE(""https://docs.google.com/spreadsheets/d/1hh-FVnSX0vozXhGluamEcS54Dw9_zqW0N7qJUWgJ0Sw/edit?usp=sharing"",""ชัยนาท!R559"")+IMPORTRANGE(""https://docs.google.com/spreadsheets/d/1jkqa6GXxSacMcY1eN8AHjMNJ_7dDXMJ"&amp;"VRLDlaFSOdPM/edit?usp=sharing"",""ตราด!R559"")+IMPORTRANGE(""https://docs.google.com/spreadsheets/d/18hSgUJ3VwClqi_qtULmmW3cLr0oe3OKaSYoKzdpTsYQ/edit?usp=sharing"",""นครนายก!R559"")+IMPORTRANGE(""https://docs.google.com/spreadsheets/d/1YTZo6WM2dQ6Ix6FSdnL"&amp;"5P7uVnVKu40sxZu975tgG10E/edit?usp=sharing"",""นครปฐม!R559"")+IMPORTRANGE(""https://docs.google.com/spreadsheets/d/1OYoGg4WDg5RIzwGeB10padOxJF9E_Vljuvvct_M7RDo/edit?usp=sharing"",""ปทุมธานี!R559"")+IMPORTRANGE(""https://docs.google.com/spreadsheets/d/1GbCI"&amp;"E4D4wk9FUozzqk7SxfDMxDVBwVmI5zcaVUSzKAc/edit?usp=sharing"",""ประจวบคีรีขันธ์!R559"")+IMPORTRANGE(""https://docs.google.com/spreadsheets/d/1vVf6wykvW_lAyu7Yo9L4hUTqHqIeP_qcVuxCtosJEbg/edit?usp=sharing"",""ปราจีนบุรี!R559"")+IMPORTRANGE(""https://docs.googl"&amp;"e.com/spreadsheets/d/1BIDqLLg5jk3v59G8NlR8rk5xfQDKne0sAvZHSj7TI6I/edit?usp=sharing"",""พระนครศรีอยุธยา!R559"")+IMPORTRANGE(""https://docs.google.com/spreadsheets/d/1YXvxf8Yu6_rV4hTBrwMqAcAnv6DfhUxh5emyM3CJp_w/edit?usp=sharing"",""เพชรบุรี!R559"")+IMPORTRA"&amp;"NGE(""https://docs.google.com/spreadsheets/d/19KBlQQs7uwvsao6t2n-KvW3Ax8J8uRRfZPq1zPbXgKc/edit?usp=sharing"",""ระยอง!R559"")+IMPORTRANGE(""https://docs.google.com/spreadsheets/d/1jQ6P4QcrGM89YfqcC_PxOHGCMq5ezhucwJd8ci-NHng/edit?usp=sharing"",""ราชบุรี!R55"&amp;"9"")+IMPORTRANGE(""https://docs.google.com/spreadsheets/d/1lufeA2cfFqM-elVq2hznhDzC6Pr7wkJ9ZG_sYNGCMCU/edit?usp=sharing"",""ลพบุรี!R559"")+IMPORTRANGE(""https://docs.google.com/spreadsheets/d/10oOiF7loTyfsTkbd4MpaIm0HQ9SwB7IYHdIUvt-U1Uc/edit?usp=sharing"""&amp;",""สระแก้ว!R559"")+IMPORTRANGE(""https://docs.google.com/spreadsheets/d/1xmPlrr1QbdSIKvl1dWUl9K4PjAfSL9oeMr_37QVzcxc/edit?usp=sharing"",""สระบุรี!R559"")+IMPORTRANGE(""https://docs.google.com/spreadsheets/d/1j51vR6CYVGhABJpv6tkstgok82RLpXieLzW1yOY5rHw/edi"&amp;"t?usp=sharing"",""สิงห์บุรี!R559"")+IMPORTRANGE(""https://docs.google.com/spreadsheets/d/1H1EalTWKUSzO4Z1-1CwzoDUaVffgrThEBe2sl74kKG0/edit?usp=sharing"",""สุพรรณบุรี!R559"")+IMPORTRANGE(""https://docs.google.com/spreadsheets/d/1BmIruG_sIrJLYao_Pdr7zVArWsf"&amp;"oBt2692TMi6x_854/edit?usp=sharing"",""อ่างทอง!R559"")"),0)</f>
        <v>0</v>
      </c>
      <c r="S559" s="80">
        <f ca="1">IFERROR(__xludf.DUMMYFUNCTION("IMPORTRANGE(""https://docs.google.com/spreadsheets/d/13wPX838HrBrQMCywv1BsuMkt4PEKTChp52zj44s2izQ/edit?usp=sharing"",""กาญจนบุรี!S559"")+IMPORTRANGE(""https://docs.google.com/spreadsheets/d/1ddFKvqj1W1NEiWytbGlB1zMx_ykJDVtmfEQ-6-lIUBA/edit?usp=sharing"","&amp;"""จันทบุรี!S559"")+IMPORTRANGE(""https://docs.google.com/spreadsheets/d/1T1PQvRODqOBZk8BRht_U031fIS1beLA0Ub2CEytj2q0/edit?usp=sharing"",""ฉะเชิงเทรา!S559"")+IMPORTRANGE(""https://docs.google.com/spreadsheets/d/11tr1B-Bhyr79v2bkwVh5h_fR-PStkgjlZtkrZpYurG0/"&amp;"edit?usp=sharing"",""ชลบุรี!S559"")+IMPORTRANGE(""https://docs.google.com/spreadsheets/d/1hh-FVnSX0vozXhGluamEcS54Dw9_zqW0N7qJUWgJ0Sw/edit?usp=sharing"",""ชัยนาท!S559"")+IMPORTRANGE(""https://docs.google.com/spreadsheets/d/1jkqa6GXxSacMcY1eN8AHjMNJ_7dDXMJ"&amp;"VRLDlaFSOdPM/edit?usp=sharing"",""ตราด!S559"")+IMPORTRANGE(""https://docs.google.com/spreadsheets/d/18hSgUJ3VwClqi_qtULmmW3cLr0oe3OKaSYoKzdpTsYQ/edit?usp=sharing"",""นครนายก!S559"")+IMPORTRANGE(""https://docs.google.com/spreadsheets/d/1YTZo6WM2dQ6Ix6FSdnL"&amp;"5P7uVnVKu40sxZu975tgG10E/edit?usp=sharing"",""นครปฐม!S559"")+IMPORTRANGE(""https://docs.google.com/spreadsheets/d/1OYoGg4WDg5RIzwGeB10padOxJF9E_Vljuvvct_M7RDo/edit?usp=sharing"",""ปทุมธานี!S559"")+IMPORTRANGE(""https://docs.google.com/spreadsheets/d/1GbCI"&amp;"E4D4wk9FUozzqk7SxfDMxDVBwVmI5zcaVUSzKAc/edit?usp=sharing"",""ประจวบคีรีขันธ์!S559"")+IMPORTRANGE(""https://docs.google.com/spreadsheets/d/1vVf6wykvW_lAyu7Yo9L4hUTqHqIeP_qcVuxCtosJEbg/edit?usp=sharing"",""ปราจีนบุรี!S559"")+IMPORTRANGE(""https://docs.googl"&amp;"e.com/spreadsheets/d/1BIDqLLg5jk3v59G8NlR8rk5xfQDKne0sAvZHSj7TI6I/edit?usp=sharing"",""พระนครศรีอยุธยา!S559"")+IMPORTRANGE(""https://docs.google.com/spreadsheets/d/1YXvxf8Yu6_rV4hTBrwMqAcAnv6DfhUxh5emyM3CJp_w/edit?usp=sharing"",""เพชรบุรี!S559"")+IMPORTRA"&amp;"NGE(""https://docs.google.com/spreadsheets/d/19KBlQQs7uwvsao6t2n-KvW3Ax8J8uRRfZPq1zPbXgKc/edit?usp=sharing"",""ระยอง!S559"")+IMPORTRANGE(""https://docs.google.com/spreadsheets/d/1jQ6P4QcrGM89YfqcC_PxOHGCMq5ezhucwJd8ci-NHng/edit?usp=sharing"",""ราชบุรี!S55"&amp;"9"")+IMPORTRANGE(""https://docs.google.com/spreadsheets/d/1lufeA2cfFqM-elVq2hznhDzC6Pr7wkJ9ZG_sYNGCMCU/edit?usp=sharing"",""ลพบุรี!S559"")+IMPORTRANGE(""https://docs.google.com/spreadsheets/d/10oOiF7loTyfsTkbd4MpaIm0HQ9SwB7IYHdIUvt-U1Uc/edit?usp=sharing"""&amp;",""สระแก้ว!S559"")+IMPORTRANGE(""https://docs.google.com/spreadsheets/d/1xmPlrr1QbdSIKvl1dWUl9K4PjAfSL9oeMr_37QVzcxc/edit?usp=sharing"",""สระบุรี!S559"")+IMPORTRANGE(""https://docs.google.com/spreadsheets/d/1j51vR6CYVGhABJpv6tkstgok82RLpXieLzW1yOY5rHw/edi"&amp;"t?usp=sharing"",""สิงห์บุรี!S559"")+IMPORTRANGE(""https://docs.google.com/spreadsheets/d/1H1EalTWKUSzO4Z1-1CwzoDUaVffgrThEBe2sl74kKG0/edit?usp=sharing"",""สุพรรณบุรี!S559"")+IMPORTRANGE(""https://docs.google.com/spreadsheets/d/1BmIruG_sIrJLYao_Pdr7zVArWsf"&amp;"oBt2692TMi6x_854/edit?usp=sharing"",""อ่างทอง!S559"")"),0)</f>
        <v>0</v>
      </c>
      <c r="T559" s="136">
        <f t="shared" ca="1" si="389"/>
        <v>0</v>
      </c>
      <c r="U559" s="136">
        <f t="shared" ca="1" si="390"/>
        <v>0</v>
      </c>
    </row>
    <row r="560" spans="1:21" ht="18.75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f ca="1">IFERROR(__xludf.DUMMYFUNCTION("IMPORTRANGE(""https://docs.google.com/spreadsheets/d/13wPX838HrBrQMCywv1BsuMkt4PEKTChp52zj44s2izQ/edit?usp=sharing"",""กาญจนบุรี!L560"")+IMPORTRANGE(""https://docs.google.com/spreadsheets/d/1ddFKvqj1W1NEiWytbGlB1zMx_ykJDVtmfEQ-6-lIUBA/edit?usp=sharing"","&amp;"""จันทบุรี!L560"")+IMPORTRANGE(""https://docs.google.com/spreadsheets/d/1T1PQvRODqOBZk8BRht_U031fIS1beLA0Ub2CEytj2q0/edit?usp=sharing"",""ฉะเชิงเทรา!L560"")+IMPORTRANGE(""https://docs.google.com/spreadsheets/d/11tr1B-Bhyr79v2bkwVh5h_fR-PStkgjlZtkrZpYurG0/"&amp;"edit?usp=sharing"",""ชลบุรี!L560"")+IMPORTRANGE(""https://docs.google.com/spreadsheets/d/1hh-FVnSX0vozXhGluamEcS54Dw9_zqW0N7qJUWgJ0Sw/edit?usp=sharing"",""ชัยนาท!L560"")+IMPORTRANGE(""https://docs.google.com/spreadsheets/d/1jkqa6GXxSacMcY1eN8AHjMNJ_7dDXMJ"&amp;"VRLDlaFSOdPM/edit?usp=sharing"",""ตราด!L560"")+IMPORTRANGE(""https://docs.google.com/spreadsheets/d/18hSgUJ3VwClqi_qtULmmW3cLr0oe3OKaSYoKzdpTsYQ/edit?usp=sharing"",""นครนายก!L560"")+IMPORTRANGE(""https://docs.google.com/spreadsheets/d/1YTZo6WM2dQ6Ix6FSdnL"&amp;"5P7uVnVKu40sxZu975tgG10E/edit?usp=sharing"",""นครปฐม!L560"")+IMPORTRANGE(""https://docs.google.com/spreadsheets/d/1OYoGg4WDg5RIzwGeB10padOxJF9E_Vljuvvct_M7RDo/edit?usp=sharing"",""ปทุมธานี!L560"")+IMPORTRANGE(""https://docs.google.com/spreadsheets/d/1GbCI"&amp;"E4D4wk9FUozzqk7SxfDMxDVBwVmI5zcaVUSzKAc/edit?usp=sharing"",""ประจวบคีรีขันธ์!L560"")+IMPORTRANGE(""https://docs.google.com/spreadsheets/d/1vVf6wykvW_lAyu7Yo9L4hUTqHqIeP_qcVuxCtosJEbg/edit?usp=sharing"",""ปราจีนบุรี!L560"")+IMPORTRANGE(""https://docs.googl"&amp;"e.com/spreadsheets/d/1BIDqLLg5jk3v59G8NlR8rk5xfQDKne0sAvZHSj7TI6I/edit?usp=sharing"",""พระนครศรีอยุธยา!L560"")+IMPORTRANGE(""https://docs.google.com/spreadsheets/d/1YXvxf8Yu6_rV4hTBrwMqAcAnv6DfhUxh5emyM3CJp_w/edit?usp=sharing"",""เพชรบุรี!L560"")+IMPORTRA"&amp;"NGE(""https://docs.google.com/spreadsheets/d/19KBlQQs7uwvsao6t2n-KvW3Ax8J8uRRfZPq1zPbXgKc/edit?usp=sharing"",""ระยอง!L560"")+IMPORTRANGE(""https://docs.google.com/spreadsheets/d/1jQ6P4QcrGM89YfqcC_PxOHGCMq5ezhucwJd8ci-NHng/edit?usp=sharing"",""ราชบุรี!L56"&amp;"0"")+IMPORTRANGE(""https://docs.google.com/spreadsheets/d/1lufeA2cfFqM-elVq2hznhDzC6Pr7wkJ9ZG_sYNGCMCU/edit?usp=sharing"",""ลพบุรี!L560"")+IMPORTRANGE(""https://docs.google.com/spreadsheets/d/10oOiF7loTyfsTkbd4MpaIm0HQ9SwB7IYHdIUvt-U1Uc/edit?usp=sharing"""&amp;",""สระแก้ว!L560"")+IMPORTRANGE(""https://docs.google.com/spreadsheets/d/1xmPlrr1QbdSIKvl1dWUl9K4PjAfSL9oeMr_37QVzcxc/edit?usp=sharing"",""สระบุรี!L560"")+IMPORTRANGE(""https://docs.google.com/spreadsheets/d/1j51vR6CYVGhABJpv6tkstgok82RLpXieLzW1yOY5rHw/edi"&amp;"t?usp=sharing"",""สิงห์บุรี!L560"")+IMPORTRANGE(""https://docs.google.com/spreadsheets/d/1H1EalTWKUSzO4Z1-1CwzoDUaVffgrThEBe2sl74kKG0/edit?usp=sharing"",""สุพรรณบุรี!L560"")+IMPORTRANGE(""https://docs.google.com/spreadsheets/d/1BmIruG_sIrJLYao_Pdr7zVArWsf"&amp;"oBt2692TMi6x_854/edit?usp=sharing"",""อ่างทอง!L560"")"),0)</f>
        <v>0</v>
      </c>
      <c r="M560" s="77">
        <f ca="1">IFERROR(__xludf.DUMMYFUNCTION("IMPORTRANGE(""https://docs.google.com/spreadsheets/d/13wPX838HrBrQMCywv1BsuMkt4PEKTChp52zj44s2izQ/edit?usp=sharing"",""กาญจนบุรี!M560"")+IMPORTRANGE(""https://docs.google.com/spreadsheets/d/1ddFKvqj1W1NEiWytbGlB1zMx_ykJDVtmfEQ-6-lIUBA/edit?usp=sharing"","&amp;"""จันทบุรี!M560"")+IMPORTRANGE(""https://docs.google.com/spreadsheets/d/1T1PQvRODqOBZk8BRht_U031fIS1beLA0Ub2CEytj2q0/edit?usp=sharing"",""ฉะเชิงเทรา!M560"")+IMPORTRANGE(""https://docs.google.com/spreadsheets/d/11tr1B-Bhyr79v2bkwVh5h_fR-PStkgjlZtkrZpYurG0/"&amp;"edit?usp=sharing"",""ชลบุรี!M560"")+IMPORTRANGE(""https://docs.google.com/spreadsheets/d/1hh-FVnSX0vozXhGluamEcS54Dw9_zqW0N7qJUWgJ0Sw/edit?usp=sharing"",""ชัยนาท!M560"")+IMPORTRANGE(""https://docs.google.com/spreadsheets/d/1jkqa6GXxSacMcY1eN8AHjMNJ_7dDXMJ"&amp;"VRLDlaFSOdPM/edit?usp=sharing"",""ตราด!M560"")+IMPORTRANGE(""https://docs.google.com/spreadsheets/d/18hSgUJ3VwClqi_qtULmmW3cLr0oe3OKaSYoKzdpTsYQ/edit?usp=sharing"",""นครนายก!M560"")+IMPORTRANGE(""https://docs.google.com/spreadsheets/d/1YTZo6WM2dQ6Ix6FSdnL"&amp;"5P7uVnVKu40sxZu975tgG10E/edit?usp=sharing"",""นครปฐม!M560"")+IMPORTRANGE(""https://docs.google.com/spreadsheets/d/1OYoGg4WDg5RIzwGeB10padOxJF9E_Vljuvvct_M7RDo/edit?usp=sharing"",""ปทุมธานี!M560"")+IMPORTRANGE(""https://docs.google.com/spreadsheets/d/1GbCI"&amp;"E4D4wk9FUozzqk7SxfDMxDVBwVmI5zcaVUSzKAc/edit?usp=sharing"",""ประจวบคีรีขันธ์!M560"")+IMPORTRANGE(""https://docs.google.com/spreadsheets/d/1vVf6wykvW_lAyu7Yo9L4hUTqHqIeP_qcVuxCtosJEbg/edit?usp=sharing"",""ปราจีนบุรี!M560"")+IMPORTRANGE(""https://docs.googl"&amp;"e.com/spreadsheets/d/1BIDqLLg5jk3v59G8NlR8rk5xfQDKne0sAvZHSj7TI6I/edit?usp=sharing"",""พระนครศรีอยุธยา!M560"")+IMPORTRANGE(""https://docs.google.com/spreadsheets/d/1YXvxf8Yu6_rV4hTBrwMqAcAnv6DfhUxh5emyM3CJp_w/edit?usp=sharing"",""เพชรบุรี!M560"")+IMPORTRA"&amp;"NGE(""https://docs.google.com/spreadsheets/d/19KBlQQs7uwvsao6t2n-KvW3Ax8J8uRRfZPq1zPbXgKc/edit?usp=sharing"",""ระยอง!M560"")+IMPORTRANGE(""https://docs.google.com/spreadsheets/d/1jQ6P4QcrGM89YfqcC_PxOHGCMq5ezhucwJd8ci-NHng/edit?usp=sharing"",""ราชบุรี!M56"&amp;"0"")+IMPORTRANGE(""https://docs.google.com/spreadsheets/d/1lufeA2cfFqM-elVq2hznhDzC6Pr7wkJ9ZG_sYNGCMCU/edit?usp=sharing"",""ลพบุรี!M560"")+IMPORTRANGE(""https://docs.google.com/spreadsheets/d/10oOiF7loTyfsTkbd4MpaIm0HQ9SwB7IYHdIUvt-U1Uc/edit?usp=sharing"""&amp;",""สระแก้ว!M560"")+IMPORTRANGE(""https://docs.google.com/spreadsheets/d/1xmPlrr1QbdSIKvl1dWUl9K4PjAfSL9oeMr_37QVzcxc/edit?usp=sharing"",""สระบุรี!M560"")+IMPORTRANGE(""https://docs.google.com/spreadsheets/d/1j51vR6CYVGhABJpv6tkstgok82RLpXieLzW1yOY5rHw/edi"&amp;"t?usp=sharing"",""สิงห์บุรี!M560"")+IMPORTRANGE(""https://docs.google.com/spreadsheets/d/1H1EalTWKUSzO4Z1-1CwzoDUaVffgrThEBe2sl74kKG0/edit?usp=sharing"",""สุพรรณบุรี!M560"")+IMPORTRANGE(""https://docs.google.com/spreadsheets/d/1BmIruG_sIrJLYao_Pdr7zVArWsf"&amp;"oBt2692TMi6x_854/edit?usp=sharing"",""อ่างทอง!M560"")"),0)</f>
        <v>0</v>
      </c>
      <c r="N560" s="77">
        <f ca="1">IFERROR(__xludf.DUMMYFUNCTION("IMPORTRANGE(""https://docs.google.com/spreadsheets/d/13wPX838HrBrQMCywv1BsuMkt4PEKTChp52zj44s2izQ/edit?usp=sharing"",""กาญจนบุรี!N560"")+IMPORTRANGE(""https://docs.google.com/spreadsheets/d/1ddFKvqj1W1NEiWytbGlB1zMx_ykJDVtmfEQ-6-lIUBA/edit?usp=sharing"","&amp;"""จันทบุรี!N560"")+IMPORTRANGE(""https://docs.google.com/spreadsheets/d/1T1PQvRODqOBZk8BRht_U031fIS1beLA0Ub2CEytj2q0/edit?usp=sharing"",""ฉะเชิงเทรา!N560"")+IMPORTRANGE(""https://docs.google.com/spreadsheets/d/11tr1B-Bhyr79v2bkwVh5h_fR-PStkgjlZtkrZpYurG0/"&amp;"edit?usp=sharing"",""ชลบุรี!N560"")+IMPORTRANGE(""https://docs.google.com/spreadsheets/d/1hh-FVnSX0vozXhGluamEcS54Dw9_zqW0N7qJUWgJ0Sw/edit?usp=sharing"",""ชัยนาท!N560"")+IMPORTRANGE(""https://docs.google.com/spreadsheets/d/1jkqa6GXxSacMcY1eN8AHjMNJ_7dDXMJ"&amp;"VRLDlaFSOdPM/edit?usp=sharing"",""ตราด!N560"")+IMPORTRANGE(""https://docs.google.com/spreadsheets/d/18hSgUJ3VwClqi_qtULmmW3cLr0oe3OKaSYoKzdpTsYQ/edit?usp=sharing"",""นครนายก!N560"")+IMPORTRANGE(""https://docs.google.com/spreadsheets/d/1YTZo6WM2dQ6Ix6FSdnL"&amp;"5P7uVnVKu40sxZu975tgG10E/edit?usp=sharing"",""นครปฐม!N560"")+IMPORTRANGE(""https://docs.google.com/spreadsheets/d/1OYoGg4WDg5RIzwGeB10padOxJF9E_Vljuvvct_M7RDo/edit?usp=sharing"",""ปทุมธานี!N560"")+IMPORTRANGE(""https://docs.google.com/spreadsheets/d/1GbCI"&amp;"E4D4wk9FUozzqk7SxfDMxDVBwVmI5zcaVUSzKAc/edit?usp=sharing"",""ประจวบคีรีขันธ์!N560"")+IMPORTRANGE(""https://docs.google.com/spreadsheets/d/1vVf6wykvW_lAyu7Yo9L4hUTqHqIeP_qcVuxCtosJEbg/edit?usp=sharing"",""ปราจีนบุรี!N560"")+IMPORTRANGE(""https://docs.googl"&amp;"e.com/spreadsheets/d/1BIDqLLg5jk3v59G8NlR8rk5xfQDKne0sAvZHSj7TI6I/edit?usp=sharing"",""พระนครศรีอยุธยา!N560"")+IMPORTRANGE(""https://docs.google.com/spreadsheets/d/1YXvxf8Yu6_rV4hTBrwMqAcAnv6DfhUxh5emyM3CJp_w/edit?usp=sharing"",""เพชรบุรี!N560"")+IMPORTRA"&amp;"NGE(""https://docs.google.com/spreadsheets/d/19KBlQQs7uwvsao6t2n-KvW3Ax8J8uRRfZPq1zPbXgKc/edit?usp=sharing"",""ระยอง!N560"")+IMPORTRANGE(""https://docs.google.com/spreadsheets/d/1jQ6P4QcrGM89YfqcC_PxOHGCMq5ezhucwJd8ci-NHng/edit?usp=sharing"",""ราชบุรี!N56"&amp;"0"")+IMPORTRANGE(""https://docs.google.com/spreadsheets/d/1lufeA2cfFqM-elVq2hznhDzC6Pr7wkJ9ZG_sYNGCMCU/edit?usp=sharing"",""ลพบุรี!N560"")+IMPORTRANGE(""https://docs.google.com/spreadsheets/d/10oOiF7loTyfsTkbd4MpaIm0HQ9SwB7IYHdIUvt-U1Uc/edit?usp=sharing"""&amp;",""สระแก้ว!N560"")+IMPORTRANGE(""https://docs.google.com/spreadsheets/d/1xmPlrr1QbdSIKvl1dWUl9K4PjAfSL9oeMr_37QVzcxc/edit?usp=sharing"",""สระบุรี!N560"")+IMPORTRANGE(""https://docs.google.com/spreadsheets/d/1j51vR6CYVGhABJpv6tkstgok82RLpXieLzW1yOY5rHw/edi"&amp;"t?usp=sharing"",""สิงห์บุรี!N560"")+IMPORTRANGE(""https://docs.google.com/spreadsheets/d/1H1EalTWKUSzO4Z1-1CwzoDUaVffgrThEBe2sl74kKG0/edit?usp=sharing"",""สุพรรณบุรี!N560"")+IMPORTRANGE(""https://docs.google.com/spreadsheets/d/1BmIruG_sIrJLYao_Pdr7zVArWsf"&amp;"oBt2692TMi6x_854/edit?usp=sharing"",""อ่างทอง!N560"")"),0)</f>
        <v>0</v>
      </c>
      <c r="O560" s="77">
        <f t="shared" ca="1" si="386"/>
        <v>0</v>
      </c>
      <c r="P560" s="77">
        <f t="shared" ca="1" si="387"/>
        <v>0</v>
      </c>
      <c r="Q560" s="76">
        <f ca="1">IFERROR(__xludf.DUMMYFUNCTION("IMPORTRANGE(""https://docs.google.com/spreadsheets/d/13wPX838HrBrQMCywv1BsuMkt4PEKTChp52zj44s2izQ/edit?usp=sharing"",""กาญจนบุรี!Q560"")+IMPORTRANGE(""https://docs.google.com/spreadsheets/d/1ddFKvqj1W1NEiWytbGlB1zMx_ykJDVtmfEQ-6-lIUBA/edit?usp=sharing"","&amp;"""จันทบุรี!Q560"")+IMPORTRANGE(""https://docs.google.com/spreadsheets/d/1T1PQvRODqOBZk8BRht_U031fIS1beLA0Ub2CEytj2q0/edit?usp=sharing"",""ฉะเชิงเทรา!Q560"")+IMPORTRANGE(""https://docs.google.com/spreadsheets/d/11tr1B-Bhyr79v2bkwVh5h_fR-PStkgjlZtkrZpYurG0/"&amp;"edit?usp=sharing"",""ชลบุรี!Q560"")+IMPORTRANGE(""https://docs.google.com/spreadsheets/d/1hh-FVnSX0vozXhGluamEcS54Dw9_zqW0N7qJUWgJ0Sw/edit?usp=sharing"",""ชัยนาท!Q560"")+IMPORTRANGE(""https://docs.google.com/spreadsheets/d/1jkqa6GXxSacMcY1eN8AHjMNJ_7dDXMJ"&amp;"VRLDlaFSOdPM/edit?usp=sharing"",""ตราด!Q560"")+IMPORTRANGE(""https://docs.google.com/spreadsheets/d/18hSgUJ3VwClqi_qtULmmW3cLr0oe3OKaSYoKzdpTsYQ/edit?usp=sharing"",""นครนายก!Q560"")+IMPORTRANGE(""https://docs.google.com/spreadsheets/d/1YTZo6WM2dQ6Ix6FSdnL"&amp;"5P7uVnVKu40sxZu975tgG10E/edit?usp=sharing"",""นครปฐม!Q560"")+IMPORTRANGE(""https://docs.google.com/spreadsheets/d/1OYoGg4WDg5RIzwGeB10padOxJF9E_Vljuvvct_M7RDo/edit?usp=sharing"",""ปทุมธานี!Q560"")+IMPORTRANGE(""https://docs.google.com/spreadsheets/d/1GbCI"&amp;"E4D4wk9FUozzqk7SxfDMxDVBwVmI5zcaVUSzKAc/edit?usp=sharing"",""ประจวบคีรีขันธ์!Q560"")+IMPORTRANGE(""https://docs.google.com/spreadsheets/d/1vVf6wykvW_lAyu7Yo9L4hUTqHqIeP_qcVuxCtosJEbg/edit?usp=sharing"",""ปราจีนบุรี!Q560"")+IMPORTRANGE(""https://docs.googl"&amp;"e.com/spreadsheets/d/1BIDqLLg5jk3v59G8NlR8rk5xfQDKne0sAvZHSj7TI6I/edit?usp=sharing"",""พระนครศรีอยุธยา!Q560"")+IMPORTRANGE(""https://docs.google.com/spreadsheets/d/1YXvxf8Yu6_rV4hTBrwMqAcAnv6DfhUxh5emyM3CJp_w/edit?usp=sharing"",""เพชรบุรี!Q560"")+IMPORTRA"&amp;"NGE(""https://docs.google.com/spreadsheets/d/19KBlQQs7uwvsao6t2n-KvW3Ax8J8uRRfZPq1zPbXgKc/edit?usp=sharing"",""ระยอง!Q560"")+IMPORTRANGE(""https://docs.google.com/spreadsheets/d/1jQ6P4QcrGM89YfqcC_PxOHGCMq5ezhucwJd8ci-NHng/edit?usp=sharing"",""ราชบุรี!Q56"&amp;"0"")+IMPORTRANGE(""https://docs.google.com/spreadsheets/d/1lufeA2cfFqM-elVq2hznhDzC6Pr7wkJ9ZG_sYNGCMCU/edit?usp=sharing"",""ลพบุรี!Q560"")+IMPORTRANGE(""https://docs.google.com/spreadsheets/d/10oOiF7loTyfsTkbd4MpaIm0HQ9SwB7IYHdIUvt-U1Uc/edit?usp=sharing"""&amp;",""สระแก้ว!Q560"")+IMPORTRANGE(""https://docs.google.com/spreadsheets/d/1xmPlrr1QbdSIKvl1dWUl9K4PjAfSL9oeMr_37QVzcxc/edit?usp=sharing"",""สระบุรี!Q560"")+IMPORTRANGE(""https://docs.google.com/spreadsheets/d/1j51vR6CYVGhABJpv6tkstgok82RLpXieLzW1yOY5rHw/edi"&amp;"t?usp=sharing"",""สิงห์บุรี!Q560"")+IMPORTRANGE(""https://docs.google.com/spreadsheets/d/1H1EalTWKUSzO4Z1-1CwzoDUaVffgrThEBe2sl74kKG0/edit?usp=sharing"",""สุพรรณบุรี!Q560"")+IMPORTRANGE(""https://docs.google.com/spreadsheets/d/1BmIruG_sIrJLYao_Pdr7zVArWsf"&amp;"oBt2692TMi6x_854/edit?usp=sharing"",""อ่างทอง!Q560"")"),0)</f>
        <v>0</v>
      </c>
      <c r="R560" s="77">
        <f ca="1">IFERROR(__xludf.DUMMYFUNCTION("IMPORTRANGE(""https://docs.google.com/spreadsheets/d/13wPX838HrBrQMCywv1BsuMkt4PEKTChp52zj44s2izQ/edit?usp=sharing"",""กาญจนบุรี!R560"")+IMPORTRANGE(""https://docs.google.com/spreadsheets/d/1ddFKvqj1W1NEiWytbGlB1zMx_ykJDVtmfEQ-6-lIUBA/edit?usp=sharing"","&amp;"""จันทบุรี!R560"")+IMPORTRANGE(""https://docs.google.com/spreadsheets/d/1T1PQvRODqOBZk8BRht_U031fIS1beLA0Ub2CEytj2q0/edit?usp=sharing"",""ฉะเชิงเทรา!R560"")+IMPORTRANGE(""https://docs.google.com/spreadsheets/d/11tr1B-Bhyr79v2bkwVh5h_fR-PStkgjlZtkrZpYurG0/"&amp;"edit?usp=sharing"",""ชลบุรี!R560"")+IMPORTRANGE(""https://docs.google.com/spreadsheets/d/1hh-FVnSX0vozXhGluamEcS54Dw9_zqW0N7qJUWgJ0Sw/edit?usp=sharing"",""ชัยนาท!R560"")+IMPORTRANGE(""https://docs.google.com/spreadsheets/d/1jkqa6GXxSacMcY1eN8AHjMNJ_7dDXMJ"&amp;"VRLDlaFSOdPM/edit?usp=sharing"",""ตราด!R560"")+IMPORTRANGE(""https://docs.google.com/spreadsheets/d/18hSgUJ3VwClqi_qtULmmW3cLr0oe3OKaSYoKzdpTsYQ/edit?usp=sharing"",""นครนายก!R560"")+IMPORTRANGE(""https://docs.google.com/spreadsheets/d/1YTZo6WM2dQ6Ix6FSdnL"&amp;"5P7uVnVKu40sxZu975tgG10E/edit?usp=sharing"",""นครปฐม!R560"")+IMPORTRANGE(""https://docs.google.com/spreadsheets/d/1OYoGg4WDg5RIzwGeB10padOxJF9E_Vljuvvct_M7RDo/edit?usp=sharing"",""ปทุมธานี!R560"")+IMPORTRANGE(""https://docs.google.com/spreadsheets/d/1GbCI"&amp;"E4D4wk9FUozzqk7SxfDMxDVBwVmI5zcaVUSzKAc/edit?usp=sharing"",""ประจวบคีรีขันธ์!R560"")+IMPORTRANGE(""https://docs.google.com/spreadsheets/d/1vVf6wykvW_lAyu7Yo9L4hUTqHqIeP_qcVuxCtosJEbg/edit?usp=sharing"",""ปราจีนบุรี!R560"")+IMPORTRANGE(""https://docs.googl"&amp;"e.com/spreadsheets/d/1BIDqLLg5jk3v59G8NlR8rk5xfQDKne0sAvZHSj7TI6I/edit?usp=sharing"",""พระนครศรีอยุธยา!R560"")+IMPORTRANGE(""https://docs.google.com/spreadsheets/d/1YXvxf8Yu6_rV4hTBrwMqAcAnv6DfhUxh5emyM3CJp_w/edit?usp=sharing"",""เพชรบุรี!R560"")+IMPORTRA"&amp;"NGE(""https://docs.google.com/spreadsheets/d/19KBlQQs7uwvsao6t2n-KvW3Ax8J8uRRfZPq1zPbXgKc/edit?usp=sharing"",""ระยอง!R560"")+IMPORTRANGE(""https://docs.google.com/spreadsheets/d/1jQ6P4QcrGM89YfqcC_PxOHGCMq5ezhucwJd8ci-NHng/edit?usp=sharing"",""ราชบุรี!R56"&amp;"0"")+IMPORTRANGE(""https://docs.google.com/spreadsheets/d/1lufeA2cfFqM-elVq2hznhDzC6Pr7wkJ9ZG_sYNGCMCU/edit?usp=sharing"",""ลพบุรี!R560"")+IMPORTRANGE(""https://docs.google.com/spreadsheets/d/10oOiF7loTyfsTkbd4MpaIm0HQ9SwB7IYHdIUvt-U1Uc/edit?usp=sharing"""&amp;",""สระแก้ว!R560"")+IMPORTRANGE(""https://docs.google.com/spreadsheets/d/1xmPlrr1QbdSIKvl1dWUl9K4PjAfSL9oeMr_37QVzcxc/edit?usp=sharing"",""สระบุรี!R560"")+IMPORTRANGE(""https://docs.google.com/spreadsheets/d/1j51vR6CYVGhABJpv6tkstgok82RLpXieLzW1yOY5rHw/edi"&amp;"t?usp=sharing"",""สิงห์บุรี!R560"")+IMPORTRANGE(""https://docs.google.com/spreadsheets/d/1H1EalTWKUSzO4Z1-1CwzoDUaVffgrThEBe2sl74kKG0/edit?usp=sharing"",""สุพรรณบุรี!R560"")+IMPORTRANGE(""https://docs.google.com/spreadsheets/d/1BmIruG_sIrJLYao_Pdr7zVArWsf"&amp;"oBt2692TMi6x_854/edit?usp=sharing"",""อ่างทอง!R560"")"),0)</f>
        <v>0</v>
      </c>
      <c r="S560" s="77">
        <f ca="1">IFERROR(__xludf.DUMMYFUNCTION("IMPORTRANGE(""https://docs.google.com/spreadsheets/d/13wPX838HrBrQMCywv1BsuMkt4PEKTChp52zj44s2izQ/edit?usp=sharing"",""กาญจนบุรี!S560"")+IMPORTRANGE(""https://docs.google.com/spreadsheets/d/1ddFKvqj1W1NEiWytbGlB1zMx_ykJDVtmfEQ-6-lIUBA/edit?usp=sharing"","&amp;"""จันทบุรี!S560"")+IMPORTRANGE(""https://docs.google.com/spreadsheets/d/1T1PQvRODqOBZk8BRht_U031fIS1beLA0Ub2CEytj2q0/edit?usp=sharing"",""ฉะเชิงเทรา!S560"")+IMPORTRANGE(""https://docs.google.com/spreadsheets/d/11tr1B-Bhyr79v2bkwVh5h_fR-PStkgjlZtkrZpYurG0/"&amp;"edit?usp=sharing"",""ชลบุรี!S560"")+IMPORTRANGE(""https://docs.google.com/spreadsheets/d/1hh-FVnSX0vozXhGluamEcS54Dw9_zqW0N7qJUWgJ0Sw/edit?usp=sharing"",""ชัยนาท!S560"")+IMPORTRANGE(""https://docs.google.com/spreadsheets/d/1jkqa6GXxSacMcY1eN8AHjMNJ_7dDXMJ"&amp;"VRLDlaFSOdPM/edit?usp=sharing"",""ตราด!S560"")+IMPORTRANGE(""https://docs.google.com/spreadsheets/d/18hSgUJ3VwClqi_qtULmmW3cLr0oe3OKaSYoKzdpTsYQ/edit?usp=sharing"",""นครนายก!S560"")+IMPORTRANGE(""https://docs.google.com/spreadsheets/d/1YTZo6WM2dQ6Ix6FSdnL"&amp;"5P7uVnVKu40sxZu975tgG10E/edit?usp=sharing"",""นครปฐม!S560"")+IMPORTRANGE(""https://docs.google.com/spreadsheets/d/1OYoGg4WDg5RIzwGeB10padOxJF9E_Vljuvvct_M7RDo/edit?usp=sharing"",""ปทุมธานี!S560"")+IMPORTRANGE(""https://docs.google.com/spreadsheets/d/1GbCI"&amp;"E4D4wk9FUozzqk7SxfDMxDVBwVmI5zcaVUSzKAc/edit?usp=sharing"",""ประจวบคีรีขันธ์!S560"")+IMPORTRANGE(""https://docs.google.com/spreadsheets/d/1vVf6wykvW_lAyu7Yo9L4hUTqHqIeP_qcVuxCtosJEbg/edit?usp=sharing"",""ปราจีนบุรี!S560"")+IMPORTRANGE(""https://docs.googl"&amp;"e.com/spreadsheets/d/1BIDqLLg5jk3v59G8NlR8rk5xfQDKne0sAvZHSj7TI6I/edit?usp=sharing"",""พระนครศรีอยุธยา!S560"")+IMPORTRANGE(""https://docs.google.com/spreadsheets/d/1YXvxf8Yu6_rV4hTBrwMqAcAnv6DfhUxh5emyM3CJp_w/edit?usp=sharing"",""เพชรบุรี!S560"")+IMPORTRA"&amp;"NGE(""https://docs.google.com/spreadsheets/d/19KBlQQs7uwvsao6t2n-KvW3Ax8J8uRRfZPq1zPbXgKc/edit?usp=sharing"",""ระยอง!S560"")+IMPORTRANGE(""https://docs.google.com/spreadsheets/d/1jQ6P4QcrGM89YfqcC_PxOHGCMq5ezhucwJd8ci-NHng/edit?usp=sharing"",""ราชบุรี!S56"&amp;"0"")+IMPORTRANGE(""https://docs.google.com/spreadsheets/d/1lufeA2cfFqM-elVq2hznhDzC6Pr7wkJ9ZG_sYNGCMCU/edit?usp=sharing"",""ลพบุรี!S560"")+IMPORTRANGE(""https://docs.google.com/spreadsheets/d/10oOiF7loTyfsTkbd4MpaIm0HQ9SwB7IYHdIUvt-U1Uc/edit?usp=sharing"""&amp;",""สระแก้ว!S560"")+IMPORTRANGE(""https://docs.google.com/spreadsheets/d/1xmPlrr1QbdSIKvl1dWUl9K4PjAfSL9oeMr_37QVzcxc/edit?usp=sharing"",""สระบุรี!S560"")+IMPORTRANGE(""https://docs.google.com/spreadsheets/d/1j51vR6CYVGhABJpv6tkstgok82RLpXieLzW1yOY5rHw/edi"&amp;"t?usp=sharing"",""สิงห์บุรี!S560"")+IMPORTRANGE(""https://docs.google.com/spreadsheets/d/1H1EalTWKUSzO4Z1-1CwzoDUaVffgrThEBe2sl74kKG0/edit?usp=sharing"",""สุพรรณบุรี!S560"")+IMPORTRANGE(""https://docs.google.com/spreadsheets/d/1BmIruG_sIrJLYao_Pdr7zVArWsf"&amp;"oBt2692TMi6x_854/edit?usp=sharing"",""อ่างทอง!S560"")"),0)</f>
        <v>0</v>
      </c>
      <c r="T560" s="135">
        <f t="shared" ca="1" si="389"/>
        <v>0</v>
      </c>
      <c r="U560" s="135">
        <f t="shared" ca="1" si="390"/>
        <v>0</v>
      </c>
    </row>
    <row r="561" spans="1:21" ht="18.75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 t="shared" ref="L561:N561" ca="1" si="397">L562+L563</f>
        <v>0</v>
      </c>
      <c r="M561" s="77">
        <f t="shared" ca="1" si="397"/>
        <v>0</v>
      </c>
      <c r="N561" s="77">
        <f t="shared" ca="1" si="397"/>
        <v>0</v>
      </c>
      <c r="O561" s="77">
        <f t="shared" ca="1" si="386"/>
        <v>0</v>
      </c>
      <c r="P561" s="77">
        <f t="shared" ca="1" si="387"/>
        <v>0</v>
      </c>
      <c r="Q561" s="134">
        <f t="shared" ref="Q561:S561" ca="1" si="398">Q562+Q563</f>
        <v>0</v>
      </c>
      <c r="R561" s="135">
        <f t="shared" ca="1" si="398"/>
        <v>0</v>
      </c>
      <c r="S561" s="135">
        <f t="shared" ca="1" si="398"/>
        <v>0</v>
      </c>
      <c r="T561" s="135">
        <f t="shared" ca="1" si="389"/>
        <v>0</v>
      </c>
      <c r="U561" s="135">
        <f t="shared" ca="1" si="390"/>
        <v>0</v>
      </c>
    </row>
    <row r="562" spans="1:21" ht="18.75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f ca="1">IFERROR(__xludf.DUMMYFUNCTION("IMPORTRANGE(""https://docs.google.com/spreadsheets/d/13wPX838HrBrQMCywv1BsuMkt4PEKTChp52zj44s2izQ/edit?usp=sharing"",""กาญจนบุรี!L562"")+IMPORTRANGE(""https://docs.google.com/spreadsheets/d/1ddFKvqj1W1NEiWytbGlB1zMx_ykJDVtmfEQ-6-lIUBA/edit?usp=sharing"","&amp;"""จันทบุรี!L562"")+IMPORTRANGE(""https://docs.google.com/spreadsheets/d/1T1PQvRODqOBZk8BRht_U031fIS1beLA0Ub2CEytj2q0/edit?usp=sharing"",""ฉะเชิงเทรา!L562"")+IMPORTRANGE(""https://docs.google.com/spreadsheets/d/11tr1B-Bhyr79v2bkwVh5h_fR-PStkgjlZtkrZpYurG0/"&amp;"edit?usp=sharing"",""ชลบุรี!L562"")+IMPORTRANGE(""https://docs.google.com/spreadsheets/d/1hh-FVnSX0vozXhGluamEcS54Dw9_zqW0N7qJUWgJ0Sw/edit?usp=sharing"",""ชัยนาท!L562"")+IMPORTRANGE(""https://docs.google.com/spreadsheets/d/1jkqa6GXxSacMcY1eN8AHjMNJ_7dDXMJ"&amp;"VRLDlaFSOdPM/edit?usp=sharing"",""ตราด!L562"")+IMPORTRANGE(""https://docs.google.com/spreadsheets/d/18hSgUJ3VwClqi_qtULmmW3cLr0oe3OKaSYoKzdpTsYQ/edit?usp=sharing"",""นครนายก!L562"")+IMPORTRANGE(""https://docs.google.com/spreadsheets/d/1YTZo6WM2dQ6Ix6FSdnL"&amp;"5P7uVnVKu40sxZu975tgG10E/edit?usp=sharing"",""นครปฐม!L562"")+IMPORTRANGE(""https://docs.google.com/spreadsheets/d/1OYoGg4WDg5RIzwGeB10padOxJF9E_Vljuvvct_M7RDo/edit?usp=sharing"",""ปทุมธานี!L562"")+IMPORTRANGE(""https://docs.google.com/spreadsheets/d/1GbCI"&amp;"E4D4wk9FUozzqk7SxfDMxDVBwVmI5zcaVUSzKAc/edit?usp=sharing"",""ประจวบคีรีขันธ์!L562"")+IMPORTRANGE(""https://docs.google.com/spreadsheets/d/1vVf6wykvW_lAyu7Yo9L4hUTqHqIeP_qcVuxCtosJEbg/edit?usp=sharing"",""ปราจีนบุรี!L562"")+IMPORTRANGE(""https://docs.googl"&amp;"e.com/spreadsheets/d/1BIDqLLg5jk3v59G8NlR8rk5xfQDKne0sAvZHSj7TI6I/edit?usp=sharing"",""พระนครศรีอยุธยา!L562"")+IMPORTRANGE(""https://docs.google.com/spreadsheets/d/1YXvxf8Yu6_rV4hTBrwMqAcAnv6DfhUxh5emyM3CJp_w/edit?usp=sharing"",""เพชรบุรี!L562"")+IMPORTRA"&amp;"NGE(""https://docs.google.com/spreadsheets/d/19KBlQQs7uwvsao6t2n-KvW3Ax8J8uRRfZPq1zPbXgKc/edit?usp=sharing"",""ระยอง!L562"")+IMPORTRANGE(""https://docs.google.com/spreadsheets/d/1jQ6P4QcrGM89YfqcC_PxOHGCMq5ezhucwJd8ci-NHng/edit?usp=sharing"",""ราชบุรี!L56"&amp;"2"")+IMPORTRANGE(""https://docs.google.com/spreadsheets/d/1lufeA2cfFqM-elVq2hznhDzC6Pr7wkJ9ZG_sYNGCMCU/edit?usp=sharing"",""ลพบุรี!L562"")+IMPORTRANGE(""https://docs.google.com/spreadsheets/d/10oOiF7loTyfsTkbd4MpaIm0HQ9SwB7IYHdIUvt-U1Uc/edit?usp=sharing"""&amp;",""สระแก้ว!L562"")+IMPORTRANGE(""https://docs.google.com/spreadsheets/d/1xmPlrr1QbdSIKvl1dWUl9K4PjAfSL9oeMr_37QVzcxc/edit?usp=sharing"",""สระบุรี!L562"")+IMPORTRANGE(""https://docs.google.com/spreadsheets/d/1j51vR6CYVGhABJpv6tkstgok82RLpXieLzW1yOY5rHw/edi"&amp;"t?usp=sharing"",""สิงห์บุรี!L562"")+IMPORTRANGE(""https://docs.google.com/spreadsheets/d/1H1EalTWKUSzO4Z1-1CwzoDUaVffgrThEBe2sl74kKG0/edit?usp=sharing"",""สุพรรณบุรี!L562"")+IMPORTRANGE(""https://docs.google.com/spreadsheets/d/1BmIruG_sIrJLYao_Pdr7zVArWsf"&amp;"oBt2692TMi6x_854/edit?usp=sharing"",""อ่างทอง!L562"")"),0)</f>
        <v>0</v>
      </c>
      <c r="M562" s="80">
        <f ca="1">IFERROR(__xludf.DUMMYFUNCTION("IMPORTRANGE(""https://docs.google.com/spreadsheets/d/13wPX838HrBrQMCywv1BsuMkt4PEKTChp52zj44s2izQ/edit?usp=sharing"",""กาญจนบุรี!M562"")+IMPORTRANGE(""https://docs.google.com/spreadsheets/d/1ddFKvqj1W1NEiWytbGlB1zMx_ykJDVtmfEQ-6-lIUBA/edit?usp=sharing"","&amp;"""จันทบุรี!M562"")+IMPORTRANGE(""https://docs.google.com/spreadsheets/d/1T1PQvRODqOBZk8BRht_U031fIS1beLA0Ub2CEytj2q0/edit?usp=sharing"",""ฉะเชิงเทรา!M562"")+IMPORTRANGE(""https://docs.google.com/spreadsheets/d/11tr1B-Bhyr79v2bkwVh5h_fR-PStkgjlZtkrZpYurG0/"&amp;"edit?usp=sharing"",""ชลบุรี!M562"")+IMPORTRANGE(""https://docs.google.com/spreadsheets/d/1hh-FVnSX0vozXhGluamEcS54Dw9_zqW0N7qJUWgJ0Sw/edit?usp=sharing"",""ชัยนาท!M562"")+IMPORTRANGE(""https://docs.google.com/spreadsheets/d/1jkqa6GXxSacMcY1eN8AHjMNJ_7dDXMJ"&amp;"VRLDlaFSOdPM/edit?usp=sharing"",""ตราด!M562"")+IMPORTRANGE(""https://docs.google.com/spreadsheets/d/18hSgUJ3VwClqi_qtULmmW3cLr0oe3OKaSYoKzdpTsYQ/edit?usp=sharing"",""นครนายก!M562"")+IMPORTRANGE(""https://docs.google.com/spreadsheets/d/1YTZo6WM2dQ6Ix6FSdnL"&amp;"5P7uVnVKu40sxZu975tgG10E/edit?usp=sharing"",""นครปฐม!M562"")+IMPORTRANGE(""https://docs.google.com/spreadsheets/d/1OYoGg4WDg5RIzwGeB10padOxJF9E_Vljuvvct_M7RDo/edit?usp=sharing"",""ปทุมธานี!M562"")+IMPORTRANGE(""https://docs.google.com/spreadsheets/d/1GbCI"&amp;"E4D4wk9FUozzqk7SxfDMxDVBwVmI5zcaVUSzKAc/edit?usp=sharing"",""ประจวบคีรีขันธ์!M562"")+IMPORTRANGE(""https://docs.google.com/spreadsheets/d/1vVf6wykvW_lAyu7Yo9L4hUTqHqIeP_qcVuxCtosJEbg/edit?usp=sharing"",""ปราจีนบุรี!M562"")+IMPORTRANGE(""https://docs.googl"&amp;"e.com/spreadsheets/d/1BIDqLLg5jk3v59G8NlR8rk5xfQDKne0sAvZHSj7TI6I/edit?usp=sharing"",""พระนครศรีอยุธยา!M562"")+IMPORTRANGE(""https://docs.google.com/spreadsheets/d/1YXvxf8Yu6_rV4hTBrwMqAcAnv6DfhUxh5emyM3CJp_w/edit?usp=sharing"",""เพชรบุรี!M562"")+IMPORTRA"&amp;"NGE(""https://docs.google.com/spreadsheets/d/19KBlQQs7uwvsao6t2n-KvW3Ax8J8uRRfZPq1zPbXgKc/edit?usp=sharing"",""ระยอง!M562"")+IMPORTRANGE(""https://docs.google.com/spreadsheets/d/1jQ6P4QcrGM89YfqcC_PxOHGCMq5ezhucwJd8ci-NHng/edit?usp=sharing"",""ราชบุรี!M56"&amp;"2"")+IMPORTRANGE(""https://docs.google.com/spreadsheets/d/1lufeA2cfFqM-elVq2hznhDzC6Pr7wkJ9ZG_sYNGCMCU/edit?usp=sharing"",""ลพบุรี!M562"")+IMPORTRANGE(""https://docs.google.com/spreadsheets/d/10oOiF7loTyfsTkbd4MpaIm0HQ9SwB7IYHdIUvt-U1Uc/edit?usp=sharing"""&amp;",""สระแก้ว!M562"")+IMPORTRANGE(""https://docs.google.com/spreadsheets/d/1xmPlrr1QbdSIKvl1dWUl9K4PjAfSL9oeMr_37QVzcxc/edit?usp=sharing"",""สระบุรี!M562"")+IMPORTRANGE(""https://docs.google.com/spreadsheets/d/1j51vR6CYVGhABJpv6tkstgok82RLpXieLzW1yOY5rHw/edi"&amp;"t?usp=sharing"",""สิงห์บุรี!M562"")+IMPORTRANGE(""https://docs.google.com/spreadsheets/d/1H1EalTWKUSzO4Z1-1CwzoDUaVffgrThEBe2sl74kKG0/edit?usp=sharing"",""สุพรรณบุรี!M562"")+IMPORTRANGE(""https://docs.google.com/spreadsheets/d/1BmIruG_sIrJLYao_Pdr7zVArWsf"&amp;"oBt2692TMi6x_854/edit?usp=sharing"",""อ่างทอง!M562"")"),0)</f>
        <v>0</v>
      </c>
      <c r="N562" s="80">
        <f ca="1">IFERROR(__xludf.DUMMYFUNCTION("IMPORTRANGE(""https://docs.google.com/spreadsheets/d/13wPX838HrBrQMCywv1BsuMkt4PEKTChp52zj44s2izQ/edit?usp=sharing"",""กาญจนบุรี!N562"")+IMPORTRANGE(""https://docs.google.com/spreadsheets/d/1ddFKvqj1W1NEiWytbGlB1zMx_ykJDVtmfEQ-6-lIUBA/edit?usp=sharing"","&amp;"""จันทบุรี!N562"")+IMPORTRANGE(""https://docs.google.com/spreadsheets/d/1T1PQvRODqOBZk8BRht_U031fIS1beLA0Ub2CEytj2q0/edit?usp=sharing"",""ฉะเชิงเทรา!N562"")+IMPORTRANGE(""https://docs.google.com/spreadsheets/d/11tr1B-Bhyr79v2bkwVh5h_fR-PStkgjlZtkrZpYurG0/"&amp;"edit?usp=sharing"",""ชลบุรี!N562"")+IMPORTRANGE(""https://docs.google.com/spreadsheets/d/1hh-FVnSX0vozXhGluamEcS54Dw9_zqW0N7qJUWgJ0Sw/edit?usp=sharing"",""ชัยนาท!N562"")+IMPORTRANGE(""https://docs.google.com/spreadsheets/d/1jkqa6GXxSacMcY1eN8AHjMNJ_7dDXMJ"&amp;"VRLDlaFSOdPM/edit?usp=sharing"",""ตราด!N562"")+IMPORTRANGE(""https://docs.google.com/spreadsheets/d/18hSgUJ3VwClqi_qtULmmW3cLr0oe3OKaSYoKzdpTsYQ/edit?usp=sharing"",""นครนายก!N562"")+IMPORTRANGE(""https://docs.google.com/spreadsheets/d/1YTZo6WM2dQ6Ix6FSdnL"&amp;"5P7uVnVKu40sxZu975tgG10E/edit?usp=sharing"",""นครปฐม!N562"")+IMPORTRANGE(""https://docs.google.com/spreadsheets/d/1OYoGg4WDg5RIzwGeB10padOxJF9E_Vljuvvct_M7RDo/edit?usp=sharing"",""ปทุมธานี!N562"")+IMPORTRANGE(""https://docs.google.com/spreadsheets/d/1GbCI"&amp;"E4D4wk9FUozzqk7SxfDMxDVBwVmI5zcaVUSzKAc/edit?usp=sharing"",""ประจวบคีรีขันธ์!N562"")+IMPORTRANGE(""https://docs.google.com/spreadsheets/d/1vVf6wykvW_lAyu7Yo9L4hUTqHqIeP_qcVuxCtosJEbg/edit?usp=sharing"",""ปราจีนบุรี!N562"")+IMPORTRANGE(""https://docs.googl"&amp;"e.com/spreadsheets/d/1BIDqLLg5jk3v59G8NlR8rk5xfQDKne0sAvZHSj7TI6I/edit?usp=sharing"",""พระนครศรีอยุธยา!N562"")+IMPORTRANGE(""https://docs.google.com/spreadsheets/d/1YXvxf8Yu6_rV4hTBrwMqAcAnv6DfhUxh5emyM3CJp_w/edit?usp=sharing"",""เพชรบุรี!N562"")+IMPORTRA"&amp;"NGE(""https://docs.google.com/spreadsheets/d/19KBlQQs7uwvsao6t2n-KvW3Ax8J8uRRfZPq1zPbXgKc/edit?usp=sharing"",""ระยอง!N562"")+IMPORTRANGE(""https://docs.google.com/spreadsheets/d/1jQ6P4QcrGM89YfqcC_PxOHGCMq5ezhucwJd8ci-NHng/edit?usp=sharing"",""ราชบุรี!N56"&amp;"2"")+IMPORTRANGE(""https://docs.google.com/spreadsheets/d/1lufeA2cfFqM-elVq2hznhDzC6Pr7wkJ9ZG_sYNGCMCU/edit?usp=sharing"",""ลพบุรี!N562"")+IMPORTRANGE(""https://docs.google.com/spreadsheets/d/10oOiF7loTyfsTkbd4MpaIm0HQ9SwB7IYHdIUvt-U1Uc/edit?usp=sharing"""&amp;",""สระแก้ว!N562"")+IMPORTRANGE(""https://docs.google.com/spreadsheets/d/1xmPlrr1QbdSIKvl1dWUl9K4PjAfSL9oeMr_37QVzcxc/edit?usp=sharing"",""สระบุรี!N562"")+IMPORTRANGE(""https://docs.google.com/spreadsheets/d/1j51vR6CYVGhABJpv6tkstgok82RLpXieLzW1yOY5rHw/edi"&amp;"t?usp=sharing"",""สิงห์บุรี!N562"")+IMPORTRANGE(""https://docs.google.com/spreadsheets/d/1H1EalTWKUSzO4Z1-1CwzoDUaVffgrThEBe2sl74kKG0/edit?usp=sharing"",""สุพรรณบุรี!N562"")+IMPORTRANGE(""https://docs.google.com/spreadsheets/d/1BmIruG_sIrJLYao_Pdr7zVArWsf"&amp;"oBt2692TMi6x_854/edit?usp=sharing"",""อ่างทอง!N562"")"),0)</f>
        <v>0</v>
      </c>
      <c r="O562" s="80">
        <f t="shared" ca="1" si="386"/>
        <v>0</v>
      </c>
      <c r="P562" s="80">
        <f t="shared" ca="1" si="387"/>
        <v>0</v>
      </c>
      <c r="Q562" s="79">
        <f ca="1">IFERROR(__xludf.DUMMYFUNCTION("IMPORTRANGE(""https://docs.google.com/spreadsheets/d/13wPX838HrBrQMCywv1BsuMkt4PEKTChp52zj44s2izQ/edit?usp=sharing"",""กาญจนบุรี!Q562"")+IMPORTRANGE(""https://docs.google.com/spreadsheets/d/1ddFKvqj1W1NEiWytbGlB1zMx_ykJDVtmfEQ-6-lIUBA/edit?usp=sharing"","&amp;"""จันทบุรี!Q562"")+IMPORTRANGE(""https://docs.google.com/spreadsheets/d/1T1PQvRODqOBZk8BRht_U031fIS1beLA0Ub2CEytj2q0/edit?usp=sharing"",""ฉะเชิงเทรา!Q562"")+IMPORTRANGE(""https://docs.google.com/spreadsheets/d/11tr1B-Bhyr79v2bkwVh5h_fR-PStkgjlZtkrZpYurG0/"&amp;"edit?usp=sharing"",""ชลบุรี!Q562"")+IMPORTRANGE(""https://docs.google.com/spreadsheets/d/1hh-FVnSX0vozXhGluamEcS54Dw9_zqW0N7qJUWgJ0Sw/edit?usp=sharing"",""ชัยนาท!Q562"")+IMPORTRANGE(""https://docs.google.com/spreadsheets/d/1jkqa6GXxSacMcY1eN8AHjMNJ_7dDXMJ"&amp;"VRLDlaFSOdPM/edit?usp=sharing"",""ตราด!Q562"")+IMPORTRANGE(""https://docs.google.com/spreadsheets/d/18hSgUJ3VwClqi_qtULmmW3cLr0oe3OKaSYoKzdpTsYQ/edit?usp=sharing"",""นครนายก!Q562"")+IMPORTRANGE(""https://docs.google.com/spreadsheets/d/1YTZo6WM2dQ6Ix6FSdnL"&amp;"5P7uVnVKu40sxZu975tgG10E/edit?usp=sharing"",""นครปฐม!Q562"")+IMPORTRANGE(""https://docs.google.com/spreadsheets/d/1OYoGg4WDg5RIzwGeB10padOxJF9E_Vljuvvct_M7RDo/edit?usp=sharing"",""ปทุมธานี!Q562"")+IMPORTRANGE(""https://docs.google.com/spreadsheets/d/1GbCI"&amp;"E4D4wk9FUozzqk7SxfDMxDVBwVmI5zcaVUSzKAc/edit?usp=sharing"",""ประจวบคีรีขันธ์!Q562"")+IMPORTRANGE(""https://docs.google.com/spreadsheets/d/1vVf6wykvW_lAyu7Yo9L4hUTqHqIeP_qcVuxCtosJEbg/edit?usp=sharing"",""ปราจีนบุรี!Q562"")+IMPORTRANGE(""https://docs.googl"&amp;"e.com/spreadsheets/d/1BIDqLLg5jk3v59G8NlR8rk5xfQDKne0sAvZHSj7TI6I/edit?usp=sharing"",""พระนครศรีอยุธยา!Q562"")+IMPORTRANGE(""https://docs.google.com/spreadsheets/d/1YXvxf8Yu6_rV4hTBrwMqAcAnv6DfhUxh5emyM3CJp_w/edit?usp=sharing"",""เพชรบุรี!Q562"")+IMPORTRA"&amp;"NGE(""https://docs.google.com/spreadsheets/d/19KBlQQs7uwvsao6t2n-KvW3Ax8J8uRRfZPq1zPbXgKc/edit?usp=sharing"",""ระยอง!Q562"")+IMPORTRANGE(""https://docs.google.com/spreadsheets/d/1jQ6P4QcrGM89YfqcC_PxOHGCMq5ezhucwJd8ci-NHng/edit?usp=sharing"",""ราชบุรี!Q56"&amp;"2"")+IMPORTRANGE(""https://docs.google.com/spreadsheets/d/1lufeA2cfFqM-elVq2hznhDzC6Pr7wkJ9ZG_sYNGCMCU/edit?usp=sharing"",""ลพบุรี!Q562"")+IMPORTRANGE(""https://docs.google.com/spreadsheets/d/10oOiF7loTyfsTkbd4MpaIm0HQ9SwB7IYHdIUvt-U1Uc/edit?usp=sharing"""&amp;",""สระแก้ว!Q562"")+IMPORTRANGE(""https://docs.google.com/spreadsheets/d/1xmPlrr1QbdSIKvl1dWUl9K4PjAfSL9oeMr_37QVzcxc/edit?usp=sharing"",""สระบุรี!Q562"")+IMPORTRANGE(""https://docs.google.com/spreadsheets/d/1j51vR6CYVGhABJpv6tkstgok82RLpXieLzW1yOY5rHw/edi"&amp;"t?usp=sharing"",""สิงห์บุรี!Q562"")+IMPORTRANGE(""https://docs.google.com/spreadsheets/d/1H1EalTWKUSzO4Z1-1CwzoDUaVffgrThEBe2sl74kKG0/edit?usp=sharing"",""สุพรรณบุรี!Q562"")+IMPORTRANGE(""https://docs.google.com/spreadsheets/d/1BmIruG_sIrJLYao_Pdr7zVArWsf"&amp;"oBt2692TMi6x_854/edit?usp=sharing"",""อ่างทอง!Q562"")"),0)</f>
        <v>0</v>
      </c>
      <c r="R562" s="80">
        <f ca="1">IFERROR(__xludf.DUMMYFUNCTION("IMPORTRANGE(""https://docs.google.com/spreadsheets/d/13wPX838HrBrQMCywv1BsuMkt4PEKTChp52zj44s2izQ/edit?usp=sharing"",""กาญจนบุรี!R562"")+IMPORTRANGE(""https://docs.google.com/spreadsheets/d/1ddFKvqj1W1NEiWytbGlB1zMx_ykJDVtmfEQ-6-lIUBA/edit?usp=sharing"","&amp;"""จันทบุรี!R562"")+IMPORTRANGE(""https://docs.google.com/spreadsheets/d/1T1PQvRODqOBZk8BRht_U031fIS1beLA0Ub2CEytj2q0/edit?usp=sharing"",""ฉะเชิงเทรา!R562"")+IMPORTRANGE(""https://docs.google.com/spreadsheets/d/11tr1B-Bhyr79v2bkwVh5h_fR-PStkgjlZtkrZpYurG0/"&amp;"edit?usp=sharing"",""ชลบุรี!R562"")+IMPORTRANGE(""https://docs.google.com/spreadsheets/d/1hh-FVnSX0vozXhGluamEcS54Dw9_zqW0N7qJUWgJ0Sw/edit?usp=sharing"",""ชัยนาท!R562"")+IMPORTRANGE(""https://docs.google.com/spreadsheets/d/1jkqa6GXxSacMcY1eN8AHjMNJ_7dDXMJ"&amp;"VRLDlaFSOdPM/edit?usp=sharing"",""ตราด!R562"")+IMPORTRANGE(""https://docs.google.com/spreadsheets/d/18hSgUJ3VwClqi_qtULmmW3cLr0oe3OKaSYoKzdpTsYQ/edit?usp=sharing"",""นครนายก!R562"")+IMPORTRANGE(""https://docs.google.com/spreadsheets/d/1YTZo6WM2dQ6Ix6FSdnL"&amp;"5P7uVnVKu40sxZu975tgG10E/edit?usp=sharing"",""นครปฐม!R562"")+IMPORTRANGE(""https://docs.google.com/spreadsheets/d/1OYoGg4WDg5RIzwGeB10padOxJF9E_Vljuvvct_M7RDo/edit?usp=sharing"",""ปทุมธานี!R562"")+IMPORTRANGE(""https://docs.google.com/spreadsheets/d/1GbCI"&amp;"E4D4wk9FUozzqk7SxfDMxDVBwVmI5zcaVUSzKAc/edit?usp=sharing"",""ประจวบคีรีขันธ์!R562"")+IMPORTRANGE(""https://docs.google.com/spreadsheets/d/1vVf6wykvW_lAyu7Yo9L4hUTqHqIeP_qcVuxCtosJEbg/edit?usp=sharing"",""ปราจีนบุรี!R562"")+IMPORTRANGE(""https://docs.googl"&amp;"e.com/spreadsheets/d/1BIDqLLg5jk3v59G8NlR8rk5xfQDKne0sAvZHSj7TI6I/edit?usp=sharing"",""พระนครศรีอยุธยา!R562"")+IMPORTRANGE(""https://docs.google.com/spreadsheets/d/1YXvxf8Yu6_rV4hTBrwMqAcAnv6DfhUxh5emyM3CJp_w/edit?usp=sharing"",""เพชรบุรี!R562"")+IMPORTRA"&amp;"NGE(""https://docs.google.com/spreadsheets/d/19KBlQQs7uwvsao6t2n-KvW3Ax8J8uRRfZPq1zPbXgKc/edit?usp=sharing"",""ระยอง!R562"")+IMPORTRANGE(""https://docs.google.com/spreadsheets/d/1jQ6P4QcrGM89YfqcC_PxOHGCMq5ezhucwJd8ci-NHng/edit?usp=sharing"",""ราชบุรี!R56"&amp;"2"")+IMPORTRANGE(""https://docs.google.com/spreadsheets/d/1lufeA2cfFqM-elVq2hznhDzC6Pr7wkJ9ZG_sYNGCMCU/edit?usp=sharing"",""ลพบุรี!R562"")+IMPORTRANGE(""https://docs.google.com/spreadsheets/d/10oOiF7loTyfsTkbd4MpaIm0HQ9SwB7IYHdIUvt-U1Uc/edit?usp=sharing"""&amp;",""สระแก้ว!R562"")+IMPORTRANGE(""https://docs.google.com/spreadsheets/d/1xmPlrr1QbdSIKvl1dWUl9K4PjAfSL9oeMr_37QVzcxc/edit?usp=sharing"",""สระบุรี!R562"")+IMPORTRANGE(""https://docs.google.com/spreadsheets/d/1j51vR6CYVGhABJpv6tkstgok82RLpXieLzW1yOY5rHw/edi"&amp;"t?usp=sharing"",""สิงห์บุรี!R562"")+IMPORTRANGE(""https://docs.google.com/spreadsheets/d/1H1EalTWKUSzO4Z1-1CwzoDUaVffgrThEBe2sl74kKG0/edit?usp=sharing"",""สุพรรณบุรี!R562"")+IMPORTRANGE(""https://docs.google.com/spreadsheets/d/1BmIruG_sIrJLYao_Pdr7zVArWsf"&amp;"oBt2692TMi6x_854/edit?usp=sharing"",""อ่างทอง!R562"")"),0)</f>
        <v>0</v>
      </c>
      <c r="S562" s="80">
        <f ca="1">IFERROR(__xludf.DUMMYFUNCTION("IMPORTRANGE(""https://docs.google.com/spreadsheets/d/13wPX838HrBrQMCywv1BsuMkt4PEKTChp52zj44s2izQ/edit?usp=sharing"",""กาญจนบุรี!S562"")+IMPORTRANGE(""https://docs.google.com/spreadsheets/d/1ddFKvqj1W1NEiWytbGlB1zMx_ykJDVtmfEQ-6-lIUBA/edit?usp=sharing"","&amp;"""จันทบุรี!S562"")+IMPORTRANGE(""https://docs.google.com/spreadsheets/d/1T1PQvRODqOBZk8BRht_U031fIS1beLA0Ub2CEytj2q0/edit?usp=sharing"",""ฉะเชิงเทรา!S562"")+IMPORTRANGE(""https://docs.google.com/spreadsheets/d/11tr1B-Bhyr79v2bkwVh5h_fR-PStkgjlZtkrZpYurG0/"&amp;"edit?usp=sharing"",""ชลบุรี!S562"")+IMPORTRANGE(""https://docs.google.com/spreadsheets/d/1hh-FVnSX0vozXhGluamEcS54Dw9_zqW0N7qJUWgJ0Sw/edit?usp=sharing"",""ชัยนาท!S562"")+IMPORTRANGE(""https://docs.google.com/spreadsheets/d/1jkqa6GXxSacMcY1eN8AHjMNJ_7dDXMJ"&amp;"VRLDlaFSOdPM/edit?usp=sharing"",""ตราด!S562"")+IMPORTRANGE(""https://docs.google.com/spreadsheets/d/18hSgUJ3VwClqi_qtULmmW3cLr0oe3OKaSYoKzdpTsYQ/edit?usp=sharing"",""นครนายก!S562"")+IMPORTRANGE(""https://docs.google.com/spreadsheets/d/1YTZo6WM2dQ6Ix6FSdnL"&amp;"5P7uVnVKu40sxZu975tgG10E/edit?usp=sharing"",""นครปฐม!S562"")+IMPORTRANGE(""https://docs.google.com/spreadsheets/d/1OYoGg4WDg5RIzwGeB10padOxJF9E_Vljuvvct_M7RDo/edit?usp=sharing"",""ปทุมธานี!S562"")+IMPORTRANGE(""https://docs.google.com/spreadsheets/d/1GbCI"&amp;"E4D4wk9FUozzqk7SxfDMxDVBwVmI5zcaVUSzKAc/edit?usp=sharing"",""ประจวบคีรีขันธ์!S562"")+IMPORTRANGE(""https://docs.google.com/spreadsheets/d/1vVf6wykvW_lAyu7Yo9L4hUTqHqIeP_qcVuxCtosJEbg/edit?usp=sharing"",""ปราจีนบุรี!S562"")+IMPORTRANGE(""https://docs.googl"&amp;"e.com/spreadsheets/d/1BIDqLLg5jk3v59G8NlR8rk5xfQDKne0sAvZHSj7TI6I/edit?usp=sharing"",""พระนครศรีอยุธยา!S562"")+IMPORTRANGE(""https://docs.google.com/spreadsheets/d/1YXvxf8Yu6_rV4hTBrwMqAcAnv6DfhUxh5emyM3CJp_w/edit?usp=sharing"",""เพชรบุรี!S562"")+IMPORTRA"&amp;"NGE(""https://docs.google.com/spreadsheets/d/19KBlQQs7uwvsao6t2n-KvW3Ax8J8uRRfZPq1zPbXgKc/edit?usp=sharing"",""ระยอง!S562"")+IMPORTRANGE(""https://docs.google.com/spreadsheets/d/1jQ6P4QcrGM89YfqcC_PxOHGCMq5ezhucwJd8ci-NHng/edit?usp=sharing"",""ราชบุรี!S56"&amp;"2"")+IMPORTRANGE(""https://docs.google.com/spreadsheets/d/1lufeA2cfFqM-elVq2hznhDzC6Pr7wkJ9ZG_sYNGCMCU/edit?usp=sharing"",""ลพบุรี!S562"")+IMPORTRANGE(""https://docs.google.com/spreadsheets/d/10oOiF7loTyfsTkbd4MpaIm0HQ9SwB7IYHdIUvt-U1Uc/edit?usp=sharing"""&amp;",""สระแก้ว!S562"")+IMPORTRANGE(""https://docs.google.com/spreadsheets/d/1xmPlrr1QbdSIKvl1dWUl9K4PjAfSL9oeMr_37QVzcxc/edit?usp=sharing"",""สระบุรี!S562"")+IMPORTRANGE(""https://docs.google.com/spreadsheets/d/1j51vR6CYVGhABJpv6tkstgok82RLpXieLzW1yOY5rHw/edi"&amp;"t?usp=sharing"",""สิงห์บุรี!S562"")+IMPORTRANGE(""https://docs.google.com/spreadsheets/d/1H1EalTWKUSzO4Z1-1CwzoDUaVffgrThEBe2sl74kKG0/edit?usp=sharing"",""สุพรรณบุรี!S562"")+IMPORTRANGE(""https://docs.google.com/spreadsheets/d/1BmIruG_sIrJLYao_Pdr7zVArWsf"&amp;"oBt2692TMi6x_854/edit?usp=sharing"",""อ่างทอง!S562"")"),0)</f>
        <v>0</v>
      </c>
      <c r="T562" s="136">
        <f t="shared" ca="1" si="389"/>
        <v>0</v>
      </c>
      <c r="U562" s="136">
        <f t="shared" ca="1" si="390"/>
        <v>0</v>
      </c>
    </row>
    <row r="563" spans="1:21" ht="18.75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f ca="1">IFERROR(__xludf.DUMMYFUNCTION("IMPORTRANGE(""https://docs.google.com/spreadsheets/d/13wPX838HrBrQMCywv1BsuMkt4PEKTChp52zj44s2izQ/edit?usp=sharing"",""กาญจนบุรี!L563"")+IMPORTRANGE(""https://docs.google.com/spreadsheets/d/1ddFKvqj1W1NEiWytbGlB1zMx_ykJDVtmfEQ-6-lIUBA/edit?usp=sharing"","&amp;"""จันทบุรี!L563"")+IMPORTRANGE(""https://docs.google.com/spreadsheets/d/1T1PQvRODqOBZk8BRht_U031fIS1beLA0Ub2CEytj2q0/edit?usp=sharing"",""ฉะเชิงเทรา!L563"")+IMPORTRANGE(""https://docs.google.com/spreadsheets/d/11tr1B-Bhyr79v2bkwVh5h_fR-PStkgjlZtkrZpYurG0/"&amp;"edit?usp=sharing"",""ชลบุรี!L563"")+IMPORTRANGE(""https://docs.google.com/spreadsheets/d/1hh-FVnSX0vozXhGluamEcS54Dw9_zqW0N7qJUWgJ0Sw/edit?usp=sharing"",""ชัยนาท!L563"")+IMPORTRANGE(""https://docs.google.com/spreadsheets/d/1jkqa6GXxSacMcY1eN8AHjMNJ_7dDXMJ"&amp;"VRLDlaFSOdPM/edit?usp=sharing"",""ตราด!L563"")+IMPORTRANGE(""https://docs.google.com/spreadsheets/d/18hSgUJ3VwClqi_qtULmmW3cLr0oe3OKaSYoKzdpTsYQ/edit?usp=sharing"",""นครนายก!L563"")+IMPORTRANGE(""https://docs.google.com/spreadsheets/d/1YTZo6WM2dQ6Ix6FSdnL"&amp;"5P7uVnVKu40sxZu975tgG10E/edit?usp=sharing"",""นครปฐม!L563"")+IMPORTRANGE(""https://docs.google.com/spreadsheets/d/1OYoGg4WDg5RIzwGeB10padOxJF9E_Vljuvvct_M7RDo/edit?usp=sharing"",""ปทุมธานี!L563"")+IMPORTRANGE(""https://docs.google.com/spreadsheets/d/1GbCI"&amp;"E4D4wk9FUozzqk7SxfDMxDVBwVmI5zcaVUSzKAc/edit?usp=sharing"",""ประจวบคีรีขันธ์!L563"")+IMPORTRANGE(""https://docs.google.com/spreadsheets/d/1vVf6wykvW_lAyu7Yo9L4hUTqHqIeP_qcVuxCtosJEbg/edit?usp=sharing"",""ปราจีนบุรี!L563"")+IMPORTRANGE(""https://docs.googl"&amp;"e.com/spreadsheets/d/1BIDqLLg5jk3v59G8NlR8rk5xfQDKne0sAvZHSj7TI6I/edit?usp=sharing"",""พระนครศรีอยุธยา!L563"")+IMPORTRANGE(""https://docs.google.com/spreadsheets/d/1YXvxf8Yu6_rV4hTBrwMqAcAnv6DfhUxh5emyM3CJp_w/edit?usp=sharing"",""เพชรบุรี!L563"")+IMPORTRA"&amp;"NGE(""https://docs.google.com/spreadsheets/d/19KBlQQs7uwvsao6t2n-KvW3Ax8J8uRRfZPq1zPbXgKc/edit?usp=sharing"",""ระยอง!L563"")+IMPORTRANGE(""https://docs.google.com/spreadsheets/d/1jQ6P4QcrGM89YfqcC_PxOHGCMq5ezhucwJd8ci-NHng/edit?usp=sharing"",""ราชบุรี!L56"&amp;"3"")+IMPORTRANGE(""https://docs.google.com/spreadsheets/d/1lufeA2cfFqM-elVq2hznhDzC6Pr7wkJ9ZG_sYNGCMCU/edit?usp=sharing"",""ลพบุรี!L563"")+IMPORTRANGE(""https://docs.google.com/spreadsheets/d/10oOiF7loTyfsTkbd4MpaIm0HQ9SwB7IYHdIUvt-U1Uc/edit?usp=sharing"""&amp;",""สระแก้ว!L563"")+IMPORTRANGE(""https://docs.google.com/spreadsheets/d/1xmPlrr1QbdSIKvl1dWUl9K4PjAfSL9oeMr_37QVzcxc/edit?usp=sharing"",""สระบุรี!L563"")+IMPORTRANGE(""https://docs.google.com/spreadsheets/d/1j51vR6CYVGhABJpv6tkstgok82RLpXieLzW1yOY5rHw/edi"&amp;"t?usp=sharing"",""สิงห์บุรี!L563"")+IMPORTRANGE(""https://docs.google.com/spreadsheets/d/1H1EalTWKUSzO4Z1-1CwzoDUaVffgrThEBe2sl74kKG0/edit?usp=sharing"",""สุพรรณบุรี!L563"")+IMPORTRANGE(""https://docs.google.com/spreadsheets/d/1BmIruG_sIrJLYao_Pdr7zVArWsf"&amp;"oBt2692TMi6x_854/edit?usp=sharing"",""อ่างทอง!L563"")"),0)</f>
        <v>0</v>
      </c>
      <c r="M563" s="77">
        <f ca="1">IFERROR(__xludf.DUMMYFUNCTION("IMPORTRANGE(""https://docs.google.com/spreadsheets/d/13wPX838HrBrQMCywv1BsuMkt4PEKTChp52zj44s2izQ/edit?usp=sharing"",""กาญจนบุรี!M563"")+IMPORTRANGE(""https://docs.google.com/spreadsheets/d/1ddFKvqj1W1NEiWytbGlB1zMx_ykJDVtmfEQ-6-lIUBA/edit?usp=sharing"","&amp;"""จันทบุรี!M563"")+IMPORTRANGE(""https://docs.google.com/spreadsheets/d/1T1PQvRODqOBZk8BRht_U031fIS1beLA0Ub2CEytj2q0/edit?usp=sharing"",""ฉะเชิงเทรา!M563"")+IMPORTRANGE(""https://docs.google.com/spreadsheets/d/11tr1B-Bhyr79v2bkwVh5h_fR-PStkgjlZtkrZpYurG0/"&amp;"edit?usp=sharing"",""ชลบุรี!M563"")+IMPORTRANGE(""https://docs.google.com/spreadsheets/d/1hh-FVnSX0vozXhGluamEcS54Dw9_zqW0N7qJUWgJ0Sw/edit?usp=sharing"",""ชัยนาท!M563"")+IMPORTRANGE(""https://docs.google.com/spreadsheets/d/1jkqa6GXxSacMcY1eN8AHjMNJ_7dDXMJ"&amp;"VRLDlaFSOdPM/edit?usp=sharing"",""ตราด!M563"")+IMPORTRANGE(""https://docs.google.com/spreadsheets/d/18hSgUJ3VwClqi_qtULmmW3cLr0oe3OKaSYoKzdpTsYQ/edit?usp=sharing"",""นครนายก!M563"")+IMPORTRANGE(""https://docs.google.com/spreadsheets/d/1YTZo6WM2dQ6Ix6FSdnL"&amp;"5P7uVnVKu40sxZu975tgG10E/edit?usp=sharing"",""นครปฐม!M563"")+IMPORTRANGE(""https://docs.google.com/spreadsheets/d/1OYoGg4WDg5RIzwGeB10padOxJF9E_Vljuvvct_M7RDo/edit?usp=sharing"",""ปทุมธานี!M563"")+IMPORTRANGE(""https://docs.google.com/spreadsheets/d/1GbCI"&amp;"E4D4wk9FUozzqk7SxfDMxDVBwVmI5zcaVUSzKAc/edit?usp=sharing"",""ประจวบคีรีขันธ์!M563"")+IMPORTRANGE(""https://docs.google.com/spreadsheets/d/1vVf6wykvW_lAyu7Yo9L4hUTqHqIeP_qcVuxCtosJEbg/edit?usp=sharing"",""ปราจีนบุรี!M563"")+IMPORTRANGE(""https://docs.googl"&amp;"e.com/spreadsheets/d/1BIDqLLg5jk3v59G8NlR8rk5xfQDKne0sAvZHSj7TI6I/edit?usp=sharing"",""พระนครศรีอยุธยา!M563"")+IMPORTRANGE(""https://docs.google.com/spreadsheets/d/1YXvxf8Yu6_rV4hTBrwMqAcAnv6DfhUxh5emyM3CJp_w/edit?usp=sharing"",""เพชรบุรี!M563"")+IMPORTRA"&amp;"NGE(""https://docs.google.com/spreadsheets/d/19KBlQQs7uwvsao6t2n-KvW3Ax8J8uRRfZPq1zPbXgKc/edit?usp=sharing"",""ระยอง!M563"")+IMPORTRANGE(""https://docs.google.com/spreadsheets/d/1jQ6P4QcrGM89YfqcC_PxOHGCMq5ezhucwJd8ci-NHng/edit?usp=sharing"",""ราชบุรี!M56"&amp;"3"")+IMPORTRANGE(""https://docs.google.com/spreadsheets/d/1lufeA2cfFqM-elVq2hznhDzC6Pr7wkJ9ZG_sYNGCMCU/edit?usp=sharing"",""ลพบุรี!M563"")+IMPORTRANGE(""https://docs.google.com/spreadsheets/d/10oOiF7loTyfsTkbd4MpaIm0HQ9SwB7IYHdIUvt-U1Uc/edit?usp=sharing"""&amp;",""สระแก้ว!M563"")+IMPORTRANGE(""https://docs.google.com/spreadsheets/d/1xmPlrr1QbdSIKvl1dWUl9K4PjAfSL9oeMr_37QVzcxc/edit?usp=sharing"",""สระบุรี!M563"")+IMPORTRANGE(""https://docs.google.com/spreadsheets/d/1j51vR6CYVGhABJpv6tkstgok82RLpXieLzW1yOY5rHw/edi"&amp;"t?usp=sharing"",""สิงห์บุรี!M563"")+IMPORTRANGE(""https://docs.google.com/spreadsheets/d/1H1EalTWKUSzO4Z1-1CwzoDUaVffgrThEBe2sl74kKG0/edit?usp=sharing"",""สุพรรณบุรี!M563"")+IMPORTRANGE(""https://docs.google.com/spreadsheets/d/1BmIruG_sIrJLYao_Pdr7zVArWsf"&amp;"oBt2692TMi6x_854/edit?usp=sharing"",""อ่างทอง!M563"")"),0)</f>
        <v>0</v>
      </c>
      <c r="N563" s="77">
        <f ca="1">IFERROR(__xludf.DUMMYFUNCTION("IMPORTRANGE(""https://docs.google.com/spreadsheets/d/13wPX838HrBrQMCywv1BsuMkt4PEKTChp52zj44s2izQ/edit?usp=sharing"",""กาญจนบุรี!N563"")+IMPORTRANGE(""https://docs.google.com/spreadsheets/d/1ddFKvqj1W1NEiWytbGlB1zMx_ykJDVtmfEQ-6-lIUBA/edit?usp=sharing"","&amp;"""จันทบุรี!N563"")+IMPORTRANGE(""https://docs.google.com/spreadsheets/d/1T1PQvRODqOBZk8BRht_U031fIS1beLA0Ub2CEytj2q0/edit?usp=sharing"",""ฉะเชิงเทรา!N563"")+IMPORTRANGE(""https://docs.google.com/spreadsheets/d/11tr1B-Bhyr79v2bkwVh5h_fR-PStkgjlZtkrZpYurG0/"&amp;"edit?usp=sharing"",""ชลบุรี!N563"")+IMPORTRANGE(""https://docs.google.com/spreadsheets/d/1hh-FVnSX0vozXhGluamEcS54Dw9_zqW0N7qJUWgJ0Sw/edit?usp=sharing"",""ชัยนาท!N563"")+IMPORTRANGE(""https://docs.google.com/spreadsheets/d/1jkqa6GXxSacMcY1eN8AHjMNJ_7dDXMJ"&amp;"VRLDlaFSOdPM/edit?usp=sharing"",""ตราด!N563"")+IMPORTRANGE(""https://docs.google.com/spreadsheets/d/18hSgUJ3VwClqi_qtULmmW3cLr0oe3OKaSYoKzdpTsYQ/edit?usp=sharing"",""นครนายก!N563"")+IMPORTRANGE(""https://docs.google.com/spreadsheets/d/1YTZo6WM2dQ6Ix6FSdnL"&amp;"5P7uVnVKu40sxZu975tgG10E/edit?usp=sharing"",""นครปฐม!N563"")+IMPORTRANGE(""https://docs.google.com/spreadsheets/d/1OYoGg4WDg5RIzwGeB10padOxJF9E_Vljuvvct_M7RDo/edit?usp=sharing"",""ปทุมธานี!N563"")+IMPORTRANGE(""https://docs.google.com/spreadsheets/d/1GbCI"&amp;"E4D4wk9FUozzqk7SxfDMxDVBwVmI5zcaVUSzKAc/edit?usp=sharing"",""ประจวบคีรีขันธ์!N563"")+IMPORTRANGE(""https://docs.google.com/spreadsheets/d/1vVf6wykvW_lAyu7Yo9L4hUTqHqIeP_qcVuxCtosJEbg/edit?usp=sharing"",""ปราจีนบุรี!N563"")+IMPORTRANGE(""https://docs.googl"&amp;"e.com/spreadsheets/d/1BIDqLLg5jk3v59G8NlR8rk5xfQDKne0sAvZHSj7TI6I/edit?usp=sharing"",""พระนครศรีอยุธยา!N563"")+IMPORTRANGE(""https://docs.google.com/spreadsheets/d/1YXvxf8Yu6_rV4hTBrwMqAcAnv6DfhUxh5emyM3CJp_w/edit?usp=sharing"",""เพชรบุรี!N563"")+IMPORTRA"&amp;"NGE(""https://docs.google.com/spreadsheets/d/19KBlQQs7uwvsao6t2n-KvW3Ax8J8uRRfZPq1zPbXgKc/edit?usp=sharing"",""ระยอง!N563"")+IMPORTRANGE(""https://docs.google.com/spreadsheets/d/1jQ6P4QcrGM89YfqcC_PxOHGCMq5ezhucwJd8ci-NHng/edit?usp=sharing"",""ราชบุรี!N56"&amp;"3"")+IMPORTRANGE(""https://docs.google.com/spreadsheets/d/1lufeA2cfFqM-elVq2hznhDzC6Pr7wkJ9ZG_sYNGCMCU/edit?usp=sharing"",""ลพบุรี!N563"")+IMPORTRANGE(""https://docs.google.com/spreadsheets/d/10oOiF7loTyfsTkbd4MpaIm0HQ9SwB7IYHdIUvt-U1Uc/edit?usp=sharing"""&amp;",""สระแก้ว!N563"")+IMPORTRANGE(""https://docs.google.com/spreadsheets/d/1xmPlrr1QbdSIKvl1dWUl9K4PjAfSL9oeMr_37QVzcxc/edit?usp=sharing"",""สระบุรี!N563"")+IMPORTRANGE(""https://docs.google.com/spreadsheets/d/1j51vR6CYVGhABJpv6tkstgok82RLpXieLzW1yOY5rHw/edi"&amp;"t?usp=sharing"",""สิงห์บุรี!N563"")+IMPORTRANGE(""https://docs.google.com/spreadsheets/d/1H1EalTWKUSzO4Z1-1CwzoDUaVffgrThEBe2sl74kKG0/edit?usp=sharing"",""สุพรรณบุรี!N563"")+IMPORTRANGE(""https://docs.google.com/spreadsheets/d/1BmIruG_sIrJLYao_Pdr7zVArWsf"&amp;"oBt2692TMi6x_854/edit?usp=sharing"",""อ่างทอง!N563"")"),0)</f>
        <v>0</v>
      </c>
      <c r="O563" s="77">
        <f t="shared" ca="1" si="386"/>
        <v>0</v>
      </c>
      <c r="P563" s="77">
        <f t="shared" ca="1" si="387"/>
        <v>0</v>
      </c>
      <c r="Q563" s="76">
        <f ca="1">IFERROR(__xludf.DUMMYFUNCTION("IMPORTRANGE(""https://docs.google.com/spreadsheets/d/13wPX838HrBrQMCywv1BsuMkt4PEKTChp52zj44s2izQ/edit?usp=sharing"",""กาญจนบุรี!Q563"")+IMPORTRANGE(""https://docs.google.com/spreadsheets/d/1ddFKvqj1W1NEiWytbGlB1zMx_ykJDVtmfEQ-6-lIUBA/edit?usp=sharing"","&amp;"""จันทบุรี!Q563"")+IMPORTRANGE(""https://docs.google.com/spreadsheets/d/1T1PQvRODqOBZk8BRht_U031fIS1beLA0Ub2CEytj2q0/edit?usp=sharing"",""ฉะเชิงเทรา!Q563"")+IMPORTRANGE(""https://docs.google.com/spreadsheets/d/11tr1B-Bhyr79v2bkwVh5h_fR-PStkgjlZtkrZpYurG0/"&amp;"edit?usp=sharing"",""ชลบุรี!Q563"")+IMPORTRANGE(""https://docs.google.com/spreadsheets/d/1hh-FVnSX0vozXhGluamEcS54Dw9_zqW0N7qJUWgJ0Sw/edit?usp=sharing"",""ชัยนาท!Q563"")+IMPORTRANGE(""https://docs.google.com/spreadsheets/d/1jkqa6GXxSacMcY1eN8AHjMNJ_7dDXMJ"&amp;"VRLDlaFSOdPM/edit?usp=sharing"",""ตราด!Q563"")+IMPORTRANGE(""https://docs.google.com/spreadsheets/d/18hSgUJ3VwClqi_qtULmmW3cLr0oe3OKaSYoKzdpTsYQ/edit?usp=sharing"",""นครนายก!Q563"")+IMPORTRANGE(""https://docs.google.com/spreadsheets/d/1YTZo6WM2dQ6Ix6FSdnL"&amp;"5P7uVnVKu40sxZu975tgG10E/edit?usp=sharing"",""นครปฐม!Q563"")+IMPORTRANGE(""https://docs.google.com/spreadsheets/d/1OYoGg4WDg5RIzwGeB10padOxJF9E_Vljuvvct_M7RDo/edit?usp=sharing"",""ปทุมธานี!Q563"")+IMPORTRANGE(""https://docs.google.com/spreadsheets/d/1GbCI"&amp;"E4D4wk9FUozzqk7SxfDMxDVBwVmI5zcaVUSzKAc/edit?usp=sharing"",""ประจวบคีรีขันธ์!Q563"")+IMPORTRANGE(""https://docs.google.com/spreadsheets/d/1vVf6wykvW_lAyu7Yo9L4hUTqHqIeP_qcVuxCtosJEbg/edit?usp=sharing"",""ปราจีนบุรี!Q563"")+IMPORTRANGE(""https://docs.googl"&amp;"e.com/spreadsheets/d/1BIDqLLg5jk3v59G8NlR8rk5xfQDKne0sAvZHSj7TI6I/edit?usp=sharing"",""พระนครศรีอยุธยา!Q563"")+IMPORTRANGE(""https://docs.google.com/spreadsheets/d/1YXvxf8Yu6_rV4hTBrwMqAcAnv6DfhUxh5emyM3CJp_w/edit?usp=sharing"",""เพชรบุรี!Q563"")+IMPORTRA"&amp;"NGE(""https://docs.google.com/spreadsheets/d/19KBlQQs7uwvsao6t2n-KvW3Ax8J8uRRfZPq1zPbXgKc/edit?usp=sharing"",""ระยอง!Q563"")+IMPORTRANGE(""https://docs.google.com/spreadsheets/d/1jQ6P4QcrGM89YfqcC_PxOHGCMq5ezhucwJd8ci-NHng/edit?usp=sharing"",""ราชบุรี!Q56"&amp;"3"")+IMPORTRANGE(""https://docs.google.com/spreadsheets/d/1lufeA2cfFqM-elVq2hznhDzC6Pr7wkJ9ZG_sYNGCMCU/edit?usp=sharing"",""ลพบุรี!Q563"")+IMPORTRANGE(""https://docs.google.com/spreadsheets/d/10oOiF7loTyfsTkbd4MpaIm0HQ9SwB7IYHdIUvt-U1Uc/edit?usp=sharing"""&amp;",""สระแก้ว!Q563"")+IMPORTRANGE(""https://docs.google.com/spreadsheets/d/1xmPlrr1QbdSIKvl1dWUl9K4PjAfSL9oeMr_37QVzcxc/edit?usp=sharing"",""สระบุรี!Q563"")+IMPORTRANGE(""https://docs.google.com/spreadsheets/d/1j51vR6CYVGhABJpv6tkstgok82RLpXieLzW1yOY5rHw/edi"&amp;"t?usp=sharing"",""สิงห์บุรี!Q563"")+IMPORTRANGE(""https://docs.google.com/spreadsheets/d/1H1EalTWKUSzO4Z1-1CwzoDUaVffgrThEBe2sl74kKG0/edit?usp=sharing"",""สุพรรณบุรี!Q563"")+IMPORTRANGE(""https://docs.google.com/spreadsheets/d/1BmIruG_sIrJLYao_Pdr7zVArWsf"&amp;"oBt2692TMi6x_854/edit?usp=sharing"",""อ่างทอง!Q563"")"),0)</f>
        <v>0</v>
      </c>
      <c r="R563" s="77">
        <f ca="1">IFERROR(__xludf.DUMMYFUNCTION("IMPORTRANGE(""https://docs.google.com/spreadsheets/d/13wPX838HrBrQMCywv1BsuMkt4PEKTChp52zj44s2izQ/edit?usp=sharing"",""กาญจนบุรี!R563"")+IMPORTRANGE(""https://docs.google.com/spreadsheets/d/1ddFKvqj1W1NEiWytbGlB1zMx_ykJDVtmfEQ-6-lIUBA/edit?usp=sharing"","&amp;"""จันทบุรี!R563"")+IMPORTRANGE(""https://docs.google.com/spreadsheets/d/1T1PQvRODqOBZk8BRht_U031fIS1beLA0Ub2CEytj2q0/edit?usp=sharing"",""ฉะเชิงเทรา!R563"")+IMPORTRANGE(""https://docs.google.com/spreadsheets/d/11tr1B-Bhyr79v2bkwVh5h_fR-PStkgjlZtkrZpYurG0/"&amp;"edit?usp=sharing"",""ชลบุรี!R563"")+IMPORTRANGE(""https://docs.google.com/spreadsheets/d/1hh-FVnSX0vozXhGluamEcS54Dw9_zqW0N7qJUWgJ0Sw/edit?usp=sharing"",""ชัยนาท!R563"")+IMPORTRANGE(""https://docs.google.com/spreadsheets/d/1jkqa6GXxSacMcY1eN8AHjMNJ_7dDXMJ"&amp;"VRLDlaFSOdPM/edit?usp=sharing"",""ตราด!R563"")+IMPORTRANGE(""https://docs.google.com/spreadsheets/d/18hSgUJ3VwClqi_qtULmmW3cLr0oe3OKaSYoKzdpTsYQ/edit?usp=sharing"",""นครนายก!R563"")+IMPORTRANGE(""https://docs.google.com/spreadsheets/d/1YTZo6WM2dQ6Ix6FSdnL"&amp;"5P7uVnVKu40sxZu975tgG10E/edit?usp=sharing"",""นครปฐม!R563"")+IMPORTRANGE(""https://docs.google.com/spreadsheets/d/1OYoGg4WDg5RIzwGeB10padOxJF9E_Vljuvvct_M7RDo/edit?usp=sharing"",""ปทุมธานี!R563"")+IMPORTRANGE(""https://docs.google.com/spreadsheets/d/1GbCI"&amp;"E4D4wk9FUozzqk7SxfDMxDVBwVmI5zcaVUSzKAc/edit?usp=sharing"",""ประจวบคีรีขันธ์!R563"")+IMPORTRANGE(""https://docs.google.com/spreadsheets/d/1vVf6wykvW_lAyu7Yo9L4hUTqHqIeP_qcVuxCtosJEbg/edit?usp=sharing"",""ปราจีนบุรี!R563"")+IMPORTRANGE(""https://docs.googl"&amp;"e.com/spreadsheets/d/1BIDqLLg5jk3v59G8NlR8rk5xfQDKne0sAvZHSj7TI6I/edit?usp=sharing"",""พระนครศรีอยุธยา!R563"")+IMPORTRANGE(""https://docs.google.com/spreadsheets/d/1YXvxf8Yu6_rV4hTBrwMqAcAnv6DfhUxh5emyM3CJp_w/edit?usp=sharing"",""เพชรบุรี!R563"")+IMPORTRA"&amp;"NGE(""https://docs.google.com/spreadsheets/d/19KBlQQs7uwvsao6t2n-KvW3Ax8J8uRRfZPq1zPbXgKc/edit?usp=sharing"",""ระยอง!R563"")+IMPORTRANGE(""https://docs.google.com/spreadsheets/d/1jQ6P4QcrGM89YfqcC_PxOHGCMq5ezhucwJd8ci-NHng/edit?usp=sharing"",""ราชบุรี!R56"&amp;"3"")+IMPORTRANGE(""https://docs.google.com/spreadsheets/d/1lufeA2cfFqM-elVq2hznhDzC6Pr7wkJ9ZG_sYNGCMCU/edit?usp=sharing"",""ลพบุรี!R563"")+IMPORTRANGE(""https://docs.google.com/spreadsheets/d/10oOiF7loTyfsTkbd4MpaIm0HQ9SwB7IYHdIUvt-U1Uc/edit?usp=sharing"""&amp;",""สระแก้ว!R563"")+IMPORTRANGE(""https://docs.google.com/spreadsheets/d/1xmPlrr1QbdSIKvl1dWUl9K4PjAfSL9oeMr_37QVzcxc/edit?usp=sharing"",""สระบุรี!R563"")+IMPORTRANGE(""https://docs.google.com/spreadsheets/d/1j51vR6CYVGhABJpv6tkstgok82RLpXieLzW1yOY5rHw/edi"&amp;"t?usp=sharing"",""สิงห์บุรี!R563"")+IMPORTRANGE(""https://docs.google.com/spreadsheets/d/1H1EalTWKUSzO4Z1-1CwzoDUaVffgrThEBe2sl74kKG0/edit?usp=sharing"",""สุพรรณบุรี!R563"")+IMPORTRANGE(""https://docs.google.com/spreadsheets/d/1BmIruG_sIrJLYao_Pdr7zVArWsf"&amp;"oBt2692TMi6x_854/edit?usp=sharing"",""อ่างทอง!R563"")"),0)</f>
        <v>0</v>
      </c>
      <c r="S563" s="77">
        <f ca="1">IFERROR(__xludf.DUMMYFUNCTION("IMPORTRANGE(""https://docs.google.com/spreadsheets/d/13wPX838HrBrQMCywv1BsuMkt4PEKTChp52zj44s2izQ/edit?usp=sharing"",""กาญจนบุรี!S563"")+IMPORTRANGE(""https://docs.google.com/spreadsheets/d/1ddFKvqj1W1NEiWytbGlB1zMx_ykJDVtmfEQ-6-lIUBA/edit?usp=sharing"","&amp;"""จันทบุรี!S563"")+IMPORTRANGE(""https://docs.google.com/spreadsheets/d/1T1PQvRODqOBZk8BRht_U031fIS1beLA0Ub2CEytj2q0/edit?usp=sharing"",""ฉะเชิงเทรา!S563"")+IMPORTRANGE(""https://docs.google.com/spreadsheets/d/11tr1B-Bhyr79v2bkwVh5h_fR-PStkgjlZtkrZpYurG0/"&amp;"edit?usp=sharing"",""ชลบุรี!S563"")+IMPORTRANGE(""https://docs.google.com/spreadsheets/d/1hh-FVnSX0vozXhGluamEcS54Dw9_zqW0N7qJUWgJ0Sw/edit?usp=sharing"",""ชัยนาท!S563"")+IMPORTRANGE(""https://docs.google.com/spreadsheets/d/1jkqa6GXxSacMcY1eN8AHjMNJ_7dDXMJ"&amp;"VRLDlaFSOdPM/edit?usp=sharing"",""ตราด!S563"")+IMPORTRANGE(""https://docs.google.com/spreadsheets/d/18hSgUJ3VwClqi_qtULmmW3cLr0oe3OKaSYoKzdpTsYQ/edit?usp=sharing"",""นครนายก!S563"")+IMPORTRANGE(""https://docs.google.com/spreadsheets/d/1YTZo6WM2dQ6Ix6FSdnL"&amp;"5P7uVnVKu40sxZu975tgG10E/edit?usp=sharing"",""นครปฐม!S563"")+IMPORTRANGE(""https://docs.google.com/spreadsheets/d/1OYoGg4WDg5RIzwGeB10padOxJF9E_Vljuvvct_M7RDo/edit?usp=sharing"",""ปทุมธานี!S563"")+IMPORTRANGE(""https://docs.google.com/spreadsheets/d/1GbCI"&amp;"E4D4wk9FUozzqk7SxfDMxDVBwVmI5zcaVUSzKAc/edit?usp=sharing"",""ประจวบคีรีขันธ์!S563"")+IMPORTRANGE(""https://docs.google.com/spreadsheets/d/1vVf6wykvW_lAyu7Yo9L4hUTqHqIeP_qcVuxCtosJEbg/edit?usp=sharing"",""ปราจีนบุรี!S563"")+IMPORTRANGE(""https://docs.googl"&amp;"e.com/spreadsheets/d/1BIDqLLg5jk3v59G8NlR8rk5xfQDKne0sAvZHSj7TI6I/edit?usp=sharing"",""พระนครศรีอยุธยา!S563"")+IMPORTRANGE(""https://docs.google.com/spreadsheets/d/1YXvxf8Yu6_rV4hTBrwMqAcAnv6DfhUxh5emyM3CJp_w/edit?usp=sharing"",""เพชรบุรี!S563"")+IMPORTRA"&amp;"NGE(""https://docs.google.com/spreadsheets/d/19KBlQQs7uwvsao6t2n-KvW3Ax8J8uRRfZPq1zPbXgKc/edit?usp=sharing"",""ระยอง!S563"")+IMPORTRANGE(""https://docs.google.com/spreadsheets/d/1jQ6P4QcrGM89YfqcC_PxOHGCMq5ezhucwJd8ci-NHng/edit?usp=sharing"",""ราชบุรี!S56"&amp;"3"")+IMPORTRANGE(""https://docs.google.com/spreadsheets/d/1lufeA2cfFqM-elVq2hznhDzC6Pr7wkJ9ZG_sYNGCMCU/edit?usp=sharing"",""ลพบุรี!S563"")+IMPORTRANGE(""https://docs.google.com/spreadsheets/d/10oOiF7loTyfsTkbd4MpaIm0HQ9SwB7IYHdIUvt-U1Uc/edit?usp=sharing"""&amp;",""สระแก้ว!S563"")+IMPORTRANGE(""https://docs.google.com/spreadsheets/d/1xmPlrr1QbdSIKvl1dWUl9K4PjAfSL9oeMr_37QVzcxc/edit?usp=sharing"",""สระบุรี!S563"")+IMPORTRANGE(""https://docs.google.com/spreadsheets/d/1j51vR6CYVGhABJpv6tkstgok82RLpXieLzW1yOY5rHw/edi"&amp;"t?usp=sharing"",""สิงห์บุรี!S563"")+IMPORTRANGE(""https://docs.google.com/spreadsheets/d/1H1EalTWKUSzO4Z1-1CwzoDUaVffgrThEBe2sl74kKG0/edit?usp=sharing"",""สุพรรณบุรี!S563"")+IMPORTRANGE(""https://docs.google.com/spreadsheets/d/1BmIruG_sIrJLYao_Pdr7zVArWsf"&amp;"oBt2692TMi6x_854/edit?usp=sharing"",""อ่างทอง!S563"")"),0)</f>
        <v>0</v>
      </c>
      <c r="T563" s="135">
        <f t="shared" ca="1" si="389"/>
        <v>0</v>
      </c>
      <c r="U563" s="135">
        <f t="shared" ca="1" si="390"/>
        <v>0</v>
      </c>
    </row>
    <row r="564" spans="1:21" ht="19.5" x14ac:dyDescent="0.3">
      <c r="A564" s="278"/>
      <c r="B564" s="279"/>
      <c r="C564" s="670" t="s">
        <v>18</v>
      </c>
      <c r="D564" s="281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2.75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8"/>
      <c r="M565" s="578"/>
      <c r="N565" s="578"/>
      <c r="O565" s="578"/>
      <c r="P565" s="578"/>
      <c r="Q565" s="579"/>
      <c r="R565" s="578"/>
      <c r="S565" s="578"/>
      <c r="T565" s="578"/>
      <c r="U565" s="578"/>
    </row>
    <row r="566" spans="1:21" ht="12.75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668">
        <f t="shared" ref="I575:J575" si="399">I587</f>
        <v>0</v>
      </c>
      <c r="J575" s="668">
        <f t="shared" si="399"/>
        <v>0</v>
      </c>
      <c r="K575" s="669">
        <f>IF(I575&gt;0,J575*100/I575,0)</f>
        <v>0</v>
      </c>
      <c r="L575" s="645"/>
      <c r="M575" s="645"/>
      <c r="N575" s="645"/>
      <c r="O575" s="645"/>
      <c r="P575" s="645"/>
      <c r="Q575" s="644"/>
      <c r="R575" s="645"/>
      <c r="S575" s="645"/>
      <c r="T575" s="645"/>
      <c r="U575" s="645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 t="shared" ref="L576:N576" ca="1" si="400">L577+L578</f>
        <v>0</v>
      </c>
      <c r="M576" s="266">
        <f t="shared" ca="1" si="400"/>
        <v>0</v>
      </c>
      <c r="N576" s="266">
        <f t="shared" ca="1" si="400"/>
        <v>0</v>
      </c>
      <c r="O576" s="266">
        <f t="shared" ref="O576:O584" ca="1" si="401">IF(L576&gt;0,N576*100/L576,0)</f>
        <v>0</v>
      </c>
      <c r="P576" s="266">
        <f t="shared" ref="P576:P584" ca="1" si="402">IF(M576&gt;0,N576*100/M576,0)</f>
        <v>0</v>
      </c>
      <c r="Q576" s="216">
        <f t="shared" ref="Q576:S576" ca="1" si="403">Q577+Q578</f>
        <v>0</v>
      </c>
      <c r="R576" s="217">
        <f t="shared" ca="1" si="403"/>
        <v>0</v>
      </c>
      <c r="S576" s="217">
        <f t="shared" ca="1" si="403"/>
        <v>0</v>
      </c>
      <c r="T576" s="217">
        <f t="shared" ref="T576:T584" ca="1" si="404">IF(Q576&gt;0,S576*100/Q576,0)</f>
        <v>0</v>
      </c>
      <c r="U576" s="217">
        <f t="shared" ref="U576:U584" ca="1" si="405">IF(R576&gt;0,S576*100/R576,0)</f>
        <v>0</v>
      </c>
    </row>
    <row r="577" spans="1:21" ht="18.75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 t="shared" ref="L577:N577" ca="1" si="406">L580+L583</f>
        <v>0</v>
      </c>
      <c r="M577" s="80">
        <f t="shared" ca="1" si="406"/>
        <v>0</v>
      </c>
      <c r="N577" s="80">
        <f t="shared" ca="1" si="406"/>
        <v>0</v>
      </c>
      <c r="O577" s="80">
        <f t="shared" ca="1" si="401"/>
        <v>0</v>
      </c>
      <c r="P577" s="80">
        <f t="shared" ca="1" si="402"/>
        <v>0</v>
      </c>
      <c r="Q577" s="219">
        <f t="shared" ref="Q577:S577" ca="1" si="407">Q580+Q583</f>
        <v>0</v>
      </c>
      <c r="R577" s="136">
        <f t="shared" ca="1" si="407"/>
        <v>0</v>
      </c>
      <c r="S577" s="136">
        <f t="shared" ca="1" si="407"/>
        <v>0</v>
      </c>
      <c r="T577" s="136">
        <f t="shared" ca="1" si="404"/>
        <v>0</v>
      </c>
      <c r="U577" s="136">
        <f t="shared" ca="1" si="405"/>
        <v>0</v>
      </c>
    </row>
    <row r="578" spans="1:21" ht="18.75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 t="shared" ref="L578:N578" ca="1" si="408">L581+L584</f>
        <v>0</v>
      </c>
      <c r="M578" s="77">
        <f t="shared" ca="1" si="408"/>
        <v>0</v>
      </c>
      <c r="N578" s="77">
        <f t="shared" ca="1" si="408"/>
        <v>0</v>
      </c>
      <c r="O578" s="77">
        <f t="shared" ca="1" si="401"/>
        <v>0</v>
      </c>
      <c r="P578" s="77">
        <f t="shared" ca="1" si="402"/>
        <v>0</v>
      </c>
      <c r="Q578" s="134">
        <f t="shared" ref="Q578:S578" ca="1" si="409">Q581+Q584</f>
        <v>0</v>
      </c>
      <c r="R578" s="135">
        <f t="shared" ca="1" si="409"/>
        <v>0</v>
      </c>
      <c r="S578" s="135">
        <f t="shared" ca="1" si="409"/>
        <v>0</v>
      </c>
      <c r="T578" s="135">
        <f t="shared" ca="1" si="404"/>
        <v>0</v>
      </c>
      <c r="U578" s="135">
        <f t="shared" ca="1" si="405"/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 t="shared" ref="L579:N579" ca="1" si="410">L580+L581</f>
        <v>0</v>
      </c>
      <c r="M579" s="77">
        <f t="shared" ca="1" si="410"/>
        <v>0</v>
      </c>
      <c r="N579" s="77">
        <f t="shared" ca="1" si="410"/>
        <v>0</v>
      </c>
      <c r="O579" s="77">
        <f t="shared" ca="1" si="401"/>
        <v>0</v>
      </c>
      <c r="P579" s="77">
        <f t="shared" ca="1" si="402"/>
        <v>0</v>
      </c>
      <c r="Q579" s="134">
        <f t="shared" ref="Q579:S579" ca="1" si="411">Q580+Q581</f>
        <v>0</v>
      </c>
      <c r="R579" s="135">
        <f t="shared" ca="1" si="411"/>
        <v>0</v>
      </c>
      <c r="S579" s="135">
        <f t="shared" ca="1" si="411"/>
        <v>0</v>
      </c>
      <c r="T579" s="135">
        <f t="shared" ca="1" si="404"/>
        <v>0</v>
      </c>
      <c r="U579" s="135">
        <f t="shared" ca="1" si="405"/>
        <v>0</v>
      </c>
    </row>
    <row r="580" spans="1:21" ht="18.75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f ca="1">IFERROR(__xludf.DUMMYFUNCTION("IMPORTRANGE(""https://docs.google.com/spreadsheets/d/13wPX838HrBrQMCywv1BsuMkt4PEKTChp52zj44s2izQ/edit?usp=sharing"",""กาญจนบุรี!L580"")+IMPORTRANGE(""https://docs.google.com/spreadsheets/d/1ddFKvqj1W1NEiWytbGlB1zMx_ykJDVtmfEQ-6-lIUBA/edit?usp=sharing"","&amp;"""จันทบุรี!L580"")+IMPORTRANGE(""https://docs.google.com/spreadsheets/d/1T1PQvRODqOBZk8BRht_U031fIS1beLA0Ub2CEytj2q0/edit?usp=sharing"",""ฉะเชิงเทรา!L580"")+IMPORTRANGE(""https://docs.google.com/spreadsheets/d/11tr1B-Bhyr79v2bkwVh5h_fR-PStkgjlZtkrZpYurG0/"&amp;"edit?usp=sharing"",""ชลบุรี!L580"")+IMPORTRANGE(""https://docs.google.com/spreadsheets/d/1hh-FVnSX0vozXhGluamEcS54Dw9_zqW0N7qJUWgJ0Sw/edit?usp=sharing"",""ชัยนาท!L580"")+IMPORTRANGE(""https://docs.google.com/spreadsheets/d/1jkqa6GXxSacMcY1eN8AHjMNJ_7dDXMJ"&amp;"VRLDlaFSOdPM/edit?usp=sharing"",""ตราด!L580"")+IMPORTRANGE(""https://docs.google.com/spreadsheets/d/18hSgUJ3VwClqi_qtULmmW3cLr0oe3OKaSYoKzdpTsYQ/edit?usp=sharing"",""นครนายก!L580"")+IMPORTRANGE(""https://docs.google.com/spreadsheets/d/1YTZo6WM2dQ6Ix6FSdnL"&amp;"5P7uVnVKu40sxZu975tgG10E/edit?usp=sharing"",""นครปฐม!L580"")+IMPORTRANGE(""https://docs.google.com/spreadsheets/d/1OYoGg4WDg5RIzwGeB10padOxJF9E_Vljuvvct_M7RDo/edit?usp=sharing"",""ปทุมธานี!L580"")+IMPORTRANGE(""https://docs.google.com/spreadsheets/d/1GbCI"&amp;"E4D4wk9FUozzqk7SxfDMxDVBwVmI5zcaVUSzKAc/edit?usp=sharing"",""ประจวบคีรีขันธ์!L580"")+IMPORTRANGE(""https://docs.google.com/spreadsheets/d/1vVf6wykvW_lAyu7Yo9L4hUTqHqIeP_qcVuxCtosJEbg/edit?usp=sharing"",""ปราจีนบุรี!L580"")+IMPORTRANGE(""https://docs.googl"&amp;"e.com/spreadsheets/d/1BIDqLLg5jk3v59G8NlR8rk5xfQDKne0sAvZHSj7TI6I/edit?usp=sharing"",""พระนครศรีอยุธยา!L580"")+IMPORTRANGE(""https://docs.google.com/spreadsheets/d/1YXvxf8Yu6_rV4hTBrwMqAcAnv6DfhUxh5emyM3CJp_w/edit?usp=sharing"",""เพชรบุรี!L580"")+IMPORTRA"&amp;"NGE(""https://docs.google.com/spreadsheets/d/19KBlQQs7uwvsao6t2n-KvW3Ax8J8uRRfZPq1zPbXgKc/edit?usp=sharing"",""ระยอง!L580"")+IMPORTRANGE(""https://docs.google.com/spreadsheets/d/1jQ6P4QcrGM89YfqcC_PxOHGCMq5ezhucwJd8ci-NHng/edit?usp=sharing"",""ราชบุรี!L58"&amp;"0"")+IMPORTRANGE(""https://docs.google.com/spreadsheets/d/1lufeA2cfFqM-elVq2hznhDzC6Pr7wkJ9ZG_sYNGCMCU/edit?usp=sharing"",""ลพบุรี!L580"")+IMPORTRANGE(""https://docs.google.com/spreadsheets/d/10oOiF7loTyfsTkbd4MpaIm0HQ9SwB7IYHdIUvt-U1Uc/edit?usp=sharing"""&amp;",""สระแก้ว!L580"")+IMPORTRANGE(""https://docs.google.com/spreadsheets/d/1xmPlrr1QbdSIKvl1dWUl9K4PjAfSL9oeMr_37QVzcxc/edit?usp=sharing"",""สระบุรี!L580"")+IMPORTRANGE(""https://docs.google.com/spreadsheets/d/1j51vR6CYVGhABJpv6tkstgok82RLpXieLzW1yOY5rHw/edi"&amp;"t?usp=sharing"",""สิงห์บุรี!L580"")+IMPORTRANGE(""https://docs.google.com/spreadsheets/d/1H1EalTWKUSzO4Z1-1CwzoDUaVffgrThEBe2sl74kKG0/edit?usp=sharing"",""สุพรรณบุรี!L580"")+IMPORTRANGE(""https://docs.google.com/spreadsheets/d/1BmIruG_sIrJLYao_Pdr7zVArWsf"&amp;"oBt2692TMi6x_854/edit?usp=sharing"",""อ่างทอง!L580"")"),0)</f>
        <v>0</v>
      </c>
      <c r="M580" s="80">
        <f ca="1">IFERROR(__xludf.DUMMYFUNCTION("IMPORTRANGE(""https://docs.google.com/spreadsheets/d/13wPX838HrBrQMCywv1BsuMkt4PEKTChp52zj44s2izQ/edit?usp=sharing"",""กาญจนบุรี!M580"")+IMPORTRANGE(""https://docs.google.com/spreadsheets/d/1ddFKvqj1W1NEiWytbGlB1zMx_ykJDVtmfEQ-6-lIUBA/edit?usp=sharing"","&amp;"""จันทบุรี!M580"")+IMPORTRANGE(""https://docs.google.com/spreadsheets/d/1T1PQvRODqOBZk8BRht_U031fIS1beLA0Ub2CEytj2q0/edit?usp=sharing"",""ฉะเชิงเทรา!M580"")+IMPORTRANGE(""https://docs.google.com/spreadsheets/d/11tr1B-Bhyr79v2bkwVh5h_fR-PStkgjlZtkrZpYurG0/"&amp;"edit?usp=sharing"",""ชลบุรี!M580"")+IMPORTRANGE(""https://docs.google.com/spreadsheets/d/1hh-FVnSX0vozXhGluamEcS54Dw9_zqW0N7qJUWgJ0Sw/edit?usp=sharing"",""ชัยนาท!M580"")+IMPORTRANGE(""https://docs.google.com/spreadsheets/d/1jkqa6GXxSacMcY1eN8AHjMNJ_7dDXMJ"&amp;"VRLDlaFSOdPM/edit?usp=sharing"",""ตราด!M580"")+IMPORTRANGE(""https://docs.google.com/spreadsheets/d/18hSgUJ3VwClqi_qtULmmW3cLr0oe3OKaSYoKzdpTsYQ/edit?usp=sharing"",""นครนายก!M580"")+IMPORTRANGE(""https://docs.google.com/spreadsheets/d/1YTZo6WM2dQ6Ix6FSdnL"&amp;"5P7uVnVKu40sxZu975tgG10E/edit?usp=sharing"",""นครปฐม!M580"")+IMPORTRANGE(""https://docs.google.com/spreadsheets/d/1OYoGg4WDg5RIzwGeB10padOxJF9E_Vljuvvct_M7RDo/edit?usp=sharing"",""ปทุมธานี!M580"")+IMPORTRANGE(""https://docs.google.com/spreadsheets/d/1GbCI"&amp;"E4D4wk9FUozzqk7SxfDMxDVBwVmI5zcaVUSzKAc/edit?usp=sharing"",""ประจวบคีรีขันธ์!M580"")+IMPORTRANGE(""https://docs.google.com/spreadsheets/d/1vVf6wykvW_lAyu7Yo9L4hUTqHqIeP_qcVuxCtosJEbg/edit?usp=sharing"",""ปราจีนบุรี!M580"")+IMPORTRANGE(""https://docs.googl"&amp;"e.com/spreadsheets/d/1BIDqLLg5jk3v59G8NlR8rk5xfQDKne0sAvZHSj7TI6I/edit?usp=sharing"",""พระนครศรีอยุธยา!M580"")+IMPORTRANGE(""https://docs.google.com/spreadsheets/d/1YXvxf8Yu6_rV4hTBrwMqAcAnv6DfhUxh5emyM3CJp_w/edit?usp=sharing"",""เพชรบุรี!M580"")+IMPORTRA"&amp;"NGE(""https://docs.google.com/spreadsheets/d/19KBlQQs7uwvsao6t2n-KvW3Ax8J8uRRfZPq1zPbXgKc/edit?usp=sharing"",""ระยอง!M580"")+IMPORTRANGE(""https://docs.google.com/spreadsheets/d/1jQ6P4QcrGM89YfqcC_PxOHGCMq5ezhucwJd8ci-NHng/edit?usp=sharing"",""ราชบุรี!M58"&amp;"0"")+IMPORTRANGE(""https://docs.google.com/spreadsheets/d/1lufeA2cfFqM-elVq2hznhDzC6Pr7wkJ9ZG_sYNGCMCU/edit?usp=sharing"",""ลพบุรี!M580"")+IMPORTRANGE(""https://docs.google.com/spreadsheets/d/10oOiF7loTyfsTkbd4MpaIm0HQ9SwB7IYHdIUvt-U1Uc/edit?usp=sharing"""&amp;",""สระแก้ว!M580"")+IMPORTRANGE(""https://docs.google.com/spreadsheets/d/1xmPlrr1QbdSIKvl1dWUl9K4PjAfSL9oeMr_37QVzcxc/edit?usp=sharing"",""สระบุรี!M580"")+IMPORTRANGE(""https://docs.google.com/spreadsheets/d/1j51vR6CYVGhABJpv6tkstgok82RLpXieLzW1yOY5rHw/edi"&amp;"t?usp=sharing"",""สิงห์บุรี!M580"")+IMPORTRANGE(""https://docs.google.com/spreadsheets/d/1H1EalTWKUSzO4Z1-1CwzoDUaVffgrThEBe2sl74kKG0/edit?usp=sharing"",""สุพรรณบุรี!M580"")+IMPORTRANGE(""https://docs.google.com/spreadsheets/d/1BmIruG_sIrJLYao_Pdr7zVArWsf"&amp;"oBt2692TMi6x_854/edit?usp=sharing"",""อ่างทอง!M580"")"),0)</f>
        <v>0</v>
      </c>
      <c r="N580" s="80">
        <f ca="1">IFERROR(__xludf.DUMMYFUNCTION("IMPORTRANGE(""https://docs.google.com/spreadsheets/d/13wPX838HrBrQMCywv1BsuMkt4PEKTChp52zj44s2izQ/edit?usp=sharing"",""กาญจนบุรี!N580"")+IMPORTRANGE(""https://docs.google.com/spreadsheets/d/1ddFKvqj1W1NEiWytbGlB1zMx_ykJDVtmfEQ-6-lIUBA/edit?usp=sharing"","&amp;"""จันทบุรี!N580"")+IMPORTRANGE(""https://docs.google.com/spreadsheets/d/1T1PQvRODqOBZk8BRht_U031fIS1beLA0Ub2CEytj2q0/edit?usp=sharing"",""ฉะเชิงเทรา!N580"")+IMPORTRANGE(""https://docs.google.com/spreadsheets/d/11tr1B-Bhyr79v2bkwVh5h_fR-PStkgjlZtkrZpYurG0/"&amp;"edit?usp=sharing"",""ชลบุรี!N580"")+IMPORTRANGE(""https://docs.google.com/spreadsheets/d/1hh-FVnSX0vozXhGluamEcS54Dw9_zqW0N7qJUWgJ0Sw/edit?usp=sharing"",""ชัยนาท!N580"")+IMPORTRANGE(""https://docs.google.com/spreadsheets/d/1jkqa6GXxSacMcY1eN8AHjMNJ_7dDXMJ"&amp;"VRLDlaFSOdPM/edit?usp=sharing"",""ตราด!N580"")+IMPORTRANGE(""https://docs.google.com/spreadsheets/d/18hSgUJ3VwClqi_qtULmmW3cLr0oe3OKaSYoKzdpTsYQ/edit?usp=sharing"",""นครนายก!N580"")+IMPORTRANGE(""https://docs.google.com/spreadsheets/d/1YTZo6WM2dQ6Ix6FSdnL"&amp;"5P7uVnVKu40sxZu975tgG10E/edit?usp=sharing"",""นครปฐม!N580"")+IMPORTRANGE(""https://docs.google.com/spreadsheets/d/1OYoGg4WDg5RIzwGeB10padOxJF9E_Vljuvvct_M7RDo/edit?usp=sharing"",""ปทุมธานี!N580"")+IMPORTRANGE(""https://docs.google.com/spreadsheets/d/1GbCI"&amp;"E4D4wk9FUozzqk7SxfDMxDVBwVmI5zcaVUSzKAc/edit?usp=sharing"",""ประจวบคีรีขันธ์!N580"")+IMPORTRANGE(""https://docs.google.com/spreadsheets/d/1vVf6wykvW_lAyu7Yo9L4hUTqHqIeP_qcVuxCtosJEbg/edit?usp=sharing"",""ปราจีนบุรี!N580"")+IMPORTRANGE(""https://docs.googl"&amp;"e.com/spreadsheets/d/1BIDqLLg5jk3v59G8NlR8rk5xfQDKne0sAvZHSj7TI6I/edit?usp=sharing"",""พระนครศรีอยุธยา!N580"")+IMPORTRANGE(""https://docs.google.com/spreadsheets/d/1YXvxf8Yu6_rV4hTBrwMqAcAnv6DfhUxh5emyM3CJp_w/edit?usp=sharing"",""เพชรบุรี!N580"")+IMPORTRA"&amp;"NGE(""https://docs.google.com/spreadsheets/d/19KBlQQs7uwvsao6t2n-KvW3Ax8J8uRRfZPq1zPbXgKc/edit?usp=sharing"",""ระยอง!N580"")+IMPORTRANGE(""https://docs.google.com/spreadsheets/d/1jQ6P4QcrGM89YfqcC_PxOHGCMq5ezhucwJd8ci-NHng/edit?usp=sharing"",""ราชบุรี!N58"&amp;"0"")+IMPORTRANGE(""https://docs.google.com/spreadsheets/d/1lufeA2cfFqM-elVq2hznhDzC6Pr7wkJ9ZG_sYNGCMCU/edit?usp=sharing"",""ลพบุรี!N580"")+IMPORTRANGE(""https://docs.google.com/spreadsheets/d/10oOiF7loTyfsTkbd4MpaIm0HQ9SwB7IYHdIUvt-U1Uc/edit?usp=sharing"""&amp;",""สระแก้ว!N580"")+IMPORTRANGE(""https://docs.google.com/spreadsheets/d/1xmPlrr1QbdSIKvl1dWUl9K4PjAfSL9oeMr_37QVzcxc/edit?usp=sharing"",""สระบุรี!N580"")+IMPORTRANGE(""https://docs.google.com/spreadsheets/d/1j51vR6CYVGhABJpv6tkstgok82RLpXieLzW1yOY5rHw/edi"&amp;"t?usp=sharing"",""สิงห์บุรี!N580"")+IMPORTRANGE(""https://docs.google.com/spreadsheets/d/1H1EalTWKUSzO4Z1-1CwzoDUaVffgrThEBe2sl74kKG0/edit?usp=sharing"",""สุพรรณบุรี!N580"")+IMPORTRANGE(""https://docs.google.com/spreadsheets/d/1BmIruG_sIrJLYao_Pdr7zVArWsf"&amp;"oBt2692TMi6x_854/edit?usp=sharing"",""อ่างทอง!N580"")"),0)</f>
        <v>0</v>
      </c>
      <c r="O580" s="80">
        <f t="shared" ca="1" si="401"/>
        <v>0</v>
      </c>
      <c r="P580" s="80">
        <f t="shared" ca="1" si="402"/>
        <v>0</v>
      </c>
      <c r="Q580" s="79">
        <f ca="1">IFERROR(__xludf.DUMMYFUNCTION("IMPORTRANGE(""https://docs.google.com/spreadsheets/d/13wPX838HrBrQMCywv1BsuMkt4PEKTChp52zj44s2izQ/edit?usp=sharing"",""กาญจนบุรี!Q580"")+IMPORTRANGE(""https://docs.google.com/spreadsheets/d/1ddFKvqj1W1NEiWytbGlB1zMx_ykJDVtmfEQ-6-lIUBA/edit?usp=sharing"","&amp;"""จันทบุรี!Q580"")+IMPORTRANGE(""https://docs.google.com/spreadsheets/d/1T1PQvRODqOBZk8BRht_U031fIS1beLA0Ub2CEytj2q0/edit?usp=sharing"",""ฉะเชิงเทรา!Q580"")+IMPORTRANGE(""https://docs.google.com/spreadsheets/d/11tr1B-Bhyr79v2bkwVh5h_fR-PStkgjlZtkrZpYurG0/"&amp;"edit?usp=sharing"",""ชลบุรี!Q580"")+IMPORTRANGE(""https://docs.google.com/spreadsheets/d/1hh-FVnSX0vozXhGluamEcS54Dw9_zqW0N7qJUWgJ0Sw/edit?usp=sharing"",""ชัยนาท!Q580"")+IMPORTRANGE(""https://docs.google.com/spreadsheets/d/1jkqa6GXxSacMcY1eN8AHjMNJ_7dDXMJ"&amp;"VRLDlaFSOdPM/edit?usp=sharing"",""ตราด!Q580"")+IMPORTRANGE(""https://docs.google.com/spreadsheets/d/18hSgUJ3VwClqi_qtULmmW3cLr0oe3OKaSYoKzdpTsYQ/edit?usp=sharing"",""นครนายก!Q580"")+IMPORTRANGE(""https://docs.google.com/spreadsheets/d/1YTZo6WM2dQ6Ix6FSdnL"&amp;"5P7uVnVKu40sxZu975tgG10E/edit?usp=sharing"",""นครปฐม!Q580"")+IMPORTRANGE(""https://docs.google.com/spreadsheets/d/1OYoGg4WDg5RIzwGeB10padOxJF9E_Vljuvvct_M7RDo/edit?usp=sharing"",""ปทุมธานี!Q580"")+IMPORTRANGE(""https://docs.google.com/spreadsheets/d/1GbCI"&amp;"E4D4wk9FUozzqk7SxfDMxDVBwVmI5zcaVUSzKAc/edit?usp=sharing"",""ประจวบคีรีขันธ์!Q580"")+IMPORTRANGE(""https://docs.google.com/spreadsheets/d/1vVf6wykvW_lAyu7Yo9L4hUTqHqIeP_qcVuxCtosJEbg/edit?usp=sharing"",""ปราจีนบุรี!Q580"")+IMPORTRANGE(""https://docs.googl"&amp;"e.com/spreadsheets/d/1BIDqLLg5jk3v59G8NlR8rk5xfQDKne0sAvZHSj7TI6I/edit?usp=sharing"",""พระนครศรีอยุธยา!Q580"")+IMPORTRANGE(""https://docs.google.com/spreadsheets/d/1YXvxf8Yu6_rV4hTBrwMqAcAnv6DfhUxh5emyM3CJp_w/edit?usp=sharing"",""เพชรบุรี!Q580"")+IMPORTRA"&amp;"NGE(""https://docs.google.com/spreadsheets/d/19KBlQQs7uwvsao6t2n-KvW3Ax8J8uRRfZPq1zPbXgKc/edit?usp=sharing"",""ระยอง!Q580"")+IMPORTRANGE(""https://docs.google.com/spreadsheets/d/1jQ6P4QcrGM89YfqcC_PxOHGCMq5ezhucwJd8ci-NHng/edit?usp=sharing"",""ราชบุรี!Q58"&amp;"0"")+IMPORTRANGE(""https://docs.google.com/spreadsheets/d/1lufeA2cfFqM-elVq2hznhDzC6Pr7wkJ9ZG_sYNGCMCU/edit?usp=sharing"",""ลพบุรี!Q580"")+IMPORTRANGE(""https://docs.google.com/spreadsheets/d/10oOiF7loTyfsTkbd4MpaIm0HQ9SwB7IYHdIUvt-U1Uc/edit?usp=sharing"""&amp;",""สระแก้ว!Q580"")+IMPORTRANGE(""https://docs.google.com/spreadsheets/d/1xmPlrr1QbdSIKvl1dWUl9K4PjAfSL9oeMr_37QVzcxc/edit?usp=sharing"",""สระบุรี!Q580"")+IMPORTRANGE(""https://docs.google.com/spreadsheets/d/1j51vR6CYVGhABJpv6tkstgok82RLpXieLzW1yOY5rHw/edi"&amp;"t?usp=sharing"",""สิงห์บุรี!Q580"")+IMPORTRANGE(""https://docs.google.com/spreadsheets/d/1H1EalTWKUSzO4Z1-1CwzoDUaVffgrThEBe2sl74kKG0/edit?usp=sharing"",""สุพรรณบุรี!Q580"")+IMPORTRANGE(""https://docs.google.com/spreadsheets/d/1BmIruG_sIrJLYao_Pdr7zVArWsf"&amp;"oBt2692TMi6x_854/edit?usp=sharing"",""อ่างทอง!Q580"")"),0)</f>
        <v>0</v>
      </c>
      <c r="R580" s="80">
        <f ca="1">IFERROR(__xludf.DUMMYFUNCTION("IMPORTRANGE(""https://docs.google.com/spreadsheets/d/13wPX838HrBrQMCywv1BsuMkt4PEKTChp52zj44s2izQ/edit?usp=sharing"",""กาญจนบุรี!R580"")+IMPORTRANGE(""https://docs.google.com/spreadsheets/d/1ddFKvqj1W1NEiWytbGlB1zMx_ykJDVtmfEQ-6-lIUBA/edit?usp=sharing"","&amp;"""จันทบุรี!R580"")+IMPORTRANGE(""https://docs.google.com/spreadsheets/d/1T1PQvRODqOBZk8BRht_U031fIS1beLA0Ub2CEytj2q0/edit?usp=sharing"",""ฉะเชิงเทรา!R580"")+IMPORTRANGE(""https://docs.google.com/spreadsheets/d/11tr1B-Bhyr79v2bkwVh5h_fR-PStkgjlZtkrZpYurG0/"&amp;"edit?usp=sharing"",""ชลบุรี!R580"")+IMPORTRANGE(""https://docs.google.com/spreadsheets/d/1hh-FVnSX0vozXhGluamEcS54Dw9_zqW0N7qJUWgJ0Sw/edit?usp=sharing"",""ชัยนาท!R580"")+IMPORTRANGE(""https://docs.google.com/spreadsheets/d/1jkqa6GXxSacMcY1eN8AHjMNJ_7dDXMJ"&amp;"VRLDlaFSOdPM/edit?usp=sharing"",""ตราด!R580"")+IMPORTRANGE(""https://docs.google.com/spreadsheets/d/18hSgUJ3VwClqi_qtULmmW3cLr0oe3OKaSYoKzdpTsYQ/edit?usp=sharing"",""นครนายก!R580"")+IMPORTRANGE(""https://docs.google.com/spreadsheets/d/1YTZo6WM2dQ6Ix6FSdnL"&amp;"5P7uVnVKu40sxZu975tgG10E/edit?usp=sharing"",""นครปฐม!R580"")+IMPORTRANGE(""https://docs.google.com/spreadsheets/d/1OYoGg4WDg5RIzwGeB10padOxJF9E_Vljuvvct_M7RDo/edit?usp=sharing"",""ปทุมธานี!R580"")+IMPORTRANGE(""https://docs.google.com/spreadsheets/d/1GbCI"&amp;"E4D4wk9FUozzqk7SxfDMxDVBwVmI5zcaVUSzKAc/edit?usp=sharing"",""ประจวบคีรีขันธ์!R580"")+IMPORTRANGE(""https://docs.google.com/spreadsheets/d/1vVf6wykvW_lAyu7Yo9L4hUTqHqIeP_qcVuxCtosJEbg/edit?usp=sharing"",""ปราจีนบุรี!R580"")+IMPORTRANGE(""https://docs.googl"&amp;"e.com/spreadsheets/d/1BIDqLLg5jk3v59G8NlR8rk5xfQDKne0sAvZHSj7TI6I/edit?usp=sharing"",""พระนครศรีอยุธยา!R580"")+IMPORTRANGE(""https://docs.google.com/spreadsheets/d/1YXvxf8Yu6_rV4hTBrwMqAcAnv6DfhUxh5emyM3CJp_w/edit?usp=sharing"",""เพชรบุรี!R580"")+IMPORTRA"&amp;"NGE(""https://docs.google.com/spreadsheets/d/19KBlQQs7uwvsao6t2n-KvW3Ax8J8uRRfZPq1zPbXgKc/edit?usp=sharing"",""ระยอง!R580"")+IMPORTRANGE(""https://docs.google.com/spreadsheets/d/1jQ6P4QcrGM89YfqcC_PxOHGCMq5ezhucwJd8ci-NHng/edit?usp=sharing"",""ราชบุรี!R58"&amp;"0"")+IMPORTRANGE(""https://docs.google.com/spreadsheets/d/1lufeA2cfFqM-elVq2hznhDzC6Pr7wkJ9ZG_sYNGCMCU/edit?usp=sharing"",""ลพบุรี!R580"")+IMPORTRANGE(""https://docs.google.com/spreadsheets/d/10oOiF7loTyfsTkbd4MpaIm0HQ9SwB7IYHdIUvt-U1Uc/edit?usp=sharing"""&amp;",""สระแก้ว!R580"")+IMPORTRANGE(""https://docs.google.com/spreadsheets/d/1xmPlrr1QbdSIKvl1dWUl9K4PjAfSL9oeMr_37QVzcxc/edit?usp=sharing"",""สระบุรี!R580"")+IMPORTRANGE(""https://docs.google.com/spreadsheets/d/1j51vR6CYVGhABJpv6tkstgok82RLpXieLzW1yOY5rHw/edi"&amp;"t?usp=sharing"",""สิงห์บุรี!R580"")+IMPORTRANGE(""https://docs.google.com/spreadsheets/d/1H1EalTWKUSzO4Z1-1CwzoDUaVffgrThEBe2sl74kKG0/edit?usp=sharing"",""สุพรรณบุรี!R580"")+IMPORTRANGE(""https://docs.google.com/spreadsheets/d/1BmIruG_sIrJLYao_Pdr7zVArWsf"&amp;"oBt2692TMi6x_854/edit?usp=sharing"",""อ่างทอง!R580"")"),0)</f>
        <v>0</v>
      </c>
      <c r="S580" s="80">
        <f ca="1">IFERROR(__xludf.DUMMYFUNCTION("IMPORTRANGE(""https://docs.google.com/spreadsheets/d/13wPX838HrBrQMCywv1BsuMkt4PEKTChp52zj44s2izQ/edit?usp=sharing"",""กาญจนบุรี!S580"")+IMPORTRANGE(""https://docs.google.com/spreadsheets/d/1ddFKvqj1W1NEiWytbGlB1zMx_ykJDVtmfEQ-6-lIUBA/edit?usp=sharing"","&amp;"""จันทบุรี!S580"")+IMPORTRANGE(""https://docs.google.com/spreadsheets/d/1T1PQvRODqOBZk8BRht_U031fIS1beLA0Ub2CEytj2q0/edit?usp=sharing"",""ฉะเชิงเทรา!S580"")+IMPORTRANGE(""https://docs.google.com/spreadsheets/d/11tr1B-Bhyr79v2bkwVh5h_fR-PStkgjlZtkrZpYurG0/"&amp;"edit?usp=sharing"",""ชลบุรี!S580"")+IMPORTRANGE(""https://docs.google.com/spreadsheets/d/1hh-FVnSX0vozXhGluamEcS54Dw9_zqW0N7qJUWgJ0Sw/edit?usp=sharing"",""ชัยนาท!S580"")+IMPORTRANGE(""https://docs.google.com/spreadsheets/d/1jkqa6GXxSacMcY1eN8AHjMNJ_7dDXMJ"&amp;"VRLDlaFSOdPM/edit?usp=sharing"",""ตราด!S580"")+IMPORTRANGE(""https://docs.google.com/spreadsheets/d/18hSgUJ3VwClqi_qtULmmW3cLr0oe3OKaSYoKzdpTsYQ/edit?usp=sharing"",""นครนายก!S580"")+IMPORTRANGE(""https://docs.google.com/spreadsheets/d/1YTZo6WM2dQ6Ix6FSdnL"&amp;"5P7uVnVKu40sxZu975tgG10E/edit?usp=sharing"",""นครปฐม!S580"")+IMPORTRANGE(""https://docs.google.com/spreadsheets/d/1OYoGg4WDg5RIzwGeB10padOxJF9E_Vljuvvct_M7RDo/edit?usp=sharing"",""ปทุมธานี!S580"")+IMPORTRANGE(""https://docs.google.com/spreadsheets/d/1GbCI"&amp;"E4D4wk9FUozzqk7SxfDMxDVBwVmI5zcaVUSzKAc/edit?usp=sharing"",""ประจวบคีรีขันธ์!S580"")+IMPORTRANGE(""https://docs.google.com/spreadsheets/d/1vVf6wykvW_lAyu7Yo9L4hUTqHqIeP_qcVuxCtosJEbg/edit?usp=sharing"",""ปราจีนบุรี!S580"")+IMPORTRANGE(""https://docs.googl"&amp;"e.com/spreadsheets/d/1BIDqLLg5jk3v59G8NlR8rk5xfQDKne0sAvZHSj7TI6I/edit?usp=sharing"",""พระนครศรีอยุธยา!S580"")+IMPORTRANGE(""https://docs.google.com/spreadsheets/d/1YXvxf8Yu6_rV4hTBrwMqAcAnv6DfhUxh5emyM3CJp_w/edit?usp=sharing"",""เพชรบุรี!S580"")+IMPORTRA"&amp;"NGE(""https://docs.google.com/spreadsheets/d/19KBlQQs7uwvsao6t2n-KvW3Ax8J8uRRfZPq1zPbXgKc/edit?usp=sharing"",""ระยอง!S580"")+IMPORTRANGE(""https://docs.google.com/spreadsheets/d/1jQ6P4QcrGM89YfqcC_PxOHGCMq5ezhucwJd8ci-NHng/edit?usp=sharing"",""ราชบุรี!S58"&amp;"0"")+IMPORTRANGE(""https://docs.google.com/spreadsheets/d/1lufeA2cfFqM-elVq2hznhDzC6Pr7wkJ9ZG_sYNGCMCU/edit?usp=sharing"",""ลพบุรี!S580"")+IMPORTRANGE(""https://docs.google.com/spreadsheets/d/10oOiF7loTyfsTkbd4MpaIm0HQ9SwB7IYHdIUvt-U1Uc/edit?usp=sharing"""&amp;",""สระแก้ว!S580"")+IMPORTRANGE(""https://docs.google.com/spreadsheets/d/1xmPlrr1QbdSIKvl1dWUl9K4PjAfSL9oeMr_37QVzcxc/edit?usp=sharing"",""สระบุรี!S580"")+IMPORTRANGE(""https://docs.google.com/spreadsheets/d/1j51vR6CYVGhABJpv6tkstgok82RLpXieLzW1yOY5rHw/edi"&amp;"t?usp=sharing"",""สิงห์บุรี!S580"")+IMPORTRANGE(""https://docs.google.com/spreadsheets/d/1H1EalTWKUSzO4Z1-1CwzoDUaVffgrThEBe2sl74kKG0/edit?usp=sharing"",""สุพรรณบุรี!S580"")+IMPORTRANGE(""https://docs.google.com/spreadsheets/d/1BmIruG_sIrJLYao_Pdr7zVArWsf"&amp;"oBt2692TMi6x_854/edit?usp=sharing"",""อ่างทอง!S580"")"),0)</f>
        <v>0</v>
      </c>
      <c r="T580" s="136">
        <f t="shared" ca="1" si="404"/>
        <v>0</v>
      </c>
      <c r="U580" s="136">
        <f t="shared" ca="1" si="405"/>
        <v>0</v>
      </c>
    </row>
    <row r="581" spans="1:21" ht="18.75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f ca="1">IFERROR(__xludf.DUMMYFUNCTION("IMPORTRANGE(""https://docs.google.com/spreadsheets/d/13wPX838HrBrQMCywv1BsuMkt4PEKTChp52zj44s2izQ/edit?usp=sharing"",""กาญจนบุรี!L581"")+IMPORTRANGE(""https://docs.google.com/spreadsheets/d/1ddFKvqj1W1NEiWytbGlB1zMx_ykJDVtmfEQ-6-lIUBA/edit?usp=sharing"","&amp;"""จันทบุรี!L581"")+IMPORTRANGE(""https://docs.google.com/spreadsheets/d/1T1PQvRODqOBZk8BRht_U031fIS1beLA0Ub2CEytj2q0/edit?usp=sharing"",""ฉะเชิงเทรา!L581"")+IMPORTRANGE(""https://docs.google.com/spreadsheets/d/11tr1B-Bhyr79v2bkwVh5h_fR-PStkgjlZtkrZpYurG0/"&amp;"edit?usp=sharing"",""ชลบุรี!L581"")+IMPORTRANGE(""https://docs.google.com/spreadsheets/d/1hh-FVnSX0vozXhGluamEcS54Dw9_zqW0N7qJUWgJ0Sw/edit?usp=sharing"",""ชัยนาท!L581"")+IMPORTRANGE(""https://docs.google.com/spreadsheets/d/1jkqa6GXxSacMcY1eN8AHjMNJ_7dDXMJ"&amp;"VRLDlaFSOdPM/edit?usp=sharing"",""ตราด!L581"")+IMPORTRANGE(""https://docs.google.com/spreadsheets/d/18hSgUJ3VwClqi_qtULmmW3cLr0oe3OKaSYoKzdpTsYQ/edit?usp=sharing"",""นครนายก!L581"")+IMPORTRANGE(""https://docs.google.com/spreadsheets/d/1YTZo6WM2dQ6Ix6FSdnL"&amp;"5P7uVnVKu40sxZu975tgG10E/edit?usp=sharing"",""นครปฐม!L581"")+IMPORTRANGE(""https://docs.google.com/spreadsheets/d/1OYoGg4WDg5RIzwGeB10padOxJF9E_Vljuvvct_M7RDo/edit?usp=sharing"",""ปทุมธานี!L581"")+IMPORTRANGE(""https://docs.google.com/spreadsheets/d/1GbCI"&amp;"E4D4wk9FUozzqk7SxfDMxDVBwVmI5zcaVUSzKAc/edit?usp=sharing"",""ประจวบคีรีขันธ์!L581"")+IMPORTRANGE(""https://docs.google.com/spreadsheets/d/1vVf6wykvW_lAyu7Yo9L4hUTqHqIeP_qcVuxCtosJEbg/edit?usp=sharing"",""ปราจีนบุรี!L581"")+IMPORTRANGE(""https://docs.googl"&amp;"e.com/spreadsheets/d/1BIDqLLg5jk3v59G8NlR8rk5xfQDKne0sAvZHSj7TI6I/edit?usp=sharing"",""พระนครศรีอยุธยา!L581"")+IMPORTRANGE(""https://docs.google.com/spreadsheets/d/1YXvxf8Yu6_rV4hTBrwMqAcAnv6DfhUxh5emyM3CJp_w/edit?usp=sharing"",""เพชรบุรี!L581"")+IMPORTRA"&amp;"NGE(""https://docs.google.com/spreadsheets/d/19KBlQQs7uwvsao6t2n-KvW3Ax8J8uRRfZPq1zPbXgKc/edit?usp=sharing"",""ระยอง!L581"")+IMPORTRANGE(""https://docs.google.com/spreadsheets/d/1jQ6P4QcrGM89YfqcC_PxOHGCMq5ezhucwJd8ci-NHng/edit?usp=sharing"",""ราชบุรี!L58"&amp;"1"")+IMPORTRANGE(""https://docs.google.com/spreadsheets/d/1lufeA2cfFqM-elVq2hznhDzC6Pr7wkJ9ZG_sYNGCMCU/edit?usp=sharing"",""ลพบุรี!L581"")+IMPORTRANGE(""https://docs.google.com/spreadsheets/d/10oOiF7loTyfsTkbd4MpaIm0HQ9SwB7IYHdIUvt-U1Uc/edit?usp=sharing"""&amp;",""สระแก้ว!L581"")+IMPORTRANGE(""https://docs.google.com/spreadsheets/d/1xmPlrr1QbdSIKvl1dWUl9K4PjAfSL9oeMr_37QVzcxc/edit?usp=sharing"",""สระบุรี!L581"")+IMPORTRANGE(""https://docs.google.com/spreadsheets/d/1j51vR6CYVGhABJpv6tkstgok82RLpXieLzW1yOY5rHw/edi"&amp;"t?usp=sharing"",""สิงห์บุรี!L581"")+IMPORTRANGE(""https://docs.google.com/spreadsheets/d/1H1EalTWKUSzO4Z1-1CwzoDUaVffgrThEBe2sl74kKG0/edit?usp=sharing"",""สุพรรณบุรี!L581"")+IMPORTRANGE(""https://docs.google.com/spreadsheets/d/1BmIruG_sIrJLYao_Pdr7zVArWsf"&amp;"oBt2692TMi6x_854/edit?usp=sharing"",""อ่างทอง!L581"")"),0)</f>
        <v>0</v>
      </c>
      <c r="M581" s="77">
        <f ca="1">IFERROR(__xludf.DUMMYFUNCTION("IMPORTRANGE(""https://docs.google.com/spreadsheets/d/13wPX838HrBrQMCywv1BsuMkt4PEKTChp52zj44s2izQ/edit?usp=sharing"",""กาญจนบุรี!M581"")+IMPORTRANGE(""https://docs.google.com/spreadsheets/d/1ddFKvqj1W1NEiWytbGlB1zMx_ykJDVtmfEQ-6-lIUBA/edit?usp=sharing"","&amp;"""จันทบุรี!M581"")+IMPORTRANGE(""https://docs.google.com/spreadsheets/d/1T1PQvRODqOBZk8BRht_U031fIS1beLA0Ub2CEytj2q0/edit?usp=sharing"",""ฉะเชิงเทรา!M581"")+IMPORTRANGE(""https://docs.google.com/spreadsheets/d/11tr1B-Bhyr79v2bkwVh5h_fR-PStkgjlZtkrZpYurG0/"&amp;"edit?usp=sharing"",""ชลบุรี!M581"")+IMPORTRANGE(""https://docs.google.com/spreadsheets/d/1hh-FVnSX0vozXhGluamEcS54Dw9_zqW0N7qJUWgJ0Sw/edit?usp=sharing"",""ชัยนาท!M581"")+IMPORTRANGE(""https://docs.google.com/spreadsheets/d/1jkqa6GXxSacMcY1eN8AHjMNJ_7dDXMJ"&amp;"VRLDlaFSOdPM/edit?usp=sharing"",""ตราด!M581"")+IMPORTRANGE(""https://docs.google.com/spreadsheets/d/18hSgUJ3VwClqi_qtULmmW3cLr0oe3OKaSYoKzdpTsYQ/edit?usp=sharing"",""นครนายก!M581"")+IMPORTRANGE(""https://docs.google.com/spreadsheets/d/1YTZo6WM2dQ6Ix6FSdnL"&amp;"5P7uVnVKu40sxZu975tgG10E/edit?usp=sharing"",""นครปฐม!M581"")+IMPORTRANGE(""https://docs.google.com/spreadsheets/d/1OYoGg4WDg5RIzwGeB10padOxJF9E_Vljuvvct_M7RDo/edit?usp=sharing"",""ปทุมธานี!M581"")+IMPORTRANGE(""https://docs.google.com/spreadsheets/d/1GbCI"&amp;"E4D4wk9FUozzqk7SxfDMxDVBwVmI5zcaVUSzKAc/edit?usp=sharing"",""ประจวบคีรีขันธ์!M581"")+IMPORTRANGE(""https://docs.google.com/spreadsheets/d/1vVf6wykvW_lAyu7Yo9L4hUTqHqIeP_qcVuxCtosJEbg/edit?usp=sharing"",""ปราจีนบุรี!M581"")+IMPORTRANGE(""https://docs.googl"&amp;"e.com/spreadsheets/d/1BIDqLLg5jk3v59G8NlR8rk5xfQDKne0sAvZHSj7TI6I/edit?usp=sharing"",""พระนครศรีอยุธยา!M581"")+IMPORTRANGE(""https://docs.google.com/spreadsheets/d/1YXvxf8Yu6_rV4hTBrwMqAcAnv6DfhUxh5emyM3CJp_w/edit?usp=sharing"",""เพชรบุรี!M581"")+IMPORTRA"&amp;"NGE(""https://docs.google.com/spreadsheets/d/19KBlQQs7uwvsao6t2n-KvW3Ax8J8uRRfZPq1zPbXgKc/edit?usp=sharing"",""ระยอง!M581"")+IMPORTRANGE(""https://docs.google.com/spreadsheets/d/1jQ6P4QcrGM89YfqcC_PxOHGCMq5ezhucwJd8ci-NHng/edit?usp=sharing"",""ราชบุรี!M58"&amp;"1"")+IMPORTRANGE(""https://docs.google.com/spreadsheets/d/1lufeA2cfFqM-elVq2hznhDzC6Pr7wkJ9ZG_sYNGCMCU/edit?usp=sharing"",""ลพบุรี!M581"")+IMPORTRANGE(""https://docs.google.com/spreadsheets/d/10oOiF7loTyfsTkbd4MpaIm0HQ9SwB7IYHdIUvt-U1Uc/edit?usp=sharing"""&amp;",""สระแก้ว!M581"")+IMPORTRANGE(""https://docs.google.com/spreadsheets/d/1xmPlrr1QbdSIKvl1dWUl9K4PjAfSL9oeMr_37QVzcxc/edit?usp=sharing"",""สระบุรี!M581"")+IMPORTRANGE(""https://docs.google.com/spreadsheets/d/1j51vR6CYVGhABJpv6tkstgok82RLpXieLzW1yOY5rHw/edi"&amp;"t?usp=sharing"",""สิงห์บุรี!M581"")+IMPORTRANGE(""https://docs.google.com/spreadsheets/d/1H1EalTWKUSzO4Z1-1CwzoDUaVffgrThEBe2sl74kKG0/edit?usp=sharing"",""สุพรรณบุรี!M581"")+IMPORTRANGE(""https://docs.google.com/spreadsheets/d/1BmIruG_sIrJLYao_Pdr7zVArWsf"&amp;"oBt2692TMi6x_854/edit?usp=sharing"",""อ่างทอง!M581"")"),0)</f>
        <v>0</v>
      </c>
      <c r="N581" s="77">
        <f ca="1">IFERROR(__xludf.DUMMYFUNCTION("IMPORTRANGE(""https://docs.google.com/spreadsheets/d/13wPX838HrBrQMCywv1BsuMkt4PEKTChp52zj44s2izQ/edit?usp=sharing"",""กาญจนบุรี!N581"")+IMPORTRANGE(""https://docs.google.com/spreadsheets/d/1ddFKvqj1W1NEiWytbGlB1zMx_ykJDVtmfEQ-6-lIUBA/edit?usp=sharing"","&amp;"""จันทบุรี!N581"")+IMPORTRANGE(""https://docs.google.com/spreadsheets/d/1T1PQvRODqOBZk8BRht_U031fIS1beLA0Ub2CEytj2q0/edit?usp=sharing"",""ฉะเชิงเทรา!N581"")+IMPORTRANGE(""https://docs.google.com/spreadsheets/d/11tr1B-Bhyr79v2bkwVh5h_fR-PStkgjlZtkrZpYurG0/"&amp;"edit?usp=sharing"",""ชลบุรี!N581"")+IMPORTRANGE(""https://docs.google.com/spreadsheets/d/1hh-FVnSX0vozXhGluamEcS54Dw9_zqW0N7qJUWgJ0Sw/edit?usp=sharing"",""ชัยนาท!N581"")+IMPORTRANGE(""https://docs.google.com/spreadsheets/d/1jkqa6GXxSacMcY1eN8AHjMNJ_7dDXMJ"&amp;"VRLDlaFSOdPM/edit?usp=sharing"",""ตราด!N581"")+IMPORTRANGE(""https://docs.google.com/spreadsheets/d/18hSgUJ3VwClqi_qtULmmW3cLr0oe3OKaSYoKzdpTsYQ/edit?usp=sharing"",""นครนายก!N581"")+IMPORTRANGE(""https://docs.google.com/spreadsheets/d/1YTZo6WM2dQ6Ix6FSdnL"&amp;"5P7uVnVKu40sxZu975tgG10E/edit?usp=sharing"",""นครปฐม!N581"")+IMPORTRANGE(""https://docs.google.com/spreadsheets/d/1OYoGg4WDg5RIzwGeB10padOxJF9E_Vljuvvct_M7RDo/edit?usp=sharing"",""ปทุมธานี!N581"")+IMPORTRANGE(""https://docs.google.com/spreadsheets/d/1GbCI"&amp;"E4D4wk9FUozzqk7SxfDMxDVBwVmI5zcaVUSzKAc/edit?usp=sharing"",""ประจวบคีรีขันธ์!N581"")+IMPORTRANGE(""https://docs.google.com/spreadsheets/d/1vVf6wykvW_lAyu7Yo9L4hUTqHqIeP_qcVuxCtosJEbg/edit?usp=sharing"",""ปราจีนบุรี!N581"")+IMPORTRANGE(""https://docs.googl"&amp;"e.com/spreadsheets/d/1BIDqLLg5jk3v59G8NlR8rk5xfQDKne0sAvZHSj7TI6I/edit?usp=sharing"",""พระนครศรีอยุธยา!N581"")+IMPORTRANGE(""https://docs.google.com/spreadsheets/d/1YXvxf8Yu6_rV4hTBrwMqAcAnv6DfhUxh5emyM3CJp_w/edit?usp=sharing"",""เพชรบุรี!N581"")+IMPORTRA"&amp;"NGE(""https://docs.google.com/spreadsheets/d/19KBlQQs7uwvsao6t2n-KvW3Ax8J8uRRfZPq1zPbXgKc/edit?usp=sharing"",""ระยอง!N581"")+IMPORTRANGE(""https://docs.google.com/spreadsheets/d/1jQ6P4QcrGM89YfqcC_PxOHGCMq5ezhucwJd8ci-NHng/edit?usp=sharing"",""ราชบุรี!N58"&amp;"1"")+IMPORTRANGE(""https://docs.google.com/spreadsheets/d/1lufeA2cfFqM-elVq2hznhDzC6Pr7wkJ9ZG_sYNGCMCU/edit?usp=sharing"",""ลพบุรี!N581"")+IMPORTRANGE(""https://docs.google.com/spreadsheets/d/10oOiF7loTyfsTkbd4MpaIm0HQ9SwB7IYHdIUvt-U1Uc/edit?usp=sharing"""&amp;",""สระแก้ว!N581"")+IMPORTRANGE(""https://docs.google.com/spreadsheets/d/1xmPlrr1QbdSIKvl1dWUl9K4PjAfSL9oeMr_37QVzcxc/edit?usp=sharing"",""สระบุรี!N581"")+IMPORTRANGE(""https://docs.google.com/spreadsheets/d/1j51vR6CYVGhABJpv6tkstgok82RLpXieLzW1yOY5rHw/edi"&amp;"t?usp=sharing"",""สิงห์บุรี!N581"")+IMPORTRANGE(""https://docs.google.com/spreadsheets/d/1H1EalTWKUSzO4Z1-1CwzoDUaVffgrThEBe2sl74kKG0/edit?usp=sharing"",""สุพรรณบุรี!N581"")+IMPORTRANGE(""https://docs.google.com/spreadsheets/d/1BmIruG_sIrJLYao_Pdr7zVArWsf"&amp;"oBt2692TMi6x_854/edit?usp=sharing"",""อ่างทอง!N581"")"),0)</f>
        <v>0</v>
      </c>
      <c r="O581" s="77">
        <f t="shared" ca="1" si="401"/>
        <v>0</v>
      </c>
      <c r="P581" s="77">
        <f t="shared" ca="1" si="402"/>
        <v>0</v>
      </c>
      <c r="Q581" s="76">
        <f ca="1">IFERROR(__xludf.DUMMYFUNCTION("IMPORTRANGE(""https://docs.google.com/spreadsheets/d/13wPX838HrBrQMCywv1BsuMkt4PEKTChp52zj44s2izQ/edit?usp=sharing"",""กาญจนบุรี!Q581"")+IMPORTRANGE(""https://docs.google.com/spreadsheets/d/1ddFKvqj1W1NEiWytbGlB1zMx_ykJDVtmfEQ-6-lIUBA/edit?usp=sharing"","&amp;"""จันทบุรี!Q581"")+IMPORTRANGE(""https://docs.google.com/spreadsheets/d/1T1PQvRODqOBZk8BRht_U031fIS1beLA0Ub2CEytj2q0/edit?usp=sharing"",""ฉะเชิงเทรา!Q581"")+IMPORTRANGE(""https://docs.google.com/spreadsheets/d/11tr1B-Bhyr79v2bkwVh5h_fR-PStkgjlZtkrZpYurG0/"&amp;"edit?usp=sharing"",""ชลบุรี!Q581"")+IMPORTRANGE(""https://docs.google.com/spreadsheets/d/1hh-FVnSX0vozXhGluamEcS54Dw9_zqW0N7qJUWgJ0Sw/edit?usp=sharing"",""ชัยนาท!Q581"")+IMPORTRANGE(""https://docs.google.com/spreadsheets/d/1jkqa6GXxSacMcY1eN8AHjMNJ_7dDXMJ"&amp;"VRLDlaFSOdPM/edit?usp=sharing"",""ตราด!Q581"")+IMPORTRANGE(""https://docs.google.com/spreadsheets/d/18hSgUJ3VwClqi_qtULmmW3cLr0oe3OKaSYoKzdpTsYQ/edit?usp=sharing"",""นครนายก!Q581"")+IMPORTRANGE(""https://docs.google.com/spreadsheets/d/1YTZo6WM2dQ6Ix6FSdnL"&amp;"5P7uVnVKu40sxZu975tgG10E/edit?usp=sharing"",""นครปฐม!Q581"")+IMPORTRANGE(""https://docs.google.com/spreadsheets/d/1OYoGg4WDg5RIzwGeB10padOxJF9E_Vljuvvct_M7RDo/edit?usp=sharing"",""ปทุมธานี!Q581"")+IMPORTRANGE(""https://docs.google.com/spreadsheets/d/1GbCI"&amp;"E4D4wk9FUozzqk7SxfDMxDVBwVmI5zcaVUSzKAc/edit?usp=sharing"",""ประจวบคีรีขันธ์!Q581"")+IMPORTRANGE(""https://docs.google.com/spreadsheets/d/1vVf6wykvW_lAyu7Yo9L4hUTqHqIeP_qcVuxCtosJEbg/edit?usp=sharing"",""ปราจีนบุรี!Q581"")+IMPORTRANGE(""https://docs.googl"&amp;"e.com/spreadsheets/d/1BIDqLLg5jk3v59G8NlR8rk5xfQDKne0sAvZHSj7TI6I/edit?usp=sharing"",""พระนครศรีอยุธยา!Q581"")+IMPORTRANGE(""https://docs.google.com/spreadsheets/d/1YXvxf8Yu6_rV4hTBrwMqAcAnv6DfhUxh5emyM3CJp_w/edit?usp=sharing"",""เพชรบุรี!Q581"")+IMPORTRA"&amp;"NGE(""https://docs.google.com/spreadsheets/d/19KBlQQs7uwvsao6t2n-KvW3Ax8J8uRRfZPq1zPbXgKc/edit?usp=sharing"",""ระยอง!Q581"")+IMPORTRANGE(""https://docs.google.com/spreadsheets/d/1jQ6P4QcrGM89YfqcC_PxOHGCMq5ezhucwJd8ci-NHng/edit?usp=sharing"",""ราชบุรี!Q58"&amp;"1"")+IMPORTRANGE(""https://docs.google.com/spreadsheets/d/1lufeA2cfFqM-elVq2hznhDzC6Pr7wkJ9ZG_sYNGCMCU/edit?usp=sharing"",""ลพบุรี!Q581"")+IMPORTRANGE(""https://docs.google.com/spreadsheets/d/10oOiF7loTyfsTkbd4MpaIm0HQ9SwB7IYHdIUvt-U1Uc/edit?usp=sharing"""&amp;",""สระแก้ว!Q581"")+IMPORTRANGE(""https://docs.google.com/spreadsheets/d/1xmPlrr1QbdSIKvl1dWUl9K4PjAfSL9oeMr_37QVzcxc/edit?usp=sharing"",""สระบุรี!Q581"")+IMPORTRANGE(""https://docs.google.com/spreadsheets/d/1j51vR6CYVGhABJpv6tkstgok82RLpXieLzW1yOY5rHw/edi"&amp;"t?usp=sharing"",""สิงห์บุรี!Q581"")+IMPORTRANGE(""https://docs.google.com/spreadsheets/d/1H1EalTWKUSzO4Z1-1CwzoDUaVffgrThEBe2sl74kKG0/edit?usp=sharing"",""สุพรรณบุรี!Q581"")+IMPORTRANGE(""https://docs.google.com/spreadsheets/d/1BmIruG_sIrJLYao_Pdr7zVArWsf"&amp;"oBt2692TMi6x_854/edit?usp=sharing"",""อ่างทอง!Q581"")"),0)</f>
        <v>0</v>
      </c>
      <c r="R581" s="77">
        <f ca="1">IFERROR(__xludf.DUMMYFUNCTION("IMPORTRANGE(""https://docs.google.com/spreadsheets/d/13wPX838HrBrQMCywv1BsuMkt4PEKTChp52zj44s2izQ/edit?usp=sharing"",""กาญจนบุรี!R581"")+IMPORTRANGE(""https://docs.google.com/spreadsheets/d/1ddFKvqj1W1NEiWytbGlB1zMx_ykJDVtmfEQ-6-lIUBA/edit?usp=sharing"","&amp;"""จันทบุรี!R581"")+IMPORTRANGE(""https://docs.google.com/spreadsheets/d/1T1PQvRODqOBZk8BRht_U031fIS1beLA0Ub2CEytj2q0/edit?usp=sharing"",""ฉะเชิงเทรา!R581"")+IMPORTRANGE(""https://docs.google.com/spreadsheets/d/11tr1B-Bhyr79v2bkwVh5h_fR-PStkgjlZtkrZpYurG0/"&amp;"edit?usp=sharing"",""ชลบุรี!R581"")+IMPORTRANGE(""https://docs.google.com/spreadsheets/d/1hh-FVnSX0vozXhGluamEcS54Dw9_zqW0N7qJUWgJ0Sw/edit?usp=sharing"",""ชัยนาท!R581"")+IMPORTRANGE(""https://docs.google.com/spreadsheets/d/1jkqa6GXxSacMcY1eN8AHjMNJ_7dDXMJ"&amp;"VRLDlaFSOdPM/edit?usp=sharing"",""ตราด!R581"")+IMPORTRANGE(""https://docs.google.com/spreadsheets/d/18hSgUJ3VwClqi_qtULmmW3cLr0oe3OKaSYoKzdpTsYQ/edit?usp=sharing"",""นครนายก!R581"")+IMPORTRANGE(""https://docs.google.com/spreadsheets/d/1YTZo6WM2dQ6Ix6FSdnL"&amp;"5P7uVnVKu40sxZu975tgG10E/edit?usp=sharing"",""นครปฐม!R581"")+IMPORTRANGE(""https://docs.google.com/spreadsheets/d/1OYoGg4WDg5RIzwGeB10padOxJF9E_Vljuvvct_M7RDo/edit?usp=sharing"",""ปทุมธานี!R581"")+IMPORTRANGE(""https://docs.google.com/spreadsheets/d/1GbCI"&amp;"E4D4wk9FUozzqk7SxfDMxDVBwVmI5zcaVUSzKAc/edit?usp=sharing"",""ประจวบคีรีขันธ์!R581"")+IMPORTRANGE(""https://docs.google.com/spreadsheets/d/1vVf6wykvW_lAyu7Yo9L4hUTqHqIeP_qcVuxCtosJEbg/edit?usp=sharing"",""ปราจีนบุรี!R581"")+IMPORTRANGE(""https://docs.googl"&amp;"e.com/spreadsheets/d/1BIDqLLg5jk3v59G8NlR8rk5xfQDKne0sAvZHSj7TI6I/edit?usp=sharing"",""พระนครศรีอยุธยา!R581"")+IMPORTRANGE(""https://docs.google.com/spreadsheets/d/1YXvxf8Yu6_rV4hTBrwMqAcAnv6DfhUxh5emyM3CJp_w/edit?usp=sharing"",""เพชรบุรี!R581"")+IMPORTRA"&amp;"NGE(""https://docs.google.com/spreadsheets/d/19KBlQQs7uwvsao6t2n-KvW3Ax8J8uRRfZPq1zPbXgKc/edit?usp=sharing"",""ระยอง!R581"")+IMPORTRANGE(""https://docs.google.com/spreadsheets/d/1jQ6P4QcrGM89YfqcC_PxOHGCMq5ezhucwJd8ci-NHng/edit?usp=sharing"",""ราชบุรี!R58"&amp;"1"")+IMPORTRANGE(""https://docs.google.com/spreadsheets/d/1lufeA2cfFqM-elVq2hznhDzC6Pr7wkJ9ZG_sYNGCMCU/edit?usp=sharing"",""ลพบุรี!R581"")+IMPORTRANGE(""https://docs.google.com/spreadsheets/d/10oOiF7loTyfsTkbd4MpaIm0HQ9SwB7IYHdIUvt-U1Uc/edit?usp=sharing"""&amp;",""สระแก้ว!R581"")+IMPORTRANGE(""https://docs.google.com/spreadsheets/d/1xmPlrr1QbdSIKvl1dWUl9K4PjAfSL9oeMr_37QVzcxc/edit?usp=sharing"",""สระบุรี!R581"")+IMPORTRANGE(""https://docs.google.com/spreadsheets/d/1j51vR6CYVGhABJpv6tkstgok82RLpXieLzW1yOY5rHw/edi"&amp;"t?usp=sharing"",""สิงห์บุรี!R581"")+IMPORTRANGE(""https://docs.google.com/spreadsheets/d/1H1EalTWKUSzO4Z1-1CwzoDUaVffgrThEBe2sl74kKG0/edit?usp=sharing"",""สุพรรณบุรี!R581"")+IMPORTRANGE(""https://docs.google.com/spreadsheets/d/1BmIruG_sIrJLYao_Pdr7zVArWsf"&amp;"oBt2692TMi6x_854/edit?usp=sharing"",""อ่างทอง!R581"")"),0)</f>
        <v>0</v>
      </c>
      <c r="S581" s="77">
        <f ca="1">IFERROR(__xludf.DUMMYFUNCTION("IMPORTRANGE(""https://docs.google.com/spreadsheets/d/13wPX838HrBrQMCywv1BsuMkt4PEKTChp52zj44s2izQ/edit?usp=sharing"",""กาญจนบุรี!S581"")+IMPORTRANGE(""https://docs.google.com/spreadsheets/d/1ddFKvqj1W1NEiWytbGlB1zMx_ykJDVtmfEQ-6-lIUBA/edit?usp=sharing"","&amp;"""จันทบุรี!S581"")+IMPORTRANGE(""https://docs.google.com/spreadsheets/d/1T1PQvRODqOBZk8BRht_U031fIS1beLA0Ub2CEytj2q0/edit?usp=sharing"",""ฉะเชิงเทรา!S581"")+IMPORTRANGE(""https://docs.google.com/spreadsheets/d/11tr1B-Bhyr79v2bkwVh5h_fR-PStkgjlZtkrZpYurG0/"&amp;"edit?usp=sharing"",""ชลบุรี!S581"")+IMPORTRANGE(""https://docs.google.com/spreadsheets/d/1hh-FVnSX0vozXhGluamEcS54Dw9_zqW0N7qJUWgJ0Sw/edit?usp=sharing"",""ชัยนาท!S581"")+IMPORTRANGE(""https://docs.google.com/spreadsheets/d/1jkqa6GXxSacMcY1eN8AHjMNJ_7dDXMJ"&amp;"VRLDlaFSOdPM/edit?usp=sharing"",""ตราด!S581"")+IMPORTRANGE(""https://docs.google.com/spreadsheets/d/18hSgUJ3VwClqi_qtULmmW3cLr0oe3OKaSYoKzdpTsYQ/edit?usp=sharing"",""นครนายก!S581"")+IMPORTRANGE(""https://docs.google.com/spreadsheets/d/1YTZo6WM2dQ6Ix6FSdnL"&amp;"5P7uVnVKu40sxZu975tgG10E/edit?usp=sharing"",""นครปฐม!S581"")+IMPORTRANGE(""https://docs.google.com/spreadsheets/d/1OYoGg4WDg5RIzwGeB10padOxJF9E_Vljuvvct_M7RDo/edit?usp=sharing"",""ปทุมธานี!S581"")+IMPORTRANGE(""https://docs.google.com/spreadsheets/d/1GbCI"&amp;"E4D4wk9FUozzqk7SxfDMxDVBwVmI5zcaVUSzKAc/edit?usp=sharing"",""ประจวบคีรีขันธ์!S581"")+IMPORTRANGE(""https://docs.google.com/spreadsheets/d/1vVf6wykvW_lAyu7Yo9L4hUTqHqIeP_qcVuxCtosJEbg/edit?usp=sharing"",""ปราจีนบุรี!S581"")+IMPORTRANGE(""https://docs.googl"&amp;"e.com/spreadsheets/d/1BIDqLLg5jk3v59G8NlR8rk5xfQDKne0sAvZHSj7TI6I/edit?usp=sharing"",""พระนครศรีอยุธยา!S581"")+IMPORTRANGE(""https://docs.google.com/spreadsheets/d/1YXvxf8Yu6_rV4hTBrwMqAcAnv6DfhUxh5emyM3CJp_w/edit?usp=sharing"",""เพชรบุรี!S581"")+IMPORTRA"&amp;"NGE(""https://docs.google.com/spreadsheets/d/19KBlQQs7uwvsao6t2n-KvW3Ax8J8uRRfZPq1zPbXgKc/edit?usp=sharing"",""ระยอง!S581"")+IMPORTRANGE(""https://docs.google.com/spreadsheets/d/1jQ6P4QcrGM89YfqcC_PxOHGCMq5ezhucwJd8ci-NHng/edit?usp=sharing"",""ราชบุรี!S58"&amp;"1"")+IMPORTRANGE(""https://docs.google.com/spreadsheets/d/1lufeA2cfFqM-elVq2hznhDzC6Pr7wkJ9ZG_sYNGCMCU/edit?usp=sharing"",""ลพบุรี!S581"")+IMPORTRANGE(""https://docs.google.com/spreadsheets/d/10oOiF7loTyfsTkbd4MpaIm0HQ9SwB7IYHdIUvt-U1Uc/edit?usp=sharing"""&amp;",""สระแก้ว!S581"")+IMPORTRANGE(""https://docs.google.com/spreadsheets/d/1xmPlrr1QbdSIKvl1dWUl9K4PjAfSL9oeMr_37QVzcxc/edit?usp=sharing"",""สระบุรี!S581"")+IMPORTRANGE(""https://docs.google.com/spreadsheets/d/1j51vR6CYVGhABJpv6tkstgok82RLpXieLzW1yOY5rHw/edi"&amp;"t?usp=sharing"",""สิงห์บุรี!S581"")+IMPORTRANGE(""https://docs.google.com/spreadsheets/d/1H1EalTWKUSzO4Z1-1CwzoDUaVffgrThEBe2sl74kKG0/edit?usp=sharing"",""สุพรรณบุรี!S581"")+IMPORTRANGE(""https://docs.google.com/spreadsheets/d/1BmIruG_sIrJLYao_Pdr7zVArWsf"&amp;"oBt2692TMi6x_854/edit?usp=sharing"",""อ่างทอง!S581"")"),0)</f>
        <v>0</v>
      </c>
      <c r="T581" s="135">
        <f t="shared" ca="1" si="404"/>
        <v>0</v>
      </c>
      <c r="U581" s="135">
        <f t="shared" ca="1" si="405"/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 t="shared" ref="L582:N582" ca="1" si="412">L583+L584</f>
        <v>0</v>
      </c>
      <c r="M582" s="77">
        <f t="shared" ca="1" si="412"/>
        <v>0</v>
      </c>
      <c r="N582" s="77">
        <f t="shared" ca="1" si="412"/>
        <v>0</v>
      </c>
      <c r="O582" s="77">
        <f t="shared" ca="1" si="401"/>
        <v>0</v>
      </c>
      <c r="P582" s="77">
        <f t="shared" ca="1" si="402"/>
        <v>0</v>
      </c>
      <c r="Q582" s="134">
        <f t="shared" ref="Q582:S582" ca="1" si="413">Q583+Q584</f>
        <v>0</v>
      </c>
      <c r="R582" s="135">
        <f t="shared" ca="1" si="413"/>
        <v>0</v>
      </c>
      <c r="S582" s="135">
        <f t="shared" ca="1" si="413"/>
        <v>0</v>
      </c>
      <c r="T582" s="135">
        <f t="shared" ca="1" si="404"/>
        <v>0</v>
      </c>
      <c r="U582" s="135">
        <f t="shared" ca="1" si="405"/>
        <v>0</v>
      </c>
    </row>
    <row r="583" spans="1:21" ht="18.75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f ca="1">IFERROR(__xludf.DUMMYFUNCTION("IMPORTRANGE(""https://docs.google.com/spreadsheets/d/13wPX838HrBrQMCywv1BsuMkt4PEKTChp52zj44s2izQ/edit?usp=sharing"",""กาญจนบุรี!L583"")+IMPORTRANGE(""https://docs.google.com/spreadsheets/d/1ddFKvqj1W1NEiWytbGlB1zMx_ykJDVtmfEQ-6-lIUBA/edit?usp=sharing"","&amp;"""จันทบุรี!L583"")+IMPORTRANGE(""https://docs.google.com/spreadsheets/d/1T1PQvRODqOBZk8BRht_U031fIS1beLA0Ub2CEytj2q0/edit?usp=sharing"",""ฉะเชิงเทรา!L583"")+IMPORTRANGE(""https://docs.google.com/spreadsheets/d/11tr1B-Bhyr79v2bkwVh5h_fR-PStkgjlZtkrZpYurG0/"&amp;"edit?usp=sharing"",""ชลบุรี!L583"")+IMPORTRANGE(""https://docs.google.com/spreadsheets/d/1hh-FVnSX0vozXhGluamEcS54Dw9_zqW0N7qJUWgJ0Sw/edit?usp=sharing"",""ชัยนาท!L583"")+IMPORTRANGE(""https://docs.google.com/spreadsheets/d/1jkqa6GXxSacMcY1eN8AHjMNJ_7dDXMJ"&amp;"VRLDlaFSOdPM/edit?usp=sharing"",""ตราด!L583"")+IMPORTRANGE(""https://docs.google.com/spreadsheets/d/18hSgUJ3VwClqi_qtULmmW3cLr0oe3OKaSYoKzdpTsYQ/edit?usp=sharing"",""นครนายก!L583"")+IMPORTRANGE(""https://docs.google.com/spreadsheets/d/1YTZo6WM2dQ6Ix6FSdnL"&amp;"5P7uVnVKu40sxZu975tgG10E/edit?usp=sharing"",""นครปฐม!L583"")+IMPORTRANGE(""https://docs.google.com/spreadsheets/d/1OYoGg4WDg5RIzwGeB10padOxJF9E_Vljuvvct_M7RDo/edit?usp=sharing"",""ปทุมธานี!L583"")+IMPORTRANGE(""https://docs.google.com/spreadsheets/d/1GbCI"&amp;"E4D4wk9FUozzqk7SxfDMxDVBwVmI5zcaVUSzKAc/edit?usp=sharing"",""ประจวบคีรีขันธ์!L583"")+IMPORTRANGE(""https://docs.google.com/spreadsheets/d/1vVf6wykvW_lAyu7Yo9L4hUTqHqIeP_qcVuxCtosJEbg/edit?usp=sharing"",""ปราจีนบุรี!L583"")+IMPORTRANGE(""https://docs.googl"&amp;"e.com/spreadsheets/d/1BIDqLLg5jk3v59G8NlR8rk5xfQDKne0sAvZHSj7TI6I/edit?usp=sharing"",""พระนครศรีอยุธยา!L583"")+IMPORTRANGE(""https://docs.google.com/spreadsheets/d/1YXvxf8Yu6_rV4hTBrwMqAcAnv6DfhUxh5emyM3CJp_w/edit?usp=sharing"",""เพชรบุรี!L583"")+IMPORTRA"&amp;"NGE(""https://docs.google.com/spreadsheets/d/19KBlQQs7uwvsao6t2n-KvW3Ax8J8uRRfZPq1zPbXgKc/edit?usp=sharing"",""ระยอง!L583"")+IMPORTRANGE(""https://docs.google.com/spreadsheets/d/1jQ6P4QcrGM89YfqcC_PxOHGCMq5ezhucwJd8ci-NHng/edit?usp=sharing"",""ราชบุรี!L58"&amp;"3"")+IMPORTRANGE(""https://docs.google.com/spreadsheets/d/1lufeA2cfFqM-elVq2hznhDzC6Pr7wkJ9ZG_sYNGCMCU/edit?usp=sharing"",""ลพบุรี!L583"")+IMPORTRANGE(""https://docs.google.com/spreadsheets/d/10oOiF7loTyfsTkbd4MpaIm0HQ9SwB7IYHdIUvt-U1Uc/edit?usp=sharing"""&amp;",""สระแก้ว!L583"")+IMPORTRANGE(""https://docs.google.com/spreadsheets/d/1xmPlrr1QbdSIKvl1dWUl9K4PjAfSL9oeMr_37QVzcxc/edit?usp=sharing"",""สระบุรี!L583"")+IMPORTRANGE(""https://docs.google.com/spreadsheets/d/1j51vR6CYVGhABJpv6tkstgok82RLpXieLzW1yOY5rHw/edi"&amp;"t?usp=sharing"",""สิงห์บุรี!L583"")+IMPORTRANGE(""https://docs.google.com/spreadsheets/d/1H1EalTWKUSzO4Z1-1CwzoDUaVffgrThEBe2sl74kKG0/edit?usp=sharing"",""สุพรรณบุรี!L583"")+IMPORTRANGE(""https://docs.google.com/spreadsheets/d/1BmIruG_sIrJLYao_Pdr7zVArWsf"&amp;"oBt2692TMi6x_854/edit?usp=sharing"",""อ่างทอง!L583"")"),0)</f>
        <v>0</v>
      </c>
      <c r="M583" s="80">
        <f ca="1">IFERROR(__xludf.DUMMYFUNCTION("IMPORTRANGE(""https://docs.google.com/spreadsheets/d/13wPX838HrBrQMCywv1BsuMkt4PEKTChp52zj44s2izQ/edit?usp=sharing"",""กาญจนบุรี!M583"")+IMPORTRANGE(""https://docs.google.com/spreadsheets/d/1ddFKvqj1W1NEiWytbGlB1zMx_ykJDVtmfEQ-6-lIUBA/edit?usp=sharing"","&amp;"""จันทบุรี!M583"")+IMPORTRANGE(""https://docs.google.com/spreadsheets/d/1T1PQvRODqOBZk8BRht_U031fIS1beLA0Ub2CEytj2q0/edit?usp=sharing"",""ฉะเชิงเทรา!M583"")+IMPORTRANGE(""https://docs.google.com/spreadsheets/d/11tr1B-Bhyr79v2bkwVh5h_fR-PStkgjlZtkrZpYurG0/"&amp;"edit?usp=sharing"",""ชลบุรี!M583"")+IMPORTRANGE(""https://docs.google.com/spreadsheets/d/1hh-FVnSX0vozXhGluamEcS54Dw9_zqW0N7qJUWgJ0Sw/edit?usp=sharing"",""ชัยนาท!M583"")+IMPORTRANGE(""https://docs.google.com/spreadsheets/d/1jkqa6GXxSacMcY1eN8AHjMNJ_7dDXMJ"&amp;"VRLDlaFSOdPM/edit?usp=sharing"",""ตราด!M583"")+IMPORTRANGE(""https://docs.google.com/spreadsheets/d/18hSgUJ3VwClqi_qtULmmW3cLr0oe3OKaSYoKzdpTsYQ/edit?usp=sharing"",""นครนายก!M583"")+IMPORTRANGE(""https://docs.google.com/spreadsheets/d/1YTZo6WM2dQ6Ix6FSdnL"&amp;"5P7uVnVKu40sxZu975tgG10E/edit?usp=sharing"",""นครปฐม!M583"")+IMPORTRANGE(""https://docs.google.com/spreadsheets/d/1OYoGg4WDg5RIzwGeB10padOxJF9E_Vljuvvct_M7RDo/edit?usp=sharing"",""ปทุมธานี!M583"")+IMPORTRANGE(""https://docs.google.com/spreadsheets/d/1GbCI"&amp;"E4D4wk9FUozzqk7SxfDMxDVBwVmI5zcaVUSzKAc/edit?usp=sharing"",""ประจวบคีรีขันธ์!M583"")+IMPORTRANGE(""https://docs.google.com/spreadsheets/d/1vVf6wykvW_lAyu7Yo9L4hUTqHqIeP_qcVuxCtosJEbg/edit?usp=sharing"",""ปราจีนบุรี!M583"")+IMPORTRANGE(""https://docs.googl"&amp;"e.com/spreadsheets/d/1BIDqLLg5jk3v59G8NlR8rk5xfQDKne0sAvZHSj7TI6I/edit?usp=sharing"",""พระนครศรีอยุธยา!M583"")+IMPORTRANGE(""https://docs.google.com/spreadsheets/d/1YXvxf8Yu6_rV4hTBrwMqAcAnv6DfhUxh5emyM3CJp_w/edit?usp=sharing"",""เพชรบุรี!M583"")+IMPORTRA"&amp;"NGE(""https://docs.google.com/spreadsheets/d/19KBlQQs7uwvsao6t2n-KvW3Ax8J8uRRfZPq1zPbXgKc/edit?usp=sharing"",""ระยอง!M583"")+IMPORTRANGE(""https://docs.google.com/spreadsheets/d/1jQ6P4QcrGM89YfqcC_PxOHGCMq5ezhucwJd8ci-NHng/edit?usp=sharing"",""ราชบุรี!M58"&amp;"3"")+IMPORTRANGE(""https://docs.google.com/spreadsheets/d/1lufeA2cfFqM-elVq2hznhDzC6Pr7wkJ9ZG_sYNGCMCU/edit?usp=sharing"",""ลพบุรี!M583"")+IMPORTRANGE(""https://docs.google.com/spreadsheets/d/10oOiF7loTyfsTkbd4MpaIm0HQ9SwB7IYHdIUvt-U1Uc/edit?usp=sharing"""&amp;",""สระแก้ว!M583"")+IMPORTRANGE(""https://docs.google.com/spreadsheets/d/1xmPlrr1QbdSIKvl1dWUl9K4PjAfSL9oeMr_37QVzcxc/edit?usp=sharing"",""สระบุรี!M583"")+IMPORTRANGE(""https://docs.google.com/spreadsheets/d/1j51vR6CYVGhABJpv6tkstgok82RLpXieLzW1yOY5rHw/edi"&amp;"t?usp=sharing"",""สิงห์บุรี!M583"")+IMPORTRANGE(""https://docs.google.com/spreadsheets/d/1H1EalTWKUSzO4Z1-1CwzoDUaVffgrThEBe2sl74kKG0/edit?usp=sharing"",""สุพรรณบุรี!M583"")+IMPORTRANGE(""https://docs.google.com/spreadsheets/d/1BmIruG_sIrJLYao_Pdr7zVArWsf"&amp;"oBt2692TMi6x_854/edit?usp=sharing"",""อ่างทอง!M583"")"),0)</f>
        <v>0</v>
      </c>
      <c r="N583" s="80">
        <f ca="1">IFERROR(__xludf.DUMMYFUNCTION("IMPORTRANGE(""https://docs.google.com/spreadsheets/d/13wPX838HrBrQMCywv1BsuMkt4PEKTChp52zj44s2izQ/edit?usp=sharing"",""กาญจนบุรี!N583"")+IMPORTRANGE(""https://docs.google.com/spreadsheets/d/1ddFKvqj1W1NEiWytbGlB1zMx_ykJDVtmfEQ-6-lIUBA/edit?usp=sharing"","&amp;"""จันทบุรี!N583"")+IMPORTRANGE(""https://docs.google.com/spreadsheets/d/1T1PQvRODqOBZk8BRht_U031fIS1beLA0Ub2CEytj2q0/edit?usp=sharing"",""ฉะเชิงเทรา!N583"")+IMPORTRANGE(""https://docs.google.com/spreadsheets/d/11tr1B-Bhyr79v2bkwVh5h_fR-PStkgjlZtkrZpYurG0/"&amp;"edit?usp=sharing"",""ชลบุรี!N583"")+IMPORTRANGE(""https://docs.google.com/spreadsheets/d/1hh-FVnSX0vozXhGluamEcS54Dw9_zqW0N7qJUWgJ0Sw/edit?usp=sharing"",""ชัยนาท!N583"")+IMPORTRANGE(""https://docs.google.com/spreadsheets/d/1jkqa6GXxSacMcY1eN8AHjMNJ_7dDXMJ"&amp;"VRLDlaFSOdPM/edit?usp=sharing"",""ตราด!N583"")+IMPORTRANGE(""https://docs.google.com/spreadsheets/d/18hSgUJ3VwClqi_qtULmmW3cLr0oe3OKaSYoKzdpTsYQ/edit?usp=sharing"",""นครนายก!N583"")+IMPORTRANGE(""https://docs.google.com/spreadsheets/d/1YTZo6WM2dQ6Ix6FSdnL"&amp;"5P7uVnVKu40sxZu975tgG10E/edit?usp=sharing"",""นครปฐม!N583"")+IMPORTRANGE(""https://docs.google.com/spreadsheets/d/1OYoGg4WDg5RIzwGeB10padOxJF9E_Vljuvvct_M7RDo/edit?usp=sharing"",""ปทุมธานี!N583"")+IMPORTRANGE(""https://docs.google.com/spreadsheets/d/1GbCI"&amp;"E4D4wk9FUozzqk7SxfDMxDVBwVmI5zcaVUSzKAc/edit?usp=sharing"",""ประจวบคีรีขันธ์!N583"")+IMPORTRANGE(""https://docs.google.com/spreadsheets/d/1vVf6wykvW_lAyu7Yo9L4hUTqHqIeP_qcVuxCtosJEbg/edit?usp=sharing"",""ปราจีนบุรี!N583"")+IMPORTRANGE(""https://docs.googl"&amp;"e.com/spreadsheets/d/1BIDqLLg5jk3v59G8NlR8rk5xfQDKne0sAvZHSj7TI6I/edit?usp=sharing"",""พระนครศรีอยุธยา!N583"")+IMPORTRANGE(""https://docs.google.com/spreadsheets/d/1YXvxf8Yu6_rV4hTBrwMqAcAnv6DfhUxh5emyM3CJp_w/edit?usp=sharing"",""เพชรบุรี!N583"")+IMPORTRA"&amp;"NGE(""https://docs.google.com/spreadsheets/d/19KBlQQs7uwvsao6t2n-KvW3Ax8J8uRRfZPq1zPbXgKc/edit?usp=sharing"",""ระยอง!N583"")+IMPORTRANGE(""https://docs.google.com/spreadsheets/d/1jQ6P4QcrGM89YfqcC_PxOHGCMq5ezhucwJd8ci-NHng/edit?usp=sharing"",""ราชบุรี!N58"&amp;"3"")+IMPORTRANGE(""https://docs.google.com/spreadsheets/d/1lufeA2cfFqM-elVq2hznhDzC6Pr7wkJ9ZG_sYNGCMCU/edit?usp=sharing"",""ลพบุรี!N583"")+IMPORTRANGE(""https://docs.google.com/spreadsheets/d/10oOiF7loTyfsTkbd4MpaIm0HQ9SwB7IYHdIUvt-U1Uc/edit?usp=sharing"""&amp;",""สระแก้ว!N583"")+IMPORTRANGE(""https://docs.google.com/spreadsheets/d/1xmPlrr1QbdSIKvl1dWUl9K4PjAfSL9oeMr_37QVzcxc/edit?usp=sharing"",""สระบุรี!N583"")+IMPORTRANGE(""https://docs.google.com/spreadsheets/d/1j51vR6CYVGhABJpv6tkstgok82RLpXieLzW1yOY5rHw/edi"&amp;"t?usp=sharing"",""สิงห์บุรี!N583"")+IMPORTRANGE(""https://docs.google.com/spreadsheets/d/1H1EalTWKUSzO4Z1-1CwzoDUaVffgrThEBe2sl74kKG0/edit?usp=sharing"",""สุพรรณบุรี!N583"")+IMPORTRANGE(""https://docs.google.com/spreadsheets/d/1BmIruG_sIrJLYao_Pdr7zVArWsf"&amp;"oBt2692TMi6x_854/edit?usp=sharing"",""อ่างทอง!N583"")"),0)</f>
        <v>0</v>
      </c>
      <c r="O583" s="80">
        <f t="shared" ca="1" si="401"/>
        <v>0</v>
      </c>
      <c r="P583" s="80">
        <f t="shared" ca="1" si="402"/>
        <v>0</v>
      </c>
      <c r="Q583" s="79">
        <f ca="1">IFERROR(__xludf.DUMMYFUNCTION("IMPORTRANGE(""https://docs.google.com/spreadsheets/d/13wPX838HrBrQMCywv1BsuMkt4PEKTChp52zj44s2izQ/edit?usp=sharing"",""กาญจนบุรี!Q583"")+IMPORTRANGE(""https://docs.google.com/spreadsheets/d/1ddFKvqj1W1NEiWytbGlB1zMx_ykJDVtmfEQ-6-lIUBA/edit?usp=sharing"","&amp;"""จันทบุรี!Q583"")+IMPORTRANGE(""https://docs.google.com/spreadsheets/d/1T1PQvRODqOBZk8BRht_U031fIS1beLA0Ub2CEytj2q0/edit?usp=sharing"",""ฉะเชิงเทรา!Q583"")+IMPORTRANGE(""https://docs.google.com/spreadsheets/d/11tr1B-Bhyr79v2bkwVh5h_fR-PStkgjlZtkrZpYurG0/"&amp;"edit?usp=sharing"",""ชลบุรี!Q583"")+IMPORTRANGE(""https://docs.google.com/spreadsheets/d/1hh-FVnSX0vozXhGluamEcS54Dw9_zqW0N7qJUWgJ0Sw/edit?usp=sharing"",""ชัยนาท!Q583"")+IMPORTRANGE(""https://docs.google.com/spreadsheets/d/1jkqa6GXxSacMcY1eN8AHjMNJ_7dDXMJ"&amp;"VRLDlaFSOdPM/edit?usp=sharing"",""ตราด!Q583"")+IMPORTRANGE(""https://docs.google.com/spreadsheets/d/18hSgUJ3VwClqi_qtULmmW3cLr0oe3OKaSYoKzdpTsYQ/edit?usp=sharing"",""นครนายก!Q583"")+IMPORTRANGE(""https://docs.google.com/spreadsheets/d/1YTZo6WM2dQ6Ix6FSdnL"&amp;"5P7uVnVKu40sxZu975tgG10E/edit?usp=sharing"",""นครปฐม!Q583"")+IMPORTRANGE(""https://docs.google.com/spreadsheets/d/1OYoGg4WDg5RIzwGeB10padOxJF9E_Vljuvvct_M7RDo/edit?usp=sharing"",""ปทุมธานี!Q583"")+IMPORTRANGE(""https://docs.google.com/spreadsheets/d/1GbCI"&amp;"E4D4wk9FUozzqk7SxfDMxDVBwVmI5zcaVUSzKAc/edit?usp=sharing"",""ประจวบคีรีขันธ์!Q583"")+IMPORTRANGE(""https://docs.google.com/spreadsheets/d/1vVf6wykvW_lAyu7Yo9L4hUTqHqIeP_qcVuxCtosJEbg/edit?usp=sharing"",""ปราจีนบุรี!Q583"")+IMPORTRANGE(""https://docs.googl"&amp;"e.com/spreadsheets/d/1BIDqLLg5jk3v59G8NlR8rk5xfQDKne0sAvZHSj7TI6I/edit?usp=sharing"",""พระนครศรีอยุธยา!Q583"")+IMPORTRANGE(""https://docs.google.com/spreadsheets/d/1YXvxf8Yu6_rV4hTBrwMqAcAnv6DfhUxh5emyM3CJp_w/edit?usp=sharing"",""เพชรบุรี!Q583"")+IMPORTRA"&amp;"NGE(""https://docs.google.com/spreadsheets/d/19KBlQQs7uwvsao6t2n-KvW3Ax8J8uRRfZPq1zPbXgKc/edit?usp=sharing"",""ระยอง!Q583"")+IMPORTRANGE(""https://docs.google.com/spreadsheets/d/1jQ6P4QcrGM89YfqcC_PxOHGCMq5ezhucwJd8ci-NHng/edit?usp=sharing"",""ราชบุรี!Q58"&amp;"3"")+IMPORTRANGE(""https://docs.google.com/spreadsheets/d/1lufeA2cfFqM-elVq2hznhDzC6Pr7wkJ9ZG_sYNGCMCU/edit?usp=sharing"",""ลพบุรี!Q583"")+IMPORTRANGE(""https://docs.google.com/spreadsheets/d/10oOiF7loTyfsTkbd4MpaIm0HQ9SwB7IYHdIUvt-U1Uc/edit?usp=sharing"""&amp;",""สระแก้ว!Q583"")+IMPORTRANGE(""https://docs.google.com/spreadsheets/d/1xmPlrr1QbdSIKvl1dWUl9K4PjAfSL9oeMr_37QVzcxc/edit?usp=sharing"",""สระบุรี!Q583"")+IMPORTRANGE(""https://docs.google.com/spreadsheets/d/1j51vR6CYVGhABJpv6tkstgok82RLpXieLzW1yOY5rHw/edi"&amp;"t?usp=sharing"",""สิงห์บุรี!Q583"")+IMPORTRANGE(""https://docs.google.com/spreadsheets/d/1H1EalTWKUSzO4Z1-1CwzoDUaVffgrThEBe2sl74kKG0/edit?usp=sharing"",""สุพรรณบุรี!Q583"")+IMPORTRANGE(""https://docs.google.com/spreadsheets/d/1BmIruG_sIrJLYao_Pdr7zVArWsf"&amp;"oBt2692TMi6x_854/edit?usp=sharing"",""อ่างทอง!Q583"")"),0)</f>
        <v>0</v>
      </c>
      <c r="R583" s="80">
        <f ca="1">IFERROR(__xludf.DUMMYFUNCTION("IMPORTRANGE(""https://docs.google.com/spreadsheets/d/13wPX838HrBrQMCywv1BsuMkt4PEKTChp52zj44s2izQ/edit?usp=sharing"",""กาญจนบุรี!R583"")+IMPORTRANGE(""https://docs.google.com/spreadsheets/d/1ddFKvqj1W1NEiWytbGlB1zMx_ykJDVtmfEQ-6-lIUBA/edit?usp=sharing"","&amp;"""จันทบุรี!R583"")+IMPORTRANGE(""https://docs.google.com/spreadsheets/d/1T1PQvRODqOBZk8BRht_U031fIS1beLA0Ub2CEytj2q0/edit?usp=sharing"",""ฉะเชิงเทรา!R583"")+IMPORTRANGE(""https://docs.google.com/spreadsheets/d/11tr1B-Bhyr79v2bkwVh5h_fR-PStkgjlZtkrZpYurG0/"&amp;"edit?usp=sharing"",""ชลบุรี!R583"")+IMPORTRANGE(""https://docs.google.com/spreadsheets/d/1hh-FVnSX0vozXhGluamEcS54Dw9_zqW0N7qJUWgJ0Sw/edit?usp=sharing"",""ชัยนาท!R583"")+IMPORTRANGE(""https://docs.google.com/spreadsheets/d/1jkqa6GXxSacMcY1eN8AHjMNJ_7dDXMJ"&amp;"VRLDlaFSOdPM/edit?usp=sharing"",""ตราด!R583"")+IMPORTRANGE(""https://docs.google.com/spreadsheets/d/18hSgUJ3VwClqi_qtULmmW3cLr0oe3OKaSYoKzdpTsYQ/edit?usp=sharing"",""นครนายก!R583"")+IMPORTRANGE(""https://docs.google.com/spreadsheets/d/1YTZo6WM2dQ6Ix6FSdnL"&amp;"5P7uVnVKu40sxZu975tgG10E/edit?usp=sharing"",""นครปฐม!R583"")+IMPORTRANGE(""https://docs.google.com/spreadsheets/d/1OYoGg4WDg5RIzwGeB10padOxJF9E_Vljuvvct_M7RDo/edit?usp=sharing"",""ปทุมธานี!R583"")+IMPORTRANGE(""https://docs.google.com/spreadsheets/d/1GbCI"&amp;"E4D4wk9FUozzqk7SxfDMxDVBwVmI5zcaVUSzKAc/edit?usp=sharing"",""ประจวบคีรีขันธ์!R583"")+IMPORTRANGE(""https://docs.google.com/spreadsheets/d/1vVf6wykvW_lAyu7Yo9L4hUTqHqIeP_qcVuxCtosJEbg/edit?usp=sharing"",""ปราจีนบุรี!R583"")+IMPORTRANGE(""https://docs.googl"&amp;"e.com/spreadsheets/d/1BIDqLLg5jk3v59G8NlR8rk5xfQDKne0sAvZHSj7TI6I/edit?usp=sharing"",""พระนครศรีอยุธยา!R583"")+IMPORTRANGE(""https://docs.google.com/spreadsheets/d/1YXvxf8Yu6_rV4hTBrwMqAcAnv6DfhUxh5emyM3CJp_w/edit?usp=sharing"",""เพชรบุรี!R583"")+IMPORTRA"&amp;"NGE(""https://docs.google.com/spreadsheets/d/19KBlQQs7uwvsao6t2n-KvW3Ax8J8uRRfZPq1zPbXgKc/edit?usp=sharing"",""ระยอง!R583"")+IMPORTRANGE(""https://docs.google.com/spreadsheets/d/1jQ6P4QcrGM89YfqcC_PxOHGCMq5ezhucwJd8ci-NHng/edit?usp=sharing"",""ราชบุรี!R58"&amp;"3"")+IMPORTRANGE(""https://docs.google.com/spreadsheets/d/1lufeA2cfFqM-elVq2hznhDzC6Pr7wkJ9ZG_sYNGCMCU/edit?usp=sharing"",""ลพบุรี!R583"")+IMPORTRANGE(""https://docs.google.com/spreadsheets/d/10oOiF7loTyfsTkbd4MpaIm0HQ9SwB7IYHdIUvt-U1Uc/edit?usp=sharing"""&amp;",""สระแก้ว!R583"")+IMPORTRANGE(""https://docs.google.com/spreadsheets/d/1xmPlrr1QbdSIKvl1dWUl9K4PjAfSL9oeMr_37QVzcxc/edit?usp=sharing"",""สระบุรี!R583"")+IMPORTRANGE(""https://docs.google.com/spreadsheets/d/1j51vR6CYVGhABJpv6tkstgok82RLpXieLzW1yOY5rHw/edi"&amp;"t?usp=sharing"",""สิงห์บุรี!R583"")+IMPORTRANGE(""https://docs.google.com/spreadsheets/d/1H1EalTWKUSzO4Z1-1CwzoDUaVffgrThEBe2sl74kKG0/edit?usp=sharing"",""สุพรรณบุรี!R583"")+IMPORTRANGE(""https://docs.google.com/spreadsheets/d/1BmIruG_sIrJLYao_Pdr7zVArWsf"&amp;"oBt2692TMi6x_854/edit?usp=sharing"",""อ่างทอง!R583"")"),0)</f>
        <v>0</v>
      </c>
      <c r="S583" s="80">
        <f ca="1">IFERROR(__xludf.DUMMYFUNCTION("IMPORTRANGE(""https://docs.google.com/spreadsheets/d/13wPX838HrBrQMCywv1BsuMkt4PEKTChp52zj44s2izQ/edit?usp=sharing"",""กาญจนบุรี!S583"")+IMPORTRANGE(""https://docs.google.com/spreadsheets/d/1ddFKvqj1W1NEiWytbGlB1zMx_ykJDVtmfEQ-6-lIUBA/edit?usp=sharing"","&amp;"""จันทบุรี!S583"")+IMPORTRANGE(""https://docs.google.com/spreadsheets/d/1T1PQvRODqOBZk8BRht_U031fIS1beLA0Ub2CEytj2q0/edit?usp=sharing"",""ฉะเชิงเทรา!S583"")+IMPORTRANGE(""https://docs.google.com/spreadsheets/d/11tr1B-Bhyr79v2bkwVh5h_fR-PStkgjlZtkrZpYurG0/"&amp;"edit?usp=sharing"",""ชลบุรี!S583"")+IMPORTRANGE(""https://docs.google.com/spreadsheets/d/1hh-FVnSX0vozXhGluamEcS54Dw9_zqW0N7qJUWgJ0Sw/edit?usp=sharing"",""ชัยนาท!S583"")+IMPORTRANGE(""https://docs.google.com/spreadsheets/d/1jkqa6GXxSacMcY1eN8AHjMNJ_7dDXMJ"&amp;"VRLDlaFSOdPM/edit?usp=sharing"",""ตราด!S583"")+IMPORTRANGE(""https://docs.google.com/spreadsheets/d/18hSgUJ3VwClqi_qtULmmW3cLr0oe3OKaSYoKzdpTsYQ/edit?usp=sharing"",""นครนายก!S583"")+IMPORTRANGE(""https://docs.google.com/spreadsheets/d/1YTZo6WM2dQ6Ix6FSdnL"&amp;"5P7uVnVKu40sxZu975tgG10E/edit?usp=sharing"",""นครปฐม!S583"")+IMPORTRANGE(""https://docs.google.com/spreadsheets/d/1OYoGg4WDg5RIzwGeB10padOxJF9E_Vljuvvct_M7RDo/edit?usp=sharing"",""ปทุมธานี!S583"")+IMPORTRANGE(""https://docs.google.com/spreadsheets/d/1GbCI"&amp;"E4D4wk9FUozzqk7SxfDMxDVBwVmI5zcaVUSzKAc/edit?usp=sharing"",""ประจวบคีรีขันธ์!S583"")+IMPORTRANGE(""https://docs.google.com/spreadsheets/d/1vVf6wykvW_lAyu7Yo9L4hUTqHqIeP_qcVuxCtosJEbg/edit?usp=sharing"",""ปราจีนบุรี!S583"")+IMPORTRANGE(""https://docs.googl"&amp;"e.com/spreadsheets/d/1BIDqLLg5jk3v59G8NlR8rk5xfQDKne0sAvZHSj7TI6I/edit?usp=sharing"",""พระนครศรีอยุธยา!S583"")+IMPORTRANGE(""https://docs.google.com/spreadsheets/d/1YXvxf8Yu6_rV4hTBrwMqAcAnv6DfhUxh5emyM3CJp_w/edit?usp=sharing"",""เพชรบุรี!S583"")+IMPORTRA"&amp;"NGE(""https://docs.google.com/spreadsheets/d/19KBlQQs7uwvsao6t2n-KvW3Ax8J8uRRfZPq1zPbXgKc/edit?usp=sharing"",""ระยอง!S583"")+IMPORTRANGE(""https://docs.google.com/spreadsheets/d/1jQ6P4QcrGM89YfqcC_PxOHGCMq5ezhucwJd8ci-NHng/edit?usp=sharing"",""ราชบุรี!S58"&amp;"3"")+IMPORTRANGE(""https://docs.google.com/spreadsheets/d/1lufeA2cfFqM-elVq2hznhDzC6Pr7wkJ9ZG_sYNGCMCU/edit?usp=sharing"",""ลพบุรี!S583"")+IMPORTRANGE(""https://docs.google.com/spreadsheets/d/10oOiF7loTyfsTkbd4MpaIm0HQ9SwB7IYHdIUvt-U1Uc/edit?usp=sharing"""&amp;",""สระแก้ว!S583"")+IMPORTRANGE(""https://docs.google.com/spreadsheets/d/1xmPlrr1QbdSIKvl1dWUl9K4PjAfSL9oeMr_37QVzcxc/edit?usp=sharing"",""สระบุรี!S583"")+IMPORTRANGE(""https://docs.google.com/spreadsheets/d/1j51vR6CYVGhABJpv6tkstgok82RLpXieLzW1yOY5rHw/edi"&amp;"t?usp=sharing"",""สิงห์บุรี!S583"")+IMPORTRANGE(""https://docs.google.com/spreadsheets/d/1H1EalTWKUSzO4Z1-1CwzoDUaVffgrThEBe2sl74kKG0/edit?usp=sharing"",""สุพรรณบุรี!S583"")+IMPORTRANGE(""https://docs.google.com/spreadsheets/d/1BmIruG_sIrJLYao_Pdr7zVArWsf"&amp;"oBt2692TMi6x_854/edit?usp=sharing"",""อ่างทอง!S583"")"),0)</f>
        <v>0</v>
      </c>
      <c r="T583" s="136">
        <f t="shared" ca="1" si="404"/>
        <v>0</v>
      </c>
      <c r="U583" s="136">
        <f t="shared" ca="1" si="405"/>
        <v>0</v>
      </c>
    </row>
    <row r="584" spans="1:21" ht="18.75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f ca="1">IFERROR(__xludf.DUMMYFUNCTION("IMPORTRANGE(""https://docs.google.com/spreadsheets/d/13wPX838HrBrQMCywv1BsuMkt4PEKTChp52zj44s2izQ/edit?usp=sharing"",""กาญจนบุรี!L584"")+IMPORTRANGE(""https://docs.google.com/spreadsheets/d/1ddFKvqj1W1NEiWytbGlB1zMx_ykJDVtmfEQ-6-lIUBA/edit?usp=sharing"","&amp;"""จันทบุรี!L584"")+IMPORTRANGE(""https://docs.google.com/spreadsheets/d/1T1PQvRODqOBZk8BRht_U031fIS1beLA0Ub2CEytj2q0/edit?usp=sharing"",""ฉะเชิงเทรา!L584"")+IMPORTRANGE(""https://docs.google.com/spreadsheets/d/11tr1B-Bhyr79v2bkwVh5h_fR-PStkgjlZtkrZpYurG0/"&amp;"edit?usp=sharing"",""ชลบุรี!L584"")+IMPORTRANGE(""https://docs.google.com/spreadsheets/d/1hh-FVnSX0vozXhGluamEcS54Dw9_zqW0N7qJUWgJ0Sw/edit?usp=sharing"",""ชัยนาท!L584"")+IMPORTRANGE(""https://docs.google.com/spreadsheets/d/1jkqa6GXxSacMcY1eN8AHjMNJ_7dDXMJ"&amp;"VRLDlaFSOdPM/edit?usp=sharing"",""ตราด!L584"")+IMPORTRANGE(""https://docs.google.com/spreadsheets/d/18hSgUJ3VwClqi_qtULmmW3cLr0oe3OKaSYoKzdpTsYQ/edit?usp=sharing"",""นครนายก!L584"")+IMPORTRANGE(""https://docs.google.com/spreadsheets/d/1YTZo6WM2dQ6Ix6FSdnL"&amp;"5P7uVnVKu40sxZu975tgG10E/edit?usp=sharing"",""นครปฐม!L584"")+IMPORTRANGE(""https://docs.google.com/spreadsheets/d/1OYoGg4WDg5RIzwGeB10padOxJF9E_Vljuvvct_M7RDo/edit?usp=sharing"",""ปทุมธานี!L584"")+IMPORTRANGE(""https://docs.google.com/spreadsheets/d/1GbCI"&amp;"E4D4wk9FUozzqk7SxfDMxDVBwVmI5zcaVUSzKAc/edit?usp=sharing"",""ประจวบคีรีขันธ์!L584"")+IMPORTRANGE(""https://docs.google.com/spreadsheets/d/1vVf6wykvW_lAyu7Yo9L4hUTqHqIeP_qcVuxCtosJEbg/edit?usp=sharing"",""ปราจีนบุรี!L584"")+IMPORTRANGE(""https://docs.googl"&amp;"e.com/spreadsheets/d/1BIDqLLg5jk3v59G8NlR8rk5xfQDKne0sAvZHSj7TI6I/edit?usp=sharing"",""พระนครศรีอยุธยา!L584"")+IMPORTRANGE(""https://docs.google.com/spreadsheets/d/1YXvxf8Yu6_rV4hTBrwMqAcAnv6DfhUxh5emyM3CJp_w/edit?usp=sharing"",""เพชรบุรี!L584"")+IMPORTRA"&amp;"NGE(""https://docs.google.com/spreadsheets/d/19KBlQQs7uwvsao6t2n-KvW3Ax8J8uRRfZPq1zPbXgKc/edit?usp=sharing"",""ระยอง!L584"")+IMPORTRANGE(""https://docs.google.com/spreadsheets/d/1jQ6P4QcrGM89YfqcC_PxOHGCMq5ezhucwJd8ci-NHng/edit?usp=sharing"",""ราชบุรี!L58"&amp;"4"")+IMPORTRANGE(""https://docs.google.com/spreadsheets/d/1lufeA2cfFqM-elVq2hznhDzC6Pr7wkJ9ZG_sYNGCMCU/edit?usp=sharing"",""ลพบุรี!L584"")+IMPORTRANGE(""https://docs.google.com/spreadsheets/d/10oOiF7loTyfsTkbd4MpaIm0HQ9SwB7IYHdIUvt-U1Uc/edit?usp=sharing"""&amp;",""สระแก้ว!L584"")+IMPORTRANGE(""https://docs.google.com/spreadsheets/d/1xmPlrr1QbdSIKvl1dWUl9K4PjAfSL9oeMr_37QVzcxc/edit?usp=sharing"",""สระบุรี!L584"")+IMPORTRANGE(""https://docs.google.com/spreadsheets/d/1j51vR6CYVGhABJpv6tkstgok82RLpXieLzW1yOY5rHw/edi"&amp;"t?usp=sharing"",""สิงห์บุรี!L584"")+IMPORTRANGE(""https://docs.google.com/spreadsheets/d/1H1EalTWKUSzO4Z1-1CwzoDUaVffgrThEBe2sl74kKG0/edit?usp=sharing"",""สุพรรณบุรี!L584"")+IMPORTRANGE(""https://docs.google.com/spreadsheets/d/1BmIruG_sIrJLYao_Pdr7zVArWsf"&amp;"oBt2692TMi6x_854/edit?usp=sharing"",""อ่างทอง!L584"")"),0)</f>
        <v>0</v>
      </c>
      <c r="M584" s="77">
        <f ca="1">IFERROR(__xludf.DUMMYFUNCTION("IMPORTRANGE(""https://docs.google.com/spreadsheets/d/13wPX838HrBrQMCywv1BsuMkt4PEKTChp52zj44s2izQ/edit?usp=sharing"",""กาญจนบุรี!M584"")+IMPORTRANGE(""https://docs.google.com/spreadsheets/d/1ddFKvqj1W1NEiWytbGlB1zMx_ykJDVtmfEQ-6-lIUBA/edit?usp=sharing"","&amp;"""จันทบุรี!M584"")+IMPORTRANGE(""https://docs.google.com/spreadsheets/d/1T1PQvRODqOBZk8BRht_U031fIS1beLA0Ub2CEytj2q0/edit?usp=sharing"",""ฉะเชิงเทรา!M584"")+IMPORTRANGE(""https://docs.google.com/spreadsheets/d/11tr1B-Bhyr79v2bkwVh5h_fR-PStkgjlZtkrZpYurG0/"&amp;"edit?usp=sharing"",""ชลบุรี!M584"")+IMPORTRANGE(""https://docs.google.com/spreadsheets/d/1hh-FVnSX0vozXhGluamEcS54Dw9_zqW0N7qJUWgJ0Sw/edit?usp=sharing"",""ชัยนาท!M584"")+IMPORTRANGE(""https://docs.google.com/spreadsheets/d/1jkqa6GXxSacMcY1eN8AHjMNJ_7dDXMJ"&amp;"VRLDlaFSOdPM/edit?usp=sharing"",""ตราด!M584"")+IMPORTRANGE(""https://docs.google.com/spreadsheets/d/18hSgUJ3VwClqi_qtULmmW3cLr0oe3OKaSYoKzdpTsYQ/edit?usp=sharing"",""นครนายก!M584"")+IMPORTRANGE(""https://docs.google.com/spreadsheets/d/1YTZo6WM2dQ6Ix6FSdnL"&amp;"5P7uVnVKu40sxZu975tgG10E/edit?usp=sharing"",""นครปฐม!M584"")+IMPORTRANGE(""https://docs.google.com/spreadsheets/d/1OYoGg4WDg5RIzwGeB10padOxJF9E_Vljuvvct_M7RDo/edit?usp=sharing"",""ปทุมธานี!M584"")+IMPORTRANGE(""https://docs.google.com/spreadsheets/d/1GbCI"&amp;"E4D4wk9FUozzqk7SxfDMxDVBwVmI5zcaVUSzKAc/edit?usp=sharing"",""ประจวบคีรีขันธ์!M584"")+IMPORTRANGE(""https://docs.google.com/spreadsheets/d/1vVf6wykvW_lAyu7Yo9L4hUTqHqIeP_qcVuxCtosJEbg/edit?usp=sharing"",""ปราจีนบุรี!M584"")+IMPORTRANGE(""https://docs.googl"&amp;"e.com/spreadsheets/d/1BIDqLLg5jk3v59G8NlR8rk5xfQDKne0sAvZHSj7TI6I/edit?usp=sharing"",""พระนครศรีอยุธยา!M584"")+IMPORTRANGE(""https://docs.google.com/spreadsheets/d/1YXvxf8Yu6_rV4hTBrwMqAcAnv6DfhUxh5emyM3CJp_w/edit?usp=sharing"",""เพชรบุรี!M584"")+IMPORTRA"&amp;"NGE(""https://docs.google.com/spreadsheets/d/19KBlQQs7uwvsao6t2n-KvW3Ax8J8uRRfZPq1zPbXgKc/edit?usp=sharing"",""ระยอง!M584"")+IMPORTRANGE(""https://docs.google.com/spreadsheets/d/1jQ6P4QcrGM89YfqcC_PxOHGCMq5ezhucwJd8ci-NHng/edit?usp=sharing"",""ราชบุรี!M58"&amp;"4"")+IMPORTRANGE(""https://docs.google.com/spreadsheets/d/1lufeA2cfFqM-elVq2hznhDzC6Pr7wkJ9ZG_sYNGCMCU/edit?usp=sharing"",""ลพบุรี!M584"")+IMPORTRANGE(""https://docs.google.com/spreadsheets/d/10oOiF7loTyfsTkbd4MpaIm0HQ9SwB7IYHdIUvt-U1Uc/edit?usp=sharing"""&amp;",""สระแก้ว!M584"")+IMPORTRANGE(""https://docs.google.com/spreadsheets/d/1xmPlrr1QbdSIKvl1dWUl9K4PjAfSL9oeMr_37QVzcxc/edit?usp=sharing"",""สระบุรี!M584"")+IMPORTRANGE(""https://docs.google.com/spreadsheets/d/1j51vR6CYVGhABJpv6tkstgok82RLpXieLzW1yOY5rHw/edi"&amp;"t?usp=sharing"",""สิงห์บุรี!M584"")+IMPORTRANGE(""https://docs.google.com/spreadsheets/d/1H1EalTWKUSzO4Z1-1CwzoDUaVffgrThEBe2sl74kKG0/edit?usp=sharing"",""สุพรรณบุรี!M584"")+IMPORTRANGE(""https://docs.google.com/spreadsheets/d/1BmIruG_sIrJLYao_Pdr7zVArWsf"&amp;"oBt2692TMi6x_854/edit?usp=sharing"",""อ่างทอง!M584"")"),0)</f>
        <v>0</v>
      </c>
      <c r="N584" s="77">
        <f ca="1">IFERROR(__xludf.DUMMYFUNCTION("IMPORTRANGE(""https://docs.google.com/spreadsheets/d/13wPX838HrBrQMCywv1BsuMkt4PEKTChp52zj44s2izQ/edit?usp=sharing"",""กาญจนบุรี!N584"")+IMPORTRANGE(""https://docs.google.com/spreadsheets/d/1ddFKvqj1W1NEiWytbGlB1zMx_ykJDVtmfEQ-6-lIUBA/edit?usp=sharing"","&amp;"""จันทบุรี!N584"")+IMPORTRANGE(""https://docs.google.com/spreadsheets/d/1T1PQvRODqOBZk8BRht_U031fIS1beLA0Ub2CEytj2q0/edit?usp=sharing"",""ฉะเชิงเทรา!N584"")+IMPORTRANGE(""https://docs.google.com/spreadsheets/d/11tr1B-Bhyr79v2bkwVh5h_fR-PStkgjlZtkrZpYurG0/"&amp;"edit?usp=sharing"",""ชลบุรี!N584"")+IMPORTRANGE(""https://docs.google.com/spreadsheets/d/1hh-FVnSX0vozXhGluamEcS54Dw9_zqW0N7qJUWgJ0Sw/edit?usp=sharing"",""ชัยนาท!N584"")+IMPORTRANGE(""https://docs.google.com/spreadsheets/d/1jkqa6GXxSacMcY1eN8AHjMNJ_7dDXMJ"&amp;"VRLDlaFSOdPM/edit?usp=sharing"",""ตราด!N584"")+IMPORTRANGE(""https://docs.google.com/spreadsheets/d/18hSgUJ3VwClqi_qtULmmW3cLr0oe3OKaSYoKzdpTsYQ/edit?usp=sharing"",""นครนายก!N584"")+IMPORTRANGE(""https://docs.google.com/spreadsheets/d/1YTZo6WM2dQ6Ix6FSdnL"&amp;"5P7uVnVKu40sxZu975tgG10E/edit?usp=sharing"",""นครปฐม!N584"")+IMPORTRANGE(""https://docs.google.com/spreadsheets/d/1OYoGg4WDg5RIzwGeB10padOxJF9E_Vljuvvct_M7RDo/edit?usp=sharing"",""ปทุมธานี!N584"")+IMPORTRANGE(""https://docs.google.com/spreadsheets/d/1GbCI"&amp;"E4D4wk9FUozzqk7SxfDMxDVBwVmI5zcaVUSzKAc/edit?usp=sharing"",""ประจวบคีรีขันธ์!N584"")+IMPORTRANGE(""https://docs.google.com/spreadsheets/d/1vVf6wykvW_lAyu7Yo9L4hUTqHqIeP_qcVuxCtosJEbg/edit?usp=sharing"",""ปราจีนบุรี!N584"")+IMPORTRANGE(""https://docs.googl"&amp;"e.com/spreadsheets/d/1BIDqLLg5jk3v59G8NlR8rk5xfQDKne0sAvZHSj7TI6I/edit?usp=sharing"",""พระนครศรีอยุธยา!N584"")+IMPORTRANGE(""https://docs.google.com/spreadsheets/d/1YXvxf8Yu6_rV4hTBrwMqAcAnv6DfhUxh5emyM3CJp_w/edit?usp=sharing"",""เพชรบุรี!N584"")+IMPORTRA"&amp;"NGE(""https://docs.google.com/spreadsheets/d/19KBlQQs7uwvsao6t2n-KvW3Ax8J8uRRfZPq1zPbXgKc/edit?usp=sharing"",""ระยอง!N584"")+IMPORTRANGE(""https://docs.google.com/spreadsheets/d/1jQ6P4QcrGM89YfqcC_PxOHGCMq5ezhucwJd8ci-NHng/edit?usp=sharing"",""ราชบุรี!N58"&amp;"4"")+IMPORTRANGE(""https://docs.google.com/spreadsheets/d/1lufeA2cfFqM-elVq2hznhDzC6Pr7wkJ9ZG_sYNGCMCU/edit?usp=sharing"",""ลพบุรี!N584"")+IMPORTRANGE(""https://docs.google.com/spreadsheets/d/10oOiF7loTyfsTkbd4MpaIm0HQ9SwB7IYHdIUvt-U1Uc/edit?usp=sharing"""&amp;",""สระแก้ว!N584"")+IMPORTRANGE(""https://docs.google.com/spreadsheets/d/1xmPlrr1QbdSIKvl1dWUl9K4PjAfSL9oeMr_37QVzcxc/edit?usp=sharing"",""สระบุรี!N584"")+IMPORTRANGE(""https://docs.google.com/spreadsheets/d/1j51vR6CYVGhABJpv6tkstgok82RLpXieLzW1yOY5rHw/edi"&amp;"t?usp=sharing"",""สิงห์บุรี!N584"")+IMPORTRANGE(""https://docs.google.com/spreadsheets/d/1H1EalTWKUSzO4Z1-1CwzoDUaVffgrThEBe2sl74kKG0/edit?usp=sharing"",""สุพรรณบุรี!N584"")+IMPORTRANGE(""https://docs.google.com/spreadsheets/d/1BmIruG_sIrJLYao_Pdr7zVArWsf"&amp;"oBt2692TMi6x_854/edit?usp=sharing"",""อ่างทอง!N584"")"),0)</f>
        <v>0</v>
      </c>
      <c r="O584" s="77">
        <f t="shared" ca="1" si="401"/>
        <v>0</v>
      </c>
      <c r="P584" s="77">
        <f t="shared" ca="1" si="402"/>
        <v>0</v>
      </c>
      <c r="Q584" s="76">
        <f ca="1">IFERROR(__xludf.DUMMYFUNCTION("IMPORTRANGE(""https://docs.google.com/spreadsheets/d/13wPX838HrBrQMCywv1BsuMkt4PEKTChp52zj44s2izQ/edit?usp=sharing"",""กาญจนบุรี!Q584"")+IMPORTRANGE(""https://docs.google.com/spreadsheets/d/1ddFKvqj1W1NEiWytbGlB1zMx_ykJDVtmfEQ-6-lIUBA/edit?usp=sharing"","&amp;"""จันทบุรี!Q584"")+IMPORTRANGE(""https://docs.google.com/spreadsheets/d/1T1PQvRODqOBZk8BRht_U031fIS1beLA0Ub2CEytj2q0/edit?usp=sharing"",""ฉะเชิงเทรา!Q584"")+IMPORTRANGE(""https://docs.google.com/spreadsheets/d/11tr1B-Bhyr79v2bkwVh5h_fR-PStkgjlZtkrZpYurG0/"&amp;"edit?usp=sharing"",""ชลบุรี!Q584"")+IMPORTRANGE(""https://docs.google.com/spreadsheets/d/1hh-FVnSX0vozXhGluamEcS54Dw9_zqW0N7qJUWgJ0Sw/edit?usp=sharing"",""ชัยนาท!Q584"")+IMPORTRANGE(""https://docs.google.com/spreadsheets/d/1jkqa6GXxSacMcY1eN8AHjMNJ_7dDXMJ"&amp;"VRLDlaFSOdPM/edit?usp=sharing"",""ตราด!Q584"")+IMPORTRANGE(""https://docs.google.com/spreadsheets/d/18hSgUJ3VwClqi_qtULmmW3cLr0oe3OKaSYoKzdpTsYQ/edit?usp=sharing"",""นครนายก!Q584"")+IMPORTRANGE(""https://docs.google.com/spreadsheets/d/1YTZo6WM2dQ6Ix6FSdnL"&amp;"5P7uVnVKu40sxZu975tgG10E/edit?usp=sharing"",""นครปฐม!Q584"")+IMPORTRANGE(""https://docs.google.com/spreadsheets/d/1OYoGg4WDg5RIzwGeB10padOxJF9E_Vljuvvct_M7RDo/edit?usp=sharing"",""ปทุมธานี!Q584"")+IMPORTRANGE(""https://docs.google.com/spreadsheets/d/1GbCI"&amp;"E4D4wk9FUozzqk7SxfDMxDVBwVmI5zcaVUSzKAc/edit?usp=sharing"",""ประจวบคีรีขันธ์!Q584"")+IMPORTRANGE(""https://docs.google.com/spreadsheets/d/1vVf6wykvW_lAyu7Yo9L4hUTqHqIeP_qcVuxCtosJEbg/edit?usp=sharing"",""ปราจีนบุรี!Q584"")+IMPORTRANGE(""https://docs.googl"&amp;"e.com/spreadsheets/d/1BIDqLLg5jk3v59G8NlR8rk5xfQDKne0sAvZHSj7TI6I/edit?usp=sharing"",""พระนครศรีอยุธยา!Q584"")+IMPORTRANGE(""https://docs.google.com/spreadsheets/d/1YXvxf8Yu6_rV4hTBrwMqAcAnv6DfhUxh5emyM3CJp_w/edit?usp=sharing"",""เพชรบุรี!Q584"")+IMPORTRA"&amp;"NGE(""https://docs.google.com/spreadsheets/d/19KBlQQs7uwvsao6t2n-KvW3Ax8J8uRRfZPq1zPbXgKc/edit?usp=sharing"",""ระยอง!Q584"")+IMPORTRANGE(""https://docs.google.com/spreadsheets/d/1jQ6P4QcrGM89YfqcC_PxOHGCMq5ezhucwJd8ci-NHng/edit?usp=sharing"",""ราชบุรี!Q58"&amp;"4"")+IMPORTRANGE(""https://docs.google.com/spreadsheets/d/1lufeA2cfFqM-elVq2hznhDzC6Pr7wkJ9ZG_sYNGCMCU/edit?usp=sharing"",""ลพบุรี!Q584"")+IMPORTRANGE(""https://docs.google.com/spreadsheets/d/10oOiF7loTyfsTkbd4MpaIm0HQ9SwB7IYHdIUvt-U1Uc/edit?usp=sharing"""&amp;",""สระแก้ว!Q584"")+IMPORTRANGE(""https://docs.google.com/spreadsheets/d/1xmPlrr1QbdSIKvl1dWUl9K4PjAfSL9oeMr_37QVzcxc/edit?usp=sharing"",""สระบุรี!Q584"")+IMPORTRANGE(""https://docs.google.com/spreadsheets/d/1j51vR6CYVGhABJpv6tkstgok82RLpXieLzW1yOY5rHw/edi"&amp;"t?usp=sharing"",""สิงห์บุรี!Q584"")+IMPORTRANGE(""https://docs.google.com/spreadsheets/d/1H1EalTWKUSzO4Z1-1CwzoDUaVffgrThEBe2sl74kKG0/edit?usp=sharing"",""สุพรรณบุรี!Q584"")+IMPORTRANGE(""https://docs.google.com/spreadsheets/d/1BmIruG_sIrJLYao_Pdr7zVArWsf"&amp;"oBt2692TMi6x_854/edit?usp=sharing"",""อ่างทอง!Q584"")"),0)</f>
        <v>0</v>
      </c>
      <c r="R584" s="77">
        <f ca="1">IFERROR(__xludf.DUMMYFUNCTION("IMPORTRANGE(""https://docs.google.com/spreadsheets/d/13wPX838HrBrQMCywv1BsuMkt4PEKTChp52zj44s2izQ/edit?usp=sharing"",""กาญจนบุรี!R584"")+IMPORTRANGE(""https://docs.google.com/spreadsheets/d/1ddFKvqj1W1NEiWytbGlB1zMx_ykJDVtmfEQ-6-lIUBA/edit?usp=sharing"","&amp;"""จันทบุรี!R584"")+IMPORTRANGE(""https://docs.google.com/spreadsheets/d/1T1PQvRODqOBZk8BRht_U031fIS1beLA0Ub2CEytj2q0/edit?usp=sharing"",""ฉะเชิงเทรา!R584"")+IMPORTRANGE(""https://docs.google.com/spreadsheets/d/11tr1B-Bhyr79v2bkwVh5h_fR-PStkgjlZtkrZpYurG0/"&amp;"edit?usp=sharing"",""ชลบุรี!R584"")+IMPORTRANGE(""https://docs.google.com/spreadsheets/d/1hh-FVnSX0vozXhGluamEcS54Dw9_zqW0N7qJUWgJ0Sw/edit?usp=sharing"",""ชัยนาท!R584"")+IMPORTRANGE(""https://docs.google.com/spreadsheets/d/1jkqa6GXxSacMcY1eN8AHjMNJ_7dDXMJ"&amp;"VRLDlaFSOdPM/edit?usp=sharing"",""ตราด!R584"")+IMPORTRANGE(""https://docs.google.com/spreadsheets/d/18hSgUJ3VwClqi_qtULmmW3cLr0oe3OKaSYoKzdpTsYQ/edit?usp=sharing"",""นครนายก!R584"")+IMPORTRANGE(""https://docs.google.com/spreadsheets/d/1YTZo6WM2dQ6Ix6FSdnL"&amp;"5P7uVnVKu40sxZu975tgG10E/edit?usp=sharing"",""นครปฐม!R584"")+IMPORTRANGE(""https://docs.google.com/spreadsheets/d/1OYoGg4WDg5RIzwGeB10padOxJF9E_Vljuvvct_M7RDo/edit?usp=sharing"",""ปทุมธานี!R584"")+IMPORTRANGE(""https://docs.google.com/spreadsheets/d/1GbCI"&amp;"E4D4wk9FUozzqk7SxfDMxDVBwVmI5zcaVUSzKAc/edit?usp=sharing"",""ประจวบคีรีขันธ์!R584"")+IMPORTRANGE(""https://docs.google.com/spreadsheets/d/1vVf6wykvW_lAyu7Yo9L4hUTqHqIeP_qcVuxCtosJEbg/edit?usp=sharing"",""ปราจีนบุรี!R584"")+IMPORTRANGE(""https://docs.googl"&amp;"e.com/spreadsheets/d/1BIDqLLg5jk3v59G8NlR8rk5xfQDKne0sAvZHSj7TI6I/edit?usp=sharing"",""พระนครศรีอยุธยา!R584"")+IMPORTRANGE(""https://docs.google.com/spreadsheets/d/1YXvxf8Yu6_rV4hTBrwMqAcAnv6DfhUxh5emyM3CJp_w/edit?usp=sharing"",""เพชรบุรี!R584"")+IMPORTRA"&amp;"NGE(""https://docs.google.com/spreadsheets/d/19KBlQQs7uwvsao6t2n-KvW3Ax8J8uRRfZPq1zPbXgKc/edit?usp=sharing"",""ระยอง!R584"")+IMPORTRANGE(""https://docs.google.com/spreadsheets/d/1jQ6P4QcrGM89YfqcC_PxOHGCMq5ezhucwJd8ci-NHng/edit?usp=sharing"",""ราชบุรี!R58"&amp;"4"")+IMPORTRANGE(""https://docs.google.com/spreadsheets/d/1lufeA2cfFqM-elVq2hznhDzC6Pr7wkJ9ZG_sYNGCMCU/edit?usp=sharing"",""ลพบุรี!R584"")+IMPORTRANGE(""https://docs.google.com/spreadsheets/d/10oOiF7loTyfsTkbd4MpaIm0HQ9SwB7IYHdIUvt-U1Uc/edit?usp=sharing"""&amp;",""สระแก้ว!R584"")+IMPORTRANGE(""https://docs.google.com/spreadsheets/d/1xmPlrr1QbdSIKvl1dWUl9K4PjAfSL9oeMr_37QVzcxc/edit?usp=sharing"",""สระบุรี!R584"")+IMPORTRANGE(""https://docs.google.com/spreadsheets/d/1j51vR6CYVGhABJpv6tkstgok82RLpXieLzW1yOY5rHw/edi"&amp;"t?usp=sharing"",""สิงห์บุรี!R584"")+IMPORTRANGE(""https://docs.google.com/spreadsheets/d/1H1EalTWKUSzO4Z1-1CwzoDUaVffgrThEBe2sl74kKG0/edit?usp=sharing"",""สุพรรณบุรี!R584"")+IMPORTRANGE(""https://docs.google.com/spreadsheets/d/1BmIruG_sIrJLYao_Pdr7zVArWsf"&amp;"oBt2692TMi6x_854/edit?usp=sharing"",""อ่างทอง!R584"")"),0)</f>
        <v>0</v>
      </c>
      <c r="S584" s="77">
        <f ca="1">IFERROR(__xludf.DUMMYFUNCTION("IMPORTRANGE(""https://docs.google.com/spreadsheets/d/13wPX838HrBrQMCywv1BsuMkt4PEKTChp52zj44s2izQ/edit?usp=sharing"",""กาญจนบุรี!S584"")+IMPORTRANGE(""https://docs.google.com/spreadsheets/d/1ddFKvqj1W1NEiWytbGlB1zMx_ykJDVtmfEQ-6-lIUBA/edit?usp=sharing"","&amp;"""จันทบุรี!S584"")+IMPORTRANGE(""https://docs.google.com/spreadsheets/d/1T1PQvRODqOBZk8BRht_U031fIS1beLA0Ub2CEytj2q0/edit?usp=sharing"",""ฉะเชิงเทรา!S584"")+IMPORTRANGE(""https://docs.google.com/spreadsheets/d/11tr1B-Bhyr79v2bkwVh5h_fR-PStkgjlZtkrZpYurG0/"&amp;"edit?usp=sharing"",""ชลบุรี!S584"")+IMPORTRANGE(""https://docs.google.com/spreadsheets/d/1hh-FVnSX0vozXhGluamEcS54Dw9_zqW0N7qJUWgJ0Sw/edit?usp=sharing"",""ชัยนาท!S584"")+IMPORTRANGE(""https://docs.google.com/spreadsheets/d/1jkqa6GXxSacMcY1eN8AHjMNJ_7dDXMJ"&amp;"VRLDlaFSOdPM/edit?usp=sharing"",""ตราด!S584"")+IMPORTRANGE(""https://docs.google.com/spreadsheets/d/18hSgUJ3VwClqi_qtULmmW3cLr0oe3OKaSYoKzdpTsYQ/edit?usp=sharing"",""นครนายก!S584"")+IMPORTRANGE(""https://docs.google.com/spreadsheets/d/1YTZo6WM2dQ6Ix6FSdnL"&amp;"5P7uVnVKu40sxZu975tgG10E/edit?usp=sharing"",""นครปฐม!S584"")+IMPORTRANGE(""https://docs.google.com/spreadsheets/d/1OYoGg4WDg5RIzwGeB10padOxJF9E_Vljuvvct_M7RDo/edit?usp=sharing"",""ปทุมธานี!S584"")+IMPORTRANGE(""https://docs.google.com/spreadsheets/d/1GbCI"&amp;"E4D4wk9FUozzqk7SxfDMxDVBwVmI5zcaVUSzKAc/edit?usp=sharing"",""ประจวบคีรีขันธ์!S584"")+IMPORTRANGE(""https://docs.google.com/spreadsheets/d/1vVf6wykvW_lAyu7Yo9L4hUTqHqIeP_qcVuxCtosJEbg/edit?usp=sharing"",""ปราจีนบุรี!S584"")+IMPORTRANGE(""https://docs.googl"&amp;"e.com/spreadsheets/d/1BIDqLLg5jk3v59G8NlR8rk5xfQDKne0sAvZHSj7TI6I/edit?usp=sharing"",""พระนครศรีอยุธยา!S584"")+IMPORTRANGE(""https://docs.google.com/spreadsheets/d/1YXvxf8Yu6_rV4hTBrwMqAcAnv6DfhUxh5emyM3CJp_w/edit?usp=sharing"",""เพชรบุรี!S584"")+IMPORTRA"&amp;"NGE(""https://docs.google.com/spreadsheets/d/19KBlQQs7uwvsao6t2n-KvW3Ax8J8uRRfZPq1zPbXgKc/edit?usp=sharing"",""ระยอง!S584"")+IMPORTRANGE(""https://docs.google.com/spreadsheets/d/1jQ6P4QcrGM89YfqcC_PxOHGCMq5ezhucwJd8ci-NHng/edit?usp=sharing"",""ราชบุรี!S58"&amp;"4"")+IMPORTRANGE(""https://docs.google.com/spreadsheets/d/1lufeA2cfFqM-elVq2hznhDzC6Pr7wkJ9ZG_sYNGCMCU/edit?usp=sharing"",""ลพบุรี!S584"")+IMPORTRANGE(""https://docs.google.com/spreadsheets/d/10oOiF7loTyfsTkbd4MpaIm0HQ9SwB7IYHdIUvt-U1Uc/edit?usp=sharing"""&amp;",""สระแก้ว!S584"")+IMPORTRANGE(""https://docs.google.com/spreadsheets/d/1xmPlrr1QbdSIKvl1dWUl9K4PjAfSL9oeMr_37QVzcxc/edit?usp=sharing"",""สระบุรี!S584"")+IMPORTRANGE(""https://docs.google.com/spreadsheets/d/1j51vR6CYVGhABJpv6tkstgok82RLpXieLzW1yOY5rHw/edi"&amp;"t?usp=sharing"",""สิงห์บุรี!S584"")+IMPORTRANGE(""https://docs.google.com/spreadsheets/d/1H1EalTWKUSzO4Z1-1CwzoDUaVffgrThEBe2sl74kKG0/edit?usp=sharing"",""สุพรรณบุรี!S584"")+IMPORTRANGE(""https://docs.google.com/spreadsheets/d/1BmIruG_sIrJLYao_Pdr7zVArWsf"&amp;"oBt2692TMi6x_854/edit?usp=sharing"",""อ่างทอง!S584"")"),0)</f>
        <v>0</v>
      </c>
      <c r="T584" s="135">
        <f t="shared" ca="1" si="404"/>
        <v>0</v>
      </c>
      <c r="U584" s="135">
        <f t="shared" ca="1" si="405"/>
        <v>0</v>
      </c>
    </row>
    <row r="585" spans="1:21" ht="19.5" x14ac:dyDescent="0.3">
      <c r="A585" s="278"/>
      <c r="B585" s="279"/>
      <c r="C585" s="670" t="s">
        <v>18</v>
      </c>
      <c r="D585" s="281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2.75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8"/>
      <c r="M586" s="578"/>
      <c r="N586" s="578"/>
      <c r="O586" s="578"/>
      <c r="P586" s="578"/>
      <c r="Q586" s="579"/>
      <c r="R586" s="578"/>
      <c r="S586" s="578"/>
      <c r="T586" s="578"/>
      <c r="U586" s="578"/>
    </row>
    <row r="587" spans="1:21" ht="12.75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8"/>
      <c r="M587" s="578"/>
      <c r="N587" s="578"/>
      <c r="O587" s="578"/>
      <c r="P587" s="578"/>
      <c r="Q587" s="579"/>
      <c r="R587" s="578"/>
      <c r="S587" s="578"/>
      <c r="T587" s="578"/>
      <c r="U587" s="578"/>
    </row>
    <row r="588" spans="1:21" ht="12.75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2"/>
      <c r="R596" s="203"/>
      <c r="S596" s="203"/>
      <c r="T596" s="203"/>
      <c r="U596" s="203"/>
    </row>
    <row r="597" spans="1:21" ht="19.5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10"/>
      <c r="M597" s="210"/>
      <c r="N597" s="210"/>
      <c r="O597" s="210"/>
      <c r="P597" s="210"/>
      <c r="Q597" s="209"/>
      <c r="R597" s="210"/>
      <c r="S597" s="210"/>
      <c r="T597" s="210"/>
      <c r="U597" s="210"/>
    </row>
    <row r="598" spans="1:21" ht="19.5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10"/>
      <c r="M598" s="210"/>
      <c r="N598" s="210"/>
      <c r="O598" s="210"/>
      <c r="P598" s="210"/>
      <c r="Q598" s="209"/>
      <c r="R598" s="210"/>
      <c r="S598" s="210"/>
      <c r="T598" s="210"/>
      <c r="U598" s="210"/>
    </row>
    <row r="599" spans="1:21" ht="19.5" x14ac:dyDescent="0.3">
      <c r="A599" s="259"/>
      <c r="B599" s="271"/>
      <c r="C599" s="308" t="s">
        <v>18</v>
      </c>
      <c r="D599" s="80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66">
        <f t="shared" ref="L599:N599" ca="1" si="414">L600+L601</f>
        <v>0</v>
      </c>
      <c r="M599" s="266">
        <f t="shared" ca="1" si="414"/>
        <v>0</v>
      </c>
      <c r="N599" s="266">
        <f t="shared" ca="1" si="414"/>
        <v>0</v>
      </c>
      <c r="O599" s="266">
        <f t="shared" ref="O599:O607" ca="1" si="415">IF(L599&gt;0,N599*100/L599,0)</f>
        <v>0</v>
      </c>
      <c r="P599" s="266">
        <f t="shared" ref="P599:P607" ca="1" si="416">IF(M599&gt;0,N599*100/M599,0)</f>
        <v>0</v>
      </c>
      <c r="Q599" s="216">
        <f t="shared" ref="Q599:S599" ca="1" si="417">Q600+Q601</f>
        <v>0</v>
      </c>
      <c r="R599" s="217">
        <f t="shared" ca="1" si="417"/>
        <v>0</v>
      </c>
      <c r="S599" s="217">
        <f t="shared" ca="1" si="417"/>
        <v>0</v>
      </c>
      <c r="T599" s="217">
        <f t="shared" ref="T599:T607" ca="1" si="418">IF(Q599&gt;0,S599*100/Q599,0)</f>
        <v>0</v>
      </c>
      <c r="U599" s="217">
        <f t="shared" ref="U599:U607" ca="1" si="419">IF(R599&gt;0,S599*100/R599,0)</f>
        <v>0</v>
      </c>
    </row>
    <row r="600" spans="1:21" ht="18.75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80">
        <f t="shared" ref="L600:N600" ca="1" si="420">L603+L606</f>
        <v>0</v>
      </c>
      <c r="M600" s="80">
        <f t="shared" ca="1" si="420"/>
        <v>0</v>
      </c>
      <c r="N600" s="80">
        <f t="shared" ca="1" si="420"/>
        <v>0</v>
      </c>
      <c r="O600" s="80">
        <f t="shared" ca="1" si="415"/>
        <v>0</v>
      </c>
      <c r="P600" s="80">
        <f t="shared" ca="1" si="416"/>
        <v>0</v>
      </c>
      <c r="Q600" s="219">
        <f t="shared" ref="Q600:S600" ca="1" si="421">Q603+Q606</f>
        <v>0</v>
      </c>
      <c r="R600" s="136">
        <f t="shared" ca="1" si="421"/>
        <v>0</v>
      </c>
      <c r="S600" s="136">
        <f t="shared" ca="1" si="421"/>
        <v>0</v>
      </c>
      <c r="T600" s="136">
        <f t="shared" ca="1" si="418"/>
        <v>0</v>
      </c>
      <c r="U600" s="136">
        <f t="shared" ca="1" si="419"/>
        <v>0</v>
      </c>
    </row>
    <row r="601" spans="1:21" ht="18.75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7">
        <f t="shared" ref="L601:N601" ca="1" si="422">L604+L607</f>
        <v>0</v>
      </c>
      <c r="M601" s="77">
        <f t="shared" ca="1" si="422"/>
        <v>0</v>
      </c>
      <c r="N601" s="77">
        <f t="shared" ca="1" si="422"/>
        <v>0</v>
      </c>
      <c r="O601" s="77">
        <f t="shared" ca="1" si="415"/>
        <v>0</v>
      </c>
      <c r="P601" s="77">
        <f t="shared" ca="1" si="416"/>
        <v>0</v>
      </c>
      <c r="Q601" s="134">
        <f t="shared" ref="Q601:S601" ca="1" si="423">Q604+Q607</f>
        <v>0</v>
      </c>
      <c r="R601" s="135">
        <f t="shared" ca="1" si="423"/>
        <v>0</v>
      </c>
      <c r="S601" s="135">
        <f t="shared" ca="1" si="423"/>
        <v>0</v>
      </c>
      <c r="T601" s="135">
        <f t="shared" ca="1" si="418"/>
        <v>0</v>
      </c>
      <c r="U601" s="135">
        <f t="shared" ca="1" si="419"/>
        <v>0</v>
      </c>
    </row>
    <row r="602" spans="1:21" ht="19.5" x14ac:dyDescent="0.3">
      <c r="A602" s="259"/>
      <c r="B602" s="271"/>
      <c r="C602" s="271"/>
      <c r="D602" s="685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7">
        <f t="shared" ref="L602:N602" ca="1" si="424">L603+L604</f>
        <v>0</v>
      </c>
      <c r="M602" s="77">
        <f t="shared" ca="1" si="424"/>
        <v>0</v>
      </c>
      <c r="N602" s="77">
        <f t="shared" ca="1" si="424"/>
        <v>0</v>
      </c>
      <c r="O602" s="77">
        <f t="shared" ca="1" si="415"/>
        <v>0</v>
      </c>
      <c r="P602" s="77">
        <f t="shared" ca="1" si="416"/>
        <v>0</v>
      </c>
      <c r="Q602" s="134">
        <f t="shared" ref="Q602:S602" ca="1" si="425">Q603+Q604</f>
        <v>0</v>
      </c>
      <c r="R602" s="135">
        <f t="shared" ca="1" si="425"/>
        <v>0</v>
      </c>
      <c r="S602" s="135">
        <f t="shared" ca="1" si="425"/>
        <v>0</v>
      </c>
      <c r="T602" s="135">
        <f t="shared" ca="1" si="418"/>
        <v>0</v>
      </c>
      <c r="U602" s="135">
        <f t="shared" ca="1" si="419"/>
        <v>0</v>
      </c>
    </row>
    <row r="603" spans="1:21" ht="18.75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80">
        <f ca="1">IFERROR(__xludf.DUMMYFUNCTION("IMPORTRANGE(""https://docs.google.com/spreadsheets/d/13wPX838HrBrQMCywv1BsuMkt4PEKTChp52zj44s2izQ/edit?usp=sharing"",""กาญจนบุรี!L603"")+IMPORTRANGE(""https://docs.google.com/spreadsheets/d/1ddFKvqj1W1NEiWytbGlB1zMx_ykJDVtmfEQ-6-lIUBA/edit?usp=sharing"","&amp;"""จันทบุรี!L603"")+IMPORTRANGE(""https://docs.google.com/spreadsheets/d/1T1PQvRODqOBZk8BRht_U031fIS1beLA0Ub2CEytj2q0/edit?usp=sharing"",""ฉะเชิงเทรา!L603"")+IMPORTRANGE(""https://docs.google.com/spreadsheets/d/11tr1B-Bhyr79v2bkwVh5h_fR-PStkgjlZtkrZpYurG0/"&amp;"edit?usp=sharing"",""ชลบุรี!L603"")+IMPORTRANGE(""https://docs.google.com/spreadsheets/d/1hh-FVnSX0vozXhGluamEcS54Dw9_zqW0N7qJUWgJ0Sw/edit?usp=sharing"",""ชัยนาท!L603"")+IMPORTRANGE(""https://docs.google.com/spreadsheets/d/1jkqa6GXxSacMcY1eN8AHjMNJ_7dDXMJ"&amp;"VRLDlaFSOdPM/edit?usp=sharing"",""ตราด!L603"")+IMPORTRANGE(""https://docs.google.com/spreadsheets/d/18hSgUJ3VwClqi_qtULmmW3cLr0oe3OKaSYoKzdpTsYQ/edit?usp=sharing"",""นครนายก!L603"")+IMPORTRANGE(""https://docs.google.com/spreadsheets/d/1YTZo6WM2dQ6Ix6FSdnL"&amp;"5P7uVnVKu40sxZu975tgG10E/edit?usp=sharing"",""นครปฐม!L603"")+IMPORTRANGE(""https://docs.google.com/spreadsheets/d/1OYoGg4WDg5RIzwGeB10padOxJF9E_Vljuvvct_M7RDo/edit?usp=sharing"",""ปทุมธานี!L603"")+IMPORTRANGE(""https://docs.google.com/spreadsheets/d/1GbCI"&amp;"E4D4wk9FUozzqk7SxfDMxDVBwVmI5zcaVUSzKAc/edit?usp=sharing"",""ประจวบคีรีขันธ์!L603"")+IMPORTRANGE(""https://docs.google.com/spreadsheets/d/1vVf6wykvW_lAyu7Yo9L4hUTqHqIeP_qcVuxCtosJEbg/edit?usp=sharing"",""ปราจีนบุรี!L603"")+IMPORTRANGE(""https://docs.googl"&amp;"e.com/spreadsheets/d/1BIDqLLg5jk3v59G8NlR8rk5xfQDKne0sAvZHSj7TI6I/edit?usp=sharing"",""พระนครศรีอยุธยา!L603"")+IMPORTRANGE(""https://docs.google.com/spreadsheets/d/1YXvxf8Yu6_rV4hTBrwMqAcAnv6DfhUxh5emyM3CJp_w/edit?usp=sharing"",""เพชรบุรี!L603"")+IMPORTRA"&amp;"NGE(""https://docs.google.com/spreadsheets/d/19KBlQQs7uwvsao6t2n-KvW3Ax8J8uRRfZPq1zPbXgKc/edit?usp=sharing"",""ระยอง!L603"")+IMPORTRANGE(""https://docs.google.com/spreadsheets/d/1jQ6P4QcrGM89YfqcC_PxOHGCMq5ezhucwJd8ci-NHng/edit?usp=sharing"",""ราชบุรี!L60"&amp;"3"")+IMPORTRANGE(""https://docs.google.com/spreadsheets/d/1lufeA2cfFqM-elVq2hznhDzC6Pr7wkJ9ZG_sYNGCMCU/edit?usp=sharing"",""ลพบุรี!L603"")+IMPORTRANGE(""https://docs.google.com/spreadsheets/d/10oOiF7loTyfsTkbd4MpaIm0HQ9SwB7IYHdIUvt-U1Uc/edit?usp=sharing"""&amp;",""สระแก้ว!L603"")+IMPORTRANGE(""https://docs.google.com/spreadsheets/d/1xmPlrr1QbdSIKvl1dWUl9K4PjAfSL9oeMr_37QVzcxc/edit?usp=sharing"",""สระบุรี!L603"")+IMPORTRANGE(""https://docs.google.com/spreadsheets/d/1j51vR6CYVGhABJpv6tkstgok82RLpXieLzW1yOY5rHw/edi"&amp;"t?usp=sharing"",""สิงห์บุรี!L603"")+IMPORTRANGE(""https://docs.google.com/spreadsheets/d/1H1EalTWKUSzO4Z1-1CwzoDUaVffgrThEBe2sl74kKG0/edit?usp=sharing"",""สุพรรณบุรี!L603"")+IMPORTRANGE(""https://docs.google.com/spreadsheets/d/1BmIruG_sIrJLYao_Pdr7zVArWsf"&amp;"oBt2692TMi6x_854/edit?usp=sharing"",""อ่างทอง!L603"")"),0)</f>
        <v>0</v>
      </c>
      <c r="M603" s="80">
        <f ca="1">IFERROR(__xludf.DUMMYFUNCTION("IMPORTRANGE(""https://docs.google.com/spreadsheets/d/13wPX838HrBrQMCywv1BsuMkt4PEKTChp52zj44s2izQ/edit?usp=sharing"",""กาญจนบุรี!M603"")+IMPORTRANGE(""https://docs.google.com/spreadsheets/d/1ddFKvqj1W1NEiWytbGlB1zMx_ykJDVtmfEQ-6-lIUBA/edit?usp=sharing"","&amp;"""จันทบุรี!M603"")+IMPORTRANGE(""https://docs.google.com/spreadsheets/d/1T1PQvRODqOBZk8BRht_U031fIS1beLA0Ub2CEytj2q0/edit?usp=sharing"",""ฉะเชิงเทรา!M603"")+IMPORTRANGE(""https://docs.google.com/spreadsheets/d/11tr1B-Bhyr79v2bkwVh5h_fR-PStkgjlZtkrZpYurG0/"&amp;"edit?usp=sharing"",""ชลบุรี!M603"")+IMPORTRANGE(""https://docs.google.com/spreadsheets/d/1hh-FVnSX0vozXhGluamEcS54Dw9_zqW0N7qJUWgJ0Sw/edit?usp=sharing"",""ชัยนาท!M603"")+IMPORTRANGE(""https://docs.google.com/spreadsheets/d/1jkqa6GXxSacMcY1eN8AHjMNJ_7dDXMJ"&amp;"VRLDlaFSOdPM/edit?usp=sharing"",""ตราด!M603"")+IMPORTRANGE(""https://docs.google.com/spreadsheets/d/18hSgUJ3VwClqi_qtULmmW3cLr0oe3OKaSYoKzdpTsYQ/edit?usp=sharing"",""นครนายก!M603"")+IMPORTRANGE(""https://docs.google.com/spreadsheets/d/1YTZo6WM2dQ6Ix6FSdnL"&amp;"5P7uVnVKu40sxZu975tgG10E/edit?usp=sharing"",""นครปฐม!M603"")+IMPORTRANGE(""https://docs.google.com/spreadsheets/d/1OYoGg4WDg5RIzwGeB10padOxJF9E_Vljuvvct_M7RDo/edit?usp=sharing"",""ปทุมธานี!M603"")+IMPORTRANGE(""https://docs.google.com/spreadsheets/d/1GbCI"&amp;"E4D4wk9FUozzqk7SxfDMxDVBwVmI5zcaVUSzKAc/edit?usp=sharing"",""ประจวบคีรีขันธ์!M603"")+IMPORTRANGE(""https://docs.google.com/spreadsheets/d/1vVf6wykvW_lAyu7Yo9L4hUTqHqIeP_qcVuxCtosJEbg/edit?usp=sharing"",""ปราจีนบุรี!M603"")+IMPORTRANGE(""https://docs.googl"&amp;"e.com/spreadsheets/d/1BIDqLLg5jk3v59G8NlR8rk5xfQDKne0sAvZHSj7TI6I/edit?usp=sharing"",""พระนครศรีอยุธยา!M603"")+IMPORTRANGE(""https://docs.google.com/spreadsheets/d/1YXvxf8Yu6_rV4hTBrwMqAcAnv6DfhUxh5emyM3CJp_w/edit?usp=sharing"",""เพชรบุรี!M603"")+IMPORTRA"&amp;"NGE(""https://docs.google.com/spreadsheets/d/19KBlQQs7uwvsao6t2n-KvW3Ax8J8uRRfZPq1zPbXgKc/edit?usp=sharing"",""ระยอง!M603"")+IMPORTRANGE(""https://docs.google.com/spreadsheets/d/1jQ6P4QcrGM89YfqcC_PxOHGCMq5ezhucwJd8ci-NHng/edit?usp=sharing"",""ราชบุรี!M60"&amp;"3"")+IMPORTRANGE(""https://docs.google.com/spreadsheets/d/1lufeA2cfFqM-elVq2hznhDzC6Pr7wkJ9ZG_sYNGCMCU/edit?usp=sharing"",""ลพบุรี!M603"")+IMPORTRANGE(""https://docs.google.com/spreadsheets/d/10oOiF7loTyfsTkbd4MpaIm0HQ9SwB7IYHdIUvt-U1Uc/edit?usp=sharing"""&amp;",""สระแก้ว!M603"")+IMPORTRANGE(""https://docs.google.com/spreadsheets/d/1xmPlrr1QbdSIKvl1dWUl9K4PjAfSL9oeMr_37QVzcxc/edit?usp=sharing"",""สระบุรี!M603"")+IMPORTRANGE(""https://docs.google.com/spreadsheets/d/1j51vR6CYVGhABJpv6tkstgok82RLpXieLzW1yOY5rHw/edi"&amp;"t?usp=sharing"",""สิงห์บุรี!M603"")+IMPORTRANGE(""https://docs.google.com/spreadsheets/d/1H1EalTWKUSzO4Z1-1CwzoDUaVffgrThEBe2sl74kKG0/edit?usp=sharing"",""สุพรรณบุรี!M603"")+IMPORTRANGE(""https://docs.google.com/spreadsheets/d/1BmIruG_sIrJLYao_Pdr7zVArWsf"&amp;"oBt2692TMi6x_854/edit?usp=sharing"",""อ่างทอง!M603"")"),0)</f>
        <v>0</v>
      </c>
      <c r="N603" s="80">
        <f ca="1">IFERROR(__xludf.DUMMYFUNCTION("IMPORTRANGE(""https://docs.google.com/spreadsheets/d/13wPX838HrBrQMCywv1BsuMkt4PEKTChp52zj44s2izQ/edit?usp=sharing"",""กาญจนบุรี!N603"")+IMPORTRANGE(""https://docs.google.com/spreadsheets/d/1ddFKvqj1W1NEiWytbGlB1zMx_ykJDVtmfEQ-6-lIUBA/edit?usp=sharing"","&amp;"""จันทบุรี!N603"")+IMPORTRANGE(""https://docs.google.com/spreadsheets/d/1T1PQvRODqOBZk8BRht_U031fIS1beLA0Ub2CEytj2q0/edit?usp=sharing"",""ฉะเชิงเทรา!N603"")+IMPORTRANGE(""https://docs.google.com/spreadsheets/d/11tr1B-Bhyr79v2bkwVh5h_fR-PStkgjlZtkrZpYurG0/"&amp;"edit?usp=sharing"",""ชลบุรี!N603"")+IMPORTRANGE(""https://docs.google.com/spreadsheets/d/1hh-FVnSX0vozXhGluamEcS54Dw9_zqW0N7qJUWgJ0Sw/edit?usp=sharing"",""ชัยนาท!N603"")+IMPORTRANGE(""https://docs.google.com/spreadsheets/d/1jkqa6GXxSacMcY1eN8AHjMNJ_7dDXMJ"&amp;"VRLDlaFSOdPM/edit?usp=sharing"",""ตราด!N603"")+IMPORTRANGE(""https://docs.google.com/spreadsheets/d/18hSgUJ3VwClqi_qtULmmW3cLr0oe3OKaSYoKzdpTsYQ/edit?usp=sharing"",""นครนายก!N603"")+IMPORTRANGE(""https://docs.google.com/spreadsheets/d/1YTZo6WM2dQ6Ix6FSdnL"&amp;"5P7uVnVKu40sxZu975tgG10E/edit?usp=sharing"",""นครปฐม!N603"")+IMPORTRANGE(""https://docs.google.com/spreadsheets/d/1OYoGg4WDg5RIzwGeB10padOxJF9E_Vljuvvct_M7RDo/edit?usp=sharing"",""ปทุมธานี!N603"")+IMPORTRANGE(""https://docs.google.com/spreadsheets/d/1GbCI"&amp;"E4D4wk9FUozzqk7SxfDMxDVBwVmI5zcaVUSzKAc/edit?usp=sharing"",""ประจวบคีรีขันธ์!N603"")+IMPORTRANGE(""https://docs.google.com/spreadsheets/d/1vVf6wykvW_lAyu7Yo9L4hUTqHqIeP_qcVuxCtosJEbg/edit?usp=sharing"",""ปราจีนบุรี!N603"")+IMPORTRANGE(""https://docs.googl"&amp;"e.com/spreadsheets/d/1BIDqLLg5jk3v59G8NlR8rk5xfQDKne0sAvZHSj7TI6I/edit?usp=sharing"",""พระนครศรีอยุธยา!N603"")+IMPORTRANGE(""https://docs.google.com/spreadsheets/d/1YXvxf8Yu6_rV4hTBrwMqAcAnv6DfhUxh5emyM3CJp_w/edit?usp=sharing"",""เพชรบุรี!N603"")+IMPORTRA"&amp;"NGE(""https://docs.google.com/spreadsheets/d/19KBlQQs7uwvsao6t2n-KvW3Ax8J8uRRfZPq1zPbXgKc/edit?usp=sharing"",""ระยอง!N603"")+IMPORTRANGE(""https://docs.google.com/spreadsheets/d/1jQ6P4QcrGM89YfqcC_PxOHGCMq5ezhucwJd8ci-NHng/edit?usp=sharing"",""ราชบุรี!N60"&amp;"3"")+IMPORTRANGE(""https://docs.google.com/spreadsheets/d/1lufeA2cfFqM-elVq2hznhDzC6Pr7wkJ9ZG_sYNGCMCU/edit?usp=sharing"",""ลพบุรี!N603"")+IMPORTRANGE(""https://docs.google.com/spreadsheets/d/10oOiF7loTyfsTkbd4MpaIm0HQ9SwB7IYHdIUvt-U1Uc/edit?usp=sharing"""&amp;",""สระแก้ว!N603"")+IMPORTRANGE(""https://docs.google.com/spreadsheets/d/1xmPlrr1QbdSIKvl1dWUl9K4PjAfSL9oeMr_37QVzcxc/edit?usp=sharing"",""สระบุรี!N603"")+IMPORTRANGE(""https://docs.google.com/spreadsheets/d/1j51vR6CYVGhABJpv6tkstgok82RLpXieLzW1yOY5rHw/edi"&amp;"t?usp=sharing"",""สิงห์บุรี!N603"")+IMPORTRANGE(""https://docs.google.com/spreadsheets/d/1H1EalTWKUSzO4Z1-1CwzoDUaVffgrThEBe2sl74kKG0/edit?usp=sharing"",""สุพรรณบุรี!N603"")+IMPORTRANGE(""https://docs.google.com/spreadsheets/d/1BmIruG_sIrJLYao_Pdr7zVArWsf"&amp;"oBt2692TMi6x_854/edit?usp=sharing"",""อ่างทอง!N603"")"),0)</f>
        <v>0</v>
      </c>
      <c r="O603" s="80">
        <f t="shared" ca="1" si="415"/>
        <v>0</v>
      </c>
      <c r="P603" s="80">
        <f t="shared" ca="1" si="416"/>
        <v>0</v>
      </c>
      <c r="Q603" s="79">
        <f ca="1">IFERROR(__xludf.DUMMYFUNCTION("IMPORTRANGE(""https://docs.google.com/spreadsheets/d/13wPX838HrBrQMCywv1BsuMkt4PEKTChp52zj44s2izQ/edit?usp=sharing"",""กาญจนบุรี!Q603"")+IMPORTRANGE(""https://docs.google.com/spreadsheets/d/1ddFKvqj1W1NEiWytbGlB1zMx_ykJDVtmfEQ-6-lIUBA/edit?usp=sharing"","&amp;"""จันทบุรี!Q603"")+IMPORTRANGE(""https://docs.google.com/spreadsheets/d/1T1PQvRODqOBZk8BRht_U031fIS1beLA0Ub2CEytj2q0/edit?usp=sharing"",""ฉะเชิงเทรา!Q603"")+IMPORTRANGE(""https://docs.google.com/spreadsheets/d/11tr1B-Bhyr79v2bkwVh5h_fR-PStkgjlZtkrZpYurG0/"&amp;"edit?usp=sharing"",""ชลบุรี!Q603"")+IMPORTRANGE(""https://docs.google.com/spreadsheets/d/1hh-FVnSX0vozXhGluamEcS54Dw9_zqW0N7qJUWgJ0Sw/edit?usp=sharing"",""ชัยนาท!Q603"")+IMPORTRANGE(""https://docs.google.com/spreadsheets/d/1jkqa6GXxSacMcY1eN8AHjMNJ_7dDXMJ"&amp;"VRLDlaFSOdPM/edit?usp=sharing"",""ตราด!Q603"")+IMPORTRANGE(""https://docs.google.com/spreadsheets/d/18hSgUJ3VwClqi_qtULmmW3cLr0oe3OKaSYoKzdpTsYQ/edit?usp=sharing"",""นครนายก!Q603"")+IMPORTRANGE(""https://docs.google.com/spreadsheets/d/1YTZo6WM2dQ6Ix6FSdnL"&amp;"5P7uVnVKu40sxZu975tgG10E/edit?usp=sharing"",""นครปฐม!Q603"")+IMPORTRANGE(""https://docs.google.com/spreadsheets/d/1OYoGg4WDg5RIzwGeB10padOxJF9E_Vljuvvct_M7RDo/edit?usp=sharing"",""ปทุมธานี!Q603"")+IMPORTRANGE(""https://docs.google.com/spreadsheets/d/1GbCI"&amp;"E4D4wk9FUozzqk7SxfDMxDVBwVmI5zcaVUSzKAc/edit?usp=sharing"",""ประจวบคีรีขันธ์!Q603"")+IMPORTRANGE(""https://docs.google.com/spreadsheets/d/1vVf6wykvW_lAyu7Yo9L4hUTqHqIeP_qcVuxCtosJEbg/edit?usp=sharing"",""ปราจีนบุรี!Q603"")+IMPORTRANGE(""https://docs.googl"&amp;"e.com/spreadsheets/d/1BIDqLLg5jk3v59G8NlR8rk5xfQDKne0sAvZHSj7TI6I/edit?usp=sharing"",""พระนครศรีอยุธยา!Q603"")+IMPORTRANGE(""https://docs.google.com/spreadsheets/d/1YXvxf8Yu6_rV4hTBrwMqAcAnv6DfhUxh5emyM3CJp_w/edit?usp=sharing"",""เพชรบุรี!Q603"")+IMPORTRA"&amp;"NGE(""https://docs.google.com/spreadsheets/d/19KBlQQs7uwvsao6t2n-KvW3Ax8J8uRRfZPq1zPbXgKc/edit?usp=sharing"",""ระยอง!Q603"")+IMPORTRANGE(""https://docs.google.com/spreadsheets/d/1jQ6P4QcrGM89YfqcC_PxOHGCMq5ezhucwJd8ci-NHng/edit?usp=sharing"",""ราชบุรี!Q60"&amp;"3"")+IMPORTRANGE(""https://docs.google.com/spreadsheets/d/1lufeA2cfFqM-elVq2hznhDzC6Pr7wkJ9ZG_sYNGCMCU/edit?usp=sharing"",""ลพบุรี!Q603"")+IMPORTRANGE(""https://docs.google.com/spreadsheets/d/10oOiF7loTyfsTkbd4MpaIm0HQ9SwB7IYHdIUvt-U1Uc/edit?usp=sharing"""&amp;",""สระแก้ว!Q603"")+IMPORTRANGE(""https://docs.google.com/spreadsheets/d/1xmPlrr1QbdSIKvl1dWUl9K4PjAfSL9oeMr_37QVzcxc/edit?usp=sharing"",""สระบุรี!Q603"")+IMPORTRANGE(""https://docs.google.com/spreadsheets/d/1j51vR6CYVGhABJpv6tkstgok82RLpXieLzW1yOY5rHw/edi"&amp;"t?usp=sharing"",""สิงห์บุรี!Q603"")+IMPORTRANGE(""https://docs.google.com/spreadsheets/d/1H1EalTWKUSzO4Z1-1CwzoDUaVffgrThEBe2sl74kKG0/edit?usp=sharing"",""สุพรรณบุรี!Q603"")+IMPORTRANGE(""https://docs.google.com/spreadsheets/d/1BmIruG_sIrJLYao_Pdr7zVArWsf"&amp;"oBt2692TMi6x_854/edit?usp=sharing"",""อ่างทอง!Q603"")"),0)</f>
        <v>0</v>
      </c>
      <c r="R603" s="80">
        <f ca="1">IFERROR(__xludf.DUMMYFUNCTION("IMPORTRANGE(""https://docs.google.com/spreadsheets/d/13wPX838HrBrQMCywv1BsuMkt4PEKTChp52zj44s2izQ/edit?usp=sharing"",""กาญจนบุรี!R603"")+IMPORTRANGE(""https://docs.google.com/spreadsheets/d/1ddFKvqj1W1NEiWytbGlB1zMx_ykJDVtmfEQ-6-lIUBA/edit?usp=sharing"","&amp;"""จันทบุรี!R603"")+IMPORTRANGE(""https://docs.google.com/spreadsheets/d/1T1PQvRODqOBZk8BRht_U031fIS1beLA0Ub2CEytj2q0/edit?usp=sharing"",""ฉะเชิงเทรา!R603"")+IMPORTRANGE(""https://docs.google.com/spreadsheets/d/11tr1B-Bhyr79v2bkwVh5h_fR-PStkgjlZtkrZpYurG0/"&amp;"edit?usp=sharing"",""ชลบุรี!R603"")+IMPORTRANGE(""https://docs.google.com/spreadsheets/d/1hh-FVnSX0vozXhGluamEcS54Dw9_zqW0N7qJUWgJ0Sw/edit?usp=sharing"",""ชัยนาท!R603"")+IMPORTRANGE(""https://docs.google.com/spreadsheets/d/1jkqa6GXxSacMcY1eN8AHjMNJ_7dDXMJ"&amp;"VRLDlaFSOdPM/edit?usp=sharing"",""ตราด!R603"")+IMPORTRANGE(""https://docs.google.com/spreadsheets/d/18hSgUJ3VwClqi_qtULmmW3cLr0oe3OKaSYoKzdpTsYQ/edit?usp=sharing"",""นครนายก!R603"")+IMPORTRANGE(""https://docs.google.com/spreadsheets/d/1YTZo6WM2dQ6Ix6FSdnL"&amp;"5P7uVnVKu40sxZu975tgG10E/edit?usp=sharing"",""นครปฐม!R603"")+IMPORTRANGE(""https://docs.google.com/spreadsheets/d/1OYoGg4WDg5RIzwGeB10padOxJF9E_Vljuvvct_M7RDo/edit?usp=sharing"",""ปทุมธานี!R603"")+IMPORTRANGE(""https://docs.google.com/spreadsheets/d/1GbCI"&amp;"E4D4wk9FUozzqk7SxfDMxDVBwVmI5zcaVUSzKAc/edit?usp=sharing"",""ประจวบคีรีขันธ์!R603"")+IMPORTRANGE(""https://docs.google.com/spreadsheets/d/1vVf6wykvW_lAyu7Yo9L4hUTqHqIeP_qcVuxCtosJEbg/edit?usp=sharing"",""ปราจีนบุรี!R603"")+IMPORTRANGE(""https://docs.googl"&amp;"e.com/spreadsheets/d/1BIDqLLg5jk3v59G8NlR8rk5xfQDKne0sAvZHSj7TI6I/edit?usp=sharing"",""พระนครศรีอยุธยา!R603"")+IMPORTRANGE(""https://docs.google.com/spreadsheets/d/1YXvxf8Yu6_rV4hTBrwMqAcAnv6DfhUxh5emyM3CJp_w/edit?usp=sharing"",""เพชรบุรี!R603"")+IMPORTRA"&amp;"NGE(""https://docs.google.com/spreadsheets/d/19KBlQQs7uwvsao6t2n-KvW3Ax8J8uRRfZPq1zPbXgKc/edit?usp=sharing"",""ระยอง!R603"")+IMPORTRANGE(""https://docs.google.com/spreadsheets/d/1jQ6P4QcrGM89YfqcC_PxOHGCMq5ezhucwJd8ci-NHng/edit?usp=sharing"",""ราชบุรี!R60"&amp;"3"")+IMPORTRANGE(""https://docs.google.com/spreadsheets/d/1lufeA2cfFqM-elVq2hznhDzC6Pr7wkJ9ZG_sYNGCMCU/edit?usp=sharing"",""ลพบุรี!R603"")+IMPORTRANGE(""https://docs.google.com/spreadsheets/d/10oOiF7loTyfsTkbd4MpaIm0HQ9SwB7IYHdIUvt-U1Uc/edit?usp=sharing"""&amp;",""สระแก้ว!R603"")+IMPORTRANGE(""https://docs.google.com/spreadsheets/d/1xmPlrr1QbdSIKvl1dWUl9K4PjAfSL9oeMr_37QVzcxc/edit?usp=sharing"",""สระบุรี!R603"")+IMPORTRANGE(""https://docs.google.com/spreadsheets/d/1j51vR6CYVGhABJpv6tkstgok82RLpXieLzW1yOY5rHw/edi"&amp;"t?usp=sharing"",""สิงห์บุรี!R603"")+IMPORTRANGE(""https://docs.google.com/spreadsheets/d/1H1EalTWKUSzO4Z1-1CwzoDUaVffgrThEBe2sl74kKG0/edit?usp=sharing"",""สุพรรณบุรี!R603"")+IMPORTRANGE(""https://docs.google.com/spreadsheets/d/1BmIruG_sIrJLYao_Pdr7zVArWsf"&amp;"oBt2692TMi6x_854/edit?usp=sharing"",""อ่างทอง!R603"")"),0)</f>
        <v>0</v>
      </c>
      <c r="S603" s="80">
        <f ca="1">IFERROR(__xludf.DUMMYFUNCTION("IMPORTRANGE(""https://docs.google.com/spreadsheets/d/13wPX838HrBrQMCywv1BsuMkt4PEKTChp52zj44s2izQ/edit?usp=sharing"",""กาญจนบุรี!S603"")+IMPORTRANGE(""https://docs.google.com/spreadsheets/d/1ddFKvqj1W1NEiWytbGlB1zMx_ykJDVtmfEQ-6-lIUBA/edit?usp=sharing"","&amp;"""จันทบุรี!S603"")+IMPORTRANGE(""https://docs.google.com/spreadsheets/d/1T1PQvRODqOBZk8BRht_U031fIS1beLA0Ub2CEytj2q0/edit?usp=sharing"",""ฉะเชิงเทรา!S603"")+IMPORTRANGE(""https://docs.google.com/spreadsheets/d/11tr1B-Bhyr79v2bkwVh5h_fR-PStkgjlZtkrZpYurG0/"&amp;"edit?usp=sharing"",""ชลบุรี!S603"")+IMPORTRANGE(""https://docs.google.com/spreadsheets/d/1hh-FVnSX0vozXhGluamEcS54Dw9_zqW0N7qJUWgJ0Sw/edit?usp=sharing"",""ชัยนาท!S603"")+IMPORTRANGE(""https://docs.google.com/spreadsheets/d/1jkqa6GXxSacMcY1eN8AHjMNJ_7dDXMJ"&amp;"VRLDlaFSOdPM/edit?usp=sharing"",""ตราด!S603"")+IMPORTRANGE(""https://docs.google.com/spreadsheets/d/18hSgUJ3VwClqi_qtULmmW3cLr0oe3OKaSYoKzdpTsYQ/edit?usp=sharing"",""นครนายก!S603"")+IMPORTRANGE(""https://docs.google.com/spreadsheets/d/1YTZo6WM2dQ6Ix6FSdnL"&amp;"5P7uVnVKu40sxZu975tgG10E/edit?usp=sharing"",""นครปฐม!S603"")+IMPORTRANGE(""https://docs.google.com/spreadsheets/d/1OYoGg4WDg5RIzwGeB10padOxJF9E_Vljuvvct_M7RDo/edit?usp=sharing"",""ปทุมธานี!S603"")+IMPORTRANGE(""https://docs.google.com/spreadsheets/d/1GbCI"&amp;"E4D4wk9FUozzqk7SxfDMxDVBwVmI5zcaVUSzKAc/edit?usp=sharing"",""ประจวบคีรีขันธ์!S603"")+IMPORTRANGE(""https://docs.google.com/spreadsheets/d/1vVf6wykvW_lAyu7Yo9L4hUTqHqIeP_qcVuxCtosJEbg/edit?usp=sharing"",""ปราจีนบุรี!S603"")+IMPORTRANGE(""https://docs.googl"&amp;"e.com/spreadsheets/d/1BIDqLLg5jk3v59G8NlR8rk5xfQDKne0sAvZHSj7TI6I/edit?usp=sharing"",""พระนครศรีอยุธยา!S603"")+IMPORTRANGE(""https://docs.google.com/spreadsheets/d/1YXvxf8Yu6_rV4hTBrwMqAcAnv6DfhUxh5emyM3CJp_w/edit?usp=sharing"",""เพชรบุรี!S603"")+IMPORTRA"&amp;"NGE(""https://docs.google.com/spreadsheets/d/19KBlQQs7uwvsao6t2n-KvW3Ax8J8uRRfZPq1zPbXgKc/edit?usp=sharing"",""ระยอง!S603"")+IMPORTRANGE(""https://docs.google.com/spreadsheets/d/1jQ6P4QcrGM89YfqcC_PxOHGCMq5ezhucwJd8ci-NHng/edit?usp=sharing"",""ราชบุรี!S60"&amp;"3"")+IMPORTRANGE(""https://docs.google.com/spreadsheets/d/1lufeA2cfFqM-elVq2hznhDzC6Pr7wkJ9ZG_sYNGCMCU/edit?usp=sharing"",""ลพบุรี!S603"")+IMPORTRANGE(""https://docs.google.com/spreadsheets/d/10oOiF7loTyfsTkbd4MpaIm0HQ9SwB7IYHdIUvt-U1Uc/edit?usp=sharing"""&amp;",""สระแก้ว!S603"")+IMPORTRANGE(""https://docs.google.com/spreadsheets/d/1xmPlrr1QbdSIKvl1dWUl9K4PjAfSL9oeMr_37QVzcxc/edit?usp=sharing"",""สระบุรี!S603"")+IMPORTRANGE(""https://docs.google.com/spreadsheets/d/1j51vR6CYVGhABJpv6tkstgok82RLpXieLzW1yOY5rHw/edi"&amp;"t?usp=sharing"",""สิงห์บุรี!S603"")+IMPORTRANGE(""https://docs.google.com/spreadsheets/d/1H1EalTWKUSzO4Z1-1CwzoDUaVffgrThEBe2sl74kKG0/edit?usp=sharing"",""สุพรรณบุรี!S603"")+IMPORTRANGE(""https://docs.google.com/spreadsheets/d/1BmIruG_sIrJLYao_Pdr7zVArWsf"&amp;"oBt2692TMi6x_854/edit?usp=sharing"",""อ่างทอง!S603"")"),0)</f>
        <v>0</v>
      </c>
      <c r="T603" s="136">
        <f t="shared" ca="1" si="418"/>
        <v>0</v>
      </c>
      <c r="U603" s="136">
        <f t="shared" ca="1" si="419"/>
        <v>0</v>
      </c>
    </row>
    <row r="604" spans="1:21" ht="18.75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7">
        <f ca="1">IFERROR(__xludf.DUMMYFUNCTION("IMPORTRANGE(""https://docs.google.com/spreadsheets/d/13wPX838HrBrQMCywv1BsuMkt4PEKTChp52zj44s2izQ/edit?usp=sharing"",""กาญจนบุรี!L604"")+IMPORTRANGE(""https://docs.google.com/spreadsheets/d/1ddFKvqj1W1NEiWytbGlB1zMx_ykJDVtmfEQ-6-lIUBA/edit?usp=sharing"","&amp;"""จันทบุรี!L604"")+IMPORTRANGE(""https://docs.google.com/spreadsheets/d/1T1PQvRODqOBZk8BRht_U031fIS1beLA0Ub2CEytj2q0/edit?usp=sharing"",""ฉะเชิงเทรา!L604"")+IMPORTRANGE(""https://docs.google.com/spreadsheets/d/11tr1B-Bhyr79v2bkwVh5h_fR-PStkgjlZtkrZpYurG0/"&amp;"edit?usp=sharing"",""ชลบุรี!L604"")+IMPORTRANGE(""https://docs.google.com/spreadsheets/d/1hh-FVnSX0vozXhGluamEcS54Dw9_zqW0N7qJUWgJ0Sw/edit?usp=sharing"",""ชัยนาท!L604"")+IMPORTRANGE(""https://docs.google.com/spreadsheets/d/1jkqa6GXxSacMcY1eN8AHjMNJ_7dDXMJ"&amp;"VRLDlaFSOdPM/edit?usp=sharing"",""ตราด!L604"")+IMPORTRANGE(""https://docs.google.com/spreadsheets/d/18hSgUJ3VwClqi_qtULmmW3cLr0oe3OKaSYoKzdpTsYQ/edit?usp=sharing"",""นครนายก!L604"")+IMPORTRANGE(""https://docs.google.com/spreadsheets/d/1YTZo6WM2dQ6Ix6FSdnL"&amp;"5P7uVnVKu40sxZu975tgG10E/edit?usp=sharing"",""นครปฐม!L604"")+IMPORTRANGE(""https://docs.google.com/spreadsheets/d/1OYoGg4WDg5RIzwGeB10padOxJF9E_Vljuvvct_M7RDo/edit?usp=sharing"",""ปทุมธานี!L604"")+IMPORTRANGE(""https://docs.google.com/spreadsheets/d/1GbCI"&amp;"E4D4wk9FUozzqk7SxfDMxDVBwVmI5zcaVUSzKAc/edit?usp=sharing"",""ประจวบคีรีขันธ์!L604"")+IMPORTRANGE(""https://docs.google.com/spreadsheets/d/1vVf6wykvW_lAyu7Yo9L4hUTqHqIeP_qcVuxCtosJEbg/edit?usp=sharing"",""ปราจีนบุรี!L604"")+IMPORTRANGE(""https://docs.googl"&amp;"e.com/spreadsheets/d/1BIDqLLg5jk3v59G8NlR8rk5xfQDKne0sAvZHSj7TI6I/edit?usp=sharing"",""พระนครศรีอยุธยา!L604"")+IMPORTRANGE(""https://docs.google.com/spreadsheets/d/1YXvxf8Yu6_rV4hTBrwMqAcAnv6DfhUxh5emyM3CJp_w/edit?usp=sharing"",""เพชรบุรี!L604"")+IMPORTRA"&amp;"NGE(""https://docs.google.com/spreadsheets/d/19KBlQQs7uwvsao6t2n-KvW3Ax8J8uRRfZPq1zPbXgKc/edit?usp=sharing"",""ระยอง!L604"")+IMPORTRANGE(""https://docs.google.com/spreadsheets/d/1jQ6P4QcrGM89YfqcC_PxOHGCMq5ezhucwJd8ci-NHng/edit?usp=sharing"",""ราชบุรี!L60"&amp;"4"")+IMPORTRANGE(""https://docs.google.com/spreadsheets/d/1lufeA2cfFqM-elVq2hznhDzC6Pr7wkJ9ZG_sYNGCMCU/edit?usp=sharing"",""ลพบุรี!L604"")+IMPORTRANGE(""https://docs.google.com/spreadsheets/d/10oOiF7loTyfsTkbd4MpaIm0HQ9SwB7IYHdIUvt-U1Uc/edit?usp=sharing"""&amp;",""สระแก้ว!L604"")+IMPORTRANGE(""https://docs.google.com/spreadsheets/d/1xmPlrr1QbdSIKvl1dWUl9K4PjAfSL9oeMr_37QVzcxc/edit?usp=sharing"",""สระบุรี!L604"")+IMPORTRANGE(""https://docs.google.com/spreadsheets/d/1j51vR6CYVGhABJpv6tkstgok82RLpXieLzW1yOY5rHw/edi"&amp;"t?usp=sharing"",""สิงห์บุรี!L604"")+IMPORTRANGE(""https://docs.google.com/spreadsheets/d/1H1EalTWKUSzO4Z1-1CwzoDUaVffgrThEBe2sl74kKG0/edit?usp=sharing"",""สุพรรณบุรี!L604"")+IMPORTRANGE(""https://docs.google.com/spreadsheets/d/1BmIruG_sIrJLYao_Pdr7zVArWsf"&amp;"oBt2692TMi6x_854/edit?usp=sharing"",""อ่างทอง!L604"")"),0)</f>
        <v>0</v>
      </c>
      <c r="M604" s="77">
        <f ca="1">IFERROR(__xludf.DUMMYFUNCTION("IMPORTRANGE(""https://docs.google.com/spreadsheets/d/13wPX838HrBrQMCywv1BsuMkt4PEKTChp52zj44s2izQ/edit?usp=sharing"",""กาญจนบุรี!M604"")+IMPORTRANGE(""https://docs.google.com/spreadsheets/d/1ddFKvqj1W1NEiWytbGlB1zMx_ykJDVtmfEQ-6-lIUBA/edit?usp=sharing"","&amp;"""จันทบุรี!M604"")+IMPORTRANGE(""https://docs.google.com/spreadsheets/d/1T1PQvRODqOBZk8BRht_U031fIS1beLA0Ub2CEytj2q0/edit?usp=sharing"",""ฉะเชิงเทรา!M604"")+IMPORTRANGE(""https://docs.google.com/spreadsheets/d/11tr1B-Bhyr79v2bkwVh5h_fR-PStkgjlZtkrZpYurG0/"&amp;"edit?usp=sharing"",""ชลบุรี!M604"")+IMPORTRANGE(""https://docs.google.com/spreadsheets/d/1hh-FVnSX0vozXhGluamEcS54Dw9_zqW0N7qJUWgJ0Sw/edit?usp=sharing"",""ชัยนาท!M604"")+IMPORTRANGE(""https://docs.google.com/spreadsheets/d/1jkqa6GXxSacMcY1eN8AHjMNJ_7dDXMJ"&amp;"VRLDlaFSOdPM/edit?usp=sharing"",""ตราด!M604"")+IMPORTRANGE(""https://docs.google.com/spreadsheets/d/18hSgUJ3VwClqi_qtULmmW3cLr0oe3OKaSYoKzdpTsYQ/edit?usp=sharing"",""นครนายก!M604"")+IMPORTRANGE(""https://docs.google.com/spreadsheets/d/1YTZo6WM2dQ6Ix6FSdnL"&amp;"5P7uVnVKu40sxZu975tgG10E/edit?usp=sharing"",""นครปฐม!M604"")+IMPORTRANGE(""https://docs.google.com/spreadsheets/d/1OYoGg4WDg5RIzwGeB10padOxJF9E_Vljuvvct_M7RDo/edit?usp=sharing"",""ปทุมธานี!M604"")+IMPORTRANGE(""https://docs.google.com/spreadsheets/d/1GbCI"&amp;"E4D4wk9FUozzqk7SxfDMxDVBwVmI5zcaVUSzKAc/edit?usp=sharing"",""ประจวบคีรีขันธ์!M604"")+IMPORTRANGE(""https://docs.google.com/spreadsheets/d/1vVf6wykvW_lAyu7Yo9L4hUTqHqIeP_qcVuxCtosJEbg/edit?usp=sharing"",""ปราจีนบุรี!M604"")+IMPORTRANGE(""https://docs.googl"&amp;"e.com/spreadsheets/d/1BIDqLLg5jk3v59G8NlR8rk5xfQDKne0sAvZHSj7TI6I/edit?usp=sharing"",""พระนครศรีอยุธยา!M604"")+IMPORTRANGE(""https://docs.google.com/spreadsheets/d/1YXvxf8Yu6_rV4hTBrwMqAcAnv6DfhUxh5emyM3CJp_w/edit?usp=sharing"",""เพชรบุรี!M604"")+IMPORTRA"&amp;"NGE(""https://docs.google.com/spreadsheets/d/19KBlQQs7uwvsao6t2n-KvW3Ax8J8uRRfZPq1zPbXgKc/edit?usp=sharing"",""ระยอง!M604"")+IMPORTRANGE(""https://docs.google.com/spreadsheets/d/1jQ6P4QcrGM89YfqcC_PxOHGCMq5ezhucwJd8ci-NHng/edit?usp=sharing"",""ราชบุรี!M60"&amp;"4"")+IMPORTRANGE(""https://docs.google.com/spreadsheets/d/1lufeA2cfFqM-elVq2hznhDzC6Pr7wkJ9ZG_sYNGCMCU/edit?usp=sharing"",""ลพบุรี!M604"")+IMPORTRANGE(""https://docs.google.com/spreadsheets/d/10oOiF7loTyfsTkbd4MpaIm0HQ9SwB7IYHdIUvt-U1Uc/edit?usp=sharing"""&amp;",""สระแก้ว!M604"")+IMPORTRANGE(""https://docs.google.com/spreadsheets/d/1xmPlrr1QbdSIKvl1dWUl9K4PjAfSL9oeMr_37QVzcxc/edit?usp=sharing"",""สระบุรี!M604"")+IMPORTRANGE(""https://docs.google.com/spreadsheets/d/1j51vR6CYVGhABJpv6tkstgok82RLpXieLzW1yOY5rHw/edi"&amp;"t?usp=sharing"",""สิงห์บุรี!M604"")+IMPORTRANGE(""https://docs.google.com/spreadsheets/d/1H1EalTWKUSzO4Z1-1CwzoDUaVffgrThEBe2sl74kKG0/edit?usp=sharing"",""สุพรรณบุรี!M604"")+IMPORTRANGE(""https://docs.google.com/spreadsheets/d/1BmIruG_sIrJLYao_Pdr7zVArWsf"&amp;"oBt2692TMi6x_854/edit?usp=sharing"",""อ่างทอง!M604"")"),0)</f>
        <v>0</v>
      </c>
      <c r="N604" s="77">
        <f ca="1">IFERROR(__xludf.DUMMYFUNCTION("IMPORTRANGE(""https://docs.google.com/spreadsheets/d/13wPX838HrBrQMCywv1BsuMkt4PEKTChp52zj44s2izQ/edit?usp=sharing"",""กาญจนบุรี!N604"")+IMPORTRANGE(""https://docs.google.com/spreadsheets/d/1ddFKvqj1W1NEiWytbGlB1zMx_ykJDVtmfEQ-6-lIUBA/edit?usp=sharing"","&amp;"""จันทบุรี!N604"")+IMPORTRANGE(""https://docs.google.com/spreadsheets/d/1T1PQvRODqOBZk8BRht_U031fIS1beLA0Ub2CEytj2q0/edit?usp=sharing"",""ฉะเชิงเทรา!N604"")+IMPORTRANGE(""https://docs.google.com/spreadsheets/d/11tr1B-Bhyr79v2bkwVh5h_fR-PStkgjlZtkrZpYurG0/"&amp;"edit?usp=sharing"",""ชลบุรี!N604"")+IMPORTRANGE(""https://docs.google.com/spreadsheets/d/1hh-FVnSX0vozXhGluamEcS54Dw9_zqW0N7qJUWgJ0Sw/edit?usp=sharing"",""ชัยนาท!N604"")+IMPORTRANGE(""https://docs.google.com/spreadsheets/d/1jkqa6GXxSacMcY1eN8AHjMNJ_7dDXMJ"&amp;"VRLDlaFSOdPM/edit?usp=sharing"",""ตราด!N604"")+IMPORTRANGE(""https://docs.google.com/spreadsheets/d/18hSgUJ3VwClqi_qtULmmW3cLr0oe3OKaSYoKzdpTsYQ/edit?usp=sharing"",""นครนายก!N604"")+IMPORTRANGE(""https://docs.google.com/spreadsheets/d/1YTZo6WM2dQ6Ix6FSdnL"&amp;"5P7uVnVKu40sxZu975tgG10E/edit?usp=sharing"",""นครปฐม!N604"")+IMPORTRANGE(""https://docs.google.com/spreadsheets/d/1OYoGg4WDg5RIzwGeB10padOxJF9E_Vljuvvct_M7RDo/edit?usp=sharing"",""ปทุมธานี!N604"")+IMPORTRANGE(""https://docs.google.com/spreadsheets/d/1GbCI"&amp;"E4D4wk9FUozzqk7SxfDMxDVBwVmI5zcaVUSzKAc/edit?usp=sharing"",""ประจวบคีรีขันธ์!N604"")+IMPORTRANGE(""https://docs.google.com/spreadsheets/d/1vVf6wykvW_lAyu7Yo9L4hUTqHqIeP_qcVuxCtosJEbg/edit?usp=sharing"",""ปราจีนบุรี!N604"")+IMPORTRANGE(""https://docs.googl"&amp;"e.com/spreadsheets/d/1BIDqLLg5jk3v59G8NlR8rk5xfQDKne0sAvZHSj7TI6I/edit?usp=sharing"",""พระนครศรีอยุธยา!N604"")+IMPORTRANGE(""https://docs.google.com/spreadsheets/d/1YXvxf8Yu6_rV4hTBrwMqAcAnv6DfhUxh5emyM3CJp_w/edit?usp=sharing"",""เพชรบุรี!N604"")+IMPORTRA"&amp;"NGE(""https://docs.google.com/spreadsheets/d/19KBlQQs7uwvsao6t2n-KvW3Ax8J8uRRfZPq1zPbXgKc/edit?usp=sharing"",""ระยอง!N604"")+IMPORTRANGE(""https://docs.google.com/spreadsheets/d/1jQ6P4QcrGM89YfqcC_PxOHGCMq5ezhucwJd8ci-NHng/edit?usp=sharing"",""ราชบุรี!N60"&amp;"4"")+IMPORTRANGE(""https://docs.google.com/spreadsheets/d/1lufeA2cfFqM-elVq2hznhDzC6Pr7wkJ9ZG_sYNGCMCU/edit?usp=sharing"",""ลพบุรี!N604"")+IMPORTRANGE(""https://docs.google.com/spreadsheets/d/10oOiF7loTyfsTkbd4MpaIm0HQ9SwB7IYHdIUvt-U1Uc/edit?usp=sharing"""&amp;",""สระแก้ว!N604"")+IMPORTRANGE(""https://docs.google.com/spreadsheets/d/1xmPlrr1QbdSIKvl1dWUl9K4PjAfSL9oeMr_37QVzcxc/edit?usp=sharing"",""สระบุรี!N604"")+IMPORTRANGE(""https://docs.google.com/spreadsheets/d/1j51vR6CYVGhABJpv6tkstgok82RLpXieLzW1yOY5rHw/edi"&amp;"t?usp=sharing"",""สิงห์บุรี!N604"")+IMPORTRANGE(""https://docs.google.com/spreadsheets/d/1H1EalTWKUSzO4Z1-1CwzoDUaVffgrThEBe2sl74kKG0/edit?usp=sharing"",""สุพรรณบุรี!N604"")+IMPORTRANGE(""https://docs.google.com/spreadsheets/d/1BmIruG_sIrJLYao_Pdr7zVArWsf"&amp;"oBt2692TMi6x_854/edit?usp=sharing"",""อ่างทอง!N604"")"),0)</f>
        <v>0</v>
      </c>
      <c r="O604" s="77">
        <f t="shared" ca="1" si="415"/>
        <v>0</v>
      </c>
      <c r="P604" s="77">
        <f t="shared" ca="1" si="416"/>
        <v>0</v>
      </c>
      <c r="Q604" s="76">
        <f ca="1">IFERROR(__xludf.DUMMYFUNCTION("IMPORTRANGE(""https://docs.google.com/spreadsheets/d/13wPX838HrBrQMCywv1BsuMkt4PEKTChp52zj44s2izQ/edit?usp=sharing"",""กาญจนบุรี!Q604"")+IMPORTRANGE(""https://docs.google.com/spreadsheets/d/1ddFKvqj1W1NEiWytbGlB1zMx_ykJDVtmfEQ-6-lIUBA/edit?usp=sharing"","&amp;"""จันทบุรี!Q604"")+IMPORTRANGE(""https://docs.google.com/spreadsheets/d/1T1PQvRODqOBZk8BRht_U031fIS1beLA0Ub2CEytj2q0/edit?usp=sharing"",""ฉะเชิงเทรา!Q604"")+IMPORTRANGE(""https://docs.google.com/spreadsheets/d/11tr1B-Bhyr79v2bkwVh5h_fR-PStkgjlZtkrZpYurG0/"&amp;"edit?usp=sharing"",""ชลบุรี!Q604"")+IMPORTRANGE(""https://docs.google.com/spreadsheets/d/1hh-FVnSX0vozXhGluamEcS54Dw9_zqW0N7qJUWgJ0Sw/edit?usp=sharing"",""ชัยนาท!Q604"")+IMPORTRANGE(""https://docs.google.com/spreadsheets/d/1jkqa6GXxSacMcY1eN8AHjMNJ_7dDXMJ"&amp;"VRLDlaFSOdPM/edit?usp=sharing"",""ตราด!Q604"")+IMPORTRANGE(""https://docs.google.com/spreadsheets/d/18hSgUJ3VwClqi_qtULmmW3cLr0oe3OKaSYoKzdpTsYQ/edit?usp=sharing"",""นครนายก!Q604"")+IMPORTRANGE(""https://docs.google.com/spreadsheets/d/1YTZo6WM2dQ6Ix6FSdnL"&amp;"5P7uVnVKu40sxZu975tgG10E/edit?usp=sharing"",""นครปฐม!Q604"")+IMPORTRANGE(""https://docs.google.com/spreadsheets/d/1OYoGg4WDg5RIzwGeB10padOxJF9E_Vljuvvct_M7RDo/edit?usp=sharing"",""ปทุมธานี!Q604"")+IMPORTRANGE(""https://docs.google.com/spreadsheets/d/1GbCI"&amp;"E4D4wk9FUozzqk7SxfDMxDVBwVmI5zcaVUSzKAc/edit?usp=sharing"",""ประจวบคีรีขันธ์!Q604"")+IMPORTRANGE(""https://docs.google.com/spreadsheets/d/1vVf6wykvW_lAyu7Yo9L4hUTqHqIeP_qcVuxCtosJEbg/edit?usp=sharing"",""ปราจีนบุรี!Q604"")+IMPORTRANGE(""https://docs.googl"&amp;"e.com/spreadsheets/d/1BIDqLLg5jk3v59G8NlR8rk5xfQDKne0sAvZHSj7TI6I/edit?usp=sharing"",""พระนครศรีอยุธยา!Q604"")+IMPORTRANGE(""https://docs.google.com/spreadsheets/d/1YXvxf8Yu6_rV4hTBrwMqAcAnv6DfhUxh5emyM3CJp_w/edit?usp=sharing"",""เพชรบุรี!Q604"")+IMPORTRA"&amp;"NGE(""https://docs.google.com/spreadsheets/d/19KBlQQs7uwvsao6t2n-KvW3Ax8J8uRRfZPq1zPbXgKc/edit?usp=sharing"",""ระยอง!Q604"")+IMPORTRANGE(""https://docs.google.com/spreadsheets/d/1jQ6P4QcrGM89YfqcC_PxOHGCMq5ezhucwJd8ci-NHng/edit?usp=sharing"",""ราชบุรี!Q60"&amp;"4"")+IMPORTRANGE(""https://docs.google.com/spreadsheets/d/1lufeA2cfFqM-elVq2hznhDzC6Pr7wkJ9ZG_sYNGCMCU/edit?usp=sharing"",""ลพบุรี!Q604"")+IMPORTRANGE(""https://docs.google.com/spreadsheets/d/10oOiF7loTyfsTkbd4MpaIm0HQ9SwB7IYHdIUvt-U1Uc/edit?usp=sharing"""&amp;",""สระแก้ว!Q604"")+IMPORTRANGE(""https://docs.google.com/spreadsheets/d/1xmPlrr1QbdSIKvl1dWUl9K4PjAfSL9oeMr_37QVzcxc/edit?usp=sharing"",""สระบุรี!Q604"")+IMPORTRANGE(""https://docs.google.com/spreadsheets/d/1j51vR6CYVGhABJpv6tkstgok82RLpXieLzW1yOY5rHw/edi"&amp;"t?usp=sharing"",""สิงห์บุรี!Q604"")+IMPORTRANGE(""https://docs.google.com/spreadsheets/d/1H1EalTWKUSzO4Z1-1CwzoDUaVffgrThEBe2sl74kKG0/edit?usp=sharing"",""สุพรรณบุรี!Q604"")+IMPORTRANGE(""https://docs.google.com/spreadsheets/d/1BmIruG_sIrJLYao_Pdr7zVArWsf"&amp;"oBt2692TMi6x_854/edit?usp=sharing"",""อ่างทอง!Q604"")"),0)</f>
        <v>0</v>
      </c>
      <c r="R604" s="77">
        <f ca="1">IFERROR(__xludf.DUMMYFUNCTION("IMPORTRANGE(""https://docs.google.com/spreadsheets/d/13wPX838HrBrQMCywv1BsuMkt4PEKTChp52zj44s2izQ/edit?usp=sharing"",""กาญจนบุรี!R604"")+IMPORTRANGE(""https://docs.google.com/spreadsheets/d/1ddFKvqj1W1NEiWytbGlB1zMx_ykJDVtmfEQ-6-lIUBA/edit?usp=sharing"","&amp;"""จันทบุรี!R604"")+IMPORTRANGE(""https://docs.google.com/spreadsheets/d/1T1PQvRODqOBZk8BRht_U031fIS1beLA0Ub2CEytj2q0/edit?usp=sharing"",""ฉะเชิงเทรา!R604"")+IMPORTRANGE(""https://docs.google.com/spreadsheets/d/11tr1B-Bhyr79v2bkwVh5h_fR-PStkgjlZtkrZpYurG0/"&amp;"edit?usp=sharing"",""ชลบุรี!R604"")+IMPORTRANGE(""https://docs.google.com/spreadsheets/d/1hh-FVnSX0vozXhGluamEcS54Dw9_zqW0N7qJUWgJ0Sw/edit?usp=sharing"",""ชัยนาท!R604"")+IMPORTRANGE(""https://docs.google.com/spreadsheets/d/1jkqa6GXxSacMcY1eN8AHjMNJ_7dDXMJ"&amp;"VRLDlaFSOdPM/edit?usp=sharing"",""ตราด!R604"")+IMPORTRANGE(""https://docs.google.com/spreadsheets/d/18hSgUJ3VwClqi_qtULmmW3cLr0oe3OKaSYoKzdpTsYQ/edit?usp=sharing"",""นครนายก!R604"")+IMPORTRANGE(""https://docs.google.com/spreadsheets/d/1YTZo6WM2dQ6Ix6FSdnL"&amp;"5P7uVnVKu40sxZu975tgG10E/edit?usp=sharing"",""นครปฐม!R604"")+IMPORTRANGE(""https://docs.google.com/spreadsheets/d/1OYoGg4WDg5RIzwGeB10padOxJF9E_Vljuvvct_M7RDo/edit?usp=sharing"",""ปทุมธานี!R604"")+IMPORTRANGE(""https://docs.google.com/spreadsheets/d/1GbCI"&amp;"E4D4wk9FUozzqk7SxfDMxDVBwVmI5zcaVUSzKAc/edit?usp=sharing"",""ประจวบคีรีขันธ์!R604"")+IMPORTRANGE(""https://docs.google.com/spreadsheets/d/1vVf6wykvW_lAyu7Yo9L4hUTqHqIeP_qcVuxCtosJEbg/edit?usp=sharing"",""ปราจีนบุรี!R604"")+IMPORTRANGE(""https://docs.googl"&amp;"e.com/spreadsheets/d/1BIDqLLg5jk3v59G8NlR8rk5xfQDKne0sAvZHSj7TI6I/edit?usp=sharing"",""พระนครศรีอยุธยา!R604"")+IMPORTRANGE(""https://docs.google.com/spreadsheets/d/1YXvxf8Yu6_rV4hTBrwMqAcAnv6DfhUxh5emyM3CJp_w/edit?usp=sharing"",""เพชรบุรี!R604"")+IMPORTRA"&amp;"NGE(""https://docs.google.com/spreadsheets/d/19KBlQQs7uwvsao6t2n-KvW3Ax8J8uRRfZPq1zPbXgKc/edit?usp=sharing"",""ระยอง!R604"")+IMPORTRANGE(""https://docs.google.com/spreadsheets/d/1jQ6P4QcrGM89YfqcC_PxOHGCMq5ezhucwJd8ci-NHng/edit?usp=sharing"",""ราชบุรี!R60"&amp;"4"")+IMPORTRANGE(""https://docs.google.com/spreadsheets/d/1lufeA2cfFqM-elVq2hznhDzC6Pr7wkJ9ZG_sYNGCMCU/edit?usp=sharing"",""ลพบุรี!R604"")+IMPORTRANGE(""https://docs.google.com/spreadsheets/d/10oOiF7loTyfsTkbd4MpaIm0HQ9SwB7IYHdIUvt-U1Uc/edit?usp=sharing"""&amp;",""สระแก้ว!R604"")+IMPORTRANGE(""https://docs.google.com/spreadsheets/d/1xmPlrr1QbdSIKvl1dWUl9K4PjAfSL9oeMr_37QVzcxc/edit?usp=sharing"",""สระบุรี!R604"")+IMPORTRANGE(""https://docs.google.com/spreadsheets/d/1j51vR6CYVGhABJpv6tkstgok82RLpXieLzW1yOY5rHw/edi"&amp;"t?usp=sharing"",""สิงห์บุรี!R604"")+IMPORTRANGE(""https://docs.google.com/spreadsheets/d/1H1EalTWKUSzO4Z1-1CwzoDUaVffgrThEBe2sl74kKG0/edit?usp=sharing"",""สุพรรณบุรี!R604"")+IMPORTRANGE(""https://docs.google.com/spreadsheets/d/1BmIruG_sIrJLYao_Pdr7zVArWsf"&amp;"oBt2692TMi6x_854/edit?usp=sharing"",""อ่างทอง!R604"")"),0)</f>
        <v>0</v>
      </c>
      <c r="S604" s="77">
        <f ca="1">IFERROR(__xludf.DUMMYFUNCTION("IMPORTRANGE(""https://docs.google.com/spreadsheets/d/13wPX838HrBrQMCywv1BsuMkt4PEKTChp52zj44s2izQ/edit?usp=sharing"",""กาญจนบุรี!S604"")+IMPORTRANGE(""https://docs.google.com/spreadsheets/d/1ddFKvqj1W1NEiWytbGlB1zMx_ykJDVtmfEQ-6-lIUBA/edit?usp=sharing"","&amp;"""จันทบุรี!S604"")+IMPORTRANGE(""https://docs.google.com/spreadsheets/d/1T1PQvRODqOBZk8BRht_U031fIS1beLA0Ub2CEytj2q0/edit?usp=sharing"",""ฉะเชิงเทรา!S604"")+IMPORTRANGE(""https://docs.google.com/spreadsheets/d/11tr1B-Bhyr79v2bkwVh5h_fR-PStkgjlZtkrZpYurG0/"&amp;"edit?usp=sharing"",""ชลบุรี!S604"")+IMPORTRANGE(""https://docs.google.com/spreadsheets/d/1hh-FVnSX0vozXhGluamEcS54Dw9_zqW0N7qJUWgJ0Sw/edit?usp=sharing"",""ชัยนาท!S604"")+IMPORTRANGE(""https://docs.google.com/spreadsheets/d/1jkqa6GXxSacMcY1eN8AHjMNJ_7dDXMJ"&amp;"VRLDlaFSOdPM/edit?usp=sharing"",""ตราด!S604"")+IMPORTRANGE(""https://docs.google.com/spreadsheets/d/18hSgUJ3VwClqi_qtULmmW3cLr0oe3OKaSYoKzdpTsYQ/edit?usp=sharing"",""นครนายก!S604"")+IMPORTRANGE(""https://docs.google.com/spreadsheets/d/1YTZo6WM2dQ6Ix6FSdnL"&amp;"5P7uVnVKu40sxZu975tgG10E/edit?usp=sharing"",""นครปฐม!S604"")+IMPORTRANGE(""https://docs.google.com/spreadsheets/d/1OYoGg4WDg5RIzwGeB10padOxJF9E_Vljuvvct_M7RDo/edit?usp=sharing"",""ปทุมธานี!S604"")+IMPORTRANGE(""https://docs.google.com/spreadsheets/d/1GbCI"&amp;"E4D4wk9FUozzqk7SxfDMxDVBwVmI5zcaVUSzKAc/edit?usp=sharing"",""ประจวบคีรีขันธ์!S604"")+IMPORTRANGE(""https://docs.google.com/spreadsheets/d/1vVf6wykvW_lAyu7Yo9L4hUTqHqIeP_qcVuxCtosJEbg/edit?usp=sharing"",""ปราจีนบุรี!S604"")+IMPORTRANGE(""https://docs.googl"&amp;"e.com/spreadsheets/d/1BIDqLLg5jk3v59G8NlR8rk5xfQDKne0sAvZHSj7TI6I/edit?usp=sharing"",""พระนครศรีอยุธยา!S604"")+IMPORTRANGE(""https://docs.google.com/spreadsheets/d/1YXvxf8Yu6_rV4hTBrwMqAcAnv6DfhUxh5emyM3CJp_w/edit?usp=sharing"",""เพชรบุรี!S604"")+IMPORTRA"&amp;"NGE(""https://docs.google.com/spreadsheets/d/19KBlQQs7uwvsao6t2n-KvW3Ax8J8uRRfZPq1zPbXgKc/edit?usp=sharing"",""ระยอง!S604"")+IMPORTRANGE(""https://docs.google.com/spreadsheets/d/1jQ6P4QcrGM89YfqcC_PxOHGCMq5ezhucwJd8ci-NHng/edit?usp=sharing"",""ราชบุรี!S60"&amp;"4"")+IMPORTRANGE(""https://docs.google.com/spreadsheets/d/1lufeA2cfFqM-elVq2hznhDzC6Pr7wkJ9ZG_sYNGCMCU/edit?usp=sharing"",""ลพบุรี!S604"")+IMPORTRANGE(""https://docs.google.com/spreadsheets/d/10oOiF7loTyfsTkbd4MpaIm0HQ9SwB7IYHdIUvt-U1Uc/edit?usp=sharing"""&amp;",""สระแก้ว!S604"")+IMPORTRANGE(""https://docs.google.com/spreadsheets/d/1xmPlrr1QbdSIKvl1dWUl9K4PjAfSL9oeMr_37QVzcxc/edit?usp=sharing"",""สระบุรี!S604"")+IMPORTRANGE(""https://docs.google.com/spreadsheets/d/1j51vR6CYVGhABJpv6tkstgok82RLpXieLzW1yOY5rHw/edi"&amp;"t?usp=sharing"",""สิงห์บุรี!S604"")+IMPORTRANGE(""https://docs.google.com/spreadsheets/d/1H1EalTWKUSzO4Z1-1CwzoDUaVffgrThEBe2sl74kKG0/edit?usp=sharing"",""สุพรรณบุรี!S604"")+IMPORTRANGE(""https://docs.google.com/spreadsheets/d/1BmIruG_sIrJLYao_Pdr7zVArWsf"&amp;"oBt2692TMi6x_854/edit?usp=sharing"",""อ่างทอง!S604"")"),0)</f>
        <v>0</v>
      </c>
      <c r="T604" s="135">
        <f t="shared" ca="1" si="418"/>
        <v>0</v>
      </c>
      <c r="U604" s="135">
        <f t="shared" ca="1" si="419"/>
        <v>0</v>
      </c>
    </row>
    <row r="605" spans="1:21" ht="19.5" x14ac:dyDescent="0.3">
      <c r="A605" s="259"/>
      <c r="B605" s="271"/>
      <c r="C605" s="271"/>
      <c r="D605" s="685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7">
        <f t="shared" ref="L605:N605" ca="1" si="426">L606+L607</f>
        <v>0</v>
      </c>
      <c r="M605" s="77">
        <f t="shared" ca="1" si="426"/>
        <v>0</v>
      </c>
      <c r="N605" s="77">
        <f t="shared" ca="1" si="426"/>
        <v>0</v>
      </c>
      <c r="O605" s="77">
        <f t="shared" ca="1" si="415"/>
        <v>0</v>
      </c>
      <c r="P605" s="77">
        <f t="shared" ca="1" si="416"/>
        <v>0</v>
      </c>
      <c r="Q605" s="134">
        <f t="shared" ref="Q605:S605" ca="1" si="427">Q606+Q607</f>
        <v>0</v>
      </c>
      <c r="R605" s="135">
        <f t="shared" ca="1" si="427"/>
        <v>0</v>
      </c>
      <c r="S605" s="135">
        <f t="shared" ca="1" si="427"/>
        <v>0</v>
      </c>
      <c r="T605" s="135">
        <f t="shared" ca="1" si="418"/>
        <v>0</v>
      </c>
      <c r="U605" s="135">
        <f t="shared" ca="1" si="419"/>
        <v>0</v>
      </c>
    </row>
    <row r="606" spans="1:21" ht="18.75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80">
        <f ca="1">IFERROR(__xludf.DUMMYFUNCTION("IMPORTRANGE(""https://docs.google.com/spreadsheets/d/13wPX838HrBrQMCywv1BsuMkt4PEKTChp52zj44s2izQ/edit?usp=sharing"",""กาญจนบุรี!L606"")+IMPORTRANGE(""https://docs.google.com/spreadsheets/d/1ddFKvqj1W1NEiWytbGlB1zMx_ykJDVtmfEQ-6-lIUBA/edit?usp=sharing"","&amp;"""จันทบุรี!L606"")+IMPORTRANGE(""https://docs.google.com/spreadsheets/d/1T1PQvRODqOBZk8BRht_U031fIS1beLA0Ub2CEytj2q0/edit?usp=sharing"",""ฉะเชิงเทรา!L606"")+IMPORTRANGE(""https://docs.google.com/spreadsheets/d/11tr1B-Bhyr79v2bkwVh5h_fR-PStkgjlZtkrZpYurG0/"&amp;"edit?usp=sharing"",""ชลบุรี!L606"")+IMPORTRANGE(""https://docs.google.com/spreadsheets/d/1hh-FVnSX0vozXhGluamEcS54Dw9_zqW0N7qJUWgJ0Sw/edit?usp=sharing"",""ชัยนาท!L606"")+IMPORTRANGE(""https://docs.google.com/spreadsheets/d/1jkqa6GXxSacMcY1eN8AHjMNJ_7dDXMJ"&amp;"VRLDlaFSOdPM/edit?usp=sharing"",""ตราด!L606"")+IMPORTRANGE(""https://docs.google.com/spreadsheets/d/18hSgUJ3VwClqi_qtULmmW3cLr0oe3OKaSYoKzdpTsYQ/edit?usp=sharing"",""นครนายก!L606"")+IMPORTRANGE(""https://docs.google.com/spreadsheets/d/1YTZo6WM2dQ6Ix6FSdnL"&amp;"5P7uVnVKu40sxZu975tgG10E/edit?usp=sharing"",""นครปฐม!L606"")+IMPORTRANGE(""https://docs.google.com/spreadsheets/d/1OYoGg4WDg5RIzwGeB10padOxJF9E_Vljuvvct_M7RDo/edit?usp=sharing"",""ปทุมธานี!L606"")+IMPORTRANGE(""https://docs.google.com/spreadsheets/d/1GbCI"&amp;"E4D4wk9FUozzqk7SxfDMxDVBwVmI5zcaVUSzKAc/edit?usp=sharing"",""ประจวบคีรีขันธ์!L606"")+IMPORTRANGE(""https://docs.google.com/spreadsheets/d/1vVf6wykvW_lAyu7Yo9L4hUTqHqIeP_qcVuxCtosJEbg/edit?usp=sharing"",""ปราจีนบุรี!L606"")+IMPORTRANGE(""https://docs.googl"&amp;"e.com/spreadsheets/d/1BIDqLLg5jk3v59G8NlR8rk5xfQDKne0sAvZHSj7TI6I/edit?usp=sharing"",""พระนครศรีอยุธยา!L606"")+IMPORTRANGE(""https://docs.google.com/spreadsheets/d/1YXvxf8Yu6_rV4hTBrwMqAcAnv6DfhUxh5emyM3CJp_w/edit?usp=sharing"",""เพชรบุรี!L606"")+IMPORTRA"&amp;"NGE(""https://docs.google.com/spreadsheets/d/19KBlQQs7uwvsao6t2n-KvW3Ax8J8uRRfZPq1zPbXgKc/edit?usp=sharing"",""ระยอง!L606"")+IMPORTRANGE(""https://docs.google.com/spreadsheets/d/1jQ6P4QcrGM89YfqcC_PxOHGCMq5ezhucwJd8ci-NHng/edit?usp=sharing"",""ราชบุรี!L60"&amp;"6"")+IMPORTRANGE(""https://docs.google.com/spreadsheets/d/1lufeA2cfFqM-elVq2hznhDzC6Pr7wkJ9ZG_sYNGCMCU/edit?usp=sharing"",""ลพบุรี!L606"")+IMPORTRANGE(""https://docs.google.com/spreadsheets/d/10oOiF7loTyfsTkbd4MpaIm0HQ9SwB7IYHdIUvt-U1Uc/edit?usp=sharing"""&amp;",""สระแก้ว!L606"")+IMPORTRANGE(""https://docs.google.com/spreadsheets/d/1xmPlrr1QbdSIKvl1dWUl9K4PjAfSL9oeMr_37QVzcxc/edit?usp=sharing"",""สระบุรี!L606"")+IMPORTRANGE(""https://docs.google.com/spreadsheets/d/1j51vR6CYVGhABJpv6tkstgok82RLpXieLzW1yOY5rHw/edi"&amp;"t?usp=sharing"",""สิงห์บุรี!L606"")+IMPORTRANGE(""https://docs.google.com/spreadsheets/d/1H1EalTWKUSzO4Z1-1CwzoDUaVffgrThEBe2sl74kKG0/edit?usp=sharing"",""สุพรรณบุรี!L606"")+IMPORTRANGE(""https://docs.google.com/spreadsheets/d/1BmIruG_sIrJLYao_Pdr7zVArWsf"&amp;"oBt2692TMi6x_854/edit?usp=sharing"",""อ่างทอง!L606"")"),0)</f>
        <v>0</v>
      </c>
      <c r="M606" s="80">
        <f ca="1">IFERROR(__xludf.DUMMYFUNCTION("IMPORTRANGE(""https://docs.google.com/spreadsheets/d/13wPX838HrBrQMCywv1BsuMkt4PEKTChp52zj44s2izQ/edit?usp=sharing"",""กาญจนบุรี!M606"")+IMPORTRANGE(""https://docs.google.com/spreadsheets/d/1ddFKvqj1W1NEiWytbGlB1zMx_ykJDVtmfEQ-6-lIUBA/edit?usp=sharing"","&amp;"""จันทบุรี!M606"")+IMPORTRANGE(""https://docs.google.com/spreadsheets/d/1T1PQvRODqOBZk8BRht_U031fIS1beLA0Ub2CEytj2q0/edit?usp=sharing"",""ฉะเชิงเทรา!M606"")+IMPORTRANGE(""https://docs.google.com/spreadsheets/d/11tr1B-Bhyr79v2bkwVh5h_fR-PStkgjlZtkrZpYurG0/"&amp;"edit?usp=sharing"",""ชลบุรี!M606"")+IMPORTRANGE(""https://docs.google.com/spreadsheets/d/1hh-FVnSX0vozXhGluamEcS54Dw9_zqW0N7qJUWgJ0Sw/edit?usp=sharing"",""ชัยนาท!M606"")+IMPORTRANGE(""https://docs.google.com/spreadsheets/d/1jkqa6GXxSacMcY1eN8AHjMNJ_7dDXMJ"&amp;"VRLDlaFSOdPM/edit?usp=sharing"",""ตราด!M606"")+IMPORTRANGE(""https://docs.google.com/spreadsheets/d/18hSgUJ3VwClqi_qtULmmW3cLr0oe3OKaSYoKzdpTsYQ/edit?usp=sharing"",""นครนายก!M606"")+IMPORTRANGE(""https://docs.google.com/spreadsheets/d/1YTZo6WM2dQ6Ix6FSdnL"&amp;"5P7uVnVKu40sxZu975tgG10E/edit?usp=sharing"",""นครปฐม!M606"")+IMPORTRANGE(""https://docs.google.com/spreadsheets/d/1OYoGg4WDg5RIzwGeB10padOxJF9E_Vljuvvct_M7RDo/edit?usp=sharing"",""ปทุมธานี!M606"")+IMPORTRANGE(""https://docs.google.com/spreadsheets/d/1GbCI"&amp;"E4D4wk9FUozzqk7SxfDMxDVBwVmI5zcaVUSzKAc/edit?usp=sharing"",""ประจวบคีรีขันธ์!M606"")+IMPORTRANGE(""https://docs.google.com/spreadsheets/d/1vVf6wykvW_lAyu7Yo9L4hUTqHqIeP_qcVuxCtosJEbg/edit?usp=sharing"",""ปราจีนบุรี!M606"")+IMPORTRANGE(""https://docs.googl"&amp;"e.com/spreadsheets/d/1BIDqLLg5jk3v59G8NlR8rk5xfQDKne0sAvZHSj7TI6I/edit?usp=sharing"",""พระนครศรีอยุธยา!M606"")+IMPORTRANGE(""https://docs.google.com/spreadsheets/d/1YXvxf8Yu6_rV4hTBrwMqAcAnv6DfhUxh5emyM3CJp_w/edit?usp=sharing"",""เพชรบุรี!M606"")+IMPORTRA"&amp;"NGE(""https://docs.google.com/spreadsheets/d/19KBlQQs7uwvsao6t2n-KvW3Ax8J8uRRfZPq1zPbXgKc/edit?usp=sharing"",""ระยอง!M606"")+IMPORTRANGE(""https://docs.google.com/spreadsheets/d/1jQ6P4QcrGM89YfqcC_PxOHGCMq5ezhucwJd8ci-NHng/edit?usp=sharing"",""ราชบุรี!M60"&amp;"6"")+IMPORTRANGE(""https://docs.google.com/spreadsheets/d/1lufeA2cfFqM-elVq2hznhDzC6Pr7wkJ9ZG_sYNGCMCU/edit?usp=sharing"",""ลพบุรี!M606"")+IMPORTRANGE(""https://docs.google.com/spreadsheets/d/10oOiF7loTyfsTkbd4MpaIm0HQ9SwB7IYHdIUvt-U1Uc/edit?usp=sharing"""&amp;",""สระแก้ว!M606"")+IMPORTRANGE(""https://docs.google.com/spreadsheets/d/1xmPlrr1QbdSIKvl1dWUl9K4PjAfSL9oeMr_37QVzcxc/edit?usp=sharing"",""สระบุรี!M606"")+IMPORTRANGE(""https://docs.google.com/spreadsheets/d/1j51vR6CYVGhABJpv6tkstgok82RLpXieLzW1yOY5rHw/edi"&amp;"t?usp=sharing"",""สิงห์บุรี!M606"")+IMPORTRANGE(""https://docs.google.com/spreadsheets/d/1H1EalTWKUSzO4Z1-1CwzoDUaVffgrThEBe2sl74kKG0/edit?usp=sharing"",""สุพรรณบุรี!M606"")+IMPORTRANGE(""https://docs.google.com/spreadsheets/d/1BmIruG_sIrJLYao_Pdr7zVArWsf"&amp;"oBt2692TMi6x_854/edit?usp=sharing"",""อ่างทอง!M606"")"),0)</f>
        <v>0</v>
      </c>
      <c r="N606" s="80">
        <f ca="1">IFERROR(__xludf.DUMMYFUNCTION("IMPORTRANGE(""https://docs.google.com/spreadsheets/d/13wPX838HrBrQMCywv1BsuMkt4PEKTChp52zj44s2izQ/edit?usp=sharing"",""กาญจนบุรี!N606"")+IMPORTRANGE(""https://docs.google.com/spreadsheets/d/1ddFKvqj1W1NEiWytbGlB1zMx_ykJDVtmfEQ-6-lIUBA/edit?usp=sharing"","&amp;"""จันทบุรี!N606"")+IMPORTRANGE(""https://docs.google.com/spreadsheets/d/1T1PQvRODqOBZk8BRht_U031fIS1beLA0Ub2CEytj2q0/edit?usp=sharing"",""ฉะเชิงเทรา!N606"")+IMPORTRANGE(""https://docs.google.com/spreadsheets/d/11tr1B-Bhyr79v2bkwVh5h_fR-PStkgjlZtkrZpYurG0/"&amp;"edit?usp=sharing"",""ชลบุรี!N606"")+IMPORTRANGE(""https://docs.google.com/spreadsheets/d/1hh-FVnSX0vozXhGluamEcS54Dw9_zqW0N7qJUWgJ0Sw/edit?usp=sharing"",""ชัยนาท!N606"")+IMPORTRANGE(""https://docs.google.com/spreadsheets/d/1jkqa6GXxSacMcY1eN8AHjMNJ_7dDXMJ"&amp;"VRLDlaFSOdPM/edit?usp=sharing"",""ตราด!N606"")+IMPORTRANGE(""https://docs.google.com/spreadsheets/d/18hSgUJ3VwClqi_qtULmmW3cLr0oe3OKaSYoKzdpTsYQ/edit?usp=sharing"",""นครนายก!N606"")+IMPORTRANGE(""https://docs.google.com/spreadsheets/d/1YTZo6WM2dQ6Ix6FSdnL"&amp;"5P7uVnVKu40sxZu975tgG10E/edit?usp=sharing"",""นครปฐม!N606"")+IMPORTRANGE(""https://docs.google.com/spreadsheets/d/1OYoGg4WDg5RIzwGeB10padOxJF9E_Vljuvvct_M7RDo/edit?usp=sharing"",""ปทุมธานี!N606"")+IMPORTRANGE(""https://docs.google.com/spreadsheets/d/1GbCI"&amp;"E4D4wk9FUozzqk7SxfDMxDVBwVmI5zcaVUSzKAc/edit?usp=sharing"",""ประจวบคีรีขันธ์!N606"")+IMPORTRANGE(""https://docs.google.com/spreadsheets/d/1vVf6wykvW_lAyu7Yo9L4hUTqHqIeP_qcVuxCtosJEbg/edit?usp=sharing"",""ปราจีนบุรี!N606"")+IMPORTRANGE(""https://docs.googl"&amp;"e.com/spreadsheets/d/1BIDqLLg5jk3v59G8NlR8rk5xfQDKne0sAvZHSj7TI6I/edit?usp=sharing"",""พระนครศรีอยุธยา!N606"")+IMPORTRANGE(""https://docs.google.com/spreadsheets/d/1YXvxf8Yu6_rV4hTBrwMqAcAnv6DfhUxh5emyM3CJp_w/edit?usp=sharing"",""เพชรบุรี!N606"")+IMPORTRA"&amp;"NGE(""https://docs.google.com/spreadsheets/d/19KBlQQs7uwvsao6t2n-KvW3Ax8J8uRRfZPq1zPbXgKc/edit?usp=sharing"",""ระยอง!N606"")+IMPORTRANGE(""https://docs.google.com/spreadsheets/d/1jQ6P4QcrGM89YfqcC_PxOHGCMq5ezhucwJd8ci-NHng/edit?usp=sharing"",""ราชบุรี!N60"&amp;"6"")+IMPORTRANGE(""https://docs.google.com/spreadsheets/d/1lufeA2cfFqM-elVq2hznhDzC6Pr7wkJ9ZG_sYNGCMCU/edit?usp=sharing"",""ลพบุรี!N606"")+IMPORTRANGE(""https://docs.google.com/spreadsheets/d/10oOiF7loTyfsTkbd4MpaIm0HQ9SwB7IYHdIUvt-U1Uc/edit?usp=sharing"""&amp;",""สระแก้ว!N606"")+IMPORTRANGE(""https://docs.google.com/spreadsheets/d/1xmPlrr1QbdSIKvl1dWUl9K4PjAfSL9oeMr_37QVzcxc/edit?usp=sharing"",""สระบุรี!N606"")+IMPORTRANGE(""https://docs.google.com/spreadsheets/d/1j51vR6CYVGhABJpv6tkstgok82RLpXieLzW1yOY5rHw/edi"&amp;"t?usp=sharing"",""สิงห์บุรี!N606"")+IMPORTRANGE(""https://docs.google.com/spreadsheets/d/1H1EalTWKUSzO4Z1-1CwzoDUaVffgrThEBe2sl74kKG0/edit?usp=sharing"",""สุพรรณบุรี!N606"")+IMPORTRANGE(""https://docs.google.com/spreadsheets/d/1BmIruG_sIrJLYao_Pdr7zVArWsf"&amp;"oBt2692TMi6x_854/edit?usp=sharing"",""อ่างทอง!N606"")"),0)</f>
        <v>0</v>
      </c>
      <c r="O606" s="80">
        <f t="shared" ca="1" si="415"/>
        <v>0</v>
      </c>
      <c r="P606" s="80">
        <f t="shared" ca="1" si="416"/>
        <v>0</v>
      </c>
      <c r="Q606" s="79">
        <f ca="1">IFERROR(__xludf.DUMMYFUNCTION("IMPORTRANGE(""https://docs.google.com/spreadsheets/d/13wPX838HrBrQMCywv1BsuMkt4PEKTChp52zj44s2izQ/edit?usp=sharing"",""กาญจนบุรี!Q606"")+IMPORTRANGE(""https://docs.google.com/spreadsheets/d/1ddFKvqj1W1NEiWytbGlB1zMx_ykJDVtmfEQ-6-lIUBA/edit?usp=sharing"","&amp;"""จันทบุรี!Q606"")+IMPORTRANGE(""https://docs.google.com/spreadsheets/d/1T1PQvRODqOBZk8BRht_U031fIS1beLA0Ub2CEytj2q0/edit?usp=sharing"",""ฉะเชิงเทรา!Q606"")+IMPORTRANGE(""https://docs.google.com/spreadsheets/d/11tr1B-Bhyr79v2bkwVh5h_fR-PStkgjlZtkrZpYurG0/"&amp;"edit?usp=sharing"",""ชลบุรี!Q606"")+IMPORTRANGE(""https://docs.google.com/spreadsheets/d/1hh-FVnSX0vozXhGluamEcS54Dw9_zqW0N7qJUWgJ0Sw/edit?usp=sharing"",""ชัยนาท!Q606"")+IMPORTRANGE(""https://docs.google.com/spreadsheets/d/1jkqa6GXxSacMcY1eN8AHjMNJ_7dDXMJ"&amp;"VRLDlaFSOdPM/edit?usp=sharing"",""ตราด!Q606"")+IMPORTRANGE(""https://docs.google.com/spreadsheets/d/18hSgUJ3VwClqi_qtULmmW3cLr0oe3OKaSYoKzdpTsYQ/edit?usp=sharing"",""นครนายก!Q606"")+IMPORTRANGE(""https://docs.google.com/spreadsheets/d/1YTZo6WM2dQ6Ix6FSdnL"&amp;"5P7uVnVKu40sxZu975tgG10E/edit?usp=sharing"",""นครปฐม!Q606"")+IMPORTRANGE(""https://docs.google.com/spreadsheets/d/1OYoGg4WDg5RIzwGeB10padOxJF9E_Vljuvvct_M7RDo/edit?usp=sharing"",""ปทุมธานี!Q606"")+IMPORTRANGE(""https://docs.google.com/spreadsheets/d/1GbCI"&amp;"E4D4wk9FUozzqk7SxfDMxDVBwVmI5zcaVUSzKAc/edit?usp=sharing"",""ประจวบคีรีขันธ์!Q606"")+IMPORTRANGE(""https://docs.google.com/spreadsheets/d/1vVf6wykvW_lAyu7Yo9L4hUTqHqIeP_qcVuxCtosJEbg/edit?usp=sharing"",""ปราจีนบุรี!Q606"")+IMPORTRANGE(""https://docs.googl"&amp;"e.com/spreadsheets/d/1BIDqLLg5jk3v59G8NlR8rk5xfQDKne0sAvZHSj7TI6I/edit?usp=sharing"",""พระนครศรีอยุธยา!Q606"")+IMPORTRANGE(""https://docs.google.com/spreadsheets/d/1YXvxf8Yu6_rV4hTBrwMqAcAnv6DfhUxh5emyM3CJp_w/edit?usp=sharing"",""เพชรบุรี!Q606"")+IMPORTRA"&amp;"NGE(""https://docs.google.com/spreadsheets/d/19KBlQQs7uwvsao6t2n-KvW3Ax8J8uRRfZPq1zPbXgKc/edit?usp=sharing"",""ระยอง!Q606"")+IMPORTRANGE(""https://docs.google.com/spreadsheets/d/1jQ6P4QcrGM89YfqcC_PxOHGCMq5ezhucwJd8ci-NHng/edit?usp=sharing"",""ราชบุรี!Q60"&amp;"6"")+IMPORTRANGE(""https://docs.google.com/spreadsheets/d/1lufeA2cfFqM-elVq2hznhDzC6Pr7wkJ9ZG_sYNGCMCU/edit?usp=sharing"",""ลพบุรี!Q606"")+IMPORTRANGE(""https://docs.google.com/spreadsheets/d/10oOiF7loTyfsTkbd4MpaIm0HQ9SwB7IYHdIUvt-U1Uc/edit?usp=sharing"""&amp;",""สระแก้ว!Q606"")+IMPORTRANGE(""https://docs.google.com/spreadsheets/d/1xmPlrr1QbdSIKvl1dWUl9K4PjAfSL9oeMr_37QVzcxc/edit?usp=sharing"",""สระบุรี!Q606"")+IMPORTRANGE(""https://docs.google.com/spreadsheets/d/1j51vR6CYVGhABJpv6tkstgok82RLpXieLzW1yOY5rHw/edi"&amp;"t?usp=sharing"",""สิงห์บุรี!Q606"")+IMPORTRANGE(""https://docs.google.com/spreadsheets/d/1H1EalTWKUSzO4Z1-1CwzoDUaVffgrThEBe2sl74kKG0/edit?usp=sharing"",""สุพรรณบุรี!Q606"")+IMPORTRANGE(""https://docs.google.com/spreadsheets/d/1BmIruG_sIrJLYao_Pdr7zVArWsf"&amp;"oBt2692TMi6x_854/edit?usp=sharing"",""อ่างทอง!Q606"")"),0)</f>
        <v>0</v>
      </c>
      <c r="R606" s="80">
        <f ca="1">IFERROR(__xludf.DUMMYFUNCTION("IMPORTRANGE(""https://docs.google.com/spreadsheets/d/13wPX838HrBrQMCywv1BsuMkt4PEKTChp52zj44s2izQ/edit?usp=sharing"",""กาญจนบุรี!R606"")+IMPORTRANGE(""https://docs.google.com/spreadsheets/d/1ddFKvqj1W1NEiWytbGlB1zMx_ykJDVtmfEQ-6-lIUBA/edit?usp=sharing"","&amp;"""จันทบุรี!R606"")+IMPORTRANGE(""https://docs.google.com/spreadsheets/d/1T1PQvRODqOBZk8BRht_U031fIS1beLA0Ub2CEytj2q0/edit?usp=sharing"",""ฉะเชิงเทรา!R606"")+IMPORTRANGE(""https://docs.google.com/spreadsheets/d/11tr1B-Bhyr79v2bkwVh5h_fR-PStkgjlZtkrZpYurG0/"&amp;"edit?usp=sharing"",""ชลบุรี!R606"")+IMPORTRANGE(""https://docs.google.com/spreadsheets/d/1hh-FVnSX0vozXhGluamEcS54Dw9_zqW0N7qJUWgJ0Sw/edit?usp=sharing"",""ชัยนาท!R606"")+IMPORTRANGE(""https://docs.google.com/spreadsheets/d/1jkqa6GXxSacMcY1eN8AHjMNJ_7dDXMJ"&amp;"VRLDlaFSOdPM/edit?usp=sharing"",""ตราด!R606"")+IMPORTRANGE(""https://docs.google.com/spreadsheets/d/18hSgUJ3VwClqi_qtULmmW3cLr0oe3OKaSYoKzdpTsYQ/edit?usp=sharing"",""นครนายก!R606"")+IMPORTRANGE(""https://docs.google.com/spreadsheets/d/1YTZo6WM2dQ6Ix6FSdnL"&amp;"5P7uVnVKu40sxZu975tgG10E/edit?usp=sharing"",""นครปฐม!R606"")+IMPORTRANGE(""https://docs.google.com/spreadsheets/d/1OYoGg4WDg5RIzwGeB10padOxJF9E_Vljuvvct_M7RDo/edit?usp=sharing"",""ปทุมธานี!R606"")+IMPORTRANGE(""https://docs.google.com/spreadsheets/d/1GbCI"&amp;"E4D4wk9FUozzqk7SxfDMxDVBwVmI5zcaVUSzKAc/edit?usp=sharing"",""ประจวบคีรีขันธ์!R606"")+IMPORTRANGE(""https://docs.google.com/spreadsheets/d/1vVf6wykvW_lAyu7Yo9L4hUTqHqIeP_qcVuxCtosJEbg/edit?usp=sharing"",""ปราจีนบุรี!R606"")+IMPORTRANGE(""https://docs.googl"&amp;"e.com/spreadsheets/d/1BIDqLLg5jk3v59G8NlR8rk5xfQDKne0sAvZHSj7TI6I/edit?usp=sharing"",""พระนครศรีอยุธยา!R606"")+IMPORTRANGE(""https://docs.google.com/spreadsheets/d/1YXvxf8Yu6_rV4hTBrwMqAcAnv6DfhUxh5emyM3CJp_w/edit?usp=sharing"",""เพชรบุรี!R606"")+IMPORTRA"&amp;"NGE(""https://docs.google.com/spreadsheets/d/19KBlQQs7uwvsao6t2n-KvW3Ax8J8uRRfZPq1zPbXgKc/edit?usp=sharing"",""ระยอง!R606"")+IMPORTRANGE(""https://docs.google.com/spreadsheets/d/1jQ6P4QcrGM89YfqcC_PxOHGCMq5ezhucwJd8ci-NHng/edit?usp=sharing"",""ราชบุรี!R60"&amp;"6"")+IMPORTRANGE(""https://docs.google.com/spreadsheets/d/1lufeA2cfFqM-elVq2hznhDzC6Pr7wkJ9ZG_sYNGCMCU/edit?usp=sharing"",""ลพบุรี!R606"")+IMPORTRANGE(""https://docs.google.com/spreadsheets/d/10oOiF7loTyfsTkbd4MpaIm0HQ9SwB7IYHdIUvt-U1Uc/edit?usp=sharing"""&amp;",""สระแก้ว!R606"")+IMPORTRANGE(""https://docs.google.com/spreadsheets/d/1xmPlrr1QbdSIKvl1dWUl9K4PjAfSL9oeMr_37QVzcxc/edit?usp=sharing"",""สระบุรี!R606"")+IMPORTRANGE(""https://docs.google.com/spreadsheets/d/1j51vR6CYVGhABJpv6tkstgok82RLpXieLzW1yOY5rHw/edi"&amp;"t?usp=sharing"",""สิงห์บุรี!R606"")+IMPORTRANGE(""https://docs.google.com/spreadsheets/d/1H1EalTWKUSzO4Z1-1CwzoDUaVffgrThEBe2sl74kKG0/edit?usp=sharing"",""สุพรรณบุรี!R606"")+IMPORTRANGE(""https://docs.google.com/spreadsheets/d/1BmIruG_sIrJLYao_Pdr7zVArWsf"&amp;"oBt2692TMi6x_854/edit?usp=sharing"",""อ่างทอง!R606"")"),0)</f>
        <v>0</v>
      </c>
      <c r="S606" s="80">
        <f ca="1">IFERROR(__xludf.DUMMYFUNCTION("IMPORTRANGE(""https://docs.google.com/spreadsheets/d/13wPX838HrBrQMCywv1BsuMkt4PEKTChp52zj44s2izQ/edit?usp=sharing"",""กาญจนบุรี!S606"")+IMPORTRANGE(""https://docs.google.com/spreadsheets/d/1ddFKvqj1W1NEiWytbGlB1zMx_ykJDVtmfEQ-6-lIUBA/edit?usp=sharing"","&amp;"""จันทบุรี!S606"")+IMPORTRANGE(""https://docs.google.com/spreadsheets/d/1T1PQvRODqOBZk8BRht_U031fIS1beLA0Ub2CEytj2q0/edit?usp=sharing"",""ฉะเชิงเทรา!S606"")+IMPORTRANGE(""https://docs.google.com/spreadsheets/d/11tr1B-Bhyr79v2bkwVh5h_fR-PStkgjlZtkrZpYurG0/"&amp;"edit?usp=sharing"",""ชลบุรี!S606"")+IMPORTRANGE(""https://docs.google.com/spreadsheets/d/1hh-FVnSX0vozXhGluamEcS54Dw9_zqW0N7qJUWgJ0Sw/edit?usp=sharing"",""ชัยนาท!S606"")+IMPORTRANGE(""https://docs.google.com/spreadsheets/d/1jkqa6GXxSacMcY1eN8AHjMNJ_7dDXMJ"&amp;"VRLDlaFSOdPM/edit?usp=sharing"",""ตราด!S606"")+IMPORTRANGE(""https://docs.google.com/spreadsheets/d/18hSgUJ3VwClqi_qtULmmW3cLr0oe3OKaSYoKzdpTsYQ/edit?usp=sharing"",""นครนายก!S606"")+IMPORTRANGE(""https://docs.google.com/spreadsheets/d/1YTZo6WM2dQ6Ix6FSdnL"&amp;"5P7uVnVKu40sxZu975tgG10E/edit?usp=sharing"",""นครปฐม!S606"")+IMPORTRANGE(""https://docs.google.com/spreadsheets/d/1OYoGg4WDg5RIzwGeB10padOxJF9E_Vljuvvct_M7RDo/edit?usp=sharing"",""ปทุมธานี!S606"")+IMPORTRANGE(""https://docs.google.com/spreadsheets/d/1GbCI"&amp;"E4D4wk9FUozzqk7SxfDMxDVBwVmI5zcaVUSzKAc/edit?usp=sharing"",""ประจวบคีรีขันธ์!S606"")+IMPORTRANGE(""https://docs.google.com/spreadsheets/d/1vVf6wykvW_lAyu7Yo9L4hUTqHqIeP_qcVuxCtosJEbg/edit?usp=sharing"",""ปราจีนบุรี!S606"")+IMPORTRANGE(""https://docs.googl"&amp;"e.com/spreadsheets/d/1BIDqLLg5jk3v59G8NlR8rk5xfQDKne0sAvZHSj7TI6I/edit?usp=sharing"",""พระนครศรีอยุธยา!S606"")+IMPORTRANGE(""https://docs.google.com/spreadsheets/d/1YXvxf8Yu6_rV4hTBrwMqAcAnv6DfhUxh5emyM3CJp_w/edit?usp=sharing"",""เพชรบุรี!S606"")+IMPORTRA"&amp;"NGE(""https://docs.google.com/spreadsheets/d/19KBlQQs7uwvsao6t2n-KvW3Ax8J8uRRfZPq1zPbXgKc/edit?usp=sharing"",""ระยอง!S606"")+IMPORTRANGE(""https://docs.google.com/spreadsheets/d/1jQ6P4QcrGM89YfqcC_PxOHGCMq5ezhucwJd8ci-NHng/edit?usp=sharing"",""ราชบุรี!S60"&amp;"6"")+IMPORTRANGE(""https://docs.google.com/spreadsheets/d/1lufeA2cfFqM-elVq2hznhDzC6Pr7wkJ9ZG_sYNGCMCU/edit?usp=sharing"",""ลพบุรี!S606"")+IMPORTRANGE(""https://docs.google.com/spreadsheets/d/10oOiF7loTyfsTkbd4MpaIm0HQ9SwB7IYHdIUvt-U1Uc/edit?usp=sharing"""&amp;",""สระแก้ว!S606"")+IMPORTRANGE(""https://docs.google.com/spreadsheets/d/1xmPlrr1QbdSIKvl1dWUl9K4PjAfSL9oeMr_37QVzcxc/edit?usp=sharing"",""สระบุรี!S606"")+IMPORTRANGE(""https://docs.google.com/spreadsheets/d/1j51vR6CYVGhABJpv6tkstgok82RLpXieLzW1yOY5rHw/edi"&amp;"t?usp=sharing"",""สิงห์บุรี!S606"")+IMPORTRANGE(""https://docs.google.com/spreadsheets/d/1H1EalTWKUSzO4Z1-1CwzoDUaVffgrThEBe2sl74kKG0/edit?usp=sharing"",""สุพรรณบุรี!S606"")+IMPORTRANGE(""https://docs.google.com/spreadsheets/d/1BmIruG_sIrJLYao_Pdr7zVArWsf"&amp;"oBt2692TMi6x_854/edit?usp=sharing"",""อ่างทอง!S606"")"),0)</f>
        <v>0</v>
      </c>
      <c r="T606" s="136">
        <f t="shared" ca="1" si="418"/>
        <v>0</v>
      </c>
      <c r="U606" s="136">
        <f t="shared" ca="1" si="419"/>
        <v>0</v>
      </c>
    </row>
    <row r="607" spans="1:21" ht="18.75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7">
        <f ca="1">IFERROR(__xludf.DUMMYFUNCTION("IMPORTRANGE(""https://docs.google.com/spreadsheets/d/13wPX838HrBrQMCywv1BsuMkt4PEKTChp52zj44s2izQ/edit?usp=sharing"",""กาญจนบุรี!L607"")+IMPORTRANGE(""https://docs.google.com/spreadsheets/d/1ddFKvqj1W1NEiWytbGlB1zMx_ykJDVtmfEQ-6-lIUBA/edit?usp=sharing"","&amp;"""จันทบุรี!L607"")+IMPORTRANGE(""https://docs.google.com/spreadsheets/d/1T1PQvRODqOBZk8BRht_U031fIS1beLA0Ub2CEytj2q0/edit?usp=sharing"",""ฉะเชิงเทรา!L607"")+IMPORTRANGE(""https://docs.google.com/spreadsheets/d/11tr1B-Bhyr79v2bkwVh5h_fR-PStkgjlZtkrZpYurG0/"&amp;"edit?usp=sharing"",""ชลบุรี!L607"")+IMPORTRANGE(""https://docs.google.com/spreadsheets/d/1hh-FVnSX0vozXhGluamEcS54Dw9_zqW0N7qJUWgJ0Sw/edit?usp=sharing"",""ชัยนาท!L607"")+IMPORTRANGE(""https://docs.google.com/spreadsheets/d/1jkqa6GXxSacMcY1eN8AHjMNJ_7dDXMJ"&amp;"VRLDlaFSOdPM/edit?usp=sharing"",""ตราด!L607"")+IMPORTRANGE(""https://docs.google.com/spreadsheets/d/18hSgUJ3VwClqi_qtULmmW3cLr0oe3OKaSYoKzdpTsYQ/edit?usp=sharing"",""นครนายก!L607"")+IMPORTRANGE(""https://docs.google.com/spreadsheets/d/1YTZo6WM2dQ6Ix6FSdnL"&amp;"5P7uVnVKu40sxZu975tgG10E/edit?usp=sharing"",""นครปฐม!L607"")+IMPORTRANGE(""https://docs.google.com/spreadsheets/d/1OYoGg4WDg5RIzwGeB10padOxJF9E_Vljuvvct_M7RDo/edit?usp=sharing"",""ปทุมธานี!L607"")+IMPORTRANGE(""https://docs.google.com/spreadsheets/d/1GbCI"&amp;"E4D4wk9FUozzqk7SxfDMxDVBwVmI5zcaVUSzKAc/edit?usp=sharing"",""ประจวบคีรีขันธ์!L607"")+IMPORTRANGE(""https://docs.google.com/spreadsheets/d/1vVf6wykvW_lAyu7Yo9L4hUTqHqIeP_qcVuxCtosJEbg/edit?usp=sharing"",""ปราจีนบุรี!L607"")+IMPORTRANGE(""https://docs.googl"&amp;"e.com/spreadsheets/d/1BIDqLLg5jk3v59G8NlR8rk5xfQDKne0sAvZHSj7TI6I/edit?usp=sharing"",""พระนครศรีอยุธยา!L607"")+IMPORTRANGE(""https://docs.google.com/spreadsheets/d/1YXvxf8Yu6_rV4hTBrwMqAcAnv6DfhUxh5emyM3CJp_w/edit?usp=sharing"",""เพชรบุรี!L607"")+IMPORTRA"&amp;"NGE(""https://docs.google.com/spreadsheets/d/19KBlQQs7uwvsao6t2n-KvW3Ax8J8uRRfZPq1zPbXgKc/edit?usp=sharing"",""ระยอง!L607"")+IMPORTRANGE(""https://docs.google.com/spreadsheets/d/1jQ6P4QcrGM89YfqcC_PxOHGCMq5ezhucwJd8ci-NHng/edit?usp=sharing"",""ราชบุรี!L60"&amp;"7"")+IMPORTRANGE(""https://docs.google.com/spreadsheets/d/1lufeA2cfFqM-elVq2hznhDzC6Pr7wkJ9ZG_sYNGCMCU/edit?usp=sharing"",""ลพบุรี!L607"")+IMPORTRANGE(""https://docs.google.com/spreadsheets/d/10oOiF7loTyfsTkbd4MpaIm0HQ9SwB7IYHdIUvt-U1Uc/edit?usp=sharing"""&amp;",""สระแก้ว!L607"")+IMPORTRANGE(""https://docs.google.com/spreadsheets/d/1xmPlrr1QbdSIKvl1dWUl9K4PjAfSL9oeMr_37QVzcxc/edit?usp=sharing"",""สระบุรี!L607"")+IMPORTRANGE(""https://docs.google.com/spreadsheets/d/1j51vR6CYVGhABJpv6tkstgok82RLpXieLzW1yOY5rHw/edi"&amp;"t?usp=sharing"",""สิงห์บุรี!L607"")+IMPORTRANGE(""https://docs.google.com/spreadsheets/d/1H1EalTWKUSzO4Z1-1CwzoDUaVffgrThEBe2sl74kKG0/edit?usp=sharing"",""สุพรรณบุรี!L607"")+IMPORTRANGE(""https://docs.google.com/spreadsheets/d/1BmIruG_sIrJLYao_Pdr7zVArWsf"&amp;"oBt2692TMi6x_854/edit?usp=sharing"",""อ่างทอง!L607"")"),0)</f>
        <v>0</v>
      </c>
      <c r="M607" s="77">
        <f ca="1">IFERROR(__xludf.DUMMYFUNCTION("IMPORTRANGE(""https://docs.google.com/spreadsheets/d/13wPX838HrBrQMCywv1BsuMkt4PEKTChp52zj44s2izQ/edit?usp=sharing"",""กาญจนบุรี!M607"")+IMPORTRANGE(""https://docs.google.com/spreadsheets/d/1ddFKvqj1W1NEiWytbGlB1zMx_ykJDVtmfEQ-6-lIUBA/edit?usp=sharing"","&amp;"""จันทบุรี!M607"")+IMPORTRANGE(""https://docs.google.com/spreadsheets/d/1T1PQvRODqOBZk8BRht_U031fIS1beLA0Ub2CEytj2q0/edit?usp=sharing"",""ฉะเชิงเทรา!M607"")+IMPORTRANGE(""https://docs.google.com/spreadsheets/d/11tr1B-Bhyr79v2bkwVh5h_fR-PStkgjlZtkrZpYurG0/"&amp;"edit?usp=sharing"",""ชลบุรี!M607"")+IMPORTRANGE(""https://docs.google.com/spreadsheets/d/1hh-FVnSX0vozXhGluamEcS54Dw9_zqW0N7qJUWgJ0Sw/edit?usp=sharing"",""ชัยนาท!M607"")+IMPORTRANGE(""https://docs.google.com/spreadsheets/d/1jkqa6GXxSacMcY1eN8AHjMNJ_7dDXMJ"&amp;"VRLDlaFSOdPM/edit?usp=sharing"",""ตราด!M607"")+IMPORTRANGE(""https://docs.google.com/spreadsheets/d/18hSgUJ3VwClqi_qtULmmW3cLr0oe3OKaSYoKzdpTsYQ/edit?usp=sharing"",""นครนายก!M607"")+IMPORTRANGE(""https://docs.google.com/spreadsheets/d/1YTZo6WM2dQ6Ix6FSdnL"&amp;"5P7uVnVKu40sxZu975tgG10E/edit?usp=sharing"",""นครปฐม!M607"")+IMPORTRANGE(""https://docs.google.com/spreadsheets/d/1OYoGg4WDg5RIzwGeB10padOxJF9E_Vljuvvct_M7RDo/edit?usp=sharing"",""ปทุมธานี!M607"")+IMPORTRANGE(""https://docs.google.com/spreadsheets/d/1GbCI"&amp;"E4D4wk9FUozzqk7SxfDMxDVBwVmI5zcaVUSzKAc/edit?usp=sharing"",""ประจวบคีรีขันธ์!M607"")+IMPORTRANGE(""https://docs.google.com/spreadsheets/d/1vVf6wykvW_lAyu7Yo9L4hUTqHqIeP_qcVuxCtosJEbg/edit?usp=sharing"",""ปราจีนบุรี!M607"")+IMPORTRANGE(""https://docs.googl"&amp;"e.com/spreadsheets/d/1BIDqLLg5jk3v59G8NlR8rk5xfQDKne0sAvZHSj7TI6I/edit?usp=sharing"",""พระนครศรีอยุธยา!M607"")+IMPORTRANGE(""https://docs.google.com/spreadsheets/d/1YXvxf8Yu6_rV4hTBrwMqAcAnv6DfhUxh5emyM3CJp_w/edit?usp=sharing"",""เพชรบุรี!M607"")+IMPORTRA"&amp;"NGE(""https://docs.google.com/spreadsheets/d/19KBlQQs7uwvsao6t2n-KvW3Ax8J8uRRfZPq1zPbXgKc/edit?usp=sharing"",""ระยอง!M607"")+IMPORTRANGE(""https://docs.google.com/spreadsheets/d/1jQ6P4QcrGM89YfqcC_PxOHGCMq5ezhucwJd8ci-NHng/edit?usp=sharing"",""ราชบุรี!M60"&amp;"7"")+IMPORTRANGE(""https://docs.google.com/spreadsheets/d/1lufeA2cfFqM-elVq2hznhDzC6Pr7wkJ9ZG_sYNGCMCU/edit?usp=sharing"",""ลพบุรี!M607"")+IMPORTRANGE(""https://docs.google.com/spreadsheets/d/10oOiF7loTyfsTkbd4MpaIm0HQ9SwB7IYHdIUvt-U1Uc/edit?usp=sharing"""&amp;",""สระแก้ว!M607"")+IMPORTRANGE(""https://docs.google.com/spreadsheets/d/1xmPlrr1QbdSIKvl1dWUl9K4PjAfSL9oeMr_37QVzcxc/edit?usp=sharing"",""สระบุรี!M607"")+IMPORTRANGE(""https://docs.google.com/spreadsheets/d/1j51vR6CYVGhABJpv6tkstgok82RLpXieLzW1yOY5rHw/edi"&amp;"t?usp=sharing"",""สิงห์บุรี!M607"")+IMPORTRANGE(""https://docs.google.com/spreadsheets/d/1H1EalTWKUSzO4Z1-1CwzoDUaVffgrThEBe2sl74kKG0/edit?usp=sharing"",""สุพรรณบุรี!M607"")+IMPORTRANGE(""https://docs.google.com/spreadsheets/d/1BmIruG_sIrJLYao_Pdr7zVArWsf"&amp;"oBt2692TMi6x_854/edit?usp=sharing"",""อ่างทอง!M607"")"),0)</f>
        <v>0</v>
      </c>
      <c r="N607" s="77">
        <f ca="1">IFERROR(__xludf.DUMMYFUNCTION("IMPORTRANGE(""https://docs.google.com/spreadsheets/d/13wPX838HrBrQMCywv1BsuMkt4PEKTChp52zj44s2izQ/edit?usp=sharing"",""กาญจนบุรี!N607"")+IMPORTRANGE(""https://docs.google.com/spreadsheets/d/1ddFKvqj1W1NEiWytbGlB1zMx_ykJDVtmfEQ-6-lIUBA/edit?usp=sharing"","&amp;"""จันทบุรี!N607"")+IMPORTRANGE(""https://docs.google.com/spreadsheets/d/1T1PQvRODqOBZk8BRht_U031fIS1beLA0Ub2CEytj2q0/edit?usp=sharing"",""ฉะเชิงเทรา!N607"")+IMPORTRANGE(""https://docs.google.com/spreadsheets/d/11tr1B-Bhyr79v2bkwVh5h_fR-PStkgjlZtkrZpYurG0/"&amp;"edit?usp=sharing"",""ชลบุรี!N607"")+IMPORTRANGE(""https://docs.google.com/spreadsheets/d/1hh-FVnSX0vozXhGluamEcS54Dw9_zqW0N7qJUWgJ0Sw/edit?usp=sharing"",""ชัยนาท!N607"")+IMPORTRANGE(""https://docs.google.com/spreadsheets/d/1jkqa6GXxSacMcY1eN8AHjMNJ_7dDXMJ"&amp;"VRLDlaFSOdPM/edit?usp=sharing"",""ตราด!N607"")+IMPORTRANGE(""https://docs.google.com/spreadsheets/d/18hSgUJ3VwClqi_qtULmmW3cLr0oe3OKaSYoKzdpTsYQ/edit?usp=sharing"",""นครนายก!N607"")+IMPORTRANGE(""https://docs.google.com/spreadsheets/d/1YTZo6WM2dQ6Ix6FSdnL"&amp;"5P7uVnVKu40sxZu975tgG10E/edit?usp=sharing"",""นครปฐม!N607"")+IMPORTRANGE(""https://docs.google.com/spreadsheets/d/1OYoGg4WDg5RIzwGeB10padOxJF9E_Vljuvvct_M7RDo/edit?usp=sharing"",""ปทุมธานี!N607"")+IMPORTRANGE(""https://docs.google.com/spreadsheets/d/1GbCI"&amp;"E4D4wk9FUozzqk7SxfDMxDVBwVmI5zcaVUSzKAc/edit?usp=sharing"",""ประจวบคีรีขันธ์!N607"")+IMPORTRANGE(""https://docs.google.com/spreadsheets/d/1vVf6wykvW_lAyu7Yo9L4hUTqHqIeP_qcVuxCtosJEbg/edit?usp=sharing"",""ปราจีนบุรี!N607"")+IMPORTRANGE(""https://docs.googl"&amp;"e.com/spreadsheets/d/1BIDqLLg5jk3v59G8NlR8rk5xfQDKne0sAvZHSj7TI6I/edit?usp=sharing"",""พระนครศรีอยุธยา!N607"")+IMPORTRANGE(""https://docs.google.com/spreadsheets/d/1YXvxf8Yu6_rV4hTBrwMqAcAnv6DfhUxh5emyM3CJp_w/edit?usp=sharing"",""เพชรบุรี!N607"")+IMPORTRA"&amp;"NGE(""https://docs.google.com/spreadsheets/d/19KBlQQs7uwvsao6t2n-KvW3Ax8J8uRRfZPq1zPbXgKc/edit?usp=sharing"",""ระยอง!N607"")+IMPORTRANGE(""https://docs.google.com/spreadsheets/d/1jQ6P4QcrGM89YfqcC_PxOHGCMq5ezhucwJd8ci-NHng/edit?usp=sharing"",""ราชบุรี!N60"&amp;"7"")+IMPORTRANGE(""https://docs.google.com/spreadsheets/d/1lufeA2cfFqM-elVq2hznhDzC6Pr7wkJ9ZG_sYNGCMCU/edit?usp=sharing"",""ลพบุรี!N607"")+IMPORTRANGE(""https://docs.google.com/spreadsheets/d/10oOiF7loTyfsTkbd4MpaIm0HQ9SwB7IYHdIUvt-U1Uc/edit?usp=sharing"""&amp;",""สระแก้ว!N607"")+IMPORTRANGE(""https://docs.google.com/spreadsheets/d/1xmPlrr1QbdSIKvl1dWUl9K4PjAfSL9oeMr_37QVzcxc/edit?usp=sharing"",""สระบุรี!N607"")+IMPORTRANGE(""https://docs.google.com/spreadsheets/d/1j51vR6CYVGhABJpv6tkstgok82RLpXieLzW1yOY5rHw/edi"&amp;"t?usp=sharing"",""สิงห์บุรี!N607"")+IMPORTRANGE(""https://docs.google.com/spreadsheets/d/1H1EalTWKUSzO4Z1-1CwzoDUaVffgrThEBe2sl74kKG0/edit?usp=sharing"",""สุพรรณบุรี!N607"")+IMPORTRANGE(""https://docs.google.com/spreadsheets/d/1BmIruG_sIrJLYao_Pdr7zVArWsf"&amp;"oBt2692TMi6x_854/edit?usp=sharing"",""อ่างทอง!N607"")"),0)</f>
        <v>0</v>
      </c>
      <c r="O607" s="77">
        <f t="shared" ca="1" si="415"/>
        <v>0</v>
      </c>
      <c r="P607" s="77">
        <f t="shared" ca="1" si="416"/>
        <v>0</v>
      </c>
      <c r="Q607" s="76">
        <f ca="1">IFERROR(__xludf.DUMMYFUNCTION("IMPORTRANGE(""https://docs.google.com/spreadsheets/d/13wPX838HrBrQMCywv1BsuMkt4PEKTChp52zj44s2izQ/edit?usp=sharing"",""กาญจนบุรี!Q607"")+IMPORTRANGE(""https://docs.google.com/spreadsheets/d/1ddFKvqj1W1NEiWytbGlB1zMx_ykJDVtmfEQ-6-lIUBA/edit?usp=sharing"","&amp;"""จันทบุรี!Q607"")+IMPORTRANGE(""https://docs.google.com/spreadsheets/d/1T1PQvRODqOBZk8BRht_U031fIS1beLA0Ub2CEytj2q0/edit?usp=sharing"",""ฉะเชิงเทรา!Q607"")+IMPORTRANGE(""https://docs.google.com/spreadsheets/d/11tr1B-Bhyr79v2bkwVh5h_fR-PStkgjlZtkrZpYurG0/"&amp;"edit?usp=sharing"",""ชลบุรี!Q607"")+IMPORTRANGE(""https://docs.google.com/spreadsheets/d/1hh-FVnSX0vozXhGluamEcS54Dw9_zqW0N7qJUWgJ0Sw/edit?usp=sharing"",""ชัยนาท!Q607"")+IMPORTRANGE(""https://docs.google.com/spreadsheets/d/1jkqa6GXxSacMcY1eN8AHjMNJ_7dDXMJ"&amp;"VRLDlaFSOdPM/edit?usp=sharing"",""ตราด!Q607"")+IMPORTRANGE(""https://docs.google.com/spreadsheets/d/18hSgUJ3VwClqi_qtULmmW3cLr0oe3OKaSYoKzdpTsYQ/edit?usp=sharing"",""นครนายก!Q607"")+IMPORTRANGE(""https://docs.google.com/spreadsheets/d/1YTZo6WM2dQ6Ix6FSdnL"&amp;"5P7uVnVKu40sxZu975tgG10E/edit?usp=sharing"",""นครปฐม!Q607"")+IMPORTRANGE(""https://docs.google.com/spreadsheets/d/1OYoGg4WDg5RIzwGeB10padOxJF9E_Vljuvvct_M7RDo/edit?usp=sharing"",""ปทุมธานี!Q607"")+IMPORTRANGE(""https://docs.google.com/spreadsheets/d/1GbCI"&amp;"E4D4wk9FUozzqk7SxfDMxDVBwVmI5zcaVUSzKAc/edit?usp=sharing"",""ประจวบคีรีขันธ์!Q607"")+IMPORTRANGE(""https://docs.google.com/spreadsheets/d/1vVf6wykvW_lAyu7Yo9L4hUTqHqIeP_qcVuxCtosJEbg/edit?usp=sharing"",""ปราจีนบุรี!Q607"")+IMPORTRANGE(""https://docs.googl"&amp;"e.com/spreadsheets/d/1BIDqLLg5jk3v59G8NlR8rk5xfQDKne0sAvZHSj7TI6I/edit?usp=sharing"",""พระนครศรีอยุธยา!Q607"")+IMPORTRANGE(""https://docs.google.com/spreadsheets/d/1YXvxf8Yu6_rV4hTBrwMqAcAnv6DfhUxh5emyM3CJp_w/edit?usp=sharing"",""เพชรบุรี!Q607"")+IMPORTRA"&amp;"NGE(""https://docs.google.com/spreadsheets/d/19KBlQQs7uwvsao6t2n-KvW3Ax8J8uRRfZPq1zPbXgKc/edit?usp=sharing"",""ระยอง!Q607"")+IMPORTRANGE(""https://docs.google.com/spreadsheets/d/1jQ6P4QcrGM89YfqcC_PxOHGCMq5ezhucwJd8ci-NHng/edit?usp=sharing"",""ราชบุรี!Q60"&amp;"7"")+IMPORTRANGE(""https://docs.google.com/spreadsheets/d/1lufeA2cfFqM-elVq2hznhDzC6Pr7wkJ9ZG_sYNGCMCU/edit?usp=sharing"",""ลพบุรี!Q607"")+IMPORTRANGE(""https://docs.google.com/spreadsheets/d/10oOiF7loTyfsTkbd4MpaIm0HQ9SwB7IYHdIUvt-U1Uc/edit?usp=sharing"""&amp;",""สระแก้ว!Q607"")+IMPORTRANGE(""https://docs.google.com/spreadsheets/d/1xmPlrr1QbdSIKvl1dWUl9K4PjAfSL9oeMr_37QVzcxc/edit?usp=sharing"",""สระบุรี!Q607"")+IMPORTRANGE(""https://docs.google.com/spreadsheets/d/1j51vR6CYVGhABJpv6tkstgok82RLpXieLzW1yOY5rHw/edi"&amp;"t?usp=sharing"",""สิงห์บุรี!Q607"")+IMPORTRANGE(""https://docs.google.com/spreadsheets/d/1H1EalTWKUSzO4Z1-1CwzoDUaVffgrThEBe2sl74kKG0/edit?usp=sharing"",""สุพรรณบุรี!Q607"")+IMPORTRANGE(""https://docs.google.com/spreadsheets/d/1BmIruG_sIrJLYao_Pdr7zVArWsf"&amp;"oBt2692TMi6x_854/edit?usp=sharing"",""อ่างทอง!Q607"")"),0)</f>
        <v>0</v>
      </c>
      <c r="R607" s="77">
        <f ca="1">IFERROR(__xludf.DUMMYFUNCTION("IMPORTRANGE(""https://docs.google.com/spreadsheets/d/13wPX838HrBrQMCywv1BsuMkt4PEKTChp52zj44s2izQ/edit?usp=sharing"",""กาญจนบุรี!R607"")+IMPORTRANGE(""https://docs.google.com/spreadsheets/d/1ddFKvqj1W1NEiWytbGlB1zMx_ykJDVtmfEQ-6-lIUBA/edit?usp=sharing"","&amp;"""จันทบุรี!R607"")+IMPORTRANGE(""https://docs.google.com/spreadsheets/d/1T1PQvRODqOBZk8BRht_U031fIS1beLA0Ub2CEytj2q0/edit?usp=sharing"",""ฉะเชิงเทรา!R607"")+IMPORTRANGE(""https://docs.google.com/spreadsheets/d/11tr1B-Bhyr79v2bkwVh5h_fR-PStkgjlZtkrZpYurG0/"&amp;"edit?usp=sharing"",""ชลบุรี!R607"")+IMPORTRANGE(""https://docs.google.com/spreadsheets/d/1hh-FVnSX0vozXhGluamEcS54Dw9_zqW0N7qJUWgJ0Sw/edit?usp=sharing"",""ชัยนาท!R607"")+IMPORTRANGE(""https://docs.google.com/spreadsheets/d/1jkqa6GXxSacMcY1eN8AHjMNJ_7dDXMJ"&amp;"VRLDlaFSOdPM/edit?usp=sharing"",""ตราด!R607"")+IMPORTRANGE(""https://docs.google.com/spreadsheets/d/18hSgUJ3VwClqi_qtULmmW3cLr0oe3OKaSYoKzdpTsYQ/edit?usp=sharing"",""นครนายก!R607"")+IMPORTRANGE(""https://docs.google.com/spreadsheets/d/1YTZo6WM2dQ6Ix6FSdnL"&amp;"5P7uVnVKu40sxZu975tgG10E/edit?usp=sharing"",""นครปฐม!R607"")+IMPORTRANGE(""https://docs.google.com/spreadsheets/d/1OYoGg4WDg5RIzwGeB10padOxJF9E_Vljuvvct_M7RDo/edit?usp=sharing"",""ปทุมธานี!R607"")+IMPORTRANGE(""https://docs.google.com/spreadsheets/d/1GbCI"&amp;"E4D4wk9FUozzqk7SxfDMxDVBwVmI5zcaVUSzKAc/edit?usp=sharing"",""ประจวบคีรีขันธ์!R607"")+IMPORTRANGE(""https://docs.google.com/spreadsheets/d/1vVf6wykvW_lAyu7Yo9L4hUTqHqIeP_qcVuxCtosJEbg/edit?usp=sharing"",""ปราจีนบุรี!R607"")+IMPORTRANGE(""https://docs.googl"&amp;"e.com/spreadsheets/d/1BIDqLLg5jk3v59G8NlR8rk5xfQDKne0sAvZHSj7TI6I/edit?usp=sharing"",""พระนครศรีอยุธยา!R607"")+IMPORTRANGE(""https://docs.google.com/spreadsheets/d/1YXvxf8Yu6_rV4hTBrwMqAcAnv6DfhUxh5emyM3CJp_w/edit?usp=sharing"",""เพชรบุรี!R607"")+IMPORTRA"&amp;"NGE(""https://docs.google.com/spreadsheets/d/19KBlQQs7uwvsao6t2n-KvW3Ax8J8uRRfZPq1zPbXgKc/edit?usp=sharing"",""ระยอง!R607"")+IMPORTRANGE(""https://docs.google.com/spreadsheets/d/1jQ6P4QcrGM89YfqcC_PxOHGCMq5ezhucwJd8ci-NHng/edit?usp=sharing"",""ราชบุรี!R60"&amp;"7"")+IMPORTRANGE(""https://docs.google.com/spreadsheets/d/1lufeA2cfFqM-elVq2hznhDzC6Pr7wkJ9ZG_sYNGCMCU/edit?usp=sharing"",""ลพบุรี!R607"")+IMPORTRANGE(""https://docs.google.com/spreadsheets/d/10oOiF7loTyfsTkbd4MpaIm0HQ9SwB7IYHdIUvt-U1Uc/edit?usp=sharing"""&amp;",""สระแก้ว!R607"")+IMPORTRANGE(""https://docs.google.com/spreadsheets/d/1xmPlrr1QbdSIKvl1dWUl9K4PjAfSL9oeMr_37QVzcxc/edit?usp=sharing"",""สระบุรี!R607"")+IMPORTRANGE(""https://docs.google.com/spreadsheets/d/1j51vR6CYVGhABJpv6tkstgok82RLpXieLzW1yOY5rHw/edi"&amp;"t?usp=sharing"",""สิงห์บุรี!R607"")+IMPORTRANGE(""https://docs.google.com/spreadsheets/d/1H1EalTWKUSzO4Z1-1CwzoDUaVffgrThEBe2sl74kKG0/edit?usp=sharing"",""สุพรรณบุรี!R607"")+IMPORTRANGE(""https://docs.google.com/spreadsheets/d/1BmIruG_sIrJLYao_Pdr7zVArWsf"&amp;"oBt2692TMi6x_854/edit?usp=sharing"",""อ่างทอง!R607"")"),0)</f>
        <v>0</v>
      </c>
      <c r="S607" s="77">
        <f ca="1">IFERROR(__xludf.DUMMYFUNCTION("IMPORTRANGE(""https://docs.google.com/spreadsheets/d/13wPX838HrBrQMCywv1BsuMkt4PEKTChp52zj44s2izQ/edit?usp=sharing"",""กาญจนบุรี!S607"")+IMPORTRANGE(""https://docs.google.com/spreadsheets/d/1ddFKvqj1W1NEiWytbGlB1zMx_ykJDVtmfEQ-6-lIUBA/edit?usp=sharing"","&amp;"""จันทบุรี!S607"")+IMPORTRANGE(""https://docs.google.com/spreadsheets/d/1T1PQvRODqOBZk8BRht_U031fIS1beLA0Ub2CEytj2q0/edit?usp=sharing"",""ฉะเชิงเทรา!S607"")+IMPORTRANGE(""https://docs.google.com/spreadsheets/d/11tr1B-Bhyr79v2bkwVh5h_fR-PStkgjlZtkrZpYurG0/"&amp;"edit?usp=sharing"",""ชลบุรี!S607"")+IMPORTRANGE(""https://docs.google.com/spreadsheets/d/1hh-FVnSX0vozXhGluamEcS54Dw9_zqW0N7qJUWgJ0Sw/edit?usp=sharing"",""ชัยนาท!S607"")+IMPORTRANGE(""https://docs.google.com/spreadsheets/d/1jkqa6GXxSacMcY1eN8AHjMNJ_7dDXMJ"&amp;"VRLDlaFSOdPM/edit?usp=sharing"",""ตราด!S607"")+IMPORTRANGE(""https://docs.google.com/spreadsheets/d/18hSgUJ3VwClqi_qtULmmW3cLr0oe3OKaSYoKzdpTsYQ/edit?usp=sharing"",""นครนายก!S607"")+IMPORTRANGE(""https://docs.google.com/spreadsheets/d/1YTZo6WM2dQ6Ix6FSdnL"&amp;"5P7uVnVKu40sxZu975tgG10E/edit?usp=sharing"",""นครปฐม!S607"")+IMPORTRANGE(""https://docs.google.com/spreadsheets/d/1OYoGg4WDg5RIzwGeB10padOxJF9E_Vljuvvct_M7RDo/edit?usp=sharing"",""ปทุมธานี!S607"")+IMPORTRANGE(""https://docs.google.com/spreadsheets/d/1GbCI"&amp;"E4D4wk9FUozzqk7SxfDMxDVBwVmI5zcaVUSzKAc/edit?usp=sharing"",""ประจวบคีรีขันธ์!S607"")+IMPORTRANGE(""https://docs.google.com/spreadsheets/d/1vVf6wykvW_lAyu7Yo9L4hUTqHqIeP_qcVuxCtosJEbg/edit?usp=sharing"",""ปราจีนบุรี!S607"")+IMPORTRANGE(""https://docs.googl"&amp;"e.com/spreadsheets/d/1BIDqLLg5jk3v59G8NlR8rk5xfQDKne0sAvZHSj7TI6I/edit?usp=sharing"",""พระนครศรีอยุธยา!S607"")+IMPORTRANGE(""https://docs.google.com/spreadsheets/d/1YXvxf8Yu6_rV4hTBrwMqAcAnv6DfhUxh5emyM3CJp_w/edit?usp=sharing"",""เพชรบุรี!S607"")+IMPORTRA"&amp;"NGE(""https://docs.google.com/spreadsheets/d/19KBlQQs7uwvsao6t2n-KvW3Ax8J8uRRfZPq1zPbXgKc/edit?usp=sharing"",""ระยอง!S607"")+IMPORTRANGE(""https://docs.google.com/spreadsheets/d/1jQ6P4QcrGM89YfqcC_PxOHGCMq5ezhucwJd8ci-NHng/edit?usp=sharing"",""ราชบุรี!S60"&amp;"7"")+IMPORTRANGE(""https://docs.google.com/spreadsheets/d/1lufeA2cfFqM-elVq2hznhDzC6Pr7wkJ9ZG_sYNGCMCU/edit?usp=sharing"",""ลพบุรี!S607"")+IMPORTRANGE(""https://docs.google.com/spreadsheets/d/10oOiF7loTyfsTkbd4MpaIm0HQ9SwB7IYHdIUvt-U1Uc/edit?usp=sharing"""&amp;",""สระแก้ว!S607"")+IMPORTRANGE(""https://docs.google.com/spreadsheets/d/1xmPlrr1QbdSIKvl1dWUl9K4PjAfSL9oeMr_37QVzcxc/edit?usp=sharing"",""สระบุรี!S607"")+IMPORTRANGE(""https://docs.google.com/spreadsheets/d/1j51vR6CYVGhABJpv6tkstgok82RLpXieLzW1yOY5rHw/edi"&amp;"t?usp=sharing"",""สิงห์บุรี!S607"")+IMPORTRANGE(""https://docs.google.com/spreadsheets/d/1H1EalTWKUSzO4Z1-1CwzoDUaVffgrThEBe2sl74kKG0/edit?usp=sharing"",""สุพรรณบุรี!S607"")+IMPORTRANGE(""https://docs.google.com/spreadsheets/d/1BmIruG_sIrJLYao_Pdr7zVArWsf"&amp;"oBt2692TMi6x_854/edit?usp=sharing"",""อ่างทอง!S607"")"),0)</f>
        <v>0</v>
      </c>
      <c r="T607" s="135">
        <f t="shared" ca="1" si="418"/>
        <v>0</v>
      </c>
      <c r="U607" s="135">
        <f t="shared" ca="1" si="419"/>
        <v>0</v>
      </c>
    </row>
    <row r="608" spans="1:21" ht="19.5" x14ac:dyDescent="0.3">
      <c r="A608" s="278"/>
      <c r="B608" s="279"/>
      <c r="C608" s="308" t="s">
        <v>18</v>
      </c>
      <c r="D608" s="688" t="s">
        <v>38</v>
      </c>
      <c r="E608" s="282"/>
      <c r="F608" s="282"/>
      <c r="G608" s="283"/>
      <c r="H608" s="309"/>
      <c r="I608" s="274"/>
      <c r="J608" s="274"/>
      <c r="K608" s="231"/>
      <c r="L608" s="90"/>
      <c r="M608" s="90"/>
      <c r="N608" s="90"/>
      <c r="O608" s="90"/>
      <c r="P608" s="90"/>
      <c r="Q608" s="89"/>
      <c r="R608" s="90"/>
      <c r="S608" s="90"/>
      <c r="T608" s="90"/>
      <c r="U608" s="90"/>
    </row>
    <row r="609" spans="1:21" ht="18.75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90"/>
      <c r="M609" s="90"/>
      <c r="N609" s="90"/>
      <c r="O609" s="90"/>
      <c r="P609" s="90"/>
      <c r="Q609" s="89"/>
      <c r="R609" s="90"/>
      <c r="S609" s="90"/>
      <c r="T609" s="90"/>
      <c r="U609" s="90"/>
    </row>
    <row r="610" spans="1:21" ht="19.5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90"/>
      <c r="M610" s="90"/>
      <c r="N610" s="90"/>
      <c r="O610" s="90"/>
      <c r="P610" s="90"/>
      <c r="Q610" s="89"/>
      <c r="R610" s="90"/>
      <c r="S610" s="90"/>
      <c r="T610" s="90"/>
      <c r="U610" s="90"/>
    </row>
    <row r="611" spans="1:21" ht="18.75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90"/>
      <c r="M611" s="90"/>
      <c r="N611" s="90"/>
      <c r="O611" s="90"/>
      <c r="P611" s="90"/>
      <c r="Q611" s="89"/>
      <c r="R611" s="90"/>
      <c r="S611" s="90"/>
      <c r="T611" s="90"/>
      <c r="U611" s="90"/>
    </row>
    <row r="612" spans="1:21" ht="18.75" x14ac:dyDescent="0.25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8"/>
      <c r="M612" s="698"/>
      <c r="N612" s="698"/>
      <c r="O612" s="698"/>
      <c r="P612" s="698"/>
      <c r="Q612" s="699"/>
      <c r="R612" s="698"/>
      <c r="S612" s="698"/>
      <c r="T612" s="698"/>
      <c r="U612" s="698"/>
    </row>
    <row r="613" spans="1:21" ht="19.5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6"/>
      <c r="M613" s="706"/>
      <c r="N613" s="706"/>
      <c r="O613" s="706"/>
      <c r="P613" s="706"/>
      <c r="Q613" s="707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4"/>
      <c r="M614" s="714"/>
      <c r="N614" s="714"/>
      <c r="O614" s="714"/>
      <c r="P614" s="714"/>
      <c r="Q614" s="715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t="shared" ref="I615:J615" ca="1" si="428">I626</f>
        <v>1060</v>
      </c>
      <c r="J615" s="721">
        <f t="shared" ca="1" si="428"/>
        <v>0</v>
      </c>
      <c r="K615" s="722">
        <f ca="1">IF(I615&gt;0,J615*100/I615,0)</f>
        <v>0</v>
      </c>
      <c r="L615" s="723"/>
      <c r="M615" s="723"/>
      <c r="N615" s="723"/>
      <c r="O615" s="723"/>
      <c r="P615" s="723"/>
      <c r="Q615" s="724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06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66">
        <f t="shared" ref="L616:N616" ca="1" si="429">L617+L618</f>
        <v>0</v>
      </c>
      <c r="M616" s="266">
        <f t="shared" ca="1" si="429"/>
        <v>0</v>
      </c>
      <c r="N616" s="266">
        <f t="shared" ca="1" si="429"/>
        <v>0</v>
      </c>
      <c r="O616" s="266">
        <f t="shared" ref="O616:O624" ca="1" si="430">IF(L616&gt;0,N616*100/L616,0)</f>
        <v>0</v>
      </c>
      <c r="P616" s="266">
        <f t="shared" ref="P616:P624" ca="1" si="431">IF(M616&gt;0,N616*100/M616,0)</f>
        <v>0</v>
      </c>
      <c r="Q616" s="216">
        <f t="shared" ref="Q616:S616" ca="1" si="432">Q617+Q618</f>
        <v>143975</v>
      </c>
      <c r="R616" s="217">
        <f t="shared" ca="1" si="432"/>
        <v>143975</v>
      </c>
      <c r="S616" s="217">
        <f t="shared" ca="1" si="432"/>
        <v>16696</v>
      </c>
      <c r="T616" s="217">
        <f t="shared" ref="T616:T624" ca="1" si="433">IF(Q616&gt;0,S616*100/Q616,0)</f>
        <v>11.59645771835388</v>
      </c>
      <c r="U616" s="217">
        <f t="shared" ref="U616:U624" ca="1" si="434">IF(R616&gt;0,S616*100/R616,0)</f>
        <v>11.59645771835388</v>
      </c>
    </row>
    <row r="617" spans="1:21" ht="18.75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 t="shared" ref="L617:N617" ca="1" si="435">L620+L623</f>
        <v>0</v>
      </c>
      <c r="M617" s="80">
        <f t="shared" ca="1" si="435"/>
        <v>0</v>
      </c>
      <c r="N617" s="80">
        <f t="shared" ca="1" si="435"/>
        <v>0</v>
      </c>
      <c r="O617" s="80">
        <f t="shared" ca="1" si="430"/>
        <v>0</v>
      </c>
      <c r="P617" s="80">
        <f t="shared" ca="1" si="431"/>
        <v>0</v>
      </c>
      <c r="Q617" s="219">
        <f t="shared" ref="Q617:S617" ca="1" si="436">Q620+Q623</f>
        <v>0</v>
      </c>
      <c r="R617" s="136">
        <f t="shared" ca="1" si="436"/>
        <v>0</v>
      </c>
      <c r="S617" s="136">
        <f t="shared" ca="1" si="436"/>
        <v>0</v>
      </c>
      <c r="T617" s="136">
        <f t="shared" ca="1" si="433"/>
        <v>0</v>
      </c>
      <c r="U617" s="136">
        <f t="shared" ca="1" si="434"/>
        <v>0</v>
      </c>
    </row>
    <row r="618" spans="1:21" ht="18.75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 t="shared" ref="L618:N618" ca="1" si="437">L621+L624</f>
        <v>0</v>
      </c>
      <c r="M618" s="77">
        <f t="shared" ca="1" si="437"/>
        <v>0</v>
      </c>
      <c r="N618" s="77">
        <f t="shared" ca="1" si="437"/>
        <v>0</v>
      </c>
      <c r="O618" s="77">
        <f t="shared" ca="1" si="430"/>
        <v>0</v>
      </c>
      <c r="P618" s="77">
        <f t="shared" ca="1" si="431"/>
        <v>0</v>
      </c>
      <c r="Q618" s="134">
        <f t="shared" ref="Q618:S618" ca="1" si="438">Q621+Q624</f>
        <v>143975</v>
      </c>
      <c r="R618" s="135">
        <f t="shared" ca="1" si="438"/>
        <v>143975</v>
      </c>
      <c r="S618" s="135">
        <f t="shared" ca="1" si="438"/>
        <v>16696</v>
      </c>
      <c r="T618" s="135">
        <f t="shared" ca="1" si="433"/>
        <v>11.59645771835388</v>
      </c>
      <c r="U618" s="135">
        <f t="shared" ca="1" si="434"/>
        <v>11.59645771835388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 t="shared" ref="L619:N619" ca="1" si="439">L620+L621</f>
        <v>0</v>
      </c>
      <c r="M619" s="77">
        <f t="shared" ca="1" si="439"/>
        <v>0</v>
      </c>
      <c r="N619" s="77">
        <f t="shared" ca="1" si="439"/>
        <v>0</v>
      </c>
      <c r="O619" s="77">
        <f t="shared" ca="1" si="430"/>
        <v>0</v>
      </c>
      <c r="P619" s="77">
        <f t="shared" ca="1" si="431"/>
        <v>0</v>
      </c>
      <c r="Q619" s="134">
        <f t="shared" ref="Q619:S619" ca="1" si="440">Q620+Q621</f>
        <v>143975</v>
      </c>
      <c r="R619" s="135">
        <f t="shared" ca="1" si="440"/>
        <v>143975</v>
      </c>
      <c r="S619" s="135">
        <f t="shared" ca="1" si="440"/>
        <v>16696</v>
      </c>
      <c r="T619" s="135">
        <f t="shared" ca="1" si="433"/>
        <v>11.59645771835388</v>
      </c>
      <c r="U619" s="135">
        <f t="shared" ca="1" si="434"/>
        <v>11.59645771835388</v>
      </c>
    </row>
    <row r="620" spans="1:21" ht="18.75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f ca="1">IFERROR(__xludf.DUMMYFUNCTION("IMPORTRANGE(""https://docs.google.com/spreadsheets/d/13wPX838HrBrQMCywv1BsuMkt4PEKTChp52zj44s2izQ/edit?usp=sharing"",""กาญจนบุรี!L620"")+IMPORTRANGE(""https://docs.google.com/spreadsheets/d/1ddFKvqj1W1NEiWytbGlB1zMx_ykJDVtmfEQ-6-lIUBA/edit?usp=sharing"","&amp;"""จันทบุรี!L620"")+IMPORTRANGE(""https://docs.google.com/spreadsheets/d/1T1PQvRODqOBZk8BRht_U031fIS1beLA0Ub2CEytj2q0/edit?usp=sharing"",""ฉะเชิงเทรา!L620"")+IMPORTRANGE(""https://docs.google.com/spreadsheets/d/11tr1B-Bhyr79v2bkwVh5h_fR-PStkgjlZtkrZpYurG0/"&amp;"edit?usp=sharing"",""ชลบุรี!L620"")+IMPORTRANGE(""https://docs.google.com/spreadsheets/d/1hh-FVnSX0vozXhGluamEcS54Dw9_zqW0N7qJUWgJ0Sw/edit?usp=sharing"",""ชัยนาท!L620"")+IMPORTRANGE(""https://docs.google.com/spreadsheets/d/1jkqa6GXxSacMcY1eN8AHjMNJ_7dDXMJ"&amp;"VRLDlaFSOdPM/edit?usp=sharing"",""ตราด!L620"")+IMPORTRANGE(""https://docs.google.com/spreadsheets/d/18hSgUJ3VwClqi_qtULmmW3cLr0oe3OKaSYoKzdpTsYQ/edit?usp=sharing"",""นครนายก!L620"")+IMPORTRANGE(""https://docs.google.com/spreadsheets/d/1YTZo6WM2dQ6Ix6FSdnL"&amp;"5P7uVnVKu40sxZu975tgG10E/edit?usp=sharing"",""นครปฐม!L620"")+IMPORTRANGE(""https://docs.google.com/spreadsheets/d/1OYoGg4WDg5RIzwGeB10padOxJF9E_Vljuvvct_M7RDo/edit?usp=sharing"",""ปทุมธานี!L620"")+IMPORTRANGE(""https://docs.google.com/spreadsheets/d/1GbCI"&amp;"E4D4wk9FUozzqk7SxfDMxDVBwVmI5zcaVUSzKAc/edit?usp=sharing"",""ประจวบคีรีขันธ์!L620"")+IMPORTRANGE(""https://docs.google.com/spreadsheets/d/1vVf6wykvW_lAyu7Yo9L4hUTqHqIeP_qcVuxCtosJEbg/edit?usp=sharing"",""ปราจีนบุรี!L620"")+IMPORTRANGE(""https://docs.googl"&amp;"e.com/spreadsheets/d/1BIDqLLg5jk3v59G8NlR8rk5xfQDKne0sAvZHSj7TI6I/edit?usp=sharing"",""พระนครศรีอยุธยา!L620"")+IMPORTRANGE(""https://docs.google.com/spreadsheets/d/1YXvxf8Yu6_rV4hTBrwMqAcAnv6DfhUxh5emyM3CJp_w/edit?usp=sharing"",""เพชรบุรี!L620"")+IMPORTRA"&amp;"NGE(""https://docs.google.com/spreadsheets/d/19KBlQQs7uwvsao6t2n-KvW3Ax8J8uRRfZPq1zPbXgKc/edit?usp=sharing"",""ระยอง!L620"")+IMPORTRANGE(""https://docs.google.com/spreadsheets/d/1jQ6P4QcrGM89YfqcC_PxOHGCMq5ezhucwJd8ci-NHng/edit?usp=sharing"",""ราชบุรี!L62"&amp;"0"")+IMPORTRANGE(""https://docs.google.com/spreadsheets/d/1lufeA2cfFqM-elVq2hznhDzC6Pr7wkJ9ZG_sYNGCMCU/edit?usp=sharing"",""ลพบุรี!L620"")+IMPORTRANGE(""https://docs.google.com/spreadsheets/d/10oOiF7loTyfsTkbd4MpaIm0HQ9SwB7IYHdIUvt-U1Uc/edit?usp=sharing"""&amp;",""สระแก้ว!L620"")+IMPORTRANGE(""https://docs.google.com/spreadsheets/d/1xmPlrr1QbdSIKvl1dWUl9K4PjAfSL9oeMr_37QVzcxc/edit?usp=sharing"",""สระบุรี!L620"")+IMPORTRANGE(""https://docs.google.com/spreadsheets/d/1j51vR6CYVGhABJpv6tkstgok82RLpXieLzW1yOY5rHw/edi"&amp;"t?usp=sharing"",""สิงห์บุรี!L620"")+IMPORTRANGE(""https://docs.google.com/spreadsheets/d/1H1EalTWKUSzO4Z1-1CwzoDUaVffgrThEBe2sl74kKG0/edit?usp=sharing"",""สุพรรณบุรี!L620"")+IMPORTRANGE(""https://docs.google.com/spreadsheets/d/1BmIruG_sIrJLYao_Pdr7zVArWsf"&amp;"oBt2692TMi6x_854/edit?usp=sharing"",""อ่างทอง!L620"")"),0)</f>
        <v>0</v>
      </c>
      <c r="M620" s="80">
        <f ca="1">IFERROR(__xludf.DUMMYFUNCTION("IMPORTRANGE(""https://docs.google.com/spreadsheets/d/13wPX838HrBrQMCywv1BsuMkt4PEKTChp52zj44s2izQ/edit?usp=sharing"",""กาญจนบุรี!M620"")+IMPORTRANGE(""https://docs.google.com/spreadsheets/d/1ddFKvqj1W1NEiWytbGlB1zMx_ykJDVtmfEQ-6-lIUBA/edit?usp=sharing"","&amp;"""จันทบุรี!M620"")+IMPORTRANGE(""https://docs.google.com/spreadsheets/d/1T1PQvRODqOBZk8BRht_U031fIS1beLA0Ub2CEytj2q0/edit?usp=sharing"",""ฉะเชิงเทรา!M620"")+IMPORTRANGE(""https://docs.google.com/spreadsheets/d/11tr1B-Bhyr79v2bkwVh5h_fR-PStkgjlZtkrZpYurG0/"&amp;"edit?usp=sharing"",""ชลบุรี!M620"")+IMPORTRANGE(""https://docs.google.com/spreadsheets/d/1hh-FVnSX0vozXhGluamEcS54Dw9_zqW0N7qJUWgJ0Sw/edit?usp=sharing"",""ชัยนาท!M620"")+IMPORTRANGE(""https://docs.google.com/spreadsheets/d/1jkqa6GXxSacMcY1eN8AHjMNJ_7dDXMJ"&amp;"VRLDlaFSOdPM/edit?usp=sharing"",""ตราด!M620"")+IMPORTRANGE(""https://docs.google.com/spreadsheets/d/18hSgUJ3VwClqi_qtULmmW3cLr0oe3OKaSYoKzdpTsYQ/edit?usp=sharing"",""นครนายก!M620"")+IMPORTRANGE(""https://docs.google.com/spreadsheets/d/1YTZo6WM2dQ6Ix6FSdnL"&amp;"5P7uVnVKu40sxZu975tgG10E/edit?usp=sharing"",""นครปฐม!M620"")+IMPORTRANGE(""https://docs.google.com/spreadsheets/d/1OYoGg4WDg5RIzwGeB10padOxJF9E_Vljuvvct_M7RDo/edit?usp=sharing"",""ปทุมธานี!M620"")+IMPORTRANGE(""https://docs.google.com/spreadsheets/d/1GbCI"&amp;"E4D4wk9FUozzqk7SxfDMxDVBwVmI5zcaVUSzKAc/edit?usp=sharing"",""ประจวบคีรีขันธ์!M620"")+IMPORTRANGE(""https://docs.google.com/spreadsheets/d/1vVf6wykvW_lAyu7Yo9L4hUTqHqIeP_qcVuxCtosJEbg/edit?usp=sharing"",""ปราจีนบุรี!M620"")+IMPORTRANGE(""https://docs.googl"&amp;"e.com/spreadsheets/d/1BIDqLLg5jk3v59G8NlR8rk5xfQDKne0sAvZHSj7TI6I/edit?usp=sharing"",""พระนครศรีอยุธยา!M620"")+IMPORTRANGE(""https://docs.google.com/spreadsheets/d/1YXvxf8Yu6_rV4hTBrwMqAcAnv6DfhUxh5emyM3CJp_w/edit?usp=sharing"",""เพชรบุรี!M620"")+IMPORTRA"&amp;"NGE(""https://docs.google.com/spreadsheets/d/19KBlQQs7uwvsao6t2n-KvW3Ax8J8uRRfZPq1zPbXgKc/edit?usp=sharing"",""ระยอง!M620"")+IMPORTRANGE(""https://docs.google.com/spreadsheets/d/1jQ6P4QcrGM89YfqcC_PxOHGCMq5ezhucwJd8ci-NHng/edit?usp=sharing"",""ราชบุรี!M62"&amp;"0"")+IMPORTRANGE(""https://docs.google.com/spreadsheets/d/1lufeA2cfFqM-elVq2hznhDzC6Pr7wkJ9ZG_sYNGCMCU/edit?usp=sharing"",""ลพบุรี!M620"")+IMPORTRANGE(""https://docs.google.com/spreadsheets/d/10oOiF7loTyfsTkbd4MpaIm0HQ9SwB7IYHdIUvt-U1Uc/edit?usp=sharing"""&amp;",""สระแก้ว!M620"")+IMPORTRANGE(""https://docs.google.com/spreadsheets/d/1xmPlrr1QbdSIKvl1dWUl9K4PjAfSL9oeMr_37QVzcxc/edit?usp=sharing"",""สระบุรี!M620"")+IMPORTRANGE(""https://docs.google.com/spreadsheets/d/1j51vR6CYVGhABJpv6tkstgok82RLpXieLzW1yOY5rHw/edi"&amp;"t?usp=sharing"",""สิงห์บุรี!M620"")+IMPORTRANGE(""https://docs.google.com/spreadsheets/d/1H1EalTWKUSzO4Z1-1CwzoDUaVffgrThEBe2sl74kKG0/edit?usp=sharing"",""สุพรรณบุรี!M620"")+IMPORTRANGE(""https://docs.google.com/spreadsheets/d/1BmIruG_sIrJLYao_Pdr7zVArWsf"&amp;"oBt2692TMi6x_854/edit?usp=sharing"",""อ่างทอง!M620"")"),0)</f>
        <v>0</v>
      </c>
      <c r="N620" s="80">
        <f ca="1">IFERROR(__xludf.DUMMYFUNCTION("IMPORTRANGE(""https://docs.google.com/spreadsheets/d/13wPX838HrBrQMCywv1BsuMkt4PEKTChp52zj44s2izQ/edit?usp=sharing"",""กาญจนบุรี!N620"")+IMPORTRANGE(""https://docs.google.com/spreadsheets/d/1ddFKvqj1W1NEiWytbGlB1zMx_ykJDVtmfEQ-6-lIUBA/edit?usp=sharing"","&amp;"""จันทบุรี!N620"")+IMPORTRANGE(""https://docs.google.com/spreadsheets/d/1T1PQvRODqOBZk8BRht_U031fIS1beLA0Ub2CEytj2q0/edit?usp=sharing"",""ฉะเชิงเทรา!N620"")+IMPORTRANGE(""https://docs.google.com/spreadsheets/d/11tr1B-Bhyr79v2bkwVh5h_fR-PStkgjlZtkrZpYurG0/"&amp;"edit?usp=sharing"",""ชลบุรี!N620"")+IMPORTRANGE(""https://docs.google.com/spreadsheets/d/1hh-FVnSX0vozXhGluamEcS54Dw9_zqW0N7qJUWgJ0Sw/edit?usp=sharing"",""ชัยนาท!N620"")+IMPORTRANGE(""https://docs.google.com/spreadsheets/d/1jkqa6GXxSacMcY1eN8AHjMNJ_7dDXMJ"&amp;"VRLDlaFSOdPM/edit?usp=sharing"",""ตราด!N620"")+IMPORTRANGE(""https://docs.google.com/spreadsheets/d/18hSgUJ3VwClqi_qtULmmW3cLr0oe3OKaSYoKzdpTsYQ/edit?usp=sharing"",""นครนายก!N620"")+IMPORTRANGE(""https://docs.google.com/spreadsheets/d/1YTZo6WM2dQ6Ix6FSdnL"&amp;"5P7uVnVKu40sxZu975tgG10E/edit?usp=sharing"",""นครปฐม!N620"")+IMPORTRANGE(""https://docs.google.com/spreadsheets/d/1OYoGg4WDg5RIzwGeB10padOxJF9E_Vljuvvct_M7RDo/edit?usp=sharing"",""ปทุมธานี!N620"")+IMPORTRANGE(""https://docs.google.com/spreadsheets/d/1GbCI"&amp;"E4D4wk9FUozzqk7SxfDMxDVBwVmI5zcaVUSzKAc/edit?usp=sharing"",""ประจวบคีรีขันธ์!N620"")+IMPORTRANGE(""https://docs.google.com/spreadsheets/d/1vVf6wykvW_lAyu7Yo9L4hUTqHqIeP_qcVuxCtosJEbg/edit?usp=sharing"",""ปราจีนบุรี!N620"")+IMPORTRANGE(""https://docs.googl"&amp;"e.com/spreadsheets/d/1BIDqLLg5jk3v59G8NlR8rk5xfQDKne0sAvZHSj7TI6I/edit?usp=sharing"",""พระนครศรีอยุธยา!N620"")+IMPORTRANGE(""https://docs.google.com/spreadsheets/d/1YXvxf8Yu6_rV4hTBrwMqAcAnv6DfhUxh5emyM3CJp_w/edit?usp=sharing"",""เพชรบุรี!N620"")+IMPORTRA"&amp;"NGE(""https://docs.google.com/spreadsheets/d/19KBlQQs7uwvsao6t2n-KvW3Ax8J8uRRfZPq1zPbXgKc/edit?usp=sharing"",""ระยอง!N620"")+IMPORTRANGE(""https://docs.google.com/spreadsheets/d/1jQ6P4QcrGM89YfqcC_PxOHGCMq5ezhucwJd8ci-NHng/edit?usp=sharing"",""ราชบุรี!N62"&amp;"0"")+IMPORTRANGE(""https://docs.google.com/spreadsheets/d/1lufeA2cfFqM-elVq2hznhDzC6Pr7wkJ9ZG_sYNGCMCU/edit?usp=sharing"",""ลพบุรี!N620"")+IMPORTRANGE(""https://docs.google.com/spreadsheets/d/10oOiF7loTyfsTkbd4MpaIm0HQ9SwB7IYHdIUvt-U1Uc/edit?usp=sharing"""&amp;",""สระแก้ว!N620"")+IMPORTRANGE(""https://docs.google.com/spreadsheets/d/1xmPlrr1QbdSIKvl1dWUl9K4PjAfSL9oeMr_37QVzcxc/edit?usp=sharing"",""สระบุรี!N620"")+IMPORTRANGE(""https://docs.google.com/spreadsheets/d/1j51vR6CYVGhABJpv6tkstgok82RLpXieLzW1yOY5rHw/edi"&amp;"t?usp=sharing"",""สิงห์บุรี!N620"")+IMPORTRANGE(""https://docs.google.com/spreadsheets/d/1H1EalTWKUSzO4Z1-1CwzoDUaVffgrThEBe2sl74kKG0/edit?usp=sharing"",""สุพรรณบุรี!N620"")+IMPORTRANGE(""https://docs.google.com/spreadsheets/d/1BmIruG_sIrJLYao_Pdr7zVArWsf"&amp;"oBt2692TMi6x_854/edit?usp=sharing"",""อ่างทอง!N620"")"),0)</f>
        <v>0</v>
      </c>
      <c r="O620" s="80">
        <f t="shared" ca="1" si="430"/>
        <v>0</v>
      </c>
      <c r="P620" s="80">
        <f t="shared" ca="1" si="431"/>
        <v>0</v>
      </c>
      <c r="Q620" s="79">
        <f ca="1">IFERROR(__xludf.DUMMYFUNCTION("IMPORTRANGE(""https://docs.google.com/spreadsheets/d/13wPX838HrBrQMCywv1BsuMkt4PEKTChp52zj44s2izQ/edit?usp=sharing"",""กาญจนบุรี!Q620"")+IMPORTRANGE(""https://docs.google.com/spreadsheets/d/1ddFKvqj1W1NEiWytbGlB1zMx_ykJDVtmfEQ-6-lIUBA/edit?usp=sharing"","&amp;"""จันทบุรี!Q620"")+IMPORTRANGE(""https://docs.google.com/spreadsheets/d/1T1PQvRODqOBZk8BRht_U031fIS1beLA0Ub2CEytj2q0/edit?usp=sharing"",""ฉะเชิงเทรา!Q620"")+IMPORTRANGE(""https://docs.google.com/spreadsheets/d/11tr1B-Bhyr79v2bkwVh5h_fR-PStkgjlZtkrZpYurG0/"&amp;"edit?usp=sharing"",""ชลบุรี!Q620"")+IMPORTRANGE(""https://docs.google.com/spreadsheets/d/1hh-FVnSX0vozXhGluamEcS54Dw9_zqW0N7qJUWgJ0Sw/edit?usp=sharing"",""ชัยนาท!Q620"")+IMPORTRANGE(""https://docs.google.com/spreadsheets/d/1jkqa6GXxSacMcY1eN8AHjMNJ_7dDXMJ"&amp;"VRLDlaFSOdPM/edit?usp=sharing"",""ตราด!Q620"")+IMPORTRANGE(""https://docs.google.com/spreadsheets/d/18hSgUJ3VwClqi_qtULmmW3cLr0oe3OKaSYoKzdpTsYQ/edit?usp=sharing"",""นครนายก!Q620"")+IMPORTRANGE(""https://docs.google.com/spreadsheets/d/1YTZo6WM2dQ6Ix6FSdnL"&amp;"5P7uVnVKu40sxZu975tgG10E/edit?usp=sharing"",""นครปฐม!Q620"")+IMPORTRANGE(""https://docs.google.com/spreadsheets/d/1OYoGg4WDg5RIzwGeB10padOxJF9E_Vljuvvct_M7RDo/edit?usp=sharing"",""ปทุมธานี!Q620"")+IMPORTRANGE(""https://docs.google.com/spreadsheets/d/1GbCI"&amp;"E4D4wk9FUozzqk7SxfDMxDVBwVmI5zcaVUSzKAc/edit?usp=sharing"",""ประจวบคีรีขันธ์!Q620"")+IMPORTRANGE(""https://docs.google.com/spreadsheets/d/1vVf6wykvW_lAyu7Yo9L4hUTqHqIeP_qcVuxCtosJEbg/edit?usp=sharing"",""ปราจีนบุรี!Q620"")+IMPORTRANGE(""https://docs.googl"&amp;"e.com/spreadsheets/d/1BIDqLLg5jk3v59G8NlR8rk5xfQDKne0sAvZHSj7TI6I/edit?usp=sharing"",""พระนครศรีอยุธยา!Q620"")+IMPORTRANGE(""https://docs.google.com/spreadsheets/d/1YXvxf8Yu6_rV4hTBrwMqAcAnv6DfhUxh5emyM3CJp_w/edit?usp=sharing"",""เพชรบุรี!Q620"")+IMPORTRA"&amp;"NGE(""https://docs.google.com/spreadsheets/d/19KBlQQs7uwvsao6t2n-KvW3Ax8J8uRRfZPq1zPbXgKc/edit?usp=sharing"",""ระยอง!Q620"")+IMPORTRANGE(""https://docs.google.com/spreadsheets/d/1jQ6P4QcrGM89YfqcC_PxOHGCMq5ezhucwJd8ci-NHng/edit?usp=sharing"",""ราชบุรี!Q62"&amp;"0"")+IMPORTRANGE(""https://docs.google.com/spreadsheets/d/1lufeA2cfFqM-elVq2hznhDzC6Pr7wkJ9ZG_sYNGCMCU/edit?usp=sharing"",""ลพบุรี!Q620"")+IMPORTRANGE(""https://docs.google.com/spreadsheets/d/10oOiF7loTyfsTkbd4MpaIm0HQ9SwB7IYHdIUvt-U1Uc/edit?usp=sharing"""&amp;",""สระแก้ว!Q620"")+IMPORTRANGE(""https://docs.google.com/spreadsheets/d/1xmPlrr1QbdSIKvl1dWUl9K4PjAfSL9oeMr_37QVzcxc/edit?usp=sharing"",""สระบุรี!Q620"")+IMPORTRANGE(""https://docs.google.com/spreadsheets/d/1j51vR6CYVGhABJpv6tkstgok82RLpXieLzW1yOY5rHw/edi"&amp;"t?usp=sharing"",""สิงห์บุรี!Q620"")+IMPORTRANGE(""https://docs.google.com/spreadsheets/d/1H1EalTWKUSzO4Z1-1CwzoDUaVffgrThEBe2sl74kKG0/edit?usp=sharing"",""สุพรรณบุรี!Q620"")+IMPORTRANGE(""https://docs.google.com/spreadsheets/d/1BmIruG_sIrJLYao_Pdr7zVArWsf"&amp;"oBt2692TMi6x_854/edit?usp=sharing"",""อ่างทอง!Q620"")"),0)</f>
        <v>0</v>
      </c>
      <c r="R620" s="80">
        <f ca="1">IFERROR(__xludf.DUMMYFUNCTION("IMPORTRANGE(""https://docs.google.com/spreadsheets/d/13wPX838HrBrQMCywv1BsuMkt4PEKTChp52zj44s2izQ/edit?usp=sharing"",""กาญจนบุรี!R620"")+IMPORTRANGE(""https://docs.google.com/spreadsheets/d/1ddFKvqj1W1NEiWytbGlB1zMx_ykJDVtmfEQ-6-lIUBA/edit?usp=sharing"","&amp;"""จันทบุรี!R620"")+IMPORTRANGE(""https://docs.google.com/spreadsheets/d/1T1PQvRODqOBZk8BRht_U031fIS1beLA0Ub2CEytj2q0/edit?usp=sharing"",""ฉะเชิงเทรา!R620"")+IMPORTRANGE(""https://docs.google.com/spreadsheets/d/11tr1B-Bhyr79v2bkwVh5h_fR-PStkgjlZtkrZpYurG0/"&amp;"edit?usp=sharing"",""ชลบุรี!R620"")+IMPORTRANGE(""https://docs.google.com/spreadsheets/d/1hh-FVnSX0vozXhGluamEcS54Dw9_zqW0N7qJUWgJ0Sw/edit?usp=sharing"",""ชัยนาท!R620"")+IMPORTRANGE(""https://docs.google.com/spreadsheets/d/1jkqa6GXxSacMcY1eN8AHjMNJ_7dDXMJ"&amp;"VRLDlaFSOdPM/edit?usp=sharing"",""ตราด!R620"")+IMPORTRANGE(""https://docs.google.com/spreadsheets/d/18hSgUJ3VwClqi_qtULmmW3cLr0oe3OKaSYoKzdpTsYQ/edit?usp=sharing"",""นครนายก!R620"")+IMPORTRANGE(""https://docs.google.com/spreadsheets/d/1YTZo6WM2dQ6Ix6FSdnL"&amp;"5P7uVnVKu40sxZu975tgG10E/edit?usp=sharing"",""นครปฐม!R620"")+IMPORTRANGE(""https://docs.google.com/spreadsheets/d/1OYoGg4WDg5RIzwGeB10padOxJF9E_Vljuvvct_M7RDo/edit?usp=sharing"",""ปทุมธานี!R620"")+IMPORTRANGE(""https://docs.google.com/spreadsheets/d/1GbCI"&amp;"E4D4wk9FUozzqk7SxfDMxDVBwVmI5zcaVUSzKAc/edit?usp=sharing"",""ประจวบคีรีขันธ์!R620"")+IMPORTRANGE(""https://docs.google.com/spreadsheets/d/1vVf6wykvW_lAyu7Yo9L4hUTqHqIeP_qcVuxCtosJEbg/edit?usp=sharing"",""ปราจีนบุรี!R620"")+IMPORTRANGE(""https://docs.googl"&amp;"e.com/spreadsheets/d/1BIDqLLg5jk3v59G8NlR8rk5xfQDKne0sAvZHSj7TI6I/edit?usp=sharing"",""พระนครศรีอยุธยา!R620"")+IMPORTRANGE(""https://docs.google.com/spreadsheets/d/1YXvxf8Yu6_rV4hTBrwMqAcAnv6DfhUxh5emyM3CJp_w/edit?usp=sharing"",""เพชรบุรี!R620"")+IMPORTRA"&amp;"NGE(""https://docs.google.com/spreadsheets/d/19KBlQQs7uwvsao6t2n-KvW3Ax8J8uRRfZPq1zPbXgKc/edit?usp=sharing"",""ระยอง!R620"")+IMPORTRANGE(""https://docs.google.com/spreadsheets/d/1jQ6P4QcrGM89YfqcC_PxOHGCMq5ezhucwJd8ci-NHng/edit?usp=sharing"",""ราชบุรี!R62"&amp;"0"")+IMPORTRANGE(""https://docs.google.com/spreadsheets/d/1lufeA2cfFqM-elVq2hznhDzC6Pr7wkJ9ZG_sYNGCMCU/edit?usp=sharing"",""ลพบุรี!R620"")+IMPORTRANGE(""https://docs.google.com/spreadsheets/d/10oOiF7loTyfsTkbd4MpaIm0HQ9SwB7IYHdIUvt-U1Uc/edit?usp=sharing"""&amp;",""สระแก้ว!R620"")+IMPORTRANGE(""https://docs.google.com/spreadsheets/d/1xmPlrr1QbdSIKvl1dWUl9K4PjAfSL9oeMr_37QVzcxc/edit?usp=sharing"",""สระบุรี!R620"")+IMPORTRANGE(""https://docs.google.com/spreadsheets/d/1j51vR6CYVGhABJpv6tkstgok82RLpXieLzW1yOY5rHw/edi"&amp;"t?usp=sharing"",""สิงห์บุรี!R620"")+IMPORTRANGE(""https://docs.google.com/spreadsheets/d/1H1EalTWKUSzO4Z1-1CwzoDUaVffgrThEBe2sl74kKG0/edit?usp=sharing"",""สุพรรณบุรี!R620"")+IMPORTRANGE(""https://docs.google.com/spreadsheets/d/1BmIruG_sIrJLYao_Pdr7zVArWsf"&amp;"oBt2692TMi6x_854/edit?usp=sharing"",""อ่างทอง!R620"")"),0)</f>
        <v>0</v>
      </c>
      <c r="S620" s="80">
        <f ca="1">IFERROR(__xludf.DUMMYFUNCTION("IMPORTRANGE(""https://docs.google.com/spreadsheets/d/13wPX838HrBrQMCywv1BsuMkt4PEKTChp52zj44s2izQ/edit?usp=sharing"",""กาญจนบุรี!S620"")+IMPORTRANGE(""https://docs.google.com/spreadsheets/d/1ddFKvqj1W1NEiWytbGlB1zMx_ykJDVtmfEQ-6-lIUBA/edit?usp=sharing"","&amp;"""จันทบุรี!S620"")+IMPORTRANGE(""https://docs.google.com/spreadsheets/d/1T1PQvRODqOBZk8BRht_U031fIS1beLA0Ub2CEytj2q0/edit?usp=sharing"",""ฉะเชิงเทรา!S620"")+IMPORTRANGE(""https://docs.google.com/spreadsheets/d/11tr1B-Bhyr79v2bkwVh5h_fR-PStkgjlZtkrZpYurG0/"&amp;"edit?usp=sharing"",""ชลบุรี!S620"")+IMPORTRANGE(""https://docs.google.com/spreadsheets/d/1hh-FVnSX0vozXhGluamEcS54Dw9_zqW0N7qJUWgJ0Sw/edit?usp=sharing"",""ชัยนาท!S620"")+IMPORTRANGE(""https://docs.google.com/spreadsheets/d/1jkqa6GXxSacMcY1eN8AHjMNJ_7dDXMJ"&amp;"VRLDlaFSOdPM/edit?usp=sharing"",""ตราด!S620"")+IMPORTRANGE(""https://docs.google.com/spreadsheets/d/18hSgUJ3VwClqi_qtULmmW3cLr0oe3OKaSYoKzdpTsYQ/edit?usp=sharing"",""นครนายก!S620"")+IMPORTRANGE(""https://docs.google.com/spreadsheets/d/1YTZo6WM2dQ6Ix6FSdnL"&amp;"5P7uVnVKu40sxZu975tgG10E/edit?usp=sharing"",""นครปฐม!S620"")+IMPORTRANGE(""https://docs.google.com/spreadsheets/d/1OYoGg4WDg5RIzwGeB10padOxJF9E_Vljuvvct_M7RDo/edit?usp=sharing"",""ปทุมธานี!S620"")+IMPORTRANGE(""https://docs.google.com/spreadsheets/d/1GbCI"&amp;"E4D4wk9FUozzqk7SxfDMxDVBwVmI5zcaVUSzKAc/edit?usp=sharing"",""ประจวบคีรีขันธ์!S620"")+IMPORTRANGE(""https://docs.google.com/spreadsheets/d/1vVf6wykvW_lAyu7Yo9L4hUTqHqIeP_qcVuxCtosJEbg/edit?usp=sharing"",""ปราจีนบุรี!S620"")+IMPORTRANGE(""https://docs.googl"&amp;"e.com/spreadsheets/d/1BIDqLLg5jk3v59G8NlR8rk5xfQDKne0sAvZHSj7TI6I/edit?usp=sharing"",""พระนครศรีอยุธยา!S620"")+IMPORTRANGE(""https://docs.google.com/spreadsheets/d/1YXvxf8Yu6_rV4hTBrwMqAcAnv6DfhUxh5emyM3CJp_w/edit?usp=sharing"",""เพชรบุรี!S620"")+IMPORTRA"&amp;"NGE(""https://docs.google.com/spreadsheets/d/19KBlQQs7uwvsao6t2n-KvW3Ax8J8uRRfZPq1zPbXgKc/edit?usp=sharing"",""ระยอง!S620"")+IMPORTRANGE(""https://docs.google.com/spreadsheets/d/1jQ6P4QcrGM89YfqcC_PxOHGCMq5ezhucwJd8ci-NHng/edit?usp=sharing"",""ราชบุรี!S62"&amp;"0"")+IMPORTRANGE(""https://docs.google.com/spreadsheets/d/1lufeA2cfFqM-elVq2hznhDzC6Pr7wkJ9ZG_sYNGCMCU/edit?usp=sharing"",""ลพบุรี!S620"")+IMPORTRANGE(""https://docs.google.com/spreadsheets/d/10oOiF7loTyfsTkbd4MpaIm0HQ9SwB7IYHdIUvt-U1Uc/edit?usp=sharing"""&amp;",""สระแก้ว!S620"")+IMPORTRANGE(""https://docs.google.com/spreadsheets/d/1xmPlrr1QbdSIKvl1dWUl9K4PjAfSL9oeMr_37QVzcxc/edit?usp=sharing"",""สระบุรี!S620"")+IMPORTRANGE(""https://docs.google.com/spreadsheets/d/1j51vR6CYVGhABJpv6tkstgok82RLpXieLzW1yOY5rHw/edi"&amp;"t?usp=sharing"",""สิงห์บุรี!S620"")+IMPORTRANGE(""https://docs.google.com/spreadsheets/d/1H1EalTWKUSzO4Z1-1CwzoDUaVffgrThEBe2sl74kKG0/edit?usp=sharing"",""สุพรรณบุรี!S620"")+IMPORTRANGE(""https://docs.google.com/spreadsheets/d/1BmIruG_sIrJLYao_Pdr7zVArWsf"&amp;"oBt2692TMi6x_854/edit?usp=sharing"",""อ่างทอง!S620"")"),0)</f>
        <v>0</v>
      </c>
      <c r="T620" s="136">
        <f t="shared" ca="1" si="433"/>
        <v>0</v>
      </c>
      <c r="U620" s="136">
        <f t="shared" ca="1" si="434"/>
        <v>0</v>
      </c>
    </row>
    <row r="621" spans="1:21" ht="18.75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f ca="1">IFERROR(__xludf.DUMMYFUNCTION("IMPORTRANGE(""https://docs.google.com/spreadsheets/d/13wPX838HrBrQMCywv1BsuMkt4PEKTChp52zj44s2izQ/edit?usp=sharing"",""กาญจนบุรี!L621"")+IMPORTRANGE(""https://docs.google.com/spreadsheets/d/1ddFKvqj1W1NEiWytbGlB1zMx_ykJDVtmfEQ-6-lIUBA/edit?usp=sharing"","&amp;"""จันทบุรี!L621"")+IMPORTRANGE(""https://docs.google.com/spreadsheets/d/1T1PQvRODqOBZk8BRht_U031fIS1beLA0Ub2CEytj2q0/edit?usp=sharing"",""ฉะเชิงเทรา!L621"")+IMPORTRANGE(""https://docs.google.com/spreadsheets/d/11tr1B-Bhyr79v2bkwVh5h_fR-PStkgjlZtkrZpYurG0/"&amp;"edit?usp=sharing"",""ชลบุรี!L621"")+IMPORTRANGE(""https://docs.google.com/spreadsheets/d/1hh-FVnSX0vozXhGluamEcS54Dw9_zqW0N7qJUWgJ0Sw/edit?usp=sharing"",""ชัยนาท!L621"")+IMPORTRANGE(""https://docs.google.com/spreadsheets/d/1jkqa6GXxSacMcY1eN8AHjMNJ_7dDXMJ"&amp;"VRLDlaFSOdPM/edit?usp=sharing"",""ตราด!L621"")+IMPORTRANGE(""https://docs.google.com/spreadsheets/d/18hSgUJ3VwClqi_qtULmmW3cLr0oe3OKaSYoKzdpTsYQ/edit?usp=sharing"",""นครนายก!L621"")+IMPORTRANGE(""https://docs.google.com/spreadsheets/d/1YTZo6WM2dQ6Ix6FSdnL"&amp;"5P7uVnVKu40sxZu975tgG10E/edit?usp=sharing"",""นครปฐม!L621"")+IMPORTRANGE(""https://docs.google.com/spreadsheets/d/1OYoGg4WDg5RIzwGeB10padOxJF9E_Vljuvvct_M7RDo/edit?usp=sharing"",""ปทุมธานี!L621"")+IMPORTRANGE(""https://docs.google.com/spreadsheets/d/1GbCI"&amp;"E4D4wk9FUozzqk7SxfDMxDVBwVmI5zcaVUSzKAc/edit?usp=sharing"",""ประจวบคีรีขันธ์!L621"")+IMPORTRANGE(""https://docs.google.com/spreadsheets/d/1vVf6wykvW_lAyu7Yo9L4hUTqHqIeP_qcVuxCtosJEbg/edit?usp=sharing"",""ปราจีนบุรี!L621"")+IMPORTRANGE(""https://docs.googl"&amp;"e.com/spreadsheets/d/1BIDqLLg5jk3v59G8NlR8rk5xfQDKne0sAvZHSj7TI6I/edit?usp=sharing"",""พระนครศรีอยุธยา!L621"")+IMPORTRANGE(""https://docs.google.com/spreadsheets/d/1YXvxf8Yu6_rV4hTBrwMqAcAnv6DfhUxh5emyM3CJp_w/edit?usp=sharing"",""เพชรบุรี!L621"")+IMPORTRA"&amp;"NGE(""https://docs.google.com/spreadsheets/d/19KBlQQs7uwvsao6t2n-KvW3Ax8J8uRRfZPq1zPbXgKc/edit?usp=sharing"",""ระยอง!L621"")+IMPORTRANGE(""https://docs.google.com/spreadsheets/d/1jQ6P4QcrGM89YfqcC_PxOHGCMq5ezhucwJd8ci-NHng/edit?usp=sharing"",""ราชบุรี!L62"&amp;"1"")+IMPORTRANGE(""https://docs.google.com/spreadsheets/d/1lufeA2cfFqM-elVq2hznhDzC6Pr7wkJ9ZG_sYNGCMCU/edit?usp=sharing"",""ลพบุรี!L621"")+IMPORTRANGE(""https://docs.google.com/spreadsheets/d/10oOiF7loTyfsTkbd4MpaIm0HQ9SwB7IYHdIUvt-U1Uc/edit?usp=sharing"""&amp;",""สระแก้ว!L621"")+IMPORTRANGE(""https://docs.google.com/spreadsheets/d/1xmPlrr1QbdSIKvl1dWUl9K4PjAfSL9oeMr_37QVzcxc/edit?usp=sharing"",""สระบุรี!L621"")+IMPORTRANGE(""https://docs.google.com/spreadsheets/d/1j51vR6CYVGhABJpv6tkstgok82RLpXieLzW1yOY5rHw/edi"&amp;"t?usp=sharing"",""สิงห์บุรี!L621"")+IMPORTRANGE(""https://docs.google.com/spreadsheets/d/1H1EalTWKUSzO4Z1-1CwzoDUaVffgrThEBe2sl74kKG0/edit?usp=sharing"",""สุพรรณบุรี!L621"")+IMPORTRANGE(""https://docs.google.com/spreadsheets/d/1BmIruG_sIrJLYao_Pdr7zVArWsf"&amp;"oBt2692TMi6x_854/edit?usp=sharing"",""อ่างทอง!L621"")"),0)</f>
        <v>0</v>
      </c>
      <c r="M621" s="77">
        <f ca="1">IFERROR(__xludf.DUMMYFUNCTION("IMPORTRANGE(""https://docs.google.com/spreadsheets/d/13wPX838HrBrQMCywv1BsuMkt4PEKTChp52zj44s2izQ/edit?usp=sharing"",""กาญจนบุรี!M621"")+IMPORTRANGE(""https://docs.google.com/spreadsheets/d/1ddFKvqj1W1NEiWytbGlB1zMx_ykJDVtmfEQ-6-lIUBA/edit?usp=sharing"","&amp;"""จันทบุรี!M621"")+IMPORTRANGE(""https://docs.google.com/spreadsheets/d/1T1PQvRODqOBZk8BRht_U031fIS1beLA0Ub2CEytj2q0/edit?usp=sharing"",""ฉะเชิงเทรา!M621"")+IMPORTRANGE(""https://docs.google.com/spreadsheets/d/11tr1B-Bhyr79v2bkwVh5h_fR-PStkgjlZtkrZpYurG0/"&amp;"edit?usp=sharing"",""ชลบุรี!M621"")+IMPORTRANGE(""https://docs.google.com/spreadsheets/d/1hh-FVnSX0vozXhGluamEcS54Dw9_zqW0N7qJUWgJ0Sw/edit?usp=sharing"",""ชัยนาท!M621"")+IMPORTRANGE(""https://docs.google.com/spreadsheets/d/1jkqa6GXxSacMcY1eN8AHjMNJ_7dDXMJ"&amp;"VRLDlaFSOdPM/edit?usp=sharing"",""ตราด!M621"")+IMPORTRANGE(""https://docs.google.com/spreadsheets/d/18hSgUJ3VwClqi_qtULmmW3cLr0oe3OKaSYoKzdpTsYQ/edit?usp=sharing"",""นครนายก!M621"")+IMPORTRANGE(""https://docs.google.com/spreadsheets/d/1YTZo6WM2dQ6Ix6FSdnL"&amp;"5P7uVnVKu40sxZu975tgG10E/edit?usp=sharing"",""นครปฐม!M621"")+IMPORTRANGE(""https://docs.google.com/spreadsheets/d/1OYoGg4WDg5RIzwGeB10padOxJF9E_Vljuvvct_M7RDo/edit?usp=sharing"",""ปทุมธานี!M621"")+IMPORTRANGE(""https://docs.google.com/spreadsheets/d/1GbCI"&amp;"E4D4wk9FUozzqk7SxfDMxDVBwVmI5zcaVUSzKAc/edit?usp=sharing"",""ประจวบคีรีขันธ์!M621"")+IMPORTRANGE(""https://docs.google.com/spreadsheets/d/1vVf6wykvW_lAyu7Yo9L4hUTqHqIeP_qcVuxCtosJEbg/edit?usp=sharing"",""ปราจีนบุรี!M621"")+IMPORTRANGE(""https://docs.googl"&amp;"e.com/spreadsheets/d/1BIDqLLg5jk3v59G8NlR8rk5xfQDKne0sAvZHSj7TI6I/edit?usp=sharing"",""พระนครศรีอยุธยา!M621"")+IMPORTRANGE(""https://docs.google.com/spreadsheets/d/1YXvxf8Yu6_rV4hTBrwMqAcAnv6DfhUxh5emyM3CJp_w/edit?usp=sharing"",""เพชรบุรี!M621"")+IMPORTRA"&amp;"NGE(""https://docs.google.com/spreadsheets/d/19KBlQQs7uwvsao6t2n-KvW3Ax8J8uRRfZPq1zPbXgKc/edit?usp=sharing"",""ระยอง!M621"")+IMPORTRANGE(""https://docs.google.com/spreadsheets/d/1jQ6P4QcrGM89YfqcC_PxOHGCMq5ezhucwJd8ci-NHng/edit?usp=sharing"",""ราชบุรี!M62"&amp;"1"")+IMPORTRANGE(""https://docs.google.com/spreadsheets/d/1lufeA2cfFqM-elVq2hznhDzC6Pr7wkJ9ZG_sYNGCMCU/edit?usp=sharing"",""ลพบุรี!M621"")+IMPORTRANGE(""https://docs.google.com/spreadsheets/d/10oOiF7loTyfsTkbd4MpaIm0HQ9SwB7IYHdIUvt-U1Uc/edit?usp=sharing"""&amp;",""สระแก้ว!M621"")+IMPORTRANGE(""https://docs.google.com/spreadsheets/d/1xmPlrr1QbdSIKvl1dWUl9K4PjAfSL9oeMr_37QVzcxc/edit?usp=sharing"",""สระบุรี!M621"")+IMPORTRANGE(""https://docs.google.com/spreadsheets/d/1j51vR6CYVGhABJpv6tkstgok82RLpXieLzW1yOY5rHw/edi"&amp;"t?usp=sharing"",""สิงห์บุรี!M621"")+IMPORTRANGE(""https://docs.google.com/spreadsheets/d/1H1EalTWKUSzO4Z1-1CwzoDUaVffgrThEBe2sl74kKG0/edit?usp=sharing"",""สุพรรณบุรี!M621"")+IMPORTRANGE(""https://docs.google.com/spreadsheets/d/1BmIruG_sIrJLYao_Pdr7zVArWsf"&amp;"oBt2692TMi6x_854/edit?usp=sharing"",""อ่างทอง!M621"")"),0)</f>
        <v>0</v>
      </c>
      <c r="N621" s="77">
        <f ca="1">IFERROR(__xludf.DUMMYFUNCTION("IMPORTRANGE(""https://docs.google.com/spreadsheets/d/13wPX838HrBrQMCywv1BsuMkt4PEKTChp52zj44s2izQ/edit?usp=sharing"",""กาญจนบุรี!N621"")+IMPORTRANGE(""https://docs.google.com/spreadsheets/d/1ddFKvqj1W1NEiWytbGlB1zMx_ykJDVtmfEQ-6-lIUBA/edit?usp=sharing"","&amp;"""จันทบุรี!N621"")+IMPORTRANGE(""https://docs.google.com/spreadsheets/d/1T1PQvRODqOBZk8BRht_U031fIS1beLA0Ub2CEytj2q0/edit?usp=sharing"",""ฉะเชิงเทรา!N621"")+IMPORTRANGE(""https://docs.google.com/spreadsheets/d/11tr1B-Bhyr79v2bkwVh5h_fR-PStkgjlZtkrZpYurG0/"&amp;"edit?usp=sharing"",""ชลบุรี!N621"")+IMPORTRANGE(""https://docs.google.com/spreadsheets/d/1hh-FVnSX0vozXhGluamEcS54Dw9_zqW0N7qJUWgJ0Sw/edit?usp=sharing"",""ชัยนาท!N621"")+IMPORTRANGE(""https://docs.google.com/spreadsheets/d/1jkqa6GXxSacMcY1eN8AHjMNJ_7dDXMJ"&amp;"VRLDlaFSOdPM/edit?usp=sharing"",""ตราด!N621"")+IMPORTRANGE(""https://docs.google.com/spreadsheets/d/18hSgUJ3VwClqi_qtULmmW3cLr0oe3OKaSYoKzdpTsYQ/edit?usp=sharing"",""นครนายก!N621"")+IMPORTRANGE(""https://docs.google.com/spreadsheets/d/1YTZo6WM2dQ6Ix6FSdnL"&amp;"5P7uVnVKu40sxZu975tgG10E/edit?usp=sharing"",""นครปฐม!N621"")+IMPORTRANGE(""https://docs.google.com/spreadsheets/d/1OYoGg4WDg5RIzwGeB10padOxJF9E_Vljuvvct_M7RDo/edit?usp=sharing"",""ปทุมธานี!N621"")+IMPORTRANGE(""https://docs.google.com/spreadsheets/d/1GbCI"&amp;"E4D4wk9FUozzqk7SxfDMxDVBwVmI5zcaVUSzKAc/edit?usp=sharing"",""ประจวบคีรีขันธ์!N621"")+IMPORTRANGE(""https://docs.google.com/spreadsheets/d/1vVf6wykvW_lAyu7Yo9L4hUTqHqIeP_qcVuxCtosJEbg/edit?usp=sharing"",""ปราจีนบุรี!N621"")+IMPORTRANGE(""https://docs.googl"&amp;"e.com/spreadsheets/d/1BIDqLLg5jk3v59G8NlR8rk5xfQDKne0sAvZHSj7TI6I/edit?usp=sharing"",""พระนครศรีอยุธยา!N621"")+IMPORTRANGE(""https://docs.google.com/spreadsheets/d/1YXvxf8Yu6_rV4hTBrwMqAcAnv6DfhUxh5emyM3CJp_w/edit?usp=sharing"",""เพชรบุรี!N621"")+IMPORTRA"&amp;"NGE(""https://docs.google.com/spreadsheets/d/19KBlQQs7uwvsao6t2n-KvW3Ax8J8uRRfZPq1zPbXgKc/edit?usp=sharing"",""ระยอง!N621"")+IMPORTRANGE(""https://docs.google.com/spreadsheets/d/1jQ6P4QcrGM89YfqcC_PxOHGCMq5ezhucwJd8ci-NHng/edit?usp=sharing"",""ราชบุรี!N62"&amp;"1"")+IMPORTRANGE(""https://docs.google.com/spreadsheets/d/1lufeA2cfFqM-elVq2hznhDzC6Pr7wkJ9ZG_sYNGCMCU/edit?usp=sharing"",""ลพบุรี!N621"")+IMPORTRANGE(""https://docs.google.com/spreadsheets/d/10oOiF7loTyfsTkbd4MpaIm0HQ9SwB7IYHdIUvt-U1Uc/edit?usp=sharing"""&amp;",""สระแก้ว!N621"")+IMPORTRANGE(""https://docs.google.com/spreadsheets/d/1xmPlrr1QbdSIKvl1dWUl9K4PjAfSL9oeMr_37QVzcxc/edit?usp=sharing"",""สระบุรี!N621"")+IMPORTRANGE(""https://docs.google.com/spreadsheets/d/1j51vR6CYVGhABJpv6tkstgok82RLpXieLzW1yOY5rHw/edi"&amp;"t?usp=sharing"",""สิงห์บุรี!N621"")+IMPORTRANGE(""https://docs.google.com/spreadsheets/d/1H1EalTWKUSzO4Z1-1CwzoDUaVffgrThEBe2sl74kKG0/edit?usp=sharing"",""สุพรรณบุรี!N621"")+IMPORTRANGE(""https://docs.google.com/spreadsheets/d/1BmIruG_sIrJLYao_Pdr7zVArWsf"&amp;"oBt2692TMi6x_854/edit?usp=sharing"",""อ่างทอง!N621"")"),0)</f>
        <v>0</v>
      </c>
      <c r="O621" s="77">
        <f t="shared" ca="1" si="430"/>
        <v>0</v>
      </c>
      <c r="P621" s="77">
        <f t="shared" ca="1" si="431"/>
        <v>0</v>
      </c>
      <c r="Q621" s="134">
        <f ca="1">IFERROR(__xludf.DUMMYFUNCTION("IMPORTRANGE(""https://docs.google.com/spreadsheets/d/13wPX838HrBrQMCywv1BsuMkt4PEKTChp52zj44s2izQ/edit?usp=sharing"",""กาญจนบุรี!Q621"")+IMPORTRANGE(""https://docs.google.com/spreadsheets/d/1ddFKvqj1W1NEiWytbGlB1zMx_ykJDVtmfEQ-6-lIUBA/edit?usp=sharing"","&amp;"""จันทบุรี!Q621"")+IMPORTRANGE(""https://docs.google.com/spreadsheets/d/1T1PQvRODqOBZk8BRht_U031fIS1beLA0Ub2CEytj2q0/edit?usp=sharing"",""ฉะเชิงเทรา!Q621"")+IMPORTRANGE(""https://docs.google.com/spreadsheets/d/11tr1B-Bhyr79v2bkwVh5h_fR-PStkgjlZtkrZpYurG0/"&amp;"edit?usp=sharing"",""ชลบุรี!Q621"")+IMPORTRANGE(""https://docs.google.com/spreadsheets/d/1hh-FVnSX0vozXhGluamEcS54Dw9_zqW0N7qJUWgJ0Sw/edit?usp=sharing"",""ชัยนาท!Q621"")+IMPORTRANGE(""https://docs.google.com/spreadsheets/d/1jkqa6GXxSacMcY1eN8AHjMNJ_7dDXMJ"&amp;"VRLDlaFSOdPM/edit?usp=sharing"",""ตราด!Q621"")+IMPORTRANGE(""https://docs.google.com/spreadsheets/d/18hSgUJ3VwClqi_qtULmmW3cLr0oe3OKaSYoKzdpTsYQ/edit?usp=sharing"",""นครนายก!Q621"")+IMPORTRANGE(""https://docs.google.com/spreadsheets/d/1YTZo6WM2dQ6Ix6FSdnL"&amp;"5P7uVnVKu40sxZu975tgG10E/edit?usp=sharing"",""นครปฐม!Q621"")+IMPORTRANGE(""https://docs.google.com/spreadsheets/d/1OYoGg4WDg5RIzwGeB10padOxJF9E_Vljuvvct_M7RDo/edit?usp=sharing"",""ปทุมธานี!Q621"")+IMPORTRANGE(""https://docs.google.com/spreadsheets/d/1GbCI"&amp;"E4D4wk9FUozzqk7SxfDMxDVBwVmI5zcaVUSzKAc/edit?usp=sharing"",""ประจวบคีรีขันธ์!Q621"")+IMPORTRANGE(""https://docs.google.com/spreadsheets/d/1vVf6wykvW_lAyu7Yo9L4hUTqHqIeP_qcVuxCtosJEbg/edit?usp=sharing"",""ปราจีนบุรี!Q621"")+IMPORTRANGE(""https://docs.googl"&amp;"e.com/spreadsheets/d/1BIDqLLg5jk3v59G8NlR8rk5xfQDKne0sAvZHSj7TI6I/edit?usp=sharing"",""พระนครศรีอยุธยา!Q621"")+IMPORTRANGE(""https://docs.google.com/spreadsheets/d/1YXvxf8Yu6_rV4hTBrwMqAcAnv6DfhUxh5emyM3CJp_w/edit?usp=sharing"",""เพชรบุรี!Q621"")+IMPORTRA"&amp;"NGE(""https://docs.google.com/spreadsheets/d/19KBlQQs7uwvsao6t2n-KvW3Ax8J8uRRfZPq1zPbXgKc/edit?usp=sharing"",""ระยอง!Q621"")+IMPORTRANGE(""https://docs.google.com/spreadsheets/d/1jQ6P4QcrGM89YfqcC_PxOHGCMq5ezhucwJd8ci-NHng/edit?usp=sharing"",""ราชบุรี!Q62"&amp;"1"")+IMPORTRANGE(""https://docs.google.com/spreadsheets/d/1lufeA2cfFqM-elVq2hznhDzC6Pr7wkJ9ZG_sYNGCMCU/edit?usp=sharing"",""ลพบุรี!Q621"")+IMPORTRANGE(""https://docs.google.com/spreadsheets/d/10oOiF7loTyfsTkbd4MpaIm0HQ9SwB7IYHdIUvt-U1Uc/edit?usp=sharing"""&amp;",""สระแก้ว!Q621"")+IMPORTRANGE(""https://docs.google.com/spreadsheets/d/1xmPlrr1QbdSIKvl1dWUl9K4PjAfSL9oeMr_37QVzcxc/edit?usp=sharing"",""สระบุรี!Q621"")+IMPORTRANGE(""https://docs.google.com/spreadsheets/d/1j51vR6CYVGhABJpv6tkstgok82RLpXieLzW1yOY5rHw/edi"&amp;"t?usp=sharing"",""สิงห์บุรี!Q621"")+IMPORTRANGE(""https://docs.google.com/spreadsheets/d/1H1EalTWKUSzO4Z1-1CwzoDUaVffgrThEBe2sl74kKG0/edit?usp=sharing"",""สุพรรณบุรี!Q621"")+IMPORTRANGE(""https://docs.google.com/spreadsheets/d/1BmIruG_sIrJLYao_Pdr7zVArWsf"&amp;"oBt2692TMi6x_854/edit?usp=sharing"",""อ่างทอง!Q621"")"),143975)</f>
        <v>143975</v>
      </c>
      <c r="R621" s="135">
        <f ca="1">IFERROR(__xludf.DUMMYFUNCTION("IMPORTRANGE(""https://docs.google.com/spreadsheets/d/13wPX838HrBrQMCywv1BsuMkt4PEKTChp52zj44s2izQ/edit?usp=sharing"",""กาญจนบุรี!R621"")+IMPORTRANGE(""https://docs.google.com/spreadsheets/d/1ddFKvqj1W1NEiWytbGlB1zMx_ykJDVtmfEQ-6-lIUBA/edit?usp=sharing"","&amp;"""จันทบุรี!R621"")+IMPORTRANGE(""https://docs.google.com/spreadsheets/d/1T1PQvRODqOBZk8BRht_U031fIS1beLA0Ub2CEytj2q0/edit?usp=sharing"",""ฉะเชิงเทรา!R621"")+IMPORTRANGE(""https://docs.google.com/spreadsheets/d/11tr1B-Bhyr79v2bkwVh5h_fR-PStkgjlZtkrZpYurG0/"&amp;"edit?usp=sharing"",""ชลบุรี!R621"")+IMPORTRANGE(""https://docs.google.com/spreadsheets/d/1hh-FVnSX0vozXhGluamEcS54Dw9_zqW0N7qJUWgJ0Sw/edit?usp=sharing"",""ชัยนาท!R621"")+IMPORTRANGE(""https://docs.google.com/spreadsheets/d/1jkqa6GXxSacMcY1eN8AHjMNJ_7dDXMJ"&amp;"VRLDlaFSOdPM/edit?usp=sharing"",""ตราด!R621"")+IMPORTRANGE(""https://docs.google.com/spreadsheets/d/18hSgUJ3VwClqi_qtULmmW3cLr0oe3OKaSYoKzdpTsYQ/edit?usp=sharing"",""นครนายก!R621"")+IMPORTRANGE(""https://docs.google.com/spreadsheets/d/1YTZo6WM2dQ6Ix6FSdnL"&amp;"5P7uVnVKu40sxZu975tgG10E/edit?usp=sharing"",""นครปฐม!R621"")+IMPORTRANGE(""https://docs.google.com/spreadsheets/d/1OYoGg4WDg5RIzwGeB10padOxJF9E_Vljuvvct_M7RDo/edit?usp=sharing"",""ปทุมธานี!R621"")+IMPORTRANGE(""https://docs.google.com/spreadsheets/d/1GbCI"&amp;"E4D4wk9FUozzqk7SxfDMxDVBwVmI5zcaVUSzKAc/edit?usp=sharing"",""ประจวบคีรีขันธ์!R621"")+IMPORTRANGE(""https://docs.google.com/spreadsheets/d/1vVf6wykvW_lAyu7Yo9L4hUTqHqIeP_qcVuxCtosJEbg/edit?usp=sharing"",""ปราจีนบุรี!R621"")+IMPORTRANGE(""https://docs.googl"&amp;"e.com/spreadsheets/d/1BIDqLLg5jk3v59G8NlR8rk5xfQDKne0sAvZHSj7TI6I/edit?usp=sharing"",""พระนครศรีอยุธยา!R621"")+IMPORTRANGE(""https://docs.google.com/spreadsheets/d/1YXvxf8Yu6_rV4hTBrwMqAcAnv6DfhUxh5emyM3CJp_w/edit?usp=sharing"",""เพชรบุรี!R621"")+IMPORTRA"&amp;"NGE(""https://docs.google.com/spreadsheets/d/19KBlQQs7uwvsao6t2n-KvW3Ax8J8uRRfZPq1zPbXgKc/edit?usp=sharing"",""ระยอง!R621"")+IMPORTRANGE(""https://docs.google.com/spreadsheets/d/1jQ6P4QcrGM89YfqcC_PxOHGCMq5ezhucwJd8ci-NHng/edit?usp=sharing"",""ราชบุรี!R62"&amp;"1"")+IMPORTRANGE(""https://docs.google.com/spreadsheets/d/1lufeA2cfFqM-elVq2hznhDzC6Pr7wkJ9ZG_sYNGCMCU/edit?usp=sharing"",""ลพบุรี!R621"")+IMPORTRANGE(""https://docs.google.com/spreadsheets/d/10oOiF7loTyfsTkbd4MpaIm0HQ9SwB7IYHdIUvt-U1Uc/edit?usp=sharing"""&amp;",""สระแก้ว!R621"")+IMPORTRANGE(""https://docs.google.com/spreadsheets/d/1xmPlrr1QbdSIKvl1dWUl9K4PjAfSL9oeMr_37QVzcxc/edit?usp=sharing"",""สระบุรี!R621"")+IMPORTRANGE(""https://docs.google.com/spreadsheets/d/1j51vR6CYVGhABJpv6tkstgok82RLpXieLzW1yOY5rHw/edi"&amp;"t?usp=sharing"",""สิงห์บุรี!R621"")+IMPORTRANGE(""https://docs.google.com/spreadsheets/d/1H1EalTWKUSzO4Z1-1CwzoDUaVffgrThEBe2sl74kKG0/edit?usp=sharing"",""สุพรรณบุรี!R621"")+IMPORTRANGE(""https://docs.google.com/spreadsheets/d/1BmIruG_sIrJLYao_Pdr7zVArWsf"&amp;"oBt2692TMi6x_854/edit?usp=sharing"",""อ่างทอง!R621"")"),143975)</f>
        <v>143975</v>
      </c>
      <c r="S621" s="135">
        <f ca="1">IFERROR(__xludf.DUMMYFUNCTION("IMPORTRANGE(""https://docs.google.com/spreadsheets/d/13wPX838HrBrQMCywv1BsuMkt4PEKTChp52zj44s2izQ/edit?usp=sharing"",""กาญจนบุรี!S621"")+IMPORTRANGE(""https://docs.google.com/spreadsheets/d/1ddFKvqj1W1NEiWytbGlB1zMx_ykJDVtmfEQ-6-lIUBA/edit?usp=sharing"","&amp;"""จันทบุรี!S621"")+IMPORTRANGE(""https://docs.google.com/spreadsheets/d/1T1PQvRODqOBZk8BRht_U031fIS1beLA0Ub2CEytj2q0/edit?usp=sharing"",""ฉะเชิงเทรา!S621"")+IMPORTRANGE(""https://docs.google.com/spreadsheets/d/11tr1B-Bhyr79v2bkwVh5h_fR-PStkgjlZtkrZpYurG0/"&amp;"edit?usp=sharing"",""ชลบุรี!S621"")+IMPORTRANGE(""https://docs.google.com/spreadsheets/d/1hh-FVnSX0vozXhGluamEcS54Dw9_zqW0N7qJUWgJ0Sw/edit?usp=sharing"",""ชัยนาท!S621"")+IMPORTRANGE(""https://docs.google.com/spreadsheets/d/1jkqa6GXxSacMcY1eN8AHjMNJ_7dDXMJ"&amp;"VRLDlaFSOdPM/edit?usp=sharing"",""ตราด!S621"")+IMPORTRANGE(""https://docs.google.com/spreadsheets/d/18hSgUJ3VwClqi_qtULmmW3cLr0oe3OKaSYoKzdpTsYQ/edit?usp=sharing"",""นครนายก!S621"")+IMPORTRANGE(""https://docs.google.com/spreadsheets/d/1YTZo6WM2dQ6Ix6FSdnL"&amp;"5P7uVnVKu40sxZu975tgG10E/edit?usp=sharing"",""นครปฐม!S621"")+IMPORTRANGE(""https://docs.google.com/spreadsheets/d/1OYoGg4WDg5RIzwGeB10padOxJF9E_Vljuvvct_M7RDo/edit?usp=sharing"",""ปทุมธานี!S621"")+IMPORTRANGE(""https://docs.google.com/spreadsheets/d/1GbCI"&amp;"E4D4wk9FUozzqk7SxfDMxDVBwVmI5zcaVUSzKAc/edit?usp=sharing"",""ประจวบคีรีขันธ์!S621"")+IMPORTRANGE(""https://docs.google.com/spreadsheets/d/1vVf6wykvW_lAyu7Yo9L4hUTqHqIeP_qcVuxCtosJEbg/edit?usp=sharing"",""ปราจีนบุรี!S621"")+IMPORTRANGE(""https://docs.googl"&amp;"e.com/spreadsheets/d/1BIDqLLg5jk3v59G8NlR8rk5xfQDKne0sAvZHSj7TI6I/edit?usp=sharing"",""พระนครศรีอยุธยา!S621"")+IMPORTRANGE(""https://docs.google.com/spreadsheets/d/1YXvxf8Yu6_rV4hTBrwMqAcAnv6DfhUxh5emyM3CJp_w/edit?usp=sharing"",""เพชรบุรี!S621"")+IMPORTRA"&amp;"NGE(""https://docs.google.com/spreadsheets/d/19KBlQQs7uwvsao6t2n-KvW3Ax8J8uRRfZPq1zPbXgKc/edit?usp=sharing"",""ระยอง!S621"")+IMPORTRANGE(""https://docs.google.com/spreadsheets/d/1jQ6P4QcrGM89YfqcC_PxOHGCMq5ezhucwJd8ci-NHng/edit?usp=sharing"",""ราชบุรี!S62"&amp;"1"")+IMPORTRANGE(""https://docs.google.com/spreadsheets/d/1lufeA2cfFqM-elVq2hznhDzC6Pr7wkJ9ZG_sYNGCMCU/edit?usp=sharing"",""ลพบุรี!S621"")+IMPORTRANGE(""https://docs.google.com/spreadsheets/d/10oOiF7loTyfsTkbd4MpaIm0HQ9SwB7IYHdIUvt-U1Uc/edit?usp=sharing"""&amp;",""สระแก้ว!S621"")+IMPORTRANGE(""https://docs.google.com/spreadsheets/d/1xmPlrr1QbdSIKvl1dWUl9K4PjAfSL9oeMr_37QVzcxc/edit?usp=sharing"",""สระบุรี!S621"")+IMPORTRANGE(""https://docs.google.com/spreadsheets/d/1j51vR6CYVGhABJpv6tkstgok82RLpXieLzW1yOY5rHw/edi"&amp;"t?usp=sharing"",""สิงห์บุรี!S621"")+IMPORTRANGE(""https://docs.google.com/spreadsheets/d/1H1EalTWKUSzO4Z1-1CwzoDUaVffgrThEBe2sl74kKG0/edit?usp=sharing"",""สุพรรณบุรี!S621"")+IMPORTRANGE(""https://docs.google.com/spreadsheets/d/1BmIruG_sIrJLYao_Pdr7zVArWsf"&amp;"oBt2692TMi6x_854/edit?usp=sharing"",""อ่างทอง!S621"")"),16696)</f>
        <v>16696</v>
      </c>
      <c r="T621" s="135">
        <f t="shared" ca="1" si="433"/>
        <v>11.59645771835388</v>
      </c>
      <c r="U621" s="135">
        <f t="shared" ca="1" si="434"/>
        <v>11.59645771835388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 t="shared" ref="L622:N622" ca="1" si="441">L623+L624</f>
        <v>0</v>
      </c>
      <c r="M622" s="77">
        <f t="shared" ca="1" si="441"/>
        <v>0</v>
      </c>
      <c r="N622" s="77">
        <f t="shared" ca="1" si="441"/>
        <v>0</v>
      </c>
      <c r="O622" s="77">
        <f t="shared" ca="1" si="430"/>
        <v>0</v>
      </c>
      <c r="P622" s="77">
        <f t="shared" ca="1" si="431"/>
        <v>0</v>
      </c>
      <c r="Q622" s="134">
        <f t="shared" ref="Q622:S622" ca="1" si="442">Q623+Q624</f>
        <v>0</v>
      </c>
      <c r="R622" s="135">
        <f t="shared" ca="1" si="442"/>
        <v>0</v>
      </c>
      <c r="S622" s="135">
        <f t="shared" ca="1" si="442"/>
        <v>0</v>
      </c>
      <c r="T622" s="135">
        <f t="shared" ca="1" si="433"/>
        <v>0</v>
      </c>
      <c r="U622" s="135">
        <f t="shared" ca="1" si="434"/>
        <v>0</v>
      </c>
    </row>
    <row r="623" spans="1:21" ht="18.75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f ca="1">IFERROR(__xludf.DUMMYFUNCTION("IMPORTRANGE(""https://docs.google.com/spreadsheets/d/13wPX838HrBrQMCywv1BsuMkt4PEKTChp52zj44s2izQ/edit?usp=sharing"",""กาญจนบุรี!L623"")+IMPORTRANGE(""https://docs.google.com/spreadsheets/d/1ddFKvqj1W1NEiWytbGlB1zMx_ykJDVtmfEQ-6-lIUBA/edit?usp=sharing"","&amp;"""จันทบุรี!L623"")+IMPORTRANGE(""https://docs.google.com/spreadsheets/d/1T1PQvRODqOBZk8BRht_U031fIS1beLA0Ub2CEytj2q0/edit?usp=sharing"",""ฉะเชิงเทรา!L623"")+IMPORTRANGE(""https://docs.google.com/spreadsheets/d/11tr1B-Bhyr79v2bkwVh5h_fR-PStkgjlZtkrZpYurG0/"&amp;"edit?usp=sharing"",""ชลบุรี!L623"")+IMPORTRANGE(""https://docs.google.com/spreadsheets/d/1hh-FVnSX0vozXhGluamEcS54Dw9_zqW0N7qJUWgJ0Sw/edit?usp=sharing"",""ชัยนาท!L623"")+IMPORTRANGE(""https://docs.google.com/spreadsheets/d/1jkqa6GXxSacMcY1eN8AHjMNJ_7dDXMJ"&amp;"VRLDlaFSOdPM/edit?usp=sharing"",""ตราด!L623"")+IMPORTRANGE(""https://docs.google.com/spreadsheets/d/18hSgUJ3VwClqi_qtULmmW3cLr0oe3OKaSYoKzdpTsYQ/edit?usp=sharing"",""นครนายก!L623"")+IMPORTRANGE(""https://docs.google.com/spreadsheets/d/1YTZo6WM2dQ6Ix6FSdnL"&amp;"5P7uVnVKu40sxZu975tgG10E/edit?usp=sharing"",""นครปฐม!L623"")+IMPORTRANGE(""https://docs.google.com/spreadsheets/d/1OYoGg4WDg5RIzwGeB10padOxJF9E_Vljuvvct_M7RDo/edit?usp=sharing"",""ปทุมธานี!L623"")+IMPORTRANGE(""https://docs.google.com/spreadsheets/d/1GbCI"&amp;"E4D4wk9FUozzqk7SxfDMxDVBwVmI5zcaVUSzKAc/edit?usp=sharing"",""ประจวบคีรีขันธ์!L623"")+IMPORTRANGE(""https://docs.google.com/spreadsheets/d/1vVf6wykvW_lAyu7Yo9L4hUTqHqIeP_qcVuxCtosJEbg/edit?usp=sharing"",""ปราจีนบุรี!L623"")+IMPORTRANGE(""https://docs.googl"&amp;"e.com/spreadsheets/d/1BIDqLLg5jk3v59G8NlR8rk5xfQDKne0sAvZHSj7TI6I/edit?usp=sharing"",""พระนครศรีอยุธยา!L623"")+IMPORTRANGE(""https://docs.google.com/spreadsheets/d/1YXvxf8Yu6_rV4hTBrwMqAcAnv6DfhUxh5emyM3CJp_w/edit?usp=sharing"",""เพชรบุรี!L623"")+IMPORTRA"&amp;"NGE(""https://docs.google.com/spreadsheets/d/19KBlQQs7uwvsao6t2n-KvW3Ax8J8uRRfZPq1zPbXgKc/edit?usp=sharing"",""ระยอง!L623"")+IMPORTRANGE(""https://docs.google.com/spreadsheets/d/1jQ6P4QcrGM89YfqcC_PxOHGCMq5ezhucwJd8ci-NHng/edit?usp=sharing"",""ราชบุรี!L62"&amp;"3"")+IMPORTRANGE(""https://docs.google.com/spreadsheets/d/1lufeA2cfFqM-elVq2hznhDzC6Pr7wkJ9ZG_sYNGCMCU/edit?usp=sharing"",""ลพบุรี!L623"")+IMPORTRANGE(""https://docs.google.com/spreadsheets/d/10oOiF7loTyfsTkbd4MpaIm0HQ9SwB7IYHdIUvt-U1Uc/edit?usp=sharing"""&amp;",""สระแก้ว!L623"")+IMPORTRANGE(""https://docs.google.com/spreadsheets/d/1xmPlrr1QbdSIKvl1dWUl9K4PjAfSL9oeMr_37QVzcxc/edit?usp=sharing"",""สระบุรี!L623"")+IMPORTRANGE(""https://docs.google.com/spreadsheets/d/1j51vR6CYVGhABJpv6tkstgok82RLpXieLzW1yOY5rHw/edi"&amp;"t?usp=sharing"",""สิงห์บุรี!L623"")+IMPORTRANGE(""https://docs.google.com/spreadsheets/d/1H1EalTWKUSzO4Z1-1CwzoDUaVffgrThEBe2sl74kKG0/edit?usp=sharing"",""สุพรรณบุรี!L623"")+IMPORTRANGE(""https://docs.google.com/spreadsheets/d/1BmIruG_sIrJLYao_Pdr7zVArWsf"&amp;"oBt2692TMi6x_854/edit?usp=sharing"",""อ่างทอง!L623"")"),0)</f>
        <v>0</v>
      </c>
      <c r="M623" s="80">
        <f ca="1">IFERROR(__xludf.DUMMYFUNCTION("IMPORTRANGE(""https://docs.google.com/spreadsheets/d/13wPX838HrBrQMCywv1BsuMkt4PEKTChp52zj44s2izQ/edit?usp=sharing"",""กาญจนบุรี!M623"")+IMPORTRANGE(""https://docs.google.com/spreadsheets/d/1ddFKvqj1W1NEiWytbGlB1zMx_ykJDVtmfEQ-6-lIUBA/edit?usp=sharing"","&amp;"""จันทบุรี!M623"")+IMPORTRANGE(""https://docs.google.com/spreadsheets/d/1T1PQvRODqOBZk8BRht_U031fIS1beLA0Ub2CEytj2q0/edit?usp=sharing"",""ฉะเชิงเทรา!M623"")+IMPORTRANGE(""https://docs.google.com/spreadsheets/d/11tr1B-Bhyr79v2bkwVh5h_fR-PStkgjlZtkrZpYurG0/"&amp;"edit?usp=sharing"",""ชลบุรี!M623"")+IMPORTRANGE(""https://docs.google.com/spreadsheets/d/1hh-FVnSX0vozXhGluamEcS54Dw9_zqW0N7qJUWgJ0Sw/edit?usp=sharing"",""ชัยนาท!M623"")+IMPORTRANGE(""https://docs.google.com/spreadsheets/d/1jkqa6GXxSacMcY1eN8AHjMNJ_7dDXMJ"&amp;"VRLDlaFSOdPM/edit?usp=sharing"",""ตราด!M623"")+IMPORTRANGE(""https://docs.google.com/spreadsheets/d/18hSgUJ3VwClqi_qtULmmW3cLr0oe3OKaSYoKzdpTsYQ/edit?usp=sharing"",""นครนายก!M623"")+IMPORTRANGE(""https://docs.google.com/spreadsheets/d/1YTZo6WM2dQ6Ix6FSdnL"&amp;"5P7uVnVKu40sxZu975tgG10E/edit?usp=sharing"",""นครปฐม!M623"")+IMPORTRANGE(""https://docs.google.com/spreadsheets/d/1OYoGg4WDg5RIzwGeB10padOxJF9E_Vljuvvct_M7RDo/edit?usp=sharing"",""ปทุมธานี!M623"")+IMPORTRANGE(""https://docs.google.com/spreadsheets/d/1GbCI"&amp;"E4D4wk9FUozzqk7SxfDMxDVBwVmI5zcaVUSzKAc/edit?usp=sharing"",""ประจวบคีรีขันธ์!M623"")+IMPORTRANGE(""https://docs.google.com/spreadsheets/d/1vVf6wykvW_lAyu7Yo9L4hUTqHqIeP_qcVuxCtosJEbg/edit?usp=sharing"",""ปราจีนบุรี!M623"")+IMPORTRANGE(""https://docs.googl"&amp;"e.com/spreadsheets/d/1BIDqLLg5jk3v59G8NlR8rk5xfQDKne0sAvZHSj7TI6I/edit?usp=sharing"",""พระนครศรีอยุธยา!M623"")+IMPORTRANGE(""https://docs.google.com/spreadsheets/d/1YXvxf8Yu6_rV4hTBrwMqAcAnv6DfhUxh5emyM3CJp_w/edit?usp=sharing"",""เพชรบุรี!M623"")+IMPORTRA"&amp;"NGE(""https://docs.google.com/spreadsheets/d/19KBlQQs7uwvsao6t2n-KvW3Ax8J8uRRfZPq1zPbXgKc/edit?usp=sharing"",""ระยอง!M623"")+IMPORTRANGE(""https://docs.google.com/spreadsheets/d/1jQ6P4QcrGM89YfqcC_PxOHGCMq5ezhucwJd8ci-NHng/edit?usp=sharing"",""ราชบุรี!M62"&amp;"3"")+IMPORTRANGE(""https://docs.google.com/spreadsheets/d/1lufeA2cfFqM-elVq2hznhDzC6Pr7wkJ9ZG_sYNGCMCU/edit?usp=sharing"",""ลพบุรี!M623"")+IMPORTRANGE(""https://docs.google.com/spreadsheets/d/10oOiF7loTyfsTkbd4MpaIm0HQ9SwB7IYHdIUvt-U1Uc/edit?usp=sharing"""&amp;",""สระแก้ว!M623"")+IMPORTRANGE(""https://docs.google.com/spreadsheets/d/1xmPlrr1QbdSIKvl1dWUl9K4PjAfSL9oeMr_37QVzcxc/edit?usp=sharing"",""สระบุรี!M623"")+IMPORTRANGE(""https://docs.google.com/spreadsheets/d/1j51vR6CYVGhABJpv6tkstgok82RLpXieLzW1yOY5rHw/edi"&amp;"t?usp=sharing"",""สิงห์บุรี!M623"")+IMPORTRANGE(""https://docs.google.com/spreadsheets/d/1H1EalTWKUSzO4Z1-1CwzoDUaVffgrThEBe2sl74kKG0/edit?usp=sharing"",""สุพรรณบุรี!M623"")+IMPORTRANGE(""https://docs.google.com/spreadsheets/d/1BmIruG_sIrJLYao_Pdr7zVArWsf"&amp;"oBt2692TMi6x_854/edit?usp=sharing"",""อ่างทอง!M623"")"),0)</f>
        <v>0</v>
      </c>
      <c r="N623" s="80">
        <f ca="1">IFERROR(__xludf.DUMMYFUNCTION("IMPORTRANGE(""https://docs.google.com/spreadsheets/d/13wPX838HrBrQMCywv1BsuMkt4PEKTChp52zj44s2izQ/edit?usp=sharing"",""กาญจนบุรี!N623"")+IMPORTRANGE(""https://docs.google.com/spreadsheets/d/1ddFKvqj1W1NEiWytbGlB1zMx_ykJDVtmfEQ-6-lIUBA/edit?usp=sharing"","&amp;"""จันทบุรี!N623"")+IMPORTRANGE(""https://docs.google.com/spreadsheets/d/1T1PQvRODqOBZk8BRht_U031fIS1beLA0Ub2CEytj2q0/edit?usp=sharing"",""ฉะเชิงเทรา!N623"")+IMPORTRANGE(""https://docs.google.com/spreadsheets/d/11tr1B-Bhyr79v2bkwVh5h_fR-PStkgjlZtkrZpYurG0/"&amp;"edit?usp=sharing"",""ชลบุรี!N623"")+IMPORTRANGE(""https://docs.google.com/spreadsheets/d/1hh-FVnSX0vozXhGluamEcS54Dw9_zqW0N7qJUWgJ0Sw/edit?usp=sharing"",""ชัยนาท!N623"")+IMPORTRANGE(""https://docs.google.com/spreadsheets/d/1jkqa6GXxSacMcY1eN8AHjMNJ_7dDXMJ"&amp;"VRLDlaFSOdPM/edit?usp=sharing"",""ตราด!N623"")+IMPORTRANGE(""https://docs.google.com/spreadsheets/d/18hSgUJ3VwClqi_qtULmmW3cLr0oe3OKaSYoKzdpTsYQ/edit?usp=sharing"",""นครนายก!N623"")+IMPORTRANGE(""https://docs.google.com/spreadsheets/d/1YTZo6WM2dQ6Ix6FSdnL"&amp;"5P7uVnVKu40sxZu975tgG10E/edit?usp=sharing"",""นครปฐม!N623"")+IMPORTRANGE(""https://docs.google.com/spreadsheets/d/1OYoGg4WDg5RIzwGeB10padOxJF9E_Vljuvvct_M7RDo/edit?usp=sharing"",""ปทุมธานี!N623"")+IMPORTRANGE(""https://docs.google.com/spreadsheets/d/1GbCI"&amp;"E4D4wk9FUozzqk7SxfDMxDVBwVmI5zcaVUSzKAc/edit?usp=sharing"",""ประจวบคีรีขันธ์!N623"")+IMPORTRANGE(""https://docs.google.com/spreadsheets/d/1vVf6wykvW_lAyu7Yo9L4hUTqHqIeP_qcVuxCtosJEbg/edit?usp=sharing"",""ปราจีนบุรี!N623"")+IMPORTRANGE(""https://docs.googl"&amp;"e.com/spreadsheets/d/1BIDqLLg5jk3v59G8NlR8rk5xfQDKne0sAvZHSj7TI6I/edit?usp=sharing"",""พระนครศรีอยุธยา!N623"")+IMPORTRANGE(""https://docs.google.com/spreadsheets/d/1YXvxf8Yu6_rV4hTBrwMqAcAnv6DfhUxh5emyM3CJp_w/edit?usp=sharing"",""เพชรบุรี!N623"")+IMPORTRA"&amp;"NGE(""https://docs.google.com/spreadsheets/d/19KBlQQs7uwvsao6t2n-KvW3Ax8J8uRRfZPq1zPbXgKc/edit?usp=sharing"",""ระยอง!N623"")+IMPORTRANGE(""https://docs.google.com/spreadsheets/d/1jQ6P4QcrGM89YfqcC_PxOHGCMq5ezhucwJd8ci-NHng/edit?usp=sharing"",""ราชบุรี!N62"&amp;"3"")+IMPORTRANGE(""https://docs.google.com/spreadsheets/d/1lufeA2cfFqM-elVq2hznhDzC6Pr7wkJ9ZG_sYNGCMCU/edit?usp=sharing"",""ลพบุรี!N623"")+IMPORTRANGE(""https://docs.google.com/spreadsheets/d/10oOiF7loTyfsTkbd4MpaIm0HQ9SwB7IYHdIUvt-U1Uc/edit?usp=sharing"""&amp;",""สระแก้ว!N623"")+IMPORTRANGE(""https://docs.google.com/spreadsheets/d/1xmPlrr1QbdSIKvl1dWUl9K4PjAfSL9oeMr_37QVzcxc/edit?usp=sharing"",""สระบุรี!N623"")+IMPORTRANGE(""https://docs.google.com/spreadsheets/d/1j51vR6CYVGhABJpv6tkstgok82RLpXieLzW1yOY5rHw/edi"&amp;"t?usp=sharing"",""สิงห์บุรี!N623"")+IMPORTRANGE(""https://docs.google.com/spreadsheets/d/1H1EalTWKUSzO4Z1-1CwzoDUaVffgrThEBe2sl74kKG0/edit?usp=sharing"",""สุพรรณบุรี!N623"")+IMPORTRANGE(""https://docs.google.com/spreadsheets/d/1BmIruG_sIrJLYao_Pdr7zVArWsf"&amp;"oBt2692TMi6x_854/edit?usp=sharing"",""อ่างทอง!N623"")"),0)</f>
        <v>0</v>
      </c>
      <c r="O623" s="80">
        <f t="shared" ca="1" si="430"/>
        <v>0</v>
      </c>
      <c r="P623" s="80">
        <f t="shared" ca="1" si="431"/>
        <v>0</v>
      </c>
      <c r="Q623" s="79">
        <f ca="1">IFERROR(__xludf.DUMMYFUNCTION("IMPORTRANGE(""https://docs.google.com/spreadsheets/d/13wPX838HrBrQMCywv1BsuMkt4PEKTChp52zj44s2izQ/edit?usp=sharing"",""กาญจนบุรี!Q623"")+IMPORTRANGE(""https://docs.google.com/spreadsheets/d/1ddFKvqj1W1NEiWytbGlB1zMx_ykJDVtmfEQ-6-lIUBA/edit?usp=sharing"","&amp;"""จันทบุรี!Q623"")+IMPORTRANGE(""https://docs.google.com/spreadsheets/d/1T1PQvRODqOBZk8BRht_U031fIS1beLA0Ub2CEytj2q0/edit?usp=sharing"",""ฉะเชิงเทรา!Q623"")+IMPORTRANGE(""https://docs.google.com/spreadsheets/d/11tr1B-Bhyr79v2bkwVh5h_fR-PStkgjlZtkrZpYurG0/"&amp;"edit?usp=sharing"",""ชลบุรี!Q623"")+IMPORTRANGE(""https://docs.google.com/spreadsheets/d/1hh-FVnSX0vozXhGluamEcS54Dw9_zqW0N7qJUWgJ0Sw/edit?usp=sharing"",""ชัยนาท!Q623"")+IMPORTRANGE(""https://docs.google.com/spreadsheets/d/1jkqa6GXxSacMcY1eN8AHjMNJ_7dDXMJ"&amp;"VRLDlaFSOdPM/edit?usp=sharing"",""ตราด!Q623"")+IMPORTRANGE(""https://docs.google.com/spreadsheets/d/18hSgUJ3VwClqi_qtULmmW3cLr0oe3OKaSYoKzdpTsYQ/edit?usp=sharing"",""นครนายก!Q623"")+IMPORTRANGE(""https://docs.google.com/spreadsheets/d/1YTZo6WM2dQ6Ix6FSdnL"&amp;"5P7uVnVKu40sxZu975tgG10E/edit?usp=sharing"",""นครปฐม!Q623"")+IMPORTRANGE(""https://docs.google.com/spreadsheets/d/1OYoGg4WDg5RIzwGeB10padOxJF9E_Vljuvvct_M7RDo/edit?usp=sharing"",""ปทุมธานี!Q623"")+IMPORTRANGE(""https://docs.google.com/spreadsheets/d/1GbCI"&amp;"E4D4wk9FUozzqk7SxfDMxDVBwVmI5zcaVUSzKAc/edit?usp=sharing"",""ประจวบคีรีขันธ์!Q623"")+IMPORTRANGE(""https://docs.google.com/spreadsheets/d/1vVf6wykvW_lAyu7Yo9L4hUTqHqIeP_qcVuxCtosJEbg/edit?usp=sharing"",""ปราจีนบุรี!Q623"")+IMPORTRANGE(""https://docs.googl"&amp;"e.com/spreadsheets/d/1BIDqLLg5jk3v59G8NlR8rk5xfQDKne0sAvZHSj7TI6I/edit?usp=sharing"",""พระนครศรีอยุธยา!Q623"")+IMPORTRANGE(""https://docs.google.com/spreadsheets/d/1YXvxf8Yu6_rV4hTBrwMqAcAnv6DfhUxh5emyM3CJp_w/edit?usp=sharing"",""เพชรบุรี!Q623"")+IMPORTRA"&amp;"NGE(""https://docs.google.com/spreadsheets/d/19KBlQQs7uwvsao6t2n-KvW3Ax8J8uRRfZPq1zPbXgKc/edit?usp=sharing"",""ระยอง!Q623"")+IMPORTRANGE(""https://docs.google.com/spreadsheets/d/1jQ6P4QcrGM89YfqcC_PxOHGCMq5ezhucwJd8ci-NHng/edit?usp=sharing"",""ราชบุรี!Q62"&amp;"3"")+IMPORTRANGE(""https://docs.google.com/spreadsheets/d/1lufeA2cfFqM-elVq2hznhDzC6Pr7wkJ9ZG_sYNGCMCU/edit?usp=sharing"",""ลพบุรี!Q623"")+IMPORTRANGE(""https://docs.google.com/spreadsheets/d/10oOiF7loTyfsTkbd4MpaIm0HQ9SwB7IYHdIUvt-U1Uc/edit?usp=sharing"""&amp;",""สระแก้ว!Q623"")+IMPORTRANGE(""https://docs.google.com/spreadsheets/d/1xmPlrr1QbdSIKvl1dWUl9K4PjAfSL9oeMr_37QVzcxc/edit?usp=sharing"",""สระบุรี!Q623"")+IMPORTRANGE(""https://docs.google.com/spreadsheets/d/1j51vR6CYVGhABJpv6tkstgok82RLpXieLzW1yOY5rHw/edi"&amp;"t?usp=sharing"",""สิงห์บุรี!Q623"")+IMPORTRANGE(""https://docs.google.com/spreadsheets/d/1H1EalTWKUSzO4Z1-1CwzoDUaVffgrThEBe2sl74kKG0/edit?usp=sharing"",""สุพรรณบุรี!Q623"")+IMPORTRANGE(""https://docs.google.com/spreadsheets/d/1BmIruG_sIrJLYao_Pdr7zVArWsf"&amp;"oBt2692TMi6x_854/edit?usp=sharing"",""อ่างทอง!Q623"")"),0)</f>
        <v>0</v>
      </c>
      <c r="R623" s="80">
        <f ca="1">IFERROR(__xludf.DUMMYFUNCTION("IMPORTRANGE(""https://docs.google.com/spreadsheets/d/13wPX838HrBrQMCywv1BsuMkt4PEKTChp52zj44s2izQ/edit?usp=sharing"",""กาญจนบุรี!R623"")+IMPORTRANGE(""https://docs.google.com/spreadsheets/d/1ddFKvqj1W1NEiWytbGlB1zMx_ykJDVtmfEQ-6-lIUBA/edit?usp=sharing"","&amp;"""จันทบุรี!R623"")+IMPORTRANGE(""https://docs.google.com/spreadsheets/d/1T1PQvRODqOBZk8BRht_U031fIS1beLA0Ub2CEytj2q0/edit?usp=sharing"",""ฉะเชิงเทรา!R623"")+IMPORTRANGE(""https://docs.google.com/spreadsheets/d/11tr1B-Bhyr79v2bkwVh5h_fR-PStkgjlZtkrZpYurG0/"&amp;"edit?usp=sharing"",""ชลบุรี!R623"")+IMPORTRANGE(""https://docs.google.com/spreadsheets/d/1hh-FVnSX0vozXhGluamEcS54Dw9_zqW0N7qJUWgJ0Sw/edit?usp=sharing"",""ชัยนาท!R623"")+IMPORTRANGE(""https://docs.google.com/spreadsheets/d/1jkqa6GXxSacMcY1eN8AHjMNJ_7dDXMJ"&amp;"VRLDlaFSOdPM/edit?usp=sharing"",""ตราด!R623"")+IMPORTRANGE(""https://docs.google.com/spreadsheets/d/18hSgUJ3VwClqi_qtULmmW3cLr0oe3OKaSYoKzdpTsYQ/edit?usp=sharing"",""นครนายก!R623"")+IMPORTRANGE(""https://docs.google.com/spreadsheets/d/1YTZo6WM2dQ6Ix6FSdnL"&amp;"5P7uVnVKu40sxZu975tgG10E/edit?usp=sharing"",""นครปฐม!R623"")+IMPORTRANGE(""https://docs.google.com/spreadsheets/d/1OYoGg4WDg5RIzwGeB10padOxJF9E_Vljuvvct_M7RDo/edit?usp=sharing"",""ปทุมธานี!R623"")+IMPORTRANGE(""https://docs.google.com/spreadsheets/d/1GbCI"&amp;"E4D4wk9FUozzqk7SxfDMxDVBwVmI5zcaVUSzKAc/edit?usp=sharing"",""ประจวบคีรีขันธ์!R623"")+IMPORTRANGE(""https://docs.google.com/spreadsheets/d/1vVf6wykvW_lAyu7Yo9L4hUTqHqIeP_qcVuxCtosJEbg/edit?usp=sharing"",""ปราจีนบุรี!R623"")+IMPORTRANGE(""https://docs.googl"&amp;"e.com/spreadsheets/d/1BIDqLLg5jk3v59G8NlR8rk5xfQDKne0sAvZHSj7TI6I/edit?usp=sharing"",""พระนครศรีอยุธยา!R623"")+IMPORTRANGE(""https://docs.google.com/spreadsheets/d/1YXvxf8Yu6_rV4hTBrwMqAcAnv6DfhUxh5emyM3CJp_w/edit?usp=sharing"",""เพชรบุรี!R623"")+IMPORTRA"&amp;"NGE(""https://docs.google.com/spreadsheets/d/19KBlQQs7uwvsao6t2n-KvW3Ax8J8uRRfZPq1zPbXgKc/edit?usp=sharing"",""ระยอง!R623"")+IMPORTRANGE(""https://docs.google.com/spreadsheets/d/1jQ6P4QcrGM89YfqcC_PxOHGCMq5ezhucwJd8ci-NHng/edit?usp=sharing"",""ราชบุรี!R62"&amp;"3"")+IMPORTRANGE(""https://docs.google.com/spreadsheets/d/1lufeA2cfFqM-elVq2hznhDzC6Pr7wkJ9ZG_sYNGCMCU/edit?usp=sharing"",""ลพบุรี!R623"")+IMPORTRANGE(""https://docs.google.com/spreadsheets/d/10oOiF7loTyfsTkbd4MpaIm0HQ9SwB7IYHdIUvt-U1Uc/edit?usp=sharing"""&amp;",""สระแก้ว!R623"")+IMPORTRANGE(""https://docs.google.com/spreadsheets/d/1xmPlrr1QbdSIKvl1dWUl9K4PjAfSL9oeMr_37QVzcxc/edit?usp=sharing"",""สระบุรี!R623"")+IMPORTRANGE(""https://docs.google.com/spreadsheets/d/1j51vR6CYVGhABJpv6tkstgok82RLpXieLzW1yOY5rHw/edi"&amp;"t?usp=sharing"",""สิงห์บุรี!R623"")+IMPORTRANGE(""https://docs.google.com/spreadsheets/d/1H1EalTWKUSzO4Z1-1CwzoDUaVffgrThEBe2sl74kKG0/edit?usp=sharing"",""สุพรรณบุรี!R623"")+IMPORTRANGE(""https://docs.google.com/spreadsheets/d/1BmIruG_sIrJLYao_Pdr7zVArWsf"&amp;"oBt2692TMi6x_854/edit?usp=sharing"",""อ่างทอง!R623"")"),0)</f>
        <v>0</v>
      </c>
      <c r="S623" s="80">
        <f ca="1">IFERROR(__xludf.DUMMYFUNCTION("IMPORTRANGE(""https://docs.google.com/spreadsheets/d/13wPX838HrBrQMCywv1BsuMkt4PEKTChp52zj44s2izQ/edit?usp=sharing"",""กาญจนบุรี!S623"")+IMPORTRANGE(""https://docs.google.com/spreadsheets/d/1ddFKvqj1W1NEiWytbGlB1zMx_ykJDVtmfEQ-6-lIUBA/edit?usp=sharing"","&amp;"""จันทบุรี!S623"")+IMPORTRANGE(""https://docs.google.com/spreadsheets/d/1T1PQvRODqOBZk8BRht_U031fIS1beLA0Ub2CEytj2q0/edit?usp=sharing"",""ฉะเชิงเทรา!S623"")+IMPORTRANGE(""https://docs.google.com/spreadsheets/d/11tr1B-Bhyr79v2bkwVh5h_fR-PStkgjlZtkrZpYurG0/"&amp;"edit?usp=sharing"",""ชลบุรี!S623"")+IMPORTRANGE(""https://docs.google.com/spreadsheets/d/1hh-FVnSX0vozXhGluamEcS54Dw9_zqW0N7qJUWgJ0Sw/edit?usp=sharing"",""ชัยนาท!S623"")+IMPORTRANGE(""https://docs.google.com/spreadsheets/d/1jkqa6GXxSacMcY1eN8AHjMNJ_7dDXMJ"&amp;"VRLDlaFSOdPM/edit?usp=sharing"",""ตราด!S623"")+IMPORTRANGE(""https://docs.google.com/spreadsheets/d/18hSgUJ3VwClqi_qtULmmW3cLr0oe3OKaSYoKzdpTsYQ/edit?usp=sharing"",""นครนายก!S623"")+IMPORTRANGE(""https://docs.google.com/spreadsheets/d/1YTZo6WM2dQ6Ix6FSdnL"&amp;"5P7uVnVKu40sxZu975tgG10E/edit?usp=sharing"",""นครปฐม!S623"")+IMPORTRANGE(""https://docs.google.com/spreadsheets/d/1OYoGg4WDg5RIzwGeB10padOxJF9E_Vljuvvct_M7RDo/edit?usp=sharing"",""ปทุมธานี!S623"")+IMPORTRANGE(""https://docs.google.com/spreadsheets/d/1GbCI"&amp;"E4D4wk9FUozzqk7SxfDMxDVBwVmI5zcaVUSzKAc/edit?usp=sharing"",""ประจวบคีรีขันธ์!S623"")+IMPORTRANGE(""https://docs.google.com/spreadsheets/d/1vVf6wykvW_lAyu7Yo9L4hUTqHqIeP_qcVuxCtosJEbg/edit?usp=sharing"",""ปราจีนบุรี!S623"")+IMPORTRANGE(""https://docs.googl"&amp;"e.com/spreadsheets/d/1BIDqLLg5jk3v59G8NlR8rk5xfQDKne0sAvZHSj7TI6I/edit?usp=sharing"",""พระนครศรีอยุธยา!S623"")+IMPORTRANGE(""https://docs.google.com/spreadsheets/d/1YXvxf8Yu6_rV4hTBrwMqAcAnv6DfhUxh5emyM3CJp_w/edit?usp=sharing"",""เพชรบุรี!S623"")+IMPORTRA"&amp;"NGE(""https://docs.google.com/spreadsheets/d/19KBlQQs7uwvsao6t2n-KvW3Ax8J8uRRfZPq1zPbXgKc/edit?usp=sharing"",""ระยอง!S623"")+IMPORTRANGE(""https://docs.google.com/spreadsheets/d/1jQ6P4QcrGM89YfqcC_PxOHGCMq5ezhucwJd8ci-NHng/edit?usp=sharing"",""ราชบุรี!S62"&amp;"3"")+IMPORTRANGE(""https://docs.google.com/spreadsheets/d/1lufeA2cfFqM-elVq2hznhDzC6Pr7wkJ9ZG_sYNGCMCU/edit?usp=sharing"",""ลพบุรี!S623"")+IMPORTRANGE(""https://docs.google.com/spreadsheets/d/10oOiF7loTyfsTkbd4MpaIm0HQ9SwB7IYHdIUvt-U1Uc/edit?usp=sharing"""&amp;",""สระแก้ว!S623"")+IMPORTRANGE(""https://docs.google.com/spreadsheets/d/1xmPlrr1QbdSIKvl1dWUl9K4PjAfSL9oeMr_37QVzcxc/edit?usp=sharing"",""สระบุรี!S623"")+IMPORTRANGE(""https://docs.google.com/spreadsheets/d/1j51vR6CYVGhABJpv6tkstgok82RLpXieLzW1yOY5rHw/edi"&amp;"t?usp=sharing"",""สิงห์บุรี!S623"")+IMPORTRANGE(""https://docs.google.com/spreadsheets/d/1H1EalTWKUSzO4Z1-1CwzoDUaVffgrThEBe2sl74kKG0/edit?usp=sharing"",""สุพรรณบุรี!S623"")+IMPORTRANGE(""https://docs.google.com/spreadsheets/d/1BmIruG_sIrJLYao_Pdr7zVArWsf"&amp;"oBt2692TMi6x_854/edit?usp=sharing"",""อ่างทอง!S623"")"),0)</f>
        <v>0</v>
      </c>
      <c r="T623" s="136">
        <f t="shared" ca="1" si="433"/>
        <v>0</v>
      </c>
      <c r="U623" s="136">
        <f t="shared" ca="1" si="434"/>
        <v>0</v>
      </c>
    </row>
    <row r="624" spans="1:21" ht="18.75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f ca="1">IFERROR(__xludf.DUMMYFUNCTION("IMPORTRANGE(""https://docs.google.com/spreadsheets/d/13wPX838HrBrQMCywv1BsuMkt4PEKTChp52zj44s2izQ/edit?usp=sharing"",""กาญจนบุรี!L624"")+IMPORTRANGE(""https://docs.google.com/spreadsheets/d/1ddFKvqj1W1NEiWytbGlB1zMx_ykJDVtmfEQ-6-lIUBA/edit?usp=sharing"","&amp;"""จันทบุรี!L624"")+IMPORTRANGE(""https://docs.google.com/spreadsheets/d/1T1PQvRODqOBZk8BRht_U031fIS1beLA0Ub2CEytj2q0/edit?usp=sharing"",""ฉะเชิงเทรา!L624"")+IMPORTRANGE(""https://docs.google.com/spreadsheets/d/11tr1B-Bhyr79v2bkwVh5h_fR-PStkgjlZtkrZpYurG0/"&amp;"edit?usp=sharing"",""ชลบุรี!L624"")+IMPORTRANGE(""https://docs.google.com/spreadsheets/d/1hh-FVnSX0vozXhGluamEcS54Dw9_zqW0N7qJUWgJ0Sw/edit?usp=sharing"",""ชัยนาท!L624"")+IMPORTRANGE(""https://docs.google.com/spreadsheets/d/1jkqa6GXxSacMcY1eN8AHjMNJ_7dDXMJ"&amp;"VRLDlaFSOdPM/edit?usp=sharing"",""ตราด!L624"")+IMPORTRANGE(""https://docs.google.com/spreadsheets/d/18hSgUJ3VwClqi_qtULmmW3cLr0oe3OKaSYoKzdpTsYQ/edit?usp=sharing"",""นครนายก!L624"")+IMPORTRANGE(""https://docs.google.com/spreadsheets/d/1YTZo6WM2dQ6Ix6FSdnL"&amp;"5P7uVnVKu40sxZu975tgG10E/edit?usp=sharing"",""นครปฐม!L624"")+IMPORTRANGE(""https://docs.google.com/spreadsheets/d/1OYoGg4WDg5RIzwGeB10padOxJF9E_Vljuvvct_M7RDo/edit?usp=sharing"",""ปทุมธานี!L624"")+IMPORTRANGE(""https://docs.google.com/spreadsheets/d/1GbCI"&amp;"E4D4wk9FUozzqk7SxfDMxDVBwVmI5zcaVUSzKAc/edit?usp=sharing"",""ประจวบคีรีขันธ์!L624"")+IMPORTRANGE(""https://docs.google.com/spreadsheets/d/1vVf6wykvW_lAyu7Yo9L4hUTqHqIeP_qcVuxCtosJEbg/edit?usp=sharing"",""ปราจีนบุรี!L624"")+IMPORTRANGE(""https://docs.googl"&amp;"e.com/spreadsheets/d/1BIDqLLg5jk3v59G8NlR8rk5xfQDKne0sAvZHSj7TI6I/edit?usp=sharing"",""พระนครศรีอยุธยา!L624"")+IMPORTRANGE(""https://docs.google.com/spreadsheets/d/1YXvxf8Yu6_rV4hTBrwMqAcAnv6DfhUxh5emyM3CJp_w/edit?usp=sharing"",""เพชรบุรี!L624"")+IMPORTRA"&amp;"NGE(""https://docs.google.com/spreadsheets/d/19KBlQQs7uwvsao6t2n-KvW3Ax8J8uRRfZPq1zPbXgKc/edit?usp=sharing"",""ระยอง!L624"")+IMPORTRANGE(""https://docs.google.com/spreadsheets/d/1jQ6P4QcrGM89YfqcC_PxOHGCMq5ezhucwJd8ci-NHng/edit?usp=sharing"",""ราชบุรี!L62"&amp;"4"")+IMPORTRANGE(""https://docs.google.com/spreadsheets/d/1lufeA2cfFqM-elVq2hznhDzC6Pr7wkJ9ZG_sYNGCMCU/edit?usp=sharing"",""ลพบุรี!L624"")+IMPORTRANGE(""https://docs.google.com/spreadsheets/d/10oOiF7loTyfsTkbd4MpaIm0HQ9SwB7IYHdIUvt-U1Uc/edit?usp=sharing"""&amp;",""สระแก้ว!L624"")+IMPORTRANGE(""https://docs.google.com/spreadsheets/d/1xmPlrr1QbdSIKvl1dWUl9K4PjAfSL9oeMr_37QVzcxc/edit?usp=sharing"",""สระบุรี!L624"")+IMPORTRANGE(""https://docs.google.com/spreadsheets/d/1j51vR6CYVGhABJpv6tkstgok82RLpXieLzW1yOY5rHw/edi"&amp;"t?usp=sharing"",""สิงห์บุรี!L624"")+IMPORTRANGE(""https://docs.google.com/spreadsheets/d/1H1EalTWKUSzO4Z1-1CwzoDUaVffgrThEBe2sl74kKG0/edit?usp=sharing"",""สุพรรณบุรี!L624"")+IMPORTRANGE(""https://docs.google.com/spreadsheets/d/1BmIruG_sIrJLYao_Pdr7zVArWsf"&amp;"oBt2692TMi6x_854/edit?usp=sharing"",""อ่างทอง!L624"")"),0)</f>
        <v>0</v>
      </c>
      <c r="M624" s="77">
        <f ca="1">IFERROR(__xludf.DUMMYFUNCTION("IMPORTRANGE(""https://docs.google.com/spreadsheets/d/13wPX838HrBrQMCywv1BsuMkt4PEKTChp52zj44s2izQ/edit?usp=sharing"",""กาญจนบุรี!M624"")+IMPORTRANGE(""https://docs.google.com/spreadsheets/d/1ddFKvqj1W1NEiWytbGlB1zMx_ykJDVtmfEQ-6-lIUBA/edit?usp=sharing"","&amp;"""จันทบุรี!M624"")+IMPORTRANGE(""https://docs.google.com/spreadsheets/d/1T1PQvRODqOBZk8BRht_U031fIS1beLA0Ub2CEytj2q0/edit?usp=sharing"",""ฉะเชิงเทรา!M624"")+IMPORTRANGE(""https://docs.google.com/spreadsheets/d/11tr1B-Bhyr79v2bkwVh5h_fR-PStkgjlZtkrZpYurG0/"&amp;"edit?usp=sharing"",""ชลบุรี!M624"")+IMPORTRANGE(""https://docs.google.com/spreadsheets/d/1hh-FVnSX0vozXhGluamEcS54Dw9_zqW0N7qJUWgJ0Sw/edit?usp=sharing"",""ชัยนาท!M624"")+IMPORTRANGE(""https://docs.google.com/spreadsheets/d/1jkqa6GXxSacMcY1eN8AHjMNJ_7dDXMJ"&amp;"VRLDlaFSOdPM/edit?usp=sharing"",""ตราด!M624"")+IMPORTRANGE(""https://docs.google.com/spreadsheets/d/18hSgUJ3VwClqi_qtULmmW3cLr0oe3OKaSYoKzdpTsYQ/edit?usp=sharing"",""นครนายก!M624"")+IMPORTRANGE(""https://docs.google.com/spreadsheets/d/1YTZo6WM2dQ6Ix6FSdnL"&amp;"5P7uVnVKu40sxZu975tgG10E/edit?usp=sharing"",""นครปฐม!M624"")+IMPORTRANGE(""https://docs.google.com/spreadsheets/d/1OYoGg4WDg5RIzwGeB10padOxJF9E_Vljuvvct_M7RDo/edit?usp=sharing"",""ปทุมธานี!M624"")+IMPORTRANGE(""https://docs.google.com/spreadsheets/d/1GbCI"&amp;"E4D4wk9FUozzqk7SxfDMxDVBwVmI5zcaVUSzKAc/edit?usp=sharing"",""ประจวบคีรีขันธ์!M624"")+IMPORTRANGE(""https://docs.google.com/spreadsheets/d/1vVf6wykvW_lAyu7Yo9L4hUTqHqIeP_qcVuxCtosJEbg/edit?usp=sharing"",""ปราจีนบุรี!M624"")+IMPORTRANGE(""https://docs.googl"&amp;"e.com/spreadsheets/d/1BIDqLLg5jk3v59G8NlR8rk5xfQDKne0sAvZHSj7TI6I/edit?usp=sharing"",""พระนครศรีอยุธยา!M624"")+IMPORTRANGE(""https://docs.google.com/spreadsheets/d/1YXvxf8Yu6_rV4hTBrwMqAcAnv6DfhUxh5emyM3CJp_w/edit?usp=sharing"",""เพชรบุรี!M624"")+IMPORTRA"&amp;"NGE(""https://docs.google.com/spreadsheets/d/19KBlQQs7uwvsao6t2n-KvW3Ax8J8uRRfZPq1zPbXgKc/edit?usp=sharing"",""ระยอง!M624"")+IMPORTRANGE(""https://docs.google.com/spreadsheets/d/1jQ6P4QcrGM89YfqcC_PxOHGCMq5ezhucwJd8ci-NHng/edit?usp=sharing"",""ราชบุรี!M62"&amp;"4"")+IMPORTRANGE(""https://docs.google.com/spreadsheets/d/1lufeA2cfFqM-elVq2hznhDzC6Pr7wkJ9ZG_sYNGCMCU/edit?usp=sharing"",""ลพบุรี!M624"")+IMPORTRANGE(""https://docs.google.com/spreadsheets/d/10oOiF7loTyfsTkbd4MpaIm0HQ9SwB7IYHdIUvt-U1Uc/edit?usp=sharing"""&amp;",""สระแก้ว!M624"")+IMPORTRANGE(""https://docs.google.com/spreadsheets/d/1xmPlrr1QbdSIKvl1dWUl9K4PjAfSL9oeMr_37QVzcxc/edit?usp=sharing"",""สระบุรี!M624"")+IMPORTRANGE(""https://docs.google.com/spreadsheets/d/1j51vR6CYVGhABJpv6tkstgok82RLpXieLzW1yOY5rHw/edi"&amp;"t?usp=sharing"",""สิงห์บุรี!M624"")+IMPORTRANGE(""https://docs.google.com/spreadsheets/d/1H1EalTWKUSzO4Z1-1CwzoDUaVffgrThEBe2sl74kKG0/edit?usp=sharing"",""สุพรรณบุรี!M624"")+IMPORTRANGE(""https://docs.google.com/spreadsheets/d/1BmIruG_sIrJLYao_Pdr7zVArWsf"&amp;"oBt2692TMi6x_854/edit?usp=sharing"",""อ่างทอง!M624"")"),0)</f>
        <v>0</v>
      </c>
      <c r="N624" s="77">
        <f ca="1">IFERROR(__xludf.DUMMYFUNCTION("IMPORTRANGE(""https://docs.google.com/spreadsheets/d/13wPX838HrBrQMCywv1BsuMkt4PEKTChp52zj44s2izQ/edit?usp=sharing"",""กาญจนบุรี!N624"")+IMPORTRANGE(""https://docs.google.com/spreadsheets/d/1ddFKvqj1W1NEiWytbGlB1zMx_ykJDVtmfEQ-6-lIUBA/edit?usp=sharing"","&amp;"""จันทบุรี!N624"")+IMPORTRANGE(""https://docs.google.com/spreadsheets/d/1T1PQvRODqOBZk8BRht_U031fIS1beLA0Ub2CEytj2q0/edit?usp=sharing"",""ฉะเชิงเทรา!N624"")+IMPORTRANGE(""https://docs.google.com/spreadsheets/d/11tr1B-Bhyr79v2bkwVh5h_fR-PStkgjlZtkrZpYurG0/"&amp;"edit?usp=sharing"",""ชลบุรี!N624"")+IMPORTRANGE(""https://docs.google.com/spreadsheets/d/1hh-FVnSX0vozXhGluamEcS54Dw9_zqW0N7qJUWgJ0Sw/edit?usp=sharing"",""ชัยนาท!N624"")+IMPORTRANGE(""https://docs.google.com/spreadsheets/d/1jkqa6GXxSacMcY1eN8AHjMNJ_7dDXMJ"&amp;"VRLDlaFSOdPM/edit?usp=sharing"",""ตราด!N624"")+IMPORTRANGE(""https://docs.google.com/spreadsheets/d/18hSgUJ3VwClqi_qtULmmW3cLr0oe3OKaSYoKzdpTsYQ/edit?usp=sharing"",""นครนายก!N624"")+IMPORTRANGE(""https://docs.google.com/spreadsheets/d/1YTZo6WM2dQ6Ix6FSdnL"&amp;"5P7uVnVKu40sxZu975tgG10E/edit?usp=sharing"",""นครปฐม!N624"")+IMPORTRANGE(""https://docs.google.com/spreadsheets/d/1OYoGg4WDg5RIzwGeB10padOxJF9E_Vljuvvct_M7RDo/edit?usp=sharing"",""ปทุมธานี!N624"")+IMPORTRANGE(""https://docs.google.com/spreadsheets/d/1GbCI"&amp;"E4D4wk9FUozzqk7SxfDMxDVBwVmI5zcaVUSzKAc/edit?usp=sharing"",""ประจวบคีรีขันธ์!N624"")+IMPORTRANGE(""https://docs.google.com/spreadsheets/d/1vVf6wykvW_lAyu7Yo9L4hUTqHqIeP_qcVuxCtosJEbg/edit?usp=sharing"",""ปราจีนบุรี!N624"")+IMPORTRANGE(""https://docs.googl"&amp;"e.com/spreadsheets/d/1BIDqLLg5jk3v59G8NlR8rk5xfQDKne0sAvZHSj7TI6I/edit?usp=sharing"",""พระนครศรีอยุธยา!N624"")+IMPORTRANGE(""https://docs.google.com/spreadsheets/d/1YXvxf8Yu6_rV4hTBrwMqAcAnv6DfhUxh5emyM3CJp_w/edit?usp=sharing"",""เพชรบุรี!N624"")+IMPORTRA"&amp;"NGE(""https://docs.google.com/spreadsheets/d/19KBlQQs7uwvsao6t2n-KvW3Ax8J8uRRfZPq1zPbXgKc/edit?usp=sharing"",""ระยอง!N624"")+IMPORTRANGE(""https://docs.google.com/spreadsheets/d/1jQ6P4QcrGM89YfqcC_PxOHGCMq5ezhucwJd8ci-NHng/edit?usp=sharing"",""ราชบุรี!N62"&amp;"4"")+IMPORTRANGE(""https://docs.google.com/spreadsheets/d/1lufeA2cfFqM-elVq2hznhDzC6Pr7wkJ9ZG_sYNGCMCU/edit?usp=sharing"",""ลพบุรี!N624"")+IMPORTRANGE(""https://docs.google.com/spreadsheets/d/10oOiF7loTyfsTkbd4MpaIm0HQ9SwB7IYHdIUvt-U1Uc/edit?usp=sharing"""&amp;",""สระแก้ว!N624"")+IMPORTRANGE(""https://docs.google.com/spreadsheets/d/1xmPlrr1QbdSIKvl1dWUl9K4PjAfSL9oeMr_37QVzcxc/edit?usp=sharing"",""สระบุรี!N624"")+IMPORTRANGE(""https://docs.google.com/spreadsheets/d/1j51vR6CYVGhABJpv6tkstgok82RLpXieLzW1yOY5rHw/edi"&amp;"t?usp=sharing"",""สิงห์บุรี!N624"")+IMPORTRANGE(""https://docs.google.com/spreadsheets/d/1H1EalTWKUSzO4Z1-1CwzoDUaVffgrThEBe2sl74kKG0/edit?usp=sharing"",""สุพรรณบุรี!N624"")+IMPORTRANGE(""https://docs.google.com/spreadsheets/d/1BmIruG_sIrJLYao_Pdr7zVArWsf"&amp;"oBt2692TMi6x_854/edit?usp=sharing"",""อ่างทอง!N624"")"),0)</f>
        <v>0</v>
      </c>
      <c r="O624" s="77">
        <f t="shared" ca="1" si="430"/>
        <v>0</v>
      </c>
      <c r="P624" s="77">
        <f t="shared" ca="1" si="431"/>
        <v>0</v>
      </c>
      <c r="Q624" s="76">
        <f ca="1">IFERROR(__xludf.DUMMYFUNCTION("IMPORTRANGE(""https://docs.google.com/spreadsheets/d/13wPX838HrBrQMCywv1BsuMkt4PEKTChp52zj44s2izQ/edit?usp=sharing"",""กาญจนบุรี!Q624"")+IMPORTRANGE(""https://docs.google.com/spreadsheets/d/1ddFKvqj1W1NEiWytbGlB1zMx_ykJDVtmfEQ-6-lIUBA/edit?usp=sharing"","&amp;"""จันทบุรี!Q624"")+IMPORTRANGE(""https://docs.google.com/spreadsheets/d/1T1PQvRODqOBZk8BRht_U031fIS1beLA0Ub2CEytj2q0/edit?usp=sharing"",""ฉะเชิงเทรา!Q624"")+IMPORTRANGE(""https://docs.google.com/spreadsheets/d/11tr1B-Bhyr79v2bkwVh5h_fR-PStkgjlZtkrZpYurG0/"&amp;"edit?usp=sharing"",""ชลบุรี!Q624"")+IMPORTRANGE(""https://docs.google.com/spreadsheets/d/1hh-FVnSX0vozXhGluamEcS54Dw9_zqW0N7qJUWgJ0Sw/edit?usp=sharing"",""ชัยนาท!Q624"")+IMPORTRANGE(""https://docs.google.com/spreadsheets/d/1jkqa6GXxSacMcY1eN8AHjMNJ_7dDXMJ"&amp;"VRLDlaFSOdPM/edit?usp=sharing"",""ตราด!Q624"")+IMPORTRANGE(""https://docs.google.com/spreadsheets/d/18hSgUJ3VwClqi_qtULmmW3cLr0oe3OKaSYoKzdpTsYQ/edit?usp=sharing"",""นครนายก!Q624"")+IMPORTRANGE(""https://docs.google.com/spreadsheets/d/1YTZo6WM2dQ6Ix6FSdnL"&amp;"5P7uVnVKu40sxZu975tgG10E/edit?usp=sharing"",""นครปฐม!Q624"")+IMPORTRANGE(""https://docs.google.com/spreadsheets/d/1OYoGg4WDg5RIzwGeB10padOxJF9E_Vljuvvct_M7RDo/edit?usp=sharing"",""ปทุมธานี!Q624"")+IMPORTRANGE(""https://docs.google.com/spreadsheets/d/1GbCI"&amp;"E4D4wk9FUozzqk7SxfDMxDVBwVmI5zcaVUSzKAc/edit?usp=sharing"",""ประจวบคีรีขันธ์!Q624"")+IMPORTRANGE(""https://docs.google.com/spreadsheets/d/1vVf6wykvW_lAyu7Yo9L4hUTqHqIeP_qcVuxCtosJEbg/edit?usp=sharing"",""ปราจีนบุรี!Q624"")+IMPORTRANGE(""https://docs.googl"&amp;"e.com/spreadsheets/d/1BIDqLLg5jk3v59G8NlR8rk5xfQDKne0sAvZHSj7TI6I/edit?usp=sharing"",""พระนครศรีอยุธยา!Q624"")+IMPORTRANGE(""https://docs.google.com/spreadsheets/d/1YXvxf8Yu6_rV4hTBrwMqAcAnv6DfhUxh5emyM3CJp_w/edit?usp=sharing"",""เพชรบุรี!Q624"")+IMPORTRA"&amp;"NGE(""https://docs.google.com/spreadsheets/d/19KBlQQs7uwvsao6t2n-KvW3Ax8J8uRRfZPq1zPbXgKc/edit?usp=sharing"",""ระยอง!Q624"")+IMPORTRANGE(""https://docs.google.com/spreadsheets/d/1jQ6P4QcrGM89YfqcC_PxOHGCMq5ezhucwJd8ci-NHng/edit?usp=sharing"",""ราชบุรี!Q62"&amp;"4"")+IMPORTRANGE(""https://docs.google.com/spreadsheets/d/1lufeA2cfFqM-elVq2hznhDzC6Pr7wkJ9ZG_sYNGCMCU/edit?usp=sharing"",""ลพบุรี!Q624"")+IMPORTRANGE(""https://docs.google.com/spreadsheets/d/10oOiF7loTyfsTkbd4MpaIm0HQ9SwB7IYHdIUvt-U1Uc/edit?usp=sharing"""&amp;",""สระแก้ว!Q624"")+IMPORTRANGE(""https://docs.google.com/spreadsheets/d/1xmPlrr1QbdSIKvl1dWUl9K4PjAfSL9oeMr_37QVzcxc/edit?usp=sharing"",""สระบุรี!Q624"")+IMPORTRANGE(""https://docs.google.com/spreadsheets/d/1j51vR6CYVGhABJpv6tkstgok82RLpXieLzW1yOY5rHw/edi"&amp;"t?usp=sharing"",""สิงห์บุรี!Q624"")+IMPORTRANGE(""https://docs.google.com/spreadsheets/d/1H1EalTWKUSzO4Z1-1CwzoDUaVffgrThEBe2sl74kKG0/edit?usp=sharing"",""สุพรรณบุรี!Q624"")+IMPORTRANGE(""https://docs.google.com/spreadsheets/d/1BmIruG_sIrJLYao_Pdr7zVArWsf"&amp;"oBt2692TMi6x_854/edit?usp=sharing"",""อ่างทอง!Q624"")"),0)</f>
        <v>0</v>
      </c>
      <c r="R624" s="77">
        <f ca="1">IFERROR(__xludf.DUMMYFUNCTION("IMPORTRANGE(""https://docs.google.com/spreadsheets/d/13wPX838HrBrQMCywv1BsuMkt4PEKTChp52zj44s2izQ/edit?usp=sharing"",""กาญจนบุรี!R624"")+IMPORTRANGE(""https://docs.google.com/spreadsheets/d/1ddFKvqj1W1NEiWytbGlB1zMx_ykJDVtmfEQ-6-lIUBA/edit?usp=sharing"","&amp;"""จันทบุรี!R624"")+IMPORTRANGE(""https://docs.google.com/spreadsheets/d/1T1PQvRODqOBZk8BRht_U031fIS1beLA0Ub2CEytj2q0/edit?usp=sharing"",""ฉะเชิงเทรา!R624"")+IMPORTRANGE(""https://docs.google.com/spreadsheets/d/11tr1B-Bhyr79v2bkwVh5h_fR-PStkgjlZtkrZpYurG0/"&amp;"edit?usp=sharing"",""ชลบุรี!R624"")+IMPORTRANGE(""https://docs.google.com/spreadsheets/d/1hh-FVnSX0vozXhGluamEcS54Dw9_zqW0N7qJUWgJ0Sw/edit?usp=sharing"",""ชัยนาท!R624"")+IMPORTRANGE(""https://docs.google.com/spreadsheets/d/1jkqa6GXxSacMcY1eN8AHjMNJ_7dDXMJ"&amp;"VRLDlaFSOdPM/edit?usp=sharing"",""ตราด!R624"")+IMPORTRANGE(""https://docs.google.com/spreadsheets/d/18hSgUJ3VwClqi_qtULmmW3cLr0oe3OKaSYoKzdpTsYQ/edit?usp=sharing"",""นครนายก!R624"")+IMPORTRANGE(""https://docs.google.com/spreadsheets/d/1YTZo6WM2dQ6Ix6FSdnL"&amp;"5P7uVnVKu40sxZu975tgG10E/edit?usp=sharing"",""นครปฐม!R624"")+IMPORTRANGE(""https://docs.google.com/spreadsheets/d/1OYoGg4WDg5RIzwGeB10padOxJF9E_Vljuvvct_M7RDo/edit?usp=sharing"",""ปทุมธานี!R624"")+IMPORTRANGE(""https://docs.google.com/spreadsheets/d/1GbCI"&amp;"E4D4wk9FUozzqk7SxfDMxDVBwVmI5zcaVUSzKAc/edit?usp=sharing"",""ประจวบคีรีขันธ์!R624"")+IMPORTRANGE(""https://docs.google.com/spreadsheets/d/1vVf6wykvW_lAyu7Yo9L4hUTqHqIeP_qcVuxCtosJEbg/edit?usp=sharing"",""ปราจีนบุรี!R624"")+IMPORTRANGE(""https://docs.googl"&amp;"e.com/spreadsheets/d/1BIDqLLg5jk3v59G8NlR8rk5xfQDKne0sAvZHSj7TI6I/edit?usp=sharing"",""พระนครศรีอยุธยา!R624"")+IMPORTRANGE(""https://docs.google.com/spreadsheets/d/1YXvxf8Yu6_rV4hTBrwMqAcAnv6DfhUxh5emyM3CJp_w/edit?usp=sharing"",""เพชรบุรี!R624"")+IMPORTRA"&amp;"NGE(""https://docs.google.com/spreadsheets/d/19KBlQQs7uwvsao6t2n-KvW3Ax8J8uRRfZPq1zPbXgKc/edit?usp=sharing"",""ระยอง!R624"")+IMPORTRANGE(""https://docs.google.com/spreadsheets/d/1jQ6P4QcrGM89YfqcC_PxOHGCMq5ezhucwJd8ci-NHng/edit?usp=sharing"",""ราชบุรี!R62"&amp;"4"")+IMPORTRANGE(""https://docs.google.com/spreadsheets/d/1lufeA2cfFqM-elVq2hznhDzC6Pr7wkJ9ZG_sYNGCMCU/edit?usp=sharing"",""ลพบุรี!R624"")+IMPORTRANGE(""https://docs.google.com/spreadsheets/d/10oOiF7loTyfsTkbd4MpaIm0HQ9SwB7IYHdIUvt-U1Uc/edit?usp=sharing"""&amp;",""สระแก้ว!R624"")+IMPORTRANGE(""https://docs.google.com/spreadsheets/d/1xmPlrr1QbdSIKvl1dWUl9K4PjAfSL9oeMr_37QVzcxc/edit?usp=sharing"",""สระบุรี!R624"")+IMPORTRANGE(""https://docs.google.com/spreadsheets/d/1j51vR6CYVGhABJpv6tkstgok82RLpXieLzW1yOY5rHw/edi"&amp;"t?usp=sharing"",""สิงห์บุรี!R624"")+IMPORTRANGE(""https://docs.google.com/spreadsheets/d/1H1EalTWKUSzO4Z1-1CwzoDUaVffgrThEBe2sl74kKG0/edit?usp=sharing"",""สุพรรณบุรี!R624"")+IMPORTRANGE(""https://docs.google.com/spreadsheets/d/1BmIruG_sIrJLYao_Pdr7zVArWsf"&amp;"oBt2692TMi6x_854/edit?usp=sharing"",""อ่างทอง!R624"")"),0)</f>
        <v>0</v>
      </c>
      <c r="S624" s="77">
        <f ca="1">IFERROR(__xludf.DUMMYFUNCTION("IMPORTRANGE(""https://docs.google.com/spreadsheets/d/13wPX838HrBrQMCywv1BsuMkt4PEKTChp52zj44s2izQ/edit?usp=sharing"",""กาญจนบุรี!S624"")+IMPORTRANGE(""https://docs.google.com/spreadsheets/d/1ddFKvqj1W1NEiWytbGlB1zMx_ykJDVtmfEQ-6-lIUBA/edit?usp=sharing"","&amp;"""จันทบุรี!S624"")+IMPORTRANGE(""https://docs.google.com/spreadsheets/d/1T1PQvRODqOBZk8BRht_U031fIS1beLA0Ub2CEytj2q0/edit?usp=sharing"",""ฉะเชิงเทรา!S624"")+IMPORTRANGE(""https://docs.google.com/spreadsheets/d/11tr1B-Bhyr79v2bkwVh5h_fR-PStkgjlZtkrZpYurG0/"&amp;"edit?usp=sharing"",""ชลบุรี!S624"")+IMPORTRANGE(""https://docs.google.com/spreadsheets/d/1hh-FVnSX0vozXhGluamEcS54Dw9_zqW0N7qJUWgJ0Sw/edit?usp=sharing"",""ชัยนาท!S624"")+IMPORTRANGE(""https://docs.google.com/spreadsheets/d/1jkqa6GXxSacMcY1eN8AHjMNJ_7dDXMJ"&amp;"VRLDlaFSOdPM/edit?usp=sharing"",""ตราด!S624"")+IMPORTRANGE(""https://docs.google.com/spreadsheets/d/18hSgUJ3VwClqi_qtULmmW3cLr0oe3OKaSYoKzdpTsYQ/edit?usp=sharing"",""นครนายก!S624"")+IMPORTRANGE(""https://docs.google.com/spreadsheets/d/1YTZo6WM2dQ6Ix6FSdnL"&amp;"5P7uVnVKu40sxZu975tgG10E/edit?usp=sharing"",""นครปฐม!S624"")+IMPORTRANGE(""https://docs.google.com/spreadsheets/d/1OYoGg4WDg5RIzwGeB10padOxJF9E_Vljuvvct_M7RDo/edit?usp=sharing"",""ปทุมธานี!S624"")+IMPORTRANGE(""https://docs.google.com/spreadsheets/d/1GbCI"&amp;"E4D4wk9FUozzqk7SxfDMxDVBwVmI5zcaVUSzKAc/edit?usp=sharing"",""ประจวบคีรีขันธ์!S624"")+IMPORTRANGE(""https://docs.google.com/spreadsheets/d/1vVf6wykvW_lAyu7Yo9L4hUTqHqIeP_qcVuxCtosJEbg/edit?usp=sharing"",""ปราจีนบุรี!S624"")+IMPORTRANGE(""https://docs.googl"&amp;"e.com/spreadsheets/d/1BIDqLLg5jk3v59G8NlR8rk5xfQDKne0sAvZHSj7TI6I/edit?usp=sharing"",""พระนครศรีอยุธยา!S624"")+IMPORTRANGE(""https://docs.google.com/spreadsheets/d/1YXvxf8Yu6_rV4hTBrwMqAcAnv6DfhUxh5emyM3CJp_w/edit?usp=sharing"",""เพชรบุรี!S624"")+IMPORTRA"&amp;"NGE(""https://docs.google.com/spreadsheets/d/19KBlQQs7uwvsao6t2n-KvW3Ax8J8uRRfZPq1zPbXgKc/edit?usp=sharing"",""ระยอง!S624"")+IMPORTRANGE(""https://docs.google.com/spreadsheets/d/1jQ6P4QcrGM89YfqcC_PxOHGCMq5ezhucwJd8ci-NHng/edit?usp=sharing"",""ราชบุรี!S62"&amp;"4"")+IMPORTRANGE(""https://docs.google.com/spreadsheets/d/1lufeA2cfFqM-elVq2hznhDzC6Pr7wkJ9ZG_sYNGCMCU/edit?usp=sharing"",""ลพบุรี!S624"")+IMPORTRANGE(""https://docs.google.com/spreadsheets/d/10oOiF7loTyfsTkbd4MpaIm0HQ9SwB7IYHdIUvt-U1Uc/edit?usp=sharing"""&amp;",""สระแก้ว!S624"")+IMPORTRANGE(""https://docs.google.com/spreadsheets/d/1xmPlrr1QbdSIKvl1dWUl9K4PjAfSL9oeMr_37QVzcxc/edit?usp=sharing"",""สระบุรี!S624"")+IMPORTRANGE(""https://docs.google.com/spreadsheets/d/1j51vR6CYVGhABJpv6tkstgok82RLpXieLzW1yOY5rHw/edi"&amp;"t?usp=sharing"",""สิงห์บุรี!S624"")+IMPORTRANGE(""https://docs.google.com/spreadsheets/d/1H1EalTWKUSzO4Z1-1CwzoDUaVffgrThEBe2sl74kKG0/edit?usp=sharing"",""สุพรรณบุรี!S624"")+IMPORTRANGE(""https://docs.google.com/spreadsheets/d/1BmIruG_sIrJLYao_Pdr7zVArWsf"&amp;"oBt2692TMi6x_854/edit?usp=sharing"",""อ่างทอง!S624"")"),0)</f>
        <v>0</v>
      </c>
      <c r="T624" s="135">
        <f t="shared" ca="1" si="433"/>
        <v>0</v>
      </c>
      <c r="U624" s="135">
        <f t="shared" ca="1" si="434"/>
        <v>0</v>
      </c>
    </row>
    <row r="625" spans="1:21" ht="19.5" x14ac:dyDescent="0.3">
      <c r="A625" s="278"/>
      <c r="B625" s="279"/>
      <c r="C625" s="308" t="s">
        <v>18</v>
      </c>
      <c r="D625" s="725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13wPX838HrBrQMCywv1BsuMkt4PEKTChp52zj44s2izQ/edit?usp=sharing"",""กาญจนบุรี!I626"")+IMPORTRANGE(""https://docs.google.com/spreadsheets/d/1ddFKvqj1W1NEiWytbGlB1zMx_ykJDVtmfEQ-6-lIUBA/edit?usp=sharing"","&amp;"""จันทบุรี!I626"")+IMPORTRANGE(""https://docs.google.com/spreadsheets/d/1T1PQvRODqOBZk8BRht_U031fIS1beLA0Ub2CEytj2q0/edit?usp=sharing"",""ฉะเชิงเทรา!I626"")+IMPORTRANGE(""https://docs.google.com/spreadsheets/d/11tr1B-Bhyr79v2bkwVh5h_fR-PStkgjlZtkrZpYurG0/"&amp;"edit?usp=sharing"",""ชลบุรี!I626"")+IMPORTRANGE(""https://docs.google.com/spreadsheets/d/1hh-FVnSX0vozXhGluamEcS54Dw9_zqW0N7qJUWgJ0Sw/edit?usp=sharing"",""ชัยนาท!I626"")+IMPORTRANGE(""https://docs.google.com/spreadsheets/d/1jkqa6GXxSacMcY1eN8AHjMNJ_7dDXMJ"&amp;"VRLDlaFSOdPM/edit?usp=sharing"",""ตราด!I626"")+IMPORTRANGE(""https://docs.google.com/spreadsheets/d/18hSgUJ3VwClqi_qtULmmW3cLr0oe3OKaSYoKzdpTsYQ/edit?usp=sharing"",""นครนายก!I626"")+IMPORTRANGE(""https://docs.google.com/spreadsheets/d/1YTZo6WM2dQ6Ix6FSdnL"&amp;"5P7uVnVKu40sxZu975tgG10E/edit?usp=sharing"",""นครปฐม!I626"")+IMPORTRANGE(""https://docs.google.com/spreadsheets/d/1OYoGg4WDg5RIzwGeB10padOxJF9E_Vljuvvct_M7RDo/edit?usp=sharing"",""ปทุมธานี!I626"")+IMPORTRANGE(""https://docs.google.com/spreadsheets/d/1GbCI"&amp;"E4D4wk9FUozzqk7SxfDMxDVBwVmI5zcaVUSzKAc/edit?usp=sharing"",""ประจวบคีรีขันธ์!I626"")+IMPORTRANGE(""https://docs.google.com/spreadsheets/d/1vVf6wykvW_lAyu7Yo9L4hUTqHqIeP_qcVuxCtosJEbg/edit?usp=sharing"",""ปราจีนบุรี!I626"")+IMPORTRANGE(""https://docs.googl"&amp;"e.com/spreadsheets/d/1BIDqLLg5jk3v59G8NlR8rk5xfQDKne0sAvZHSj7TI6I/edit?usp=sharing"",""พระนครศรีอยุธยา!I626"")+IMPORTRANGE(""https://docs.google.com/spreadsheets/d/1YXvxf8Yu6_rV4hTBrwMqAcAnv6DfhUxh5emyM3CJp_w/edit?usp=sharing"",""เพชรบุรี!I626"")+IMPORTRA"&amp;"NGE(""https://docs.google.com/spreadsheets/d/19KBlQQs7uwvsao6t2n-KvW3Ax8J8uRRfZPq1zPbXgKc/edit?usp=sharing"",""ระยอง!I626"")+IMPORTRANGE(""https://docs.google.com/spreadsheets/d/1jQ6P4QcrGM89YfqcC_PxOHGCMq5ezhucwJd8ci-NHng/edit?usp=sharing"",""ราชบุรี!I62"&amp;"6"")+IMPORTRANGE(""https://docs.google.com/spreadsheets/d/1lufeA2cfFqM-elVq2hznhDzC6Pr7wkJ9ZG_sYNGCMCU/edit?usp=sharing"",""ลพบุรี!I626"")+IMPORTRANGE(""https://docs.google.com/spreadsheets/d/10oOiF7loTyfsTkbd4MpaIm0HQ9SwB7IYHdIUvt-U1Uc/edit?usp=sharing"""&amp;",""สระแก้ว!I626"")+IMPORTRANGE(""https://docs.google.com/spreadsheets/d/1xmPlrr1QbdSIKvl1dWUl9K4PjAfSL9oeMr_37QVzcxc/edit?usp=sharing"",""สระบุรี!I626"")+IMPORTRANGE(""https://docs.google.com/spreadsheets/d/1j51vR6CYVGhABJpv6tkstgok82RLpXieLzW1yOY5rHw/edi"&amp;"t?usp=sharing"",""สิงห์บุรี!I626"")+IMPORTRANGE(""https://docs.google.com/spreadsheets/d/1H1EalTWKUSzO4Z1-1CwzoDUaVffgrThEBe2sl74kKG0/edit?usp=sharing"",""สุพรรณบุรี!I626"")+IMPORTRANGE(""https://docs.google.com/spreadsheets/d/1BmIruG_sIrJLYao_Pdr7zVArWsf"&amp;"oBt2692TMi6x_854/edit?usp=sharing"",""อ่างทอง!I626"")"),1060)</f>
        <v>1060</v>
      </c>
      <c r="J626" s="603">
        <f ca="1"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13wPX838HrBrQMCywv1BsuMkt4PEKTChp52zj44s2izQ/edit?usp=sharing"",""กาญจนบุรี!I627"")+IMPORTRANGE(""https://docs.google.com/spreadsheets/d/1ddFKvqj1W1NEiWytbGlB1zMx_ykJDVtmfEQ-6-lIUBA/edit?usp=sharing"","&amp;"""จันทบุรี!I627"")+IMPORTRANGE(""https://docs.google.com/spreadsheets/d/1T1PQvRODqOBZk8BRht_U031fIS1beLA0Ub2CEytj2q0/edit?usp=sharing"",""ฉะเชิงเทรา!I627"")+IMPORTRANGE(""https://docs.google.com/spreadsheets/d/11tr1B-Bhyr79v2bkwVh5h_fR-PStkgjlZtkrZpYurG0/"&amp;"edit?usp=sharing"",""ชลบุรี!I627"")+IMPORTRANGE(""https://docs.google.com/spreadsheets/d/1hh-FVnSX0vozXhGluamEcS54Dw9_zqW0N7qJUWgJ0Sw/edit?usp=sharing"",""ชัยนาท!I627"")+IMPORTRANGE(""https://docs.google.com/spreadsheets/d/1jkqa6GXxSacMcY1eN8AHjMNJ_7dDXMJ"&amp;"VRLDlaFSOdPM/edit?usp=sharing"",""ตราด!I627"")+IMPORTRANGE(""https://docs.google.com/spreadsheets/d/18hSgUJ3VwClqi_qtULmmW3cLr0oe3OKaSYoKzdpTsYQ/edit?usp=sharing"",""นครนายก!I627"")+IMPORTRANGE(""https://docs.google.com/spreadsheets/d/1YTZo6WM2dQ6Ix6FSdnL"&amp;"5P7uVnVKu40sxZu975tgG10E/edit?usp=sharing"",""นครปฐม!I627"")+IMPORTRANGE(""https://docs.google.com/spreadsheets/d/1OYoGg4WDg5RIzwGeB10padOxJF9E_Vljuvvct_M7RDo/edit?usp=sharing"",""ปทุมธานี!I627"")+IMPORTRANGE(""https://docs.google.com/spreadsheets/d/1GbCI"&amp;"E4D4wk9FUozzqk7SxfDMxDVBwVmI5zcaVUSzKAc/edit?usp=sharing"",""ประจวบคีรีขันธ์!I627"")+IMPORTRANGE(""https://docs.google.com/spreadsheets/d/1vVf6wykvW_lAyu7Yo9L4hUTqHqIeP_qcVuxCtosJEbg/edit?usp=sharing"",""ปราจีนบุรี!I627"")+IMPORTRANGE(""https://docs.googl"&amp;"e.com/spreadsheets/d/1BIDqLLg5jk3v59G8NlR8rk5xfQDKne0sAvZHSj7TI6I/edit?usp=sharing"",""พระนครศรีอยุธยา!I627"")+IMPORTRANGE(""https://docs.google.com/spreadsheets/d/1YXvxf8Yu6_rV4hTBrwMqAcAnv6DfhUxh5emyM3CJp_w/edit?usp=sharing"",""เพชรบุรี!I627"")+IMPORTRA"&amp;"NGE(""https://docs.google.com/spreadsheets/d/19KBlQQs7uwvsao6t2n-KvW3Ax8J8uRRfZPq1zPbXgKc/edit?usp=sharing"",""ระยอง!I627"")+IMPORTRANGE(""https://docs.google.com/spreadsheets/d/1jQ6P4QcrGM89YfqcC_PxOHGCMq5ezhucwJd8ci-NHng/edit?usp=sharing"",""ราชบุรี!I62"&amp;"7"")+IMPORTRANGE(""https://docs.google.com/spreadsheets/d/1lufeA2cfFqM-elVq2hznhDzC6Pr7wkJ9ZG_sYNGCMCU/edit?usp=sharing"",""ลพบุรี!I627"")+IMPORTRANGE(""https://docs.google.com/spreadsheets/d/10oOiF7loTyfsTkbd4MpaIm0HQ9SwB7IYHdIUvt-U1Uc/edit?usp=sharing"""&amp;",""สระแก้ว!I627"")+IMPORTRANGE(""https://docs.google.com/spreadsheets/d/1xmPlrr1QbdSIKvl1dWUl9K4PjAfSL9oeMr_37QVzcxc/edit?usp=sharing"",""สระบุรี!I627"")+IMPORTRANGE(""https://docs.google.com/spreadsheets/d/1j51vR6CYVGhABJpv6tkstgok82RLpXieLzW1yOY5rHw/edi"&amp;"t?usp=sharing"",""สิงห์บุรี!I627"")+IMPORTRANGE(""https://docs.google.com/spreadsheets/d/1H1EalTWKUSzO4Z1-1CwzoDUaVffgrThEBe2sl74kKG0/edit?usp=sharing"",""สุพรรณบุรี!I627"")+IMPORTRANGE(""https://docs.google.com/spreadsheets/d/1BmIruG_sIrJLYao_Pdr7zVArWsf"&amp;"oBt2692TMi6x_854/edit?usp=sharing"",""อ่างทอง!I627"")"),7)</f>
        <v>7</v>
      </c>
      <c r="J627" s="296">
        <f ca="1">IFERROR(__xludf.DUMMYFUNCTION("IMPORTRANGE(""https://docs.google.com/spreadsheets/d/13wPX838HrBrQMCywv1BsuMkt4PEKTChp52zj44s2izQ/edit?usp=sharing"",""กาญจนบุรี!J627"")+IMPORTRANGE(""https://docs.google.com/spreadsheets/d/1ddFKvqj1W1NEiWytbGlB1zMx_ykJDVtmfEQ-6-lIUBA/edit?usp=sharing"","&amp;"""จันทบุรี!J627"")+IMPORTRANGE(""https://docs.google.com/spreadsheets/d/1T1PQvRODqOBZk8BRht_U031fIS1beLA0Ub2CEytj2q0/edit?usp=sharing"",""ฉะเชิงเทรา!J627"")+IMPORTRANGE(""https://docs.google.com/spreadsheets/d/11tr1B-Bhyr79v2bkwVh5h_fR-PStkgjlZtkrZpYurG0/"&amp;"edit?usp=sharing"",""ชลบุรี!J627"")+IMPORTRANGE(""https://docs.google.com/spreadsheets/d/1hh-FVnSX0vozXhGluamEcS54Dw9_zqW0N7qJUWgJ0Sw/edit?usp=sharing"",""ชัยนาท!J627"")+IMPORTRANGE(""https://docs.google.com/spreadsheets/d/1jkqa6GXxSacMcY1eN8AHjMNJ_7dDXMJ"&amp;"VRLDlaFSOdPM/edit?usp=sharing"",""ตราด!J627"")+IMPORTRANGE(""https://docs.google.com/spreadsheets/d/18hSgUJ3VwClqi_qtULmmW3cLr0oe3OKaSYoKzdpTsYQ/edit?usp=sharing"",""นครนายก!J627"")+IMPORTRANGE(""https://docs.google.com/spreadsheets/d/1YTZo6WM2dQ6Ix6FSdnL"&amp;"5P7uVnVKu40sxZu975tgG10E/edit?usp=sharing"",""นครปฐม!J627"")+IMPORTRANGE(""https://docs.google.com/spreadsheets/d/1OYoGg4WDg5RIzwGeB10padOxJF9E_Vljuvvct_M7RDo/edit?usp=sharing"",""ปทุมธานี!J627"")+IMPORTRANGE(""https://docs.google.com/spreadsheets/d/1GbCI"&amp;"E4D4wk9FUozzqk7SxfDMxDVBwVmI5zcaVUSzKAc/edit?usp=sharing"",""ประจวบคีรีขันธ์!J627"")+IMPORTRANGE(""https://docs.google.com/spreadsheets/d/1vVf6wykvW_lAyu7Yo9L4hUTqHqIeP_qcVuxCtosJEbg/edit?usp=sharing"",""ปราจีนบุรี!J627"")+IMPORTRANGE(""https://docs.googl"&amp;"e.com/spreadsheets/d/1BIDqLLg5jk3v59G8NlR8rk5xfQDKne0sAvZHSj7TI6I/edit?usp=sharing"",""พระนครศรีอยุธยา!J627"")+IMPORTRANGE(""https://docs.google.com/spreadsheets/d/1YXvxf8Yu6_rV4hTBrwMqAcAnv6DfhUxh5emyM3CJp_w/edit?usp=sharing"",""เพชรบุรี!J627"")+IMPORTRA"&amp;"NGE(""https://docs.google.com/spreadsheets/d/19KBlQQs7uwvsao6t2n-KvW3Ax8J8uRRfZPq1zPbXgKc/edit?usp=sharing"",""ระยอง!J627"")+IMPORTRANGE(""https://docs.google.com/spreadsheets/d/1jQ6P4QcrGM89YfqcC_PxOHGCMq5ezhucwJd8ci-NHng/edit?usp=sharing"",""ราชบุรี!J62"&amp;"7"")+IMPORTRANGE(""https://docs.google.com/spreadsheets/d/1lufeA2cfFqM-elVq2hznhDzC6Pr7wkJ9ZG_sYNGCMCU/edit?usp=sharing"",""ลพบุรี!J627"")+IMPORTRANGE(""https://docs.google.com/spreadsheets/d/10oOiF7loTyfsTkbd4MpaIm0HQ9SwB7IYHdIUvt-U1Uc/edit?usp=sharing"""&amp;",""สระแก้ว!J627"")+IMPORTRANGE(""https://docs.google.com/spreadsheets/d/1xmPlrr1QbdSIKvl1dWUl9K4PjAfSL9oeMr_37QVzcxc/edit?usp=sharing"",""สระบุรี!J627"")+IMPORTRANGE(""https://docs.google.com/spreadsheets/d/1j51vR6CYVGhABJpv6tkstgok82RLpXieLzW1yOY5rHw/edi"&amp;"t?usp=sharing"",""สิงห์บุรี!J627"")+IMPORTRANGE(""https://docs.google.com/spreadsheets/d/1H1EalTWKUSzO4Z1-1CwzoDUaVffgrThEBe2sl74kKG0/edit?usp=sharing"",""สุพรรณบุรี!J627"")+IMPORTRANGE(""https://docs.google.com/spreadsheets/d/1BmIruG_sIrJLYao_Pdr7zVArWsf"&amp;"oBt2692TMi6x_854/edit?usp=sharing"",""อ่างทอง!J627"")"),21)</f>
        <v>21</v>
      </c>
      <c r="K627" s="77">
        <f t="shared" ref="K627:K628" ca="1" si="443">IF(I627&gt;0,(J627*100)/I627,0)</f>
        <v>300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13wPX838HrBrQMCywv1BsuMkt4PEKTChp52zj44s2izQ/edit?usp=sharing"",""กาญจนบุรี!I628"")+IMPORTRANGE(""https://docs.google.com/spreadsheets/d/1ddFKvqj1W1NEiWytbGlB1zMx_ykJDVtmfEQ-6-lIUBA/edit?usp=sharing"","&amp;"""จันทบุรี!I628"")+IMPORTRANGE(""https://docs.google.com/spreadsheets/d/1T1PQvRODqOBZk8BRht_U031fIS1beLA0Ub2CEytj2q0/edit?usp=sharing"",""ฉะเชิงเทรา!I628"")+IMPORTRANGE(""https://docs.google.com/spreadsheets/d/11tr1B-Bhyr79v2bkwVh5h_fR-PStkgjlZtkrZpYurG0/"&amp;"edit?usp=sharing"",""ชลบุรี!I628"")+IMPORTRANGE(""https://docs.google.com/spreadsheets/d/1hh-FVnSX0vozXhGluamEcS54Dw9_zqW0N7qJUWgJ0Sw/edit?usp=sharing"",""ชัยนาท!I628"")+IMPORTRANGE(""https://docs.google.com/spreadsheets/d/1jkqa6GXxSacMcY1eN8AHjMNJ_7dDXMJ"&amp;"VRLDlaFSOdPM/edit?usp=sharing"",""ตราด!I628"")+IMPORTRANGE(""https://docs.google.com/spreadsheets/d/18hSgUJ3VwClqi_qtULmmW3cLr0oe3OKaSYoKzdpTsYQ/edit?usp=sharing"",""นครนายก!I628"")+IMPORTRANGE(""https://docs.google.com/spreadsheets/d/1YTZo6WM2dQ6Ix6FSdnL"&amp;"5P7uVnVKu40sxZu975tgG10E/edit?usp=sharing"",""นครปฐม!I628"")+IMPORTRANGE(""https://docs.google.com/spreadsheets/d/1OYoGg4WDg5RIzwGeB10padOxJF9E_Vljuvvct_M7RDo/edit?usp=sharing"",""ปทุมธานี!I628"")+IMPORTRANGE(""https://docs.google.com/spreadsheets/d/1GbCI"&amp;"E4D4wk9FUozzqk7SxfDMxDVBwVmI5zcaVUSzKAc/edit?usp=sharing"",""ประจวบคีรีขันธ์!I628"")+IMPORTRANGE(""https://docs.google.com/spreadsheets/d/1vVf6wykvW_lAyu7Yo9L4hUTqHqIeP_qcVuxCtosJEbg/edit?usp=sharing"",""ปราจีนบุรี!I628"")+IMPORTRANGE(""https://docs.googl"&amp;"e.com/spreadsheets/d/1BIDqLLg5jk3v59G8NlR8rk5xfQDKne0sAvZHSj7TI6I/edit?usp=sharing"",""พระนครศรีอยุธยา!I628"")+IMPORTRANGE(""https://docs.google.com/spreadsheets/d/1YXvxf8Yu6_rV4hTBrwMqAcAnv6DfhUxh5emyM3CJp_w/edit?usp=sharing"",""เพชรบุรี!I628"")+IMPORTRA"&amp;"NGE(""https://docs.google.com/spreadsheets/d/19KBlQQs7uwvsao6t2n-KvW3Ax8J8uRRfZPq1zPbXgKc/edit?usp=sharing"",""ระยอง!I628"")+IMPORTRANGE(""https://docs.google.com/spreadsheets/d/1jQ6P4QcrGM89YfqcC_PxOHGCMq5ezhucwJd8ci-NHng/edit?usp=sharing"",""ราชบุรี!I62"&amp;"8"")+IMPORTRANGE(""https://docs.google.com/spreadsheets/d/1lufeA2cfFqM-elVq2hznhDzC6Pr7wkJ9ZG_sYNGCMCU/edit?usp=sharing"",""ลพบุรี!I628"")+IMPORTRANGE(""https://docs.google.com/spreadsheets/d/10oOiF7loTyfsTkbd4MpaIm0HQ9SwB7IYHdIUvt-U1Uc/edit?usp=sharing"""&amp;",""สระแก้ว!I628"")+IMPORTRANGE(""https://docs.google.com/spreadsheets/d/1xmPlrr1QbdSIKvl1dWUl9K4PjAfSL9oeMr_37QVzcxc/edit?usp=sharing"",""สระบุรี!I628"")+IMPORTRANGE(""https://docs.google.com/spreadsheets/d/1j51vR6CYVGhABJpv6tkstgok82RLpXieLzW1yOY5rHw/edi"&amp;"t?usp=sharing"",""สิงห์บุรี!I628"")+IMPORTRANGE(""https://docs.google.com/spreadsheets/d/1H1EalTWKUSzO4Z1-1CwzoDUaVffgrThEBe2sl74kKG0/edit?usp=sharing"",""สุพรรณบุรี!I628"")+IMPORTRANGE(""https://docs.google.com/spreadsheets/d/1BmIruG_sIrJLYao_Pdr7zVArWsf"&amp;"oBt2692TMi6x_854/edit?usp=sharing"",""อ่างทอง!I628"")"),7)</f>
        <v>7</v>
      </c>
      <c r="J628" s="296">
        <f ca="1">IFERROR(__xludf.DUMMYFUNCTION("IMPORTRANGE(""https://docs.google.com/spreadsheets/d/13wPX838HrBrQMCywv1BsuMkt4PEKTChp52zj44s2izQ/edit?usp=sharing"",""กาญจนบุรี!J628"")+IMPORTRANGE(""https://docs.google.com/spreadsheets/d/1ddFKvqj1W1NEiWytbGlB1zMx_ykJDVtmfEQ-6-lIUBA/edit?usp=sharing"","&amp;"""จันทบุรี!J628"")+IMPORTRANGE(""https://docs.google.com/spreadsheets/d/1T1PQvRODqOBZk8BRht_U031fIS1beLA0Ub2CEytj2q0/edit?usp=sharing"",""ฉะเชิงเทรา!J628"")+IMPORTRANGE(""https://docs.google.com/spreadsheets/d/11tr1B-Bhyr79v2bkwVh5h_fR-PStkgjlZtkrZpYurG0/"&amp;"edit?usp=sharing"",""ชลบุรี!J628"")+IMPORTRANGE(""https://docs.google.com/spreadsheets/d/1hh-FVnSX0vozXhGluamEcS54Dw9_zqW0N7qJUWgJ0Sw/edit?usp=sharing"",""ชัยนาท!J628"")+IMPORTRANGE(""https://docs.google.com/spreadsheets/d/1jkqa6GXxSacMcY1eN8AHjMNJ_7dDXMJ"&amp;"VRLDlaFSOdPM/edit?usp=sharing"",""ตราด!J628"")+IMPORTRANGE(""https://docs.google.com/spreadsheets/d/18hSgUJ3VwClqi_qtULmmW3cLr0oe3OKaSYoKzdpTsYQ/edit?usp=sharing"",""นครนายก!J628"")+IMPORTRANGE(""https://docs.google.com/spreadsheets/d/1YTZo6WM2dQ6Ix6FSdnL"&amp;"5P7uVnVKu40sxZu975tgG10E/edit?usp=sharing"",""นครปฐม!J628"")+IMPORTRANGE(""https://docs.google.com/spreadsheets/d/1OYoGg4WDg5RIzwGeB10padOxJF9E_Vljuvvct_M7RDo/edit?usp=sharing"",""ปทุมธานี!J628"")+IMPORTRANGE(""https://docs.google.com/spreadsheets/d/1GbCI"&amp;"E4D4wk9FUozzqk7SxfDMxDVBwVmI5zcaVUSzKAc/edit?usp=sharing"",""ประจวบคีรีขันธ์!J628"")+IMPORTRANGE(""https://docs.google.com/spreadsheets/d/1vVf6wykvW_lAyu7Yo9L4hUTqHqIeP_qcVuxCtosJEbg/edit?usp=sharing"",""ปราจีนบุรี!J628"")+IMPORTRANGE(""https://docs.googl"&amp;"e.com/spreadsheets/d/1BIDqLLg5jk3v59G8NlR8rk5xfQDKne0sAvZHSj7TI6I/edit?usp=sharing"",""พระนครศรีอยุธยา!J628"")+IMPORTRANGE(""https://docs.google.com/spreadsheets/d/1YXvxf8Yu6_rV4hTBrwMqAcAnv6DfhUxh5emyM3CJp_w/edit?usp=sharing"",""เพชรบุรี!J628"")+IMPORTRA"&amp;"NGE(""https://docs.google.com/spreadsheets/d/19KBlQQs7uwvsao6t2n-KvW3Ax8J8uRRfZPq1zPbXgKc/edit?usp=sharing"",""ระยอง!J628"")+IMPORTRANGE(""https://docs.google.com/spreadsheets/d/1jQ6P4QcrGM89YfqcC_PxOHGCMq5ezhucwJd8ci-NHng/edit?usp=sharing"",""ราชบุรี!J62"&amp;"8"")+IMPORTRANGE(""https://docs.google.com/spreadsheets/d/1lufeA2cfFqM-elVq2hznhDzC6Pr7wkJ9ZG_sYNGCMCU/edit?usp=sharing"",""ลพบุรี!J628"")+IMPORTRANGE(""https://docs.google.com/spreadsheets/d/10oOiF7loTyfsTkbd4MpaIm0HQ9SwB7IYHdIUvt-U1Uc/edit?usp=sharing"""&amp;",""สระแก้ว!J628"")+IMPORTRANGE(""https://docs.google.com/spreadsheets/d/1xmPlrr1QbdSIKvl1dWUl9K4PjAfSL9oeMr_37QVzcxc/edit?usp=sharing"",""สระบุรี!J628"")+IMPORTRANGE(""https://docs.google.com/spreadsheets/d/1j51vR6CYVGhABJpv6tkstgok82RLpXieLzW1yOY5rHw/edi"&amp;"t?usp=sharing"",""สิงห์บุรี!J628"")+IMPORTRANGE(""https://docs.google.com/spreadsheets/d/1H1EalTWKUSzO4Z1-1CwzoDUaVffgrThEBe2sl74kKG0/edit?usp=sharing"",""สุพรรณบุรี!J628"")+IMPORTRANGE(""https://docs.google.com/spreadsheets/d/1BmIruG_sIrJLYao_Pdr7zVArWsf"&amp;"oBt2692TMi6x_854/edit?usp=sharing"",""อ่างทอง!J628"")"),46)</f>
        <v>46</v>
      </c>
      <c r="K628" s="77">
        <f t="shared" ca="1" si="443"/>
        <v>657.14285714285711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f ca="1">IFERROR(__xludf.DUMMYFUNCTION("IMPORTRANGE(""https://docs.google.com/spreadsheets/d/13wPX838HrBrQMCywv1BsuMkt4PEKTChp52zj44s2izQ/edit?usp=sharing"",""กาญจนบุรี!J629"")+IMPORTRANGE(""https://docs.google.com/spreadsheets/d/1ddFKvqj1W1NEiWytbGlB1zMx_ykJDVtmfEQ-6-lIUBA/edit?usp=sharing"","&amp;"""จันทบุรี!J629"")+IMPORTRANGE(""https://docs.google.com/spreadsheets/d/1T1PQvRODqOBZk8BRht_U031fIS1beLA0Ub2CEytj2q0/edit?usp=sharing"",""ฉะเชิงเทรา!J629"")+IMPORTRANGE(""https://docs.google.com/spreadsheets/d/11tr1B-Bhyr79v2bkwVh5h_fR-PStkgjlZtkrZpYurG0/"&amp;"edit?usp=sharing"",""ชลบุรี!J629"")+IMPORTRANGE(""https://docs.google.com/spreadsheets/d/1hh-FVnSX0vozXhGluamEcS54Dw9_zqW0N7qJUWgJ0Sw/edit?usp=sharing"",""ชัยนาท!J629"")+IMPORTRANGE(""https://docs.google.com/spreadsheets/d/1jkqa6GXxSacMcY1eN8AHjMNJ_7dDXMJ"&amp;"VRLDlaFSOdPM/edit?usp=sharing"",""ตราด!J629"")+IMPORTRANGE(""https://docs.google.com/spreadsheets/d/18hSgUJ3VwClqi_qtULmmW3cLr0oe3OKaSYoKzdpTsYQ/edit?usp=sharing"",""นครนายก!J629"")+IMPORTRANGE(""https://docs.google.com/spreadsheets/d/1YTZo6WM2dQ6Ix6FSdnL"&amp;"5P7uVnVKu40sxZu975tgG10E/edit?usp=sharing"",""นครปฐม!J629"")+IMPORTRANGE(""https://docs.google.com/spreadsheets/d/1OYoGg4WDg5RIzwGeB10padOxJF9E_Vljuvvct_M7RDo/edit?usp=sharing"",""ปทุมธานี!J629"")+IMPORTRANGE(""https://docs.google.com/spreadsheets/d/1GbCI"&amp;"E4D4wk9FUozzqk7SxfDMxDVBwVmI5zcaVUSzKAc/edit?usp=sharing"",""ประจวบคีรีขันธ์!J629"")+IMPORTRANGE(""https://docs.google.com/spreadsheets/d/1vVf6wykvW_lAyu7Yo9L4hUTqHqIeP_qcVuxCtosJEbg/edit?usp=sharing"",""ปราจีนบุรี!J629"")+IMPORTRANGE(""https://docs.googl"&amp;"e.com/spreadsheets/d/1BIDqLLg5jk3v59G8NlR8rk5xfQDKne0sAvZHSj7TI6I/edit?usp=sharing"",""พระนครศรีอยุธยา!J629"")+IMPORTRANGE(""https://docs.google.com/spreadsheets/d/1YXvxf8Yu6_rV4hTBrwMqAcAnv6DfhUxh5emyM3CJp_w/edit?usp=sharing"",""เพชรบุรี!J629"")+IMPORTRA"&amp;"NGE(""https://docs.google.com/spreadsheets/d/19KBlQQs7uwvsao6t2n-KvW3Ax8J8uRRfZPq1zPbXgKc/edit?usp=sharing"",""ระยอง!J629"")+IMPORTRANGE(""https://docs.google.com/spreadsheets/d/1jQ6P4QcrGM89YfqcC_PxOHGCMq5ezhucwJd8ci-NHng/edit?usp=sharing"",""ราชบุรี!J62"&amp;"9"")+IMPORTRANGE(""https://docs.google.com/spreadsheets/d/1lufeA2cfFqM-elVq2hznhDzC6Pr7wkJ9ZG_sYNGCMCU/edit?usp=sharing"",""ลพบุรี!J629"")+IMPORTRANGE(""https://docs.google.com/spreadsheets/d/10oOiF7loTyfsTkbd4MpaIm0HQ9SwB7IYHdIUvt-U1Uc/edit?usp=sharing"""&amp;",""สระแก้ว!J629"")+IMPORTRANGE(""https://docs.google.com/spreadsheets/d/1xmPlrr1QbdSIKvl1dWUl9K4PjAfSL9oeMr_37QVzcxc/edit?usp=sharing"",""สระบุรี!J629"")+IMPORTRANGE(""https://docs.google.com/spreadsheets/d/1j51vR6CYVGhABJpv6tkstgok82RLpXieLzW1yOY5rHw/edi"&amp;"t?usp=sharing"",""สิงห์บุรี!J629"")+IMPORTRANGE(""https://docs.google.com/spreadsheets/d/1H1EalTWKUSzO4Z1-1CwzoDUaVffgrThEBe2sl74kKG0/edit?usp=sharing"",""สุพรรณบุรี!J629"")+IMPORTRANGE(""https://docs.google.com/spreadsheets/d/1BmIruG_sIrJLYao_Pdr7zVArWsf"&amp;"oBt2692TMi6x_854/edit?usp=sharing"",""อ่างทอง!J629"")"),568)</f>
        <v>568</v>
      </c>
      <c r="K629" s="77">
        <f t="shared" ref="K629:K631" ca="1" si="444">IF(I$626&gt;0,J629*100/I$626,0)</f>
        <v>53.584905660377359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f ca="1">IFERROR(__xludf.DUMMYFUNCTION("IMPORTRANGE(""https://docs.google.com/spreadsheets/d/13wPX838HrBrQMCywv1BsuMkt4PEKTChp52zj44s2izQ/edit?usp=sharing"",""กาญจนบุรี!J630"")+IMPORTRANGE(""https://docs.google.com/spreadsheets/d/1ddFKvqj1W1NEiWytbGlB1zMx_ykJDVtmfEQ-6-lIUBA/edit?usp=sharing"","&amp;"""จันทบุรี!J630"")+IMPORTRANGE(""https://docs.google.com/spreadsheets/d/1T1PQvRODqOBZk8BRht_U031fIS1beLA0Ub2CEytj2q0/edit?usp=sharing"",""ฉะเชิงเทรา!J630"")+IMPORTRANGE(""https://docs.google.com/spreadsheets/d/11tr1B-Bhyr79v2bkwVh5h_fR-PStkgjlZtkrZpYurG0/"&amp;"edit?usp=sharing"",""ชลบุรี!J630"")+IMPORTRANGE(""https://docs.google.com/spreadsheets/d/1hh-FVnSX0vozXhGluamEcS54Dw9_zqW0N7qJUWgJ0Sw/edit?usp=sharing"",""ชัยนาท!J630"")+IMPORTRANGE(""https://docs.google.com/spreadsheets/d/1jkqa6GXxSacMcY1eN8AHjMNJ_7dDXMJ"&amp;"VRLDlaFSOdPM/edit?usp=sharing"",""ตราด!J630"")+IMPORTRANGE(""https://docs.google.com/spreadsheets/d/18hSgUJ3VwClqi_qtULmmW3cLr0oe3OKaSYoKzdpTsYQ/edit?usp=sharing"",""นครนายก!J630"")+IMPORTRANGE(""https://docs.google.com/spreadsheets/d/1YTZo6WM2dQ6Ix6FSdnL"&amp;"5P7uVnVKu40sxZu975tgG10E/edit?usp=sharing"",""นครปฐม!J630"")+IMPORTRANGE(""https://docs.google.com/spreadsheets/d/1OYoGg4WDg5RIzwGeB10padOxJF9E_Vljuvvct_M7RDo/edit?usp=sharing"",""ปทุมธานี!J630"")+IMPORTRANGE(""https://docs.google.com/spreadsheets/d/1GbCI"&amp;"E4D4wk9FUozzqk7SxfDMxDVBwVmI5zcaVUSzKAc/edit?usp=sharing"",""ประจวบคีรีขันธ์!J630"")+IMPORTRANGE(""https://docs.google.com/spreadsheets/d/1vVf6wykvW_lAyu7Yo9L4hUTqHqIeP_qcVuxCtosJEbg/edit?usp=sharing"",""ปราจีนบุรี!J630"")+IMPORTRANGE(""https://docs.googl"&amp;"e.com/spreadsheets/d/1BIDqLLg5jk3v59G8NlR8rk5xfQDKne0sAvZHSj7TI6I/edit?usp=sharing"",""พระนครศรีอยุธยา!J630"")+IMPORTRANGE(""https://docs.google.com/spreadsheets/d/1YXvxf8Yu6_rV4hTBrwMqAcAnv6DfhUxh5emyM3CJp_w/edit?usp=sharing"",""เพชรบุรี!J630"")+IMPORTRA"&amp;"NGE(""https://docs.google.com/spreadsheets/d/19KBlQQs7uwvsao6t2n-KvW3Ax8J8uRRfZPq1zPbXgKc/edit?usp=sharing"",""ระยอง!J630"")+IMPORTRANGE(""https://docs.google.com/spreadsheets/d/1jQ6P4QcrGM89YfqcC_PxOHGCMq5ezhucwJd8ci-NHng/edit?usp=sharing"",""ราชบุรี!J63"&amp;"0"")+IMPORTRANGE(""https://docs.google.com/spreadsheets/d/1lufeA2cfFqM-elVq2hznhDzC6Pr7wkJ9ZG_sYNGCMCU/edit?usp=sharing"",""ลพบุรี!J630"")+IMPORTRANGE(""https://docs.google.com/spreadsheets/d/10oOiF7loTyfsTkbd4MpaIm0HQ9SwB7IYHdIUvt-U1Uc/edit?usp=sharing"""&amp;",""สระแก้ว!J630"")+IMPORTRANGE(""https://docs.google.com/spreadsheets/d/1xmPlrr1QbdSIKvl1dWUl9K4PjAfSL9oeMr_37QVzcxc/edit?usp=sharing"",""สระบุรี!J630"")+IMPORTRANGE(""https://docs.google.com/spreadsheets/d/1j51vR6CYVGhABJpv6tkstgok82RLpXieLzW1yOY5rHw/edi"&amp;"t?usp=sharing"",""สิงห์บุรี!J630"")+IMPORTRANGE(""https://docs.google.com/spreadsheets/d/1H1EalTWKUSzO4Z1-1CwzoDUaVffgrThEBe2sl74kKG0/edit?usp=sharing"",""สุพรรณบุรี!J630"")+IMPORTRANGE(""https://docs.google.com/spreadsheets/d/1BmIruG_sIrJLYao_Pdr7zVArWsf"&amp;"oBt2692TMi6x_854/edit?usp=sharing"",""อ่างทอง!J630"")"),310)</f>
        <v>310</v>
      </c>
      <c r="K630" s="77">
        <f t="shared" ca="1" si="444"/>
        <v>29.245283018867923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f ca="1">IFERROR(__xludf.DUMMYFUNCTION("IMPORTRANGE(""https://docs.google.com/spreadsheets/d/13wPX838HrBrQMCywv1BsuMkt4PEKTChp52zj44s2izQ/edit?usp=sharing"",""กาญจนบุรี!J631"")+IMPORTRANGE(""https://docs.google.com/spreadsheets/d/1ddFKvqj1W1NEiWytbGlB1zMx_ykJDVtmfEQ-6-lIUBA/edit?usp=sharing"","&amp;"""จันทบุรี!J631"")+IMPORTRANGE(""https://docs.google.com/spreadsheets/d/1T1PQvRODqOBZk8BRht_U031fIS1beLA0Ub2CEytj2q0/edit?usp=sharing"",""ฉะเชิงเทรา!J631"")+IMPORTRANGE(""https://docs.google.com/spreadsheets/d/11tr1B-Bhyr79v2bkwVh5h_fR-PStkgjlZtkrZpYurG0/"&amp;"edit?usp=sharing"",""ชลบุรี!J631"")+IMPORTRANGE(""https://docs.google.com/spreadsheets/d/1hh-FVnSX0vozXhGluamEcS54Dw9_zqW0N7qJUWgJ0Sw/edit?usp=sharing"",""ชัยนาท!J631"")+IMPORTRANGE(""https://docs.google.com/spreadsheets/d/1jkqa6GXxSacMcY1eN8AHjMNJ_7dDXMJ"&amp;"VRLDlaFSOdPM/edit?usp=sharing"",""ตราด!J631"")+IMPORTRANGE(""https://docs.google.com/spreadsheets/d/18hSgUJ3VwClqi_qtULmmW3cLr0oe3OKaSYoKzdpTsYQ/edit?usp=sharing"",""นครนายก!J631"")+IMPORTRANGE(""https://docs.google.com/spreadsheets/d/1YTZo6WM2dQ6Ix6FSdnL"&amp;"5P7uVnVKu40sxZu975tgG10E/edit?usp=sharing"",""นครปฐม!J631"")+IMPORTRANGE(""https://docs.google.com/spreadsheets/d/1OYoGg4WDg5RIzwGeB10padOxJF9E_Vljuvvct_M7RDo/edit?usp=sharing"",""ปทุมธานี!J631"")+IMPORTRANGE(""https://docs.google.com/spreadsheets/d/1GbCI"&amp;"E4D4wk9FUozzqk7SxfDMxDVBwVmI5zcaVUSzKAc/edit?usp=sharing"",""ประจวบคีรีขันธ์!J631"")+IMPORTRANGE(""https://docs.google.com/spreadsheets/d/1vVf6wykvW_lAyu7Yo9L4hUTqHqIeP_qcVuxCtosJEbg/edit?usp=sharing"",""ปราจีนบุรี!J631"")+IMPORTRANGE(""https://docs.googl"&amp;"e.com/spreadsheets/d/1BIDqLLg5jk3v59G8NlR8rk5xfQDKne0sAvZHSj7TI6I/edit?usp=sharing"",""พระนครศรีอยุธยา!J631"")+IMPORTRANGE(""https://docs.google.com/spreadsheets/d/1YXvxf8Yu6_rV4hTBrwMqAcAnv6DfhUxh5emyM3CJp_w/edit?usp=sharing"",""เพชรบุรี!J631"")+IMPORTRA"&amp;"NGE(""https://docs.google.com/spreadsheets/d/19KBlQQs7uwvsao6t2n-KvW3Ax8J8uRRfZPq1zPbXgKc/edit?usp=sharing"",""ระยอง!J631"")+IMPORTRANGE(""https://docs.google.com/spreadsheets/d/1jQ6P4QcrGM89YfqcC_PxOHGCMq5ezhucwJd8ci-NHng/edit?usp=sharing"",""ราชบุรี!J63"&amp;"1"")+IMPORTRANGE(""https://docs.google.com/spreadsheets/d/1lufeA2cfFqM-elVq2hznhDzC6Pr7wkJ9ZG_sYNGCMCU/edit?usp=sharing"",""ลพบุรี!J631"")+IMPORTRANGE(""https://docs.google.com/spreadsheets/d/10oOiF7loTyfsTkbd4MpaIm0HQ9SwB7IYHdIUvt-U1Uc/edit?usp=sharing"""&amp;",""สระแก้ว!J631"")+IMPORTRANGE(""https://docs.google.com/spreadsheets/d/1xmPlrr1QbdSIKvl1dWUl9K4PjAfSL9oeMr_37QVzcxc/edit?usp=sharing"",""สระบุรี!J631"")+IMPORTRANGE(""https://docs.google.com/spreadsheets/d/1j51vR6CYVGhABJpv6tkstgok82RLpXieLzW1yOY5rHw/edi"&amp;"t?usp=sharing"",""สิงห์บุรี!J631"")+IMPORTRANGE(""https://docs.google.com/spreadsheets/d/1H1EalTWKUSzO4Z1-1CwzoDUaVffgrThEBe2sl74kKG0/edit?usp=sharing"",""สุพรรณบุรี!J631"")+IMPORTRANGE(""https://docs.google.com/spreadsheets/d/1BmIruG_sIrJLYao_Pdr7zVArWsf"&amp;"oBt2692TMi6x_854/edit?usp=sharing"",""อ่างทอง!J631"")"),0)</f>
        <v>0</v>
      </c>
      <c r="K631" s="77">
        <f t="shared" ca="1" si="444"/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 ca="1"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f ca="1">IFERROR(__xludf.DUMMYFUNCTION("IMPORTRANGE(""https://docs.google.com/spreadsheets/d/13wPX838HrBrQMCywv1BsuMkt4PEKTChp52zj44s2izQ/edit?usp=sharing"",""กาญจนบุรี!J633"")+IMPORTRANGE(""https://docs.google.com/spreadsheets/d/1ddFKvqj1W1NEiWytbGlB1zMx_ykJDVtmfEQ-6-lIUBA/edit?usp=sharing"","&amp;"""จันทบุรี!J633"")+IMPORTRANGE(""https://docs.google.com/spreadsheets/d/1T1PQvRODqOBZk8BRht_U031fIS1beLA0Ub2CEytj2q0/edit?usp=sharing"",""ฉะเชิงเทรา!J633"")+IMPORTRANGE(""https://docs.google.com/spreadsheets/d/11tr1B-Bhyr79v2bkwVh5h_fR-PStkgjlZtkrZpYurG0/"&amp;"edit?usp=sharing"",""ชลบุรี!J633"")+IMPORTRANGE(""https://docs.google.com/spreadsheets/d/1hh-FVnSX0vozXhGluamEcS54Dw9_zqW0N7qJUWgJ0Sw/edit?usp=sharing"",""ชัยนาท!J633"")+IMPORTRANGE(""https://docs.google.com/spreadsheets/d/1jkqa6GXxSacMcY1eN8AHjMNJ_7dDXMJ"&amp;"VRLDlaFSOdPM/edit?usp=sharing"",""ตราด!J633"")+IMPORTRANGE(""https://docs.google.com/spreadsheets/d/18hSgUJ3VwClqi_qtULmmW3cLr0oe3OKaSYoKzdpTsYQ/edit?usp=sharing"",""นครนายก!J633"")+IMPORTRANGE(""https://docs.google.com/spreadsheets/d/1YTZo6WM2dQ6Ix6FSdnL"&amp;"5P7uVnVKu40sxZu975tgG10E/edit?usp=sharing"",""นครปฐม!J633"")+IMPORTRANGE(""https://docs.google.com/spreadsheets/d/1OYoGg4WDg5RIzwGeB10padOxJF9E_Vljuvvct_M7RDo/edit?usp=sharing"",""ปทุมธานี!J633"")+IMPORTRANGE(""https://docs.google.com/spreadsheets/d/1GbCI"&amp;"E4D4wk9FUozzqk7SxfDMxDVBwVmI5zcaVUSzKAc/edit?usp=sharing"",""ประจวบคีรีขันธ์!J633"")+IMPORTRANGE(""https://docs.google.com/spreadsheets/d/1vVf6wykvW_lAyu7Yo9L4hUTqHqIeP_qcVuxCtosJEbg/edit?usp=sharing"",""ปราจีนบุรี!J633"")+IMPORTRANGE(""https://docs.googl"&amp;"e.com/spreadsheets/d/1BIDqLLg5jk3v59G8NlR8rk5xfQDKne0sAvZHSj7TI6I/edit?usp=sharing"",""พระนครศรีอยุธยา!J633"")+IMPORTRANGE(""https://docs.google.com/spreadsheets/d/1YXvxf8Yu6_rV4hTBrwMqAcAnv6DfhUxh5emyM3CJp_w/edit?usp=sharing"",""เพชรบุรี!J633"")+IMPORTRA"&amp;"NGE(""https://docs.google.com/spreadsheets/d/19KBlQQs7uwvsao6t2n-KvW3Ax8J8uRRfZPq1zPbXgKc/edit?usp=sharing"",""ระยอง!J633"")+IMPORTRANGE(""https://docs.google.com/spreadsheets/d/1jQ6P4QcrGM89YfqcC_PxOHGCMq5ezhucwJd8ci-NHng/edit?usp=sharing"",""ราชบุรี!J63"&amp;"3"")+IMPORTRANGE(""https://docs.google.com/spreadsheets/d/1lufeA2cfFqM-elVq2hznhDzC6Pr7wkJ9ZG_sYNGCMCU/edit?usp=sharing"",""ลพบุรี!J633"")+IMPORTRANGE(""https://docs.google.com/spreadsheets/d/10oOiF7loTyfsTkbd4MpaIm0HQ9SwB7IYHdIUvt-U1Uc/edit?usp=sharing"""&amp;",""สระแก้ว!J633"")+IMPORTRANGE(""https://docs.google.com/spreadsheets/d/1xmPlrr1QbdSIKvl1dWUl9K4PjAfSL9oeMr_37QVzcxc/edit?usp=sharing"",""สระบุรี!J633"")+IMPORTRANGE(""https://docs.google.com/spreadsheets/d/1j51vR6CYVGhABJpv6tkstgok82RLpXieLzW1yOY5rHw/edi"&amp;"t?usp=sharing"",""สิงห์บุรี!J633"")+IMPORTRANGE(""https://docs.google.com/spreadsheets/d/1H1EalTWKUSzO4Z1-1CwzoDUaVffgrThEBe2sl74kKG0/edit?usp=sharing"",""สุพรรณบุรี!J633"")+IMPORTRANGE(""https://docs.google.com/spreadsheets/d/1BmIruG_sIrJLYao_Pdr7zVArWsf"&amp;"oBt2692TMi6x_854/edit?usp=sharing"",""อ่างทอง!J633"")"),0)</f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f ca="1">IFERROR(__xludf.DUMMYFUNCTION("IMPORTRANGE(""https://docs.google.com/spreadsheets/d/13wPX838HrBrQMCywv1BsuMkt4PEKTChp52zj44s2izQ/edit?usp=sharing"",""กาญจนบุรี!J634"")+IMPORTRANGE(""https://docs.google.com/spreadsheets/d/1ddFKvqj1W1NEiWytbGlB1zMx_ykJDVtmfEQ-6-lIUBA/edit?usp=sharing"","&amp;"""จันทบุรี!J634"")+IMPORTRANGE(""https://docs.google.com/spreadsheets/d/1T1PQvRODqOBZk8BRht_U031fIS1beLA0Ub2CEytj2q0/edit?usp=sharing"",""ฉะเชิงเทรา!J634"")+IMPORTRANGE(""https://docs.google.com/spreadsheets/d/11tr1B-Bhyr79v2bkwVh5h_fR-PStkgjlZtkrZpYurG0/"&amp;"edit?usp=sharing"",""ชลบุรี!J634"")+IMPORTRANGE(""https://docs.google.com/spreadsheets/d/1hh-FVnSX0vozXhGluamEcS54Dw9_zqW0N7qJUWgJ0Sw/edit?usp=sharing"",""ชัยนาท!J634"")+IMPORTRANGE(""https://docs.google.com/spreadsheets/d/1jkqa6GXxSacMcY1eN8AHjMNJ_7dDXMJ"&amp;"VRLDlaFSOdPM/edit?usp=sharing"",""ตราด!J634"")+IMPORTRANGE(""https://docs.google.com/spreadsheets/d/18hSgUJ3VwClqi_qtULmmW3cLr0oe3OKaSYoKzdpTsYQ/edit?usp=sharing"",""นครนายก!J634"")+IMPORTRANGE(""https://docs.google.com/spreadsheets/d/1YTZo6WM2dQ6Ix6FSdnL"&amp;"5P7uVnVKu40sxZu975tgG10E/edit?usp=sharing"",""นครปฐม!J634"")+IMPORTRANGE(""https://docs.google.com/spreadsheets/d/1OYoGg4WDg5RIzwGeB10padOxJF9E_Vljuvvct_M7RDo/edit?usp=sharing"",""ปทุมธานี!J634"")+IMPORTRANGE(""https://docs.google.com/spreadsheets/d/1GbCI"&amp;"E4D4wk9FUozzqk7SxfDMxDVBwVmI5zcaVUSzKAc/edit?usp=sharing"",""ประจวบคีรีขันธ์!J634"")+IMPORTRANGE(""https://docs.google.com/spreadsheets/d/1vVf6wykvW_lAyu7Yo9L4hUTqHqIeP_qcVuxCtosJEbg/edit?usp=sharing"",""ปราจีนบุรี!J634"")+IMPORTRANGE(""https://docs.googl"&amp;"e.com/spreadsheets/d/1BIDqLLg5jk3v59G8NlR8rk5xfQDKne0sAvZHSj7TI6I/edit?usp=sharing"",""พระนครศรีอยุธยา!J634"")+IMPORTRANGE(""https://docs.google.com/spreadsheets/d/1YXvxf8Yu6_rV4hTBrwMqAcAnv6DfhUxh5emyM3CJp_w/edit?usp=sharing"",""เพชรบุรี!J634"")+IMPORTRA"&amp;"NGE(""https://docs.google.com/spreadsheets/d/19KBlQQs7uwvsao6t2n-KvW3Ax8J8uRRfZPq1zPbXgKc/edit?usp=sharing"",""ระยอง!J634"")+IMPORTRANGE(""https://docs.google.com/spreadsheets/d/1jQ6P4QcrGM89YfqcC_PxOHGCMq5ezhucwJd8ci-NHng/edit?usp=sharing"",""ราชบุรี!J63"&amp;"4"")+IMPORTRANGE(""https://docs.google.com/spreadsheets/d/1lufeA2cfFqM-elVq2hznhDzC6Pr7wkJ9ZG_sYNGCMCU/edit?usp=sharing"",""ลพบุรี!J634"")+IMPORTRANGE(""https://docs.google.com/spreadsheets/d/10oOiF7loTyfsTkbd4MpaIm0HQ9SwB7IYHdIUvt-U1Uc/edit?usp=sharing"""&amp;",""สระแก้ว!J634"")+IMPORTRANGE(""https://docs.google.com/spreadsheets/d/1xmPlrr1QbdSIKvl1dWUl9K4PjAfSL9oeMr_37QVzcxc/edit?usp=sharing"",""สระบุรี!J634"")+IMPORTRANGE(""https://docs.google.com/spreadsheets/d/1j51vR6CYVGhABJpv6tkstgok82RLpXieLzW1yOY5rHw/edi"&amp;"t?usp=sharing"",""สิงห์บุรี!J634"")+IMPORTRANGE(""https://docs.google.com/spreadsheets/d/1H1EalTWKUSzO4Z1-1CwzoDUaVffgrThEBe2sl74kKG0/edit?usp=sharing"",""สุพรรณบุรี!J634"")+IMPORTRANGE(""https://docs.google.com/spreadsheets/d/1BmIruG_sIrJLYao_Pdr7zVArWsf"&amp;"oBt2692TMi6x_854/edit?usp=sharing"",""อ่างทอง!J634"")"),0)</f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13wPX838HrBrQMCywv1BsuMkt4PEKTChp52zj44s2izQ/edit?usp=sharing"",""กาญจนบุรี!I635"")+IMPORTRANGE(""https://docs.google.com/spreadsheets/d/1ddFKvqj1W1NEiWytbGlB1zMx_ykJDVtmfEQ-6-lIUBA/edit?usp=sharing"","&amp;"""จันทบุรี!I635"")+IMPORTRANGE(""https://docs.google.com/spreadsheets/d/1T1PQvRODqOBZk8BRht_U031fIS1beLA0Ub2CEytj2q0/edit?usp=sharing"",""ฉะเชิงเทรา!I635"")+IMPORTRANGE(""https://docs.google.com/spreadsheets/d/11tr1B-Bhyr79v2bkwVh5h_fR-PStkgjlZtkrZpYurG0/"&amp;"edit?usp=sharing"",""ชลบุรี!I635"")+IMPORTRANGE(""https://docs.google.com/spreadsheets/d/1hh-FVnSX0vozXhGluamEcS54Dw9_zqW0N7qJUWgJ0Sw/edit?usp=sharing"",""ชัยนาท!I635"")+IMPORTRANGE(""https://docs.google.com/spreadsheets/d/1jkqa6GXxSacMcY1eN8AHjMNJ_7dDXMJ"&amp;"VRLDlaFSOdPM/edit?usp=sharing"",""ตราด!I635"")+IMPORTRANGE(""https://docs.google.com/spreadsheets/d/18hSgUJ3VwClqi_qtULmmW3cLr0oe3OKaSYoKzdpTsYQ/edit?usp=sharing"",""นครนายก!I635"")+IMPORTRANGE(""https://docs.google.com/spreadsheets/d/1YTZo6WM2dQ6Ix6FSdnL"&amp;"5P7uVnVKu40sxZu975tgG10E/edit?usp=sharing"",""นครปฐม!I635"")+IMPORTRANGE(""https://docs.google.com/spreadsheets/d/1OYoGg4WDg5RIzwGeB10padOxJF9E_Vljuvvct_M7RDo/edit?usp=sharing"",""ปทุมธานี!I635"")+IMPORTRANGE(""https://docs.google.com/spreadsheets/d/1GbCI"&amp;"E4D4wk9FUozzqk7SxfDMxDVBwVmI5zcaVUSzKAc/edit?usp=sharing"",""ประจวบคีรีขันธ์!I635"")+IMPORTRANGE(""https://docs.google.com/spreadsheets/d/1vVf6wykvW_lAyu7Yo9L4hUTqHqIeP_qcVuxCtosJEbg/edit?usp=sharing"",""ปราจีนบุรี!I635"")+IMPORTRANGE(""https://docs.googl"&amp;"e.com/spreadsheets/d/1BIDqLLg5jk3v59G8NlR8rk5xfQDKne0sAvZHSj7TI6I/edit?usp=sharing"",""พระนครศรีอยุธยา!I635"")+IMPORTRANGE(""https://docs.google.com/spreadsheets/d/1YXvxf8Yu6_rV4hTBrwMqAcAnv6DfhUxh5emyM3CJp_w/edit?usp=sharing"",""เพชรบุรี!I635"")+IMPORTRA"&amp;"NGE(""https://docs.google.com/spreadsheets/d/19KBlQQs7uwvsao6t2n-KvW3Ax8J8uRRfZPq1zPbXgKc/edit?usp=sharing"",""ระยอง!I635"")+IMPORTRANGE(""https://docs.google.com/spreadsheets/d/1jQ6P4QcrGM89YfqcC_PxOHGCMq5ezhucwJd8ci-NHng/edit?usp=sharing"",""ราชบุรี!I63"&amp;"5"")+IMPORTRANGE(""https://docs.google.com/spreadsheets/d/1lufeA2cfFqM-elVq2hznhDzC6Pr7wkJ9ZG_sYNGCMCU/edit?usp=sharing"",""ลพบุรี!I635"")+IMPORTRANGE(""https://docs.google.com/spreadsheets/d/10oOiF7loTyfsTkbd4MpaIm0HQ9SwB7IYHdIUvt-U1Uc/edit?usp=sharing"""&amp;",""สระแก้ว!I635"")+IMPORTRANGE(""https://docs.google.com/spreadsheets/d/1xmPlrr1QbdSIKvl1dWUl9K4PjAfSL9oeMr_37QVzcxc/edit?usp=sharing"",""สระบุรี!I635"")+IMPORTRANGE(""https://docs.google.com/spreadsheets/d/1j51vR6CYVGhABJpv6tkstgok82RLpXieLzW1yOY5rHw/edi"&amp;"t?usp=sharing"",""สิงห์บุรี!I635"")+IMPORTRANGE(""https://docs.google.com/spreadsheets/d/1H1EalTWKUSzO4Z1-1CwzoDUaVffgrThEBe2sl74kKG0/edit?usp=sharing"",""สุพรรณบุรี!I635"")+IMPORTRANGE(""https://docs.google.com/spreadsheets/d/1BmIruG_sIrJLYao_Pdr7zVArWsf"&amp;"oBt2692TMi6x_854/edit?usp=sharing"",""อ่างทอง!I635"")"),0)</f>
        <v>0</v>
      </c>
      <c r="J635" s="603">
        <f ca="1"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 ca="1"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f ca="1">IFERROR(__xludf.DUMMYFUNCTION("IMPORTRANGE(""https://docs.google.com/spreadsheets/d/13wPX838HrBrQMCywv1BsuMkt4PEKTChp52zj44s2izQ/edit?usp=sharing"",""กาญจนบุรี!J637"")+IMPORTRANGE(""https://docs.google.com/spreadsheets/d/1ddFKvqj1W1NEiWytbGlB1zMx_ykJDVtmfEQ-6-lIUBA/edit?usp=sharing"","&amp;"""จันทบุรี!J637"")+IMPORTRANGE(""https://docs.google.com/spreadsheets/d/1T1PQvRODqOBZk8BRht_U031fIS1beLA0Ub2CEytj2q0/edit?usp=sharing"",""ฉะเชิงเทรา!J637"")+IMPORTRANGE(""https://docs.google.com/spreadsheets/d/11tr1B-Bhyr79v2bkwVh5h_fR-PStkgjlZtkrZpYurG0/"&amp;"edit?usp=sharing"",""ชลบุรี!J637"")+IMPORTRANGE(""https://docs.google.com/spreadsheets/d/1hh-FVnSX0vozXhGluamEcS54Dw9_zqW0N7qJUWgJ0Sw/edit?usp=sharing"",""ชัยนาท!J637"")+IMPORTRANGE(""https://docs.google.com/spreadsheets/d/1jkqa6GXxSacMcY1eN8AHjMNJ_7dDXMJ"&amp;"VRLDlaFSOdPM/edit?usp=sharing"",""ตราด!J637"")+IMPORTRANGE(""https://docs.google.com/spreadsheets/d/18hSgUJ3VwClqi_qtULmmW3cLr0oe3OKaSYoKzdpTsYQ/edit?usp=sharing"",""นครนายก!J637"")+IMPORTRANGE(""https://docs.google.com/spreadsheets/d/1YTZo6WM2dQ6Ix6FSdnL"&amp;"5P7uVnVKu40sxZu975tgG10E/edit?usp=sharing"",""นครปฐม!J637"")+IMPORTRANGE(""https://docs.google.com/spreadsheets/d/1OYoGg4WDg5RIzwGeB10padOxJF9E_Vljuvvct_M7RDo/edit?usp=sharing"",""ปทุมธานี!J637"")+IMPORTRANGE(""https://docs.google.com/spreadsheets/d/1GbCI"&amp;"E4D4wk9FUozzqk7SxfDMxDVBwVmI5zcaVUSzKAc/edit?usp=sharing"",""ประจวบคีรีขันธ์!J637"")+IMPORTRANGE(""https://docs.google.com/spreadsheets/d/1vVf6wykvW_lAyu7Yo9L4hUTqHqIeP_qcVuxCtosJEbg/edit?usp=sharing"",""ปราจีนบุรี!J637"")+IMPORTRANGE(""https://docs.googl"&amp;"e.com/spreadsheets/d/1BIDqLLg5jk3v59G8NlR8rk5xfQDKne0sAvZHSj7TI6I/edit?usp=sharing"",""พระนครศรีอยุธยา!J637"")+IMPORTRANGE(""https://docs.google.com/spreadsheets/d/1YXvxf8Yu6_rV4hTBrwMqAcAnv6DfhUxh5emyM3CJp_w/edit?usp=sharing"",""เพชรบุรี!J637"")+IMPORTRA"&amp;"NGE(""https://docs.google.com/spreadsheets/d/19KBlQQs7uwvsao6t2n-KvW3Ax8J8uRRfZPq1zPbXgKc/edit?usp=sharing"",""ระยอง!J637"")+IMPORTRANGE(""https://docs.google.com/spreadsheets/d/1jQ6P4QcrGM89YfqcC_PxOHGCMq5ezhucwJd8ci-NHng/edit?usp=sharing"",""ราชบุรี!J63"&amp;"7"")+IMPORTRANGE(""https://docs.google.com/spreadsheets/d/1lufeA2cfFqM-elVq2hznhDzC6Pr7wkJ9ZG_sYNGCMCU/edit?usp=sharing"",""ลพบุรี!J637"")+IMPORTRANGE(""https://docs.google.com/spreadsheets/d/10oOiF7loTyfsTkbd4MpaIm0HQ9SwB7IYHdIUvt-U1Uc/edit?usp=sharing"""&amp;",""สระแก้ว!J637"")+IMPORTRANGE(""https://docs.google.com/spreadsheets/d/1xmPlrr1QbdSIKvl1dWUl9K4PjAfSL9oeMr_37QVzcxc/edit?usp=sharing"",""สระบุรี!J637"")+IMPORTRANGE(""https://docs.google.com/spreadsheets/d/1j51vR6CYVGhABJpv6tkstgok82RLpXieLzW1yOY5rHw/edi"&amp;"t?usp=sharing"",""สิงห์บุรี!J637"")+IMPORTRANGE(""https://docs.google.com/spreadsheets/d/1H1EalTWKUSzO4Z1-1CwzoDUaVffgrThEBe2sl74kKG0/edit?usp=sharing"",""สุพรรณบุรี!J637"")+IMPORTRANGE(""https://docs.google.com/spreadsheets/d/1BmIruG_sIrJLYao_Pdr7zVArWsf"&amp;"oBt2692TMi6x_854/edit?usp=sharing"",""อ่างทอง!J637"")"),0)</f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f ca="1">IFERROR(__xludf.DUMMYFUNCTION("IMPORTRANGE(""https://docs.google.com/spreadsheets/d/13wPX838HrBrQMCywv1BsuMkt4PEKTChp52zj44s2izQ/edit?usp=sharing"",""กาญจนบุรี!J638"")+IMPORTRANGE(""https://docs.google.com/spreadsheets/d/1ddFKvqj1W1NEiWytbGlB1zMx_ykJDVtmfEQ-6-lIUBA/edit?usp=sharing"","&amp;"""จันทบุรี!J638"")+IMPORTRANGE(""https://docs.google.com/spreadsheets/d/1T1PQvRODqOBZk8BRht_U031fIS1beLA0Ub2CEytj2q0/edit?usp=sharing"",""ฉะเชิงเทรา!J638"")+IMPORTRANGE(""https://docs.google.com/spreadsheets/d/11tr1B-Bhyr79v2bkwVh5h_fR-PStkgjlZtkrZpYurG0/"&amp;"edit?usp=sharing"",""ชลบุรี!J638"")+IMPORTRANGE(""https://docs.google.com/spreadsheets/d/1hh-FVnSX0vozXhGluamEcS54Dw9_zqW0N7qJUWgJ0Sw/edit?usp=sharing"",""ชัยนาท!J638"")+IMPORTRANGE(""https://docs.google.com/spreadsheets/d/1jkqa6GXxSacMcY1eN8AHjMNJ_7dDXMJ"&amp;"VRLDlaFSOdPM/edit?usp=sharing"",""ตราด!J638"")+IMPORTRANGE(""https://docs.google.com/spreadsheets/d/18hSgUJ3VwClqi_qtULmmW3cLr0oe3OKaSYoKzdpTsYQ/edit?usp=sharing"",""นครนายก!J638"")+IMPORTRANGE(""https://docs.google.com/spreadsheets/d/1YTZo6WM2dQ6Ix6FSdnL"&amp;"5P7uVnVKu40sxZu975tgG10E/edit?usp=sharing"",""นครปฐม!J638"")+IMPORTRANGE(""https://docs.google.com/spreadsheets/d/1OYoGg4WDg5RIzwGeB10padOxJF9E_Vljuvvct_M7RDo/edit?usp=sharing"",""ปทุมธานี!J638"")+IMPORTRANGE(""https://docs.google.com/spreadsheets/d/1GbCI"&amp;"E4D4wk9FUozzqk7SxfDMxDVBwVmI5zcaVUSzKAc/edit?usp=sharing"",""ประจวบคีรีขันธ์!J638"")+IMPORTRANGE(""https://docs.google.com/spreadsheets/d/1vVf6wykvW_lAyu7Yo9L4hUTqHqIeP_qcVuxCtosJEbg/edit?usp=sharing"",""ปราจีนบุรี!J638"")+IMPORTRANGE(""https://docs.googl"&amp;"e.com/spreadsheets/d/1BIDqLLg5jk3v59G8NlR8rk5xfQDKne0sAvZHSj7TI6I/edit?usp=sharing"",""พระนครศรีอยุธยา!J638"")+IMPORTRANGE(""https://docs.google.com/spreadsheets/d/1YXvxf8Yu6_rV4hTBrwMqAcAnv6DfhUxh5emyM3CJp_w/edit?usp=sharing"",""เพชรบุรี!J638"")+IMPORTRA"&amp;"NGE(""https://docs.google.com/spreadsheets/d/19KBlQQs7uwvsao6t2n-KvW3Ax8J8uRRfZPq1zPbXgKc/edit?usp=sharing"",""ระยอง!J638"")+IMPORTRANGE(""https://docs.google.com/spreadsheets/d/1jQ6P4QcrGM89YfqcC_PxOHGCMq5ezhucwJd8ci-NHng/edit?usp=sharing"",""ราชบุรี!J63"&amp;"8"")+IMPORTRANGE(""https://docs.google.com/spreadsheets/d/1lufeA2cfFqM-elVq2hznhDzC6Pr7wkJ9ZG_sYNGCMCU/edit?usp=sharing"",""ลพบุรี!J638"")+IMPORTRANGE(""https://docs.google.com/spreadsheets/d/10oOiF7loTyfsTkbd4MpaIm0HQ9SwB7IYHdIUvt-U1Uc/edit?usp=sharing"""&amp;",""สระแก้ว!J638"")+IMPORTRANGE(""https://docs.google.com/spreadsheets/d/1xmPlrr1QbdSIKvl1dWUl9K4PjAfSL9oeMr_37QVzcxc/edit?usp=sharing"",""สระบุรี!J638"")+IMPORTRANGE(""https://docs.google.com/spreadsheets/d/1j51vR6CYVGhABJpv6tkstgok82RLpXieLzW1yOY5rHw/edi"&amp;"t?usp=sharing"",""สิงห์บุรี!J638"")+IMPORTRANGE(""https://docs.google.com/spreadsheets/d/1H1EalTWKUSzO4Z1-1CwzoDUaVffgrThEBe2sl74kKG0/edit?usp=sharing"",""สุพรรณบุรี!J638"")+IMPORTRANGE(""https://docs.google.com/spreadsheets/d/1BmIruG_sIrJLYao_Pdr7zVArWsf"&amp;"oBt2692TMi6x_854/edit?usp=sharing"",""อ่างทอง!J638"")"),0)</f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f ca="1">IFERROR(__xludf.DUMMYFUNCTION("IMPORTRANGE(""https://docs.google.com/spreadsheets/d/13wPX838HrBrQMCywv1BsuMkt4PEKTChp52zj44s2izQ/edit?usp=sharing"",""กาญจนบุรี!J639"")+IMPORTRANGE(""https://docs.google.com/spreadsheets/d/1ddFKvqj1W1NEiWytbGlB1zMx_ykJDVtmfEQ-6-lIUBA/edit?usp=sharing"","&amp;"""จันทบุรี!J639"")+IMPORTRANGE(""https://docs.google.com/spreadsheets/d/1T1PQvRODqOBZk8BRht_U031fIS1beLA0Ub2CEytj2q0/edit?usp=sharing"",""ฉะเชิงเทรา!J639"")+IMPORTRANGE(""https://docs.google.com/spreadsheets/d/11tr1B-Bhyr79v2bkwVh5h_fR-PStkgjlZtkrZpYurG0/"&amp;"edit?usp=sharing"",""ชลบุรี!J639"")+IMPORTRANGE(""https://docs.google.com/spreadsheets/d/1hh-FVnSX0vozXhGluamEcS54Dw9_zqW0N7qJUWgJ0Sw/edit?usp=sharing"",""ชัยนาท!J639"")+IMPORTRANGE(""https://docs.google.com/spreadsheets/d/1jkqa6GXxSacMcY1eN8AHjMNJ_7dDXMJ"&amp;"VRLDlaFSOdPM/edit?usp=sharing"",""ตราด!J639"")+IMPORTRANGE(""https://docs.google.com/spreadsheets/d/18hSgUJ3VwClqi_qtULmmW3cLr0oe3OKaSYoKzdpTsYQ/edit?usp=sharing"",""นครนายก!J639"")+IMPORTRANGE(""https://docs.google.com/spreadsheets/d/1YTZo6WM2dQ6Ix6FSdnL"&amp;"5P7uVnVKu40sxZu975tgG10E/edit?usp=sharing"",""นครปฐม!J639"")+IMPORTRANGE(""https://docs.google.com/spreadsheets/d/1OYoGg4WDg5RIzwGeB10padOxJF9E_Vljuvvct_M7RDo/edit?usp=sharing"",""ปทุมธานี!J639"")+IMPORTRANGE(""https://docs.google.com/spreadsheets/d/1GbCI"&amp;"E4D4wk9FUozzqk7SxfDMxDVBwVmI5zcaVUSzKAc/edit?usp=sharing"",""ประจวบคีรีขันธ์!J639"")+IMPORTRANGE(""https://docs.google.com/spreadsheets/d/1vVf6wykvW_lAyu7Yo9L4hUTqHqIeP_qcVuxCtosJEbg/edit?usp=sharing"",""ปราจีนบุรี!J639"")+IMPORTRANGE(""https://docs.googl"&amp;"e.com/spreadsheets/d/1BIDqLLg5jk3v59G8NlR8rk5xfQDKne0sAvZHSj7TI6I/edit?usp=sharing"",""พระนครศรีอยุธยา!J639"")+IMPORTRANGE(""https://docs.google.com/spreadsheets/d/1YXvxf8Yu6_rV4hTBrwMqAcAnv6DfhUxh5emyM3CJp_w/edit?usp=sharing"",""เพชรบุรี!J639"")+IMPORTRA"&amp;"NGE(""https://docs.google.com/spreadsheets/d/19KBlQQs7uwvsao6t2n-KvW3Ax8J8uRRfZPq1zPbXgKc/edit?usp=sharing"",""ระยอง!J639"")+IMPORTRANGE(""https://docs.google.com/spreadsheets/d/1jQ6P4QcrGM89YfqcC_PxOHGCMq5ezhucwJd8ci-NHng/edit?usp=sharing"",""ราชบุรี!J63"&amp;"9"")+IMPORTRANGE(""https://docs.google.com/spreadsheets/d/1lufeA2cfFqM-elVq2hznhDzC6Pr7wkJ9ZG_sYNGCMCU/edit?usp=sharing"",""ลพบุรี!J639"")+IMPORTRANGE(""https://docs.google.com/spreadsheets/d/10oOiF7loTyfsTkbd4MpaIm0HQ9SwB7IYHdIUvt-U1Uc/edit?usp=sharing"""&amp;",""สระแก้ว!J639"")+IMPORTRANGE(""https://docs.google.com/spreadsheets/d/1xmPlrr1QbdSIKvl1dWUl9K4PjAfSL9oeMr_37QVzcxc/edit?usp=sharing"",""สระบุรี!J639"")+IMPORTRANGE(""https://docs.google.com/spreadsheets/d/1j51vR6CYVGhABJpv6tkstgok82RLpXieLzW1yOY5rHw/edi"&amp;"t?usp=sharing"",""สิงห์บุรี!J639"")+IMPORTRANGE(""https://docs.google.com/spreadsheets/d/1H1EalTWKUSzO4Z1-1CwzoDUaVffgrThEBe2sl74kKG0/edit?usp=sharing"",""สุพรรณบุรี!J639"")+IMPORTRANGE(""https://docs.google.com/spreadsheets/d/1BmIruG_sIrJLYao_Pdr7zVArWsf"&amp;"oBt2692TMi6x_854/edit?usp=sharing"",""อ่างทอง!J639"")"),0)</f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f ca="1">IFERROR(__xludf.DUMMYFUNCTION("IMPORTRANGE(""https://docs.google.com/spreadsheets/d/13wPX838HrBrQMCywv1BsuMkt4PEKTChp52zj44s2izQ/edit?usp=sharing"",""กาญจนบุรี!J640"")+IMPORTRANGE(""https://docs.google.com/spreadsheets/d/1ddFKvqj1W1NEiWytbGlB1zMx_ykJDVtmfEQ-6-lIUBA/edit?usp=sharing"","&amp;"""จันทบุรี!J640"")+IMPORTRANGE(""https://docs.google.com/spreadsheets/d/1T1PQvRODqOBZk8BRht_U031fIS1beLA0Ub2CEytj2q0/edit?usp=sharing"",""ฉะเชิงเทรา!J640"")+IMPORTRANGE(""https://docs.google.com/spreadsheets/d/11tr1B-Bhyr79v2bkwVh5h_fR-PStkgjlZtkrZpYurG0/"&amp;"edit?usp=sharing"",""ชลบุรี!J640"")+IMPORTRANGE(""https://docs.google.com/spreadsheets/d/1hh-FVnSX0vozXhGluamEcS54Dw9_zqW0N7qJUWgJ0Sw/edit?usp=sharing"",""ชัยนาท!J640"")+IMPORTRANGE(""https://docs.google.com/spreadsheets/d/1jkqa6GXxSacMcY1eN8AHjMNJ_7dDXMJ"&amp;"VRLDlaFSOdPM/edit?usp=sharing"",""ตราด!J640"")+IMPORTRANGE(""https://docs.google.com/spreadsheets/d/18hSgUJ3VwClqi_qtULmmW3cLr0oe3OKaSYoKzdpTsYQ/edit?usp=sharing"",""นครนายก!J640"")+IMPORTRANGE(""https://docs.google.com/spreadsheets/d/1YTZo6WM2dQ6Ix6FSdnL"&amp;"5P7uVnVKu40sxZu975tgG10E/edit?usp=sharing"",""นครปฐม!J640"")+IMPORTRANGE(""https://docs.google.com/spreadsheets/d/1OYoGg4WDg5RIzwGeB10padOxJF9E_Vljuvvct_M7RDo/edit?usp=sharing"",""ปทุมธานี!J640"")+IMPORTRANGE(""https://docs.google.com/spreadsheets/d/1GbCI"&amp;"E4D4wk9FUozzqk7SxfDMxDVBwVmI5zcaVUSzKAc/edit?usp=sharing"",""ประจวบคีรีขันธ์!J640"")+IMPORTRANGE(""https://docs.google.com/spreadsheets/d/1vVf6wykvW_lAyu7Yo9L4hUTqHqIeP_qcVuxCtosJEbg/edit?usp=sharing"",""ปราจีนบุรี!J640"")+IMPORTRANGE(""https://docs.googl"&amp;"e.com/spreadsheets/d/1BIDqLLg5jk3v59G8NlR8rk5xfQDKne0sAvZHSj7TI6I/edit?usp=sharing"",""พระนครศรีอยุธยา!J640"")+IMPORTRANGE(""https://docs.google.com/spreadsheets/d/1YXvxf8Yu6_rV4hTBrwMqAcAnv6DfhUxh5emyM3CJp_w/edit?usp=sharing"",""เพชรบุรี!J640"")+IMPORTRA"&amp;"NGE(""https://docs.google.com/spreadsheets/d/19KBlQQs7uwvsao6t2n-KvW3Ax8J8uRRfZPq1zPbXgKc/edit?usp=sharing"",""ระยอง!J640"")+IMPORTRANGE(""https://docs.google.com/spreadsheets/d/1jQ6P4QcrGM89YfqcC_PxOHGCMq5ezhucwJd8ci-NHng/edit?usp=sharing"",""ราชบุรี!J64"&amp;"0"")+IMPORTRANGE(""https://docs.google.com/spreadsheets/d/1lufeA2cfFqM-elVq2hznhDzC6Pr7wkJ9ZG_sYNGCMCU/edit?usp=sharing"",""ลพบุรี!J640"")+IMPORTRANGE(""https://docs.google.com/spreadsheets/d/10oOiF7loTyfsTkbd4MpaIm0HQ9SwB7IYHdIUvt-U1Uc/edit?usp=sharing"""&amp;",""สระแก้ว!J640"")+IMPORTRANGE(""https://docs.google.com/spreadsheets/d/1xmPlrr1QbdSIKvl1dWUl9K4PjAfSL9oeMr_37QVzcxc/edit?usp=sharing"",""สระบุรี!J640"")+IMPORTRANGE(""https://docs.google.com/spreadsheets/d/1j51vR6CYVGhABJpv6tkstgok82RLpXieLzW1yOY5rHw/edi"&amp;"t?usp=sharing"",""สิงห์บุรี!J640"")+IMPORTRANGE(""https://docs.google.com/spreadsheets/d/1H1EalTWKUSzO4Z1-1CwzoDUaVffgrThEBe2sl74kKG0/edit?usp=sharing"",""สุพรรณบุรี!J640"")+IMPORTRANGE(""https://docs.google.com/spreadsheets/d/1BmIruG_sIrJLYao_Pdr7zVArWsf"&amp;"oBt2692TMi6x_854/edit?usp=sharing"",""อ่างทอง!J640"")"),0)</f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3"/>
      <c r="M641" s="723"/>
      <c r="N641" s="723"/>
      <c r="O641" s="723"/>
      <c r="P641" s="723"/>
      <c r="Q641" s="724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06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66">
        <f t="shared" ref="L642:N642" ca="1" si="445">L643+L644</f>
        <v>0</v>
      </c>
      <c r="M642" s="266">
        <f t="shared" ca="1" si="445"/>
        <v>0</v>
      </c>
      <c r="N642" s="266">
        <f t="shared" ca="1" si="445"/>
        <v>0</v>
      </c>
      <c r="O642" s="266">
        <f t="shared" ref="O642:O650" ca="1" si="446">IF(L642&gt;0,N642*100/L642,0)</f>
        <v>0</v>
      </c>
      <c r="P642" s="266">
        <f t="shared" ref="P642:P650" ca="1" si="447">IF(M642&gt;0,N642*100/M642,0)</f>
        <v>0</v>
      </c>
      <c r="Q642" s="216">
        <f t="shared" ref="Q642:S642" ca="1" si="448">Q643+Q644</f>
        <v>417660</v>
      </c>
      <c r="R642" s="217">
        <f t="shared" ca="1" si="448"/>
        <v>417660</v>
      </c>
      <c r="S642" s="217">
        <f t="shared" ca="1" si="448"/>
        <v>60960</v>
      </c>
      <c r="T642" s="217">
        <f t="shared" ref="T642:T650" ca="1" si="449">IF(Q642&gt;0,S642*100/Q642,0)</f>
        <v>14.595604079873581</v>
      </c>
      <c r="U642" s="217">
        <f t="shared" ref="U642:U650" ca="1" si="450">IF(R642&gt;0,S642*100/R642,0)</f>
        <v>14.595604079873581</v>
      </c>
    </row>
    <row r="643" spans="1:21" ht="18.75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 t="shared" ref="L643:N643" ca="1" si="451">L646+L649</f>
        <v>0</v>
      </c>
      <c r="M643" s="80">
        <f t="shared" ca="1" si="451"/>
        <v>0</v>
      </c>
      <c r="N643" s="80">
        <f t="shared" ca="1" si="451"/>
        <v>0</v>
      </c>
      <c r="O643" s="80">
        <f t="shared" ca="1" si="446"/>
        <v>0</v>
      </c>
      <c r="P643" s="80">
        <f t="shared" ca="1" si="447"/>
        <v>0</v>
      </c>
      <c r="Q643" s="219">
        <f t="shared" ref="Q643:S643" ca="1" si="452">Q646+Q649</f>
        <v>0</v>
      </c>
      <c r="R643" s="136">
        <f t="shared" ca="1" si="452"/>
        <v>0</v>
      </c>
      <c r="S643" s="136">
        <f t="shared" ca="1" si="452"/>
        <v>0</v>
      </c>
      <c r="T643" s="136">
        <f t="shared" ca="1" si="449"/>
        <v>0</v>
      </c>
      <c r="U643" s="136">
        <f t="shared" ca="1" si="450"/>
        <v>0</v>
      </c>
    </row>
    <row r="644" spans="1:21" ht="18.75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 t="shared" ref="L644:N644" ca="1" si="453">L647+L650</f>
        <v>0</v>
      </c>
      <c r="M644" s="77">
        <f t="shared" ca="1" si="453"/>
        <v>0</v>
      </c>
      <c r="N644" s="77">
        <f t="shared" ca="1" si="453"/>
        <v>0</v>
      </c>
      <c r="O644" s="77">
        <f t="shared" ca="1" si="446"/>
        <v>0</v>
      </c>
      <c r="P644" s="77">
        <f t="shared" ca="1" si="447"/>
        <v>0</v>
      </c>
      <c r="Q644" s="134">
        <f t="shared" ref="Q644:S644" ca="1" si="454">Q647+Q650</f>
        <v>417660</v>
      </c>
      <c r="R644" s="135">
        <f t="shared" ca="1" si="454"/>
        <v>417660</v>
      </c>
      <c r="S644" s="135">
        <f t="shared" ca="1" si="454"/>
        <v>60960</v>
      </c>
      <c r="T644" s="135">
        <f t="shared" ca="1" si="449"/>
        <v>14.595604079873581</v>
      </c>
      <c r="U644" s="135">
        <f t="shared" ca="1" si="450"/>
        <v>14.595604079873581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 t="shared" ref="L645:N645" ca="1" si="455">L646+L647</f>
        <v>0</v>
      </c>
      <c r="M645" s="77">
        <f t="shared" ca="1" si="455"/>
        <v>0</v>
      </c>
      <c r="N645" s="77">
        <f t="shared" ca="1" si="455"/>
        <v>0</v>
      </c>
      <c r="O645" s="77">
        <f t="shared" ca="1" si="446"/>
        <v>0</v>
      </c>
      <c r="P645" s="77">
        <f t="shared" ca="1" si="447"/>
        <v>0</v>
      </c>
      <c r="Q645" s="134">
        <f t="shared" ref="Q645:S645" ca="1" si="456">Q646+Q647</f>
        <v>417660</v>
      </c>
      <c r="R645" s="135">
        <f t="shared" ca="1" si="456"/>
        <v>417660</v>
      </c>
      <c r="S645" s="135">
        <f t="shared" ca="1" si="456"/>
        <v>60960</v>
      </c>
      <c r="T645" s="135">
        <f t="shared" ca="1" si="449"/>
        <v>14.595604079873581</v>
      </c>
      <c r="U645" s="135">
        <f t="shared" ca="1" si="450"/>
        <v>14.595604079873581</v>
      </c>
    </row>
    <row r="646" spans="1:21" ht="18.75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f ca="1">IFERROR(__xludf.DUMMYFUNCTION("IMPORTRANGE(""https://docs.google.com/spreadsheets/d/13wPX838HrBrQMCywv1BsuMkt4PEKTChp52zj44s2izQ/edit?usp=sharing"",""กาญจนบุรี!L646"")+IMPORTRANGE(""https://docs.google.com/spreadsheets/d/1ddFKvqj1W1NEiWytbGlB1zMx_ykJDVtmfEQ-6-lIUBA/edit?usp=sharing"","&amp;"""จันทบุรี!L646"")+IMPORTRANGE(""https://docs.google.com/spreadsheets/d/1T1PQvRODqOBZk8BRht_U031fIS1beLA0Ub2CEytj2q0/edit?usp=sharing"",""ฉะเชิงเทรา!L646"")+IMPORTRANGE(""https://docs.google.com/spreadsheets/d/11tr1B-Bhyr79v2bkwVh5h_fR-PStkgjlZtkrZpYurG0/"&amp;"edit?usp=sharing"",""ชลบุรี!L646"")+IMPORTRANGE(""https://docs.google.com/spreadsheets/d/1hh-FVnSX0vozXhGluamEcS54Dw9_zqW0N7qJUWgJ0Sw/edit?usp=sharing"",""ชัยนาท!L646"")+IMPORTRANGE(""https://docs.google.com/spreadsheets/d/1jkqa6GXxSacMcY1eN8AHjMNJ_7dDXMJ"&amp;"VRLDlaFSOdPM/edit?usp=sharing"",""ตราด!L646"")+IMPORTRANGE(""https://docs.google.com/spreadsheets/d/18hSgUJ3VwClqi_qtULmmW3cLr0oe3OKaSYoKzdpTsYQ/edit?usp=sharing"",""นครนายก!L646"")+IMPORTRANGE(""https://docs.google.com/spreadsheets/d/1YTZo6WM2dQ6Ix6FSdnL"&amp;"5P7uVnVKu40sxZu975tgG10E/edit?usp=sharing"",""นครปฐม!L646"")+IMPORTRANGE(""https://docs.google.com/spreadsheets/d/1OYoGg4WDg5RIzwGeB10padOxJF9E_Vljuvvct_M7RDo/edit?usp=sharing"",""ปทุมธานี!L646"")+IMPORTRANGE(""https://docs.google.com/spreadsheets/d/1GbCI"&amp;"E4D4wk9FUozzqk7SxfDMxDVBwVmI5zcaVUSzKAc/edit?usp=sharing"",""ประจวบคีรีขันธ์!L646"")+IMPORTRANGE(""https://docs.google.com/spreadsheets/d/1vVf6wykvW_lAyu7Yo9L4hUTqHqIeP_qcVuxCtosJEbg/edit?usp=sharing"",""ปราจีนบุรี!L646"")+IMPORTRANGE(""https://docs.googl"&amp;"e.com/spreadsheets/d/1BIDqLLg5jk3v59G8NlR8rk5xfQDKne0sAvZHSj7TI6I/edit?usp=sharing"",""พระนครศรีอยุธยา!L646"")+IMPORTRANGE(""https://docs.google.com/spreadsheets/d/1YXvxf8Yu6_rV4hTBrwMqAcAnv6DfhUxh5emyM3CJp_w/edit?usp=sharing"",""เพชรบุรี!L646"")+IMPORTRA"&amp;"NGE(""https://docs.google.com/spreadsheets/d/19KBlQQs7uwvsao6t2n-KvW3Ax8J8uRRfZPq1zPbXgKc/edit?usp=sharing"",""ระยอง!L646"")+IMPORTRANGE(""https://docs.google.com/spreadsheets/d/1jQ6P4QcrGM89YfqcC_PxOHGCMq5ezhucwJd8ci-NHng/edit?usp=sharing"",""ราชบุรี!L64"&amp;"6"")+IMPORTRANGE(""https://docs.google.com/spreadsheets/d/1lufeA2cfFqM-elVq2hznhDzC6Pr7wkJ9ZG_sYNGCMCU/edit?usp=sharing"",""ลพบุรี!L646"")+IMPORTRANGE(""https://docs.google.com/spreadsheets/d/10oOiF7loTyfsTkbd4MpaIm0HQ9SwB7IYHdIUvt-U1Uc/edit?usp=sharing"""&amp;",""สระแก้ว!L646"")+IMPORTRANGE(""https://docs.google.com/spreadsheets/d/1xmPlrr1QbdSIKvl1dWUl9K4PjAfSL9oeMr_37QVzcxc/edit?usp=sharing"",""สระบุรี!L646"")+IMPORTRANGE(""https://docs.google.com/spreadsheets/d/1j51vR6CYVGhABJpv6tkstgok82RLpXieLzW1yOY5rHw/edi"&amp;"t?usp=sharing"",""สิงห์บุรี!L646"")+IMPORTRANGE(""https://docs.google.com/spreadsheets/d/1H1EalTWKUSzO4Z1-1CwzoDUaVffgrThEBe2sl74kKG0/edit?usp=sharing"",""สุพรรณบุรี!L646"")+IMPORTRANGE(""https://docs.google.com/spreadsheets/d/1BmIruG_sIrJLYao_Pdr7zVArWsf"&amp;"oBt2692TMi6x_854/edit?usp=sharing"",""อ่างทอง!L646"")"),0)</f>
        <v>0</v>
      </c>
      <c r="M646" s="80">
        <f ca="1">IFERROR(__xludf.DUMMYFUNCTION("IMPORTRANGE(""https://docs.google.com/spreadsheets/d/13wPX838HrBrQMCywv1BsuMkt4PEKTChp52zj44s2izQ/edit?usp=sharing"",""กาญจนบุรี!M646"")+IMPORTRANGE(""https://docs.google.com/spreadsheets/d/1ddFKvqj1W1NEiWytbGlB1zMx_ykJDVtmfEQ-6-lIUBA/edit?usp=sharing"","&amp;"""จันทบุรี!M646"")+IMPORTRANGE(""https://docs.google.com/spreadsheets/d/1T1PQvRODqOBZk8BRht_U031fIS1beLA0Ub2CEytj2q0/edit?usp=sharing"",""ฉะเชิงเทรา!M646"")+IMPORTRANGE(""https://docs.google.com/spreadsheets/d/11tr1B-Bhyr79v2bkwVh5h_fR-PStkgjlZtkrZpYurG0/"&amp;"edit?usp=sharing"",""ชลบุรี!M646"")+IMPORTRANGE(""https://docs.google.com/spreadsheets/d/1hh-FVnSX0vozXhGluamEcS54Dw9_zqW0N7qJUWgJ0Sw/edit?usp=sharing"",""ชัยนาท!M646"")+IMPORTRANGE(""https://docs.google.com/spreadsheets/d/1jkqa6GXxSacMcY1eN8AHjMNJ_7dDXMJ"&amp;"VRLDlaFSOdPM/edit?usp=sharing"",""ตราด!M646"")+IMPORTRANGE(""https://docs.google.com/spreadsheets/d/18hSgUJ3VwClqi_qtULmmW3cLr0oe3OKaSYoKzdpTsYQ/edit?usp=sharing"",""นครนายก!M646"")+IMPORTRANGE(""https://docs.google.com/spreadsheets/d/1YTZo6WM2dQ6Ix6FSdnL"&amp;"5P7uVnVKu40sxZu975tgG10E/edit?usp=sharing"",""นครปฐม!M646"")+IMPORTRANGE(""https://docs.google.com/spreadsheets/d/1OYoGg4WDg5RIzwGeB10padOxJF9E_Vljuvvct_M7RDo/edit?usp=sharing"",""ปทุมธานี!M646"")+IMPORTRANGE(""https://docs.google.com/spreadsheets/d/1GbCI"&amp;"E4D4wk9FUozzqk7SxfDMxDVBwVmI5zcaVUSzKAc/edit?usp=sharing"",""ประจวบคีรีขันธ์!M646"")+IMPORTRANGE(""https://docs.google.com/spreadsheets/d/1vVf6wykvW_lAyu7Yo9L4hUTqHqIeP_qcVuxCtosJEbg/edit?usp=sharing"",""ปราจีนบุรี!M646"")+IMPORTRANGE(""https://docs.googl"&amp;"e.com/spreadsheets/d/1BIDqLLg5jk3v59G8NlR8rk5xfQDKne0sAvZHSj7TI6I/edit?usp=sharing"",""พระนครศรีอยุธยา!M646"")+IMPORTRANGE(""https://docs.google.com/spreadsheets/d/1YXvxf8Yu6_rV4hTBrwMqAcAnv6DfhUxh5emyM3CJp_w/edit?usp=sharing"",""เพชรบุรี!M646"")+IMPORTRA"&amp;"NGE(""https://docs.google.com/spreadsheets/d/19KBlQQs7uwvsao6t2n-KvW3Ax8J8uRRfZPq1zPbXgKc/edit?usp=sharing"",""ระยอง!M646"")+IMPORTRANGE(""https://docs.google.com/spreadsheets/d/1jQ6P4QcrGM89YfqcC_PxOHGCMq5ezhucwJd8ci-NHng/edit?usp=sharing"",""ราชบุรี!M64"&amp;"6"")+IMPORTRANGE(""https://docs.google.com/spreadsheets/d/1lufeA2cfFqM-elVq2hznhDzC6Pr7wkJ9ZG_sYNGCMCU/edit?usp=sharing"",""ลพบุรี!M646"")+IMPORTRANGE(""https://docs.google.com/spreadsheets/d/10oOiF7loTyfsTkbd4MpaIm0HQ9SwB7IYHdIUvt-U1Uc/edit?usp=sharing"""&amp;",""สระแก้ว!M646"")+IMPORTRANGE(""https://docs.google.com/spreadsheets/d/1xmPlrr1QbdSIKvl1dWUl9K4PjAfSL9oeMr_37QVzcxc/edit?usp=sharing"",""สระบุรี!M646"")+IMPORTRANGE(""https://docs.google.com/spreadsheets/d/1j51vR6CYVGhABJpv6tkstgok82RLpXieLzW1yOY5rHw/edi"&amp;"t?usp=sharing"",""สิงห์บุรี!M646"")+IMPORTRANGE(""https://docs.google.com/spreadsheets/d/1H1EalTWKUSzO4Z1-1CwzoDUaVffgrThEBe2sl74kKG0/edit?usp=sharing"",""สุพรรณบุรี!M646"")+IMPORTRANGE(""https://docs.google.com/spreadsheets/d/1BmIruG_sIrJLYao_Pdr7zVArWsf"&amp;"oBt2692TMi6x_854/edit?usp=sharing"",""อ่างทอง!M646"")"),0)</f>
        <v>0</v>
      </c>
      <c r="N646" s="80">
        <f ca="1">IFERROR(__xludf.DUMMYFUNCTION("IMPORTRANGE(""https://docs.google.com/spreadsheets/d/13wPX838HrBrQMCywv1BsuMkt4PEKTChp52zj44s2izQ/edit?usp=sharing"",""กาญจนบุรี!N646"")+IMPORTRANGE(""https://docs.google.com/spreadsheets/d/1ddFKvqj1W1NEiWytbGlB1zMx_ykJDVtmfEQ-6-lIUBA/edit?usp=sharing"","&amp;"""จันทบุรี!N646"")+IMPORTRANGE(""https://docs.google.com/spreadsheets/d/1T1PQvRODqOBZk8BRht_U031fIS1beLA0Ub2CEytj2q0/edit?usp=sharing"",""ฉะเชิงเทรา!N646"")+IMPORTRANGE(""https://docs.google.com/spreadsheets/d/11tr1B-Bhyr79v2bkwVh5h_fR-PStkgjlZtkrZpYurG0/"&amp;"edit?usp=sharing"",""ชลบุรี!N646"")+IMPORTRANGE(""https://docs.google.com/spreadsheets/d/1hh-FVnSX0vozXhGluamEcS54Dw9_zqW0N7qJUWgJ0Sw/edit?usp=sharing"",""ชัยนาท!N646"")+IMPORTRANGE(""https://docs.google.com/spreadsheets/d/1jkqa6GXxSacMcY1eN8AHjMNJ_7dDXMJ"&amp;"VRLDlaFSOdPM/edit?usp=sharing"",""ตราด!N646"")+IMPORTRANGE(""https://docs.google.com/spreadsheets/d/18hSgUJ3VwClqi_qtULmmW3cLr0oe3OKaSYoKzdpTsYQ/edit?usp=sharing"",""นครนายก!N646"")+IMPORTRANGE(""https://docs.google.com/spreadsheets/d/1YTZo6WM2dQ6Ix6FSdnL"&amp;"5P7uVnVKu40sxZu975tgG10E/edit?usp=sharing"",""นครปฐม!N646"")+IMPORTRANGE(""https://docs.google.com/spreadsheets/d/1OYoGg4WDg5RIzwGeB10padOxJF9E_Vljuvvct_M7RDo/edit?usp=sharing"",""ปทุมธานี!N646"")+IMPORTRANGE(""https://docs.google.com/spreadsheets/d/1GbCI"&amp;"E4D4wk9FUozzqk7SxfDMxDVBwVmI5zcaVUSzKAc/edit?usp=sharing"",""ประจวบคีรีขันธ์!N646"")+IMPORTRANGE(""https://docs.google.com/spreadsheets/d/1vVf6wykvW_lAyu7Yo9L4hUTqHqIeP_qcVuxCtosJEbg/edit?usp=sharing"",""ปราจีนบุรี!N646"")+IMPORTRANGE(""https://docs.googl"&amp;"e.com/spreadsheets/d/1BIDqLLg5jk3v59G8NlR8rk5xfQDKne0sAvZHSj7TI6I/edit?usp=sharing"",""พระนครศรีอยุธยา!N646"")+IMPORTRANGE(""https://docs.google.com/spreadsheets/d/1YXvxf8Yu6_rV4hTBrwMqAcAnv6DfhUxh5emyM3CJp_w/edit?usp=sharing"",""เพชรบุรี!N646"")+IMPORTRA"&amp;"NGE(""https://docs.google.com/spreadsheets/d/19KBlQQs7uwvsao6t2n-KvW3Ax8J8uRRfZPq1zPbXgKc/edit?usp=sharing"",""ระยอง!N646"")+IMPORTRANGE(""https://docs.google.com/spreadsheets/d/1jQ6P4QcrGM89YfqcC_PxOHGCMq5ezhucwJd8ci-NHng/edit?usp=sharing"",""ราชบุรี!N64"&amp;"6"")+IMPORTRANGE(""https://docs.google.com/spreadsheets/d/1lufeA2cfFqM-elVq2hznhDzC6Pr7wkJ9ZG_sYNGCMCU/edit?usp=sharing"",""ลพบุรี!N646"")+IMPORTRANGE(""https://docs.google.com/spreadsheets/d/10oOiF7loTyfsTkbd4MpaIm0HQ9SwB7IYHdIUvt-U1Uc/edit?usp=sharing"""&amp;",""สระแก้ว!N646"")+IMPORTRANGE(""https://docs.google.com/spreadsheets/d/1xmPlrr1QbdSIKvl1dWUl9K4PjAfSL9oeMr_37QVzcxc/edit?usp=sharing"",""สระบุรี!N646"")+IMPORTRANGE(""https://docs.google.com/spreadsheets/d/1j51vR6CYVGhABJpv6tkstgok82RLpXieLzW1yOY5rHw/edi"&amp;"t?usp=sharing"",""สิงห์บุรี!N646"")+IMPORTRANGE(""https://docs.google.com/spreadsheets/d/1H1EalTWKUSzO4Z1-1CwzoDUaVffgrThEBe2sl74kKG0/edit?usp=sharing"",""สุพรรณบุรี!N646"")+IMPORTRANGE(""https://docs.google.com/spreadsheets/d/1BmIruG_sIrJLYao_Pdr7zVArWsf"&amp;"oBt2692TMi6x_854/edit?usp=sharing"",""อ่างทอง!N646"")"),0)</f>
        <v>0</v>
      </c>
      <c r="O646" s="80">
        <f t="shared" ca="1" si="446"/>
        <v>0</v>
      </c>
      <c r="P646" s="80">
        <f t="shared" ca="1" si="447"/>
        <v>0</v>
      </c>
      <c r="Q646" s="79">
        <f ca="1">IFERROR(__xludf.DUMMYFUNCTION("IMPORTRANGE(""https://docs.google.com/spreadsheets/d/13wPX838HrBrQMCywv1BsuMkt4PEKTChp52zj44s2izQ/edit?usp=sharing"",""กาญจนบุรี!Q646"")+IMPORTRANGE(""https://docs.google.com/spreadsheets/d/1ddFKvqj1W1NEiWytbGlB1zMx_ykJDVtmfEQ-6-lIUBA/edit?usp=sharing"","&amp;"""จันทบุรี!Q646"")+IMPORTRANGE(""https://docs.google.com/spreadsheets/d/1T1PQvRODqOBZk8BRht_U031fIS1beLA0Ub2CEytj2q0/edit?usp=sharing"",""ฉะเชิงเทรา!Q646"")+IMPORTRANGE(""https://docs.google.com/spreadsheets/d/11tr1B-Bhyr79v2bkwVh5h_fR-PStkgjlZtkrZpYurG0/"&amp;"edit?usp=sharing"",""ชลบุรี!Q646"")+IMPORTRANGE(""https://docs.google.com/spreadsheets/d/1hh-FVnSX0vozXhGluamEcS54Dw9_zqW0N7qJUWgJ0Sw/edit?usp=sharing"",""ชัยนาท!Q646"")+IMPORTRANGE(""https://docs.google.com/spreadsheets/d/1jkqa6GXxSacMcY1eN8AHjMNJ_7dDXMJ"&amp;"VRLDlaFSOdPM/edit?usp=sharing"",""ตราด!Q646"")+IMPORTRANGE(""https://docs.google.com/spreadsheets/d/18hSgUJ3VwClqi_qtULmmW3cLr0oe3OKaSYoKzdpTsYQ/edit?usp=sharing"",""นครนายก!Q646"")+IMPORTRANGE(""https://docs.google.com/spreadsheets/d/1YTZo6WM2dQ6Ix6FSdnL"&amp;"5P7uVnVKu40sxZu975tgG10E/edit?usp=sharing"",""นครปฐม!Q646"")+IMPORTRANGE(""https://docs.google.com/spreadsheets/d/1OYoGg4WDg5RIzwGeB10padOxJF9E_Vljuvvct_M7RDo/edit?usp=sharing"",""ปทุมธานี!Q646"")+IMPORTRANGE(""https://docs.google.com/spreadsheets/d/1GbCI"&amp;"E4D4wk9FUozzqk7SxfDMxDVBwVmI5zcaVUSzKAc/edit?usp=sharing"",""ประจวบคีรีขันธ์!Q646"")+IMPORTRANGE(""https://docs.google.com/spreadsheets/d/1vVf6wykvW_lAyu7Yo9L4hUTqHqIeP_qcVuxCtosJEbg/edit?usp=sharing"",""ปราจีนบุรี!Q646"")+IMPORTRANGE(""https://docs.googl"&amp;"e.com/spreadsheets/d/1BIDqLLg5jk3v59G8NlR8rk5xfQDKne0sAvZHSj7TI6I/edit?usp=sharing"",""พระนครศรีอยุธยา!Q646"")+IMPORTRANGE(""https://docs.google.com/spreadsheets/d/1YXvxf8Yu6_rV4hTBrwMqAcAnv6DfhUxh5emyM3CJp_w/edit?usp=sharing"",""เพชรบุรี!Q646"")+IMPORTRA"&amp;"NGE(""https://docs.google.com/spreadsheets/d/19KBlQQs7uwvsao6t2n-KvW3Ax8J8uRRfZPq1zPbXgKc/edit?usp=sharing"",""ระยอง!Q646"")+IMPORTRANGE(""https://docs.google.com/spreadsheets/d/1jQ6P4QcrGM89YfqcC_PxOHGCMq5ezhucwJd8ci-NHng/edit?usp=sharing"",""ราชบุรี!Q64"&amp;"6"")+IMPORTRANGE(""https://docs.google.com/spreadsheets/d/1lufeA2cfFqM-elVq2hznhDzC6Pr7wkJ9ZG_sYNGCMCU/edit?usp=sharing"",""ลพบุรี!Q646"")+IMPORTRANGE(""https://docs.google.com/spreadsheets/d/10oOiF7loTyfsTkbd4MpaIm0HQ9SwB7IYHdIUvt-U1Uc/edit?usp=sharing"""&amp;",""สระแก้ว!Q646"")+IMPORTRANGE(""https://docs.google.com/spreadsheets/d/1xmPlrr1QbdSIKvl1dWUl9K4PjAfSL9oeMr_37QVzcxc/edit?usp=sharing"",""สระบุรี!Q646"")+IMPORTRANGE(""https://docs.google.com/spreadsheets/d/1j51vR6CYVGhABJpv6tkstgok82RLpXieLzW1yOY5rHw/edi"&amp;"t?usp=sharing"",""สิงห์บุรี!Q646"")+IMPORTRANGE(""https://docs.google.com/spreadsheets/d/1H1EalTWKUSzO4Z1-1CwzoDUaVffgrThEBe2sl74kKG0/edit?usp=sharing"",""สุพรรณบุรี!Q646"")+IMPORTRANGE(""https://docs.google.com/spreadsheets/d/1BmIruG_sIrJLYao_Pdr7zVArWsf"&amp;"oBt2692TMi6x_854/edit?usp=sharing"",""อ่างทอง!Q646"")"),0)</f>
        <v>0</v>
      </c>
      <c r="R646" s="80">
        <f ca="1">IFERROR(__xludf.DUMMYFUNCTION("IMPORTRANGE(""https://docs.google.com/spreadsheets/d/13wPX838HrBrQMCywv1BsuMkt4PEKTChp52zj44s2izQ/edit?usp=sharing"",""กาญจนบุรี!R646"")+IMPORTRANGE(""https://docs.google.com/spreadsheets/d/1ddFKvqj1W1NEiWytbGlB1zMx_ykJDVtmfEQ-6-lIUBA/edit?usp=sharing"","&amp;"""จันทบุรี!R646"")+IMPORTRANGE(""https://docs.google.com/spreadsheets/d/1T1PQvRODqOBZk8BRht_U031fIS1beLA0Ub2CEytj2q0/edit?usp=sharing"",""ฉะเชิงเทรา!R646"")+IMPORTRANGE(""https://docs.google.com/spreadsheets/d/11tr1B-Bhyr79v2bkwVh5h_fR-PStkgjlZtkrZpYurG0/"&amp;"edit?usp=sharing"",""ชลบุรี!R646"")+IMPORTRANGE(""https://docs.google.com/spreadsheets/d/1hh-FVnSX0vozXhGluamEcS54Dw9_zqW0N7qJUWgJ0Sw/edit?usp=sharing"",""ชัยนาท!R646"")+IMPORTRANGE(""https://docs.google.com/spreadsheets/d/1jkqa6GXxSacMcY1eN8AHjMNJ_7dDXMJ"&amp;"VRLDlaFSOdPM/edit?usp=sharing"",""ตราด!R646"")+IMPORTRANGE(""https://docs.google.com/spreadsheets/d/18hSgUJ3VwClqi_qtULmmW3cLr0oe3OKaSYoKzdpTsYQ/edit?usp=sharing"",""นครนายก!R646"")+IMPORTRANGE(""https://docs.google.com/spreadsheets/d/1YTZo6WM2dQ6Ix6FSdnL"&amp;"5P7uVnVKu40sxZu975tgG10E/edit?usp=sharing"",""นครปฐม!R646"")+IMPORTRANGE(""https://docs.google.com/spreadsheets/d/1OYoGg4WDg5RIzwGeB10padOxJF9E_Vljuvvct_M7RDo/edit?usp=sharing"",""ปทุมธานี!R646"")+IMPORTRANGE(""https://docs.google.com/spreadsheets/d/1GbCI"&amp;"E4D4wk9FUozzqk7SxfDMxDVBwVmI5zcaVUSzKAc/edit?usp=sharing"",""ประจวบคีรีขันธ์!R646"")+IMPORTRANGE(""https://docs.google.com/spreadsheets/d/1vVf6wykvW_lAyu7Yo9L4hUTqHqIeP_qcVuxCtosJEbg/edit?usp=sharing"",""ปราจีนบุรี!R646"")+IMPORTRANGE(""https://docs.googl"&amp;"e.com/spreadsheets/d/1BIDqLLg5jk3v59G8NlR8rk5xfQDKne0sAvZHSj7TI6I/edit?usp=sharing"",""พระนครศรีอยุธยา!R646"")+IMPORTRANGE(""https://docs.google.com/spreadsheets/d/1YXvxf8Yu6_rV4hTBrwMqAcAnv6DfhUxh5emyM3CJp_w/edit?usp=sharing"",""เพชรบุรี!R646"")+IMPORTRA"&amp;"NGE(""https://docs.google.com/spreadsheets/d/19KBlQQs7uwvsao6t2n-KvW3Ax8J8uRRfZPq1zPbXgKc/edit?usp=sharing"",""ระยอง!R646"")+IMPORTRANGE(""https://docs.google.com/spreadsheets/d/1jQ6P4QcrGM89YfqcC_PxOHGCMq5ezhucwJd8ci-NHng/edit?usp=sharing"",""ราชบุรี!R64"&amp;"6"")+IMPORTRANGE(""https://docs.google.com/spreadsheets/d/1lufeA2cfFqM-elVq2hznhDzC6Pr7wkJ9ZG_sYNGCMCU/edit?usp=sharing"",""ลพบุรี!R646"")+IMPORTRANGE(""https://docs.google.com/spreadsheets/d/10oOiF7loTyfsTkbd4MpaIm0HQ9SwB7IYHdIUvt-U1Uc/edit?usp=sharing"""&amp;",""สระแก้ว!R646"")+IMPORTRANGE(""https://docs.google.com/spreadsheets/d/1xmPlrr1QbdSIKvl1dWUl9K4PjAfSL9oeMr_37QVzcxc/edit?usp=sharing"",""สระบุรี!R646"")+IMPORTRANGE(""https://docs.google.com/spreadsheets/d/1j51vR6CYVGhABJpv6tkstgok82RLpXieLzW1yOY5rHw/edi"&amp;"t?usp=sharing"",""สิงห์บุรี!R646"")+IMPORTRANGE(""https://docs.google.com/spreadsheets/d/1H1EalTWKUSzO4Z1-1CwzoDUaVffgrThEBe2sl74kKG0/edit?usp=sharing"",""สุพรรณบุรี!R646"")+IMPORTRANGE(""https://docs.google.com/spreadsheets/d/1BmIruG_sIrJLYao_Pdr7zVArWsf"&amp;"oBt2692TMi6x_854/edit?usp=sharing"",""อ่างทอง!R646"")"),0)</f>
        <v>0</v>
      </c>
      <c r="S646" s="80">
        <f ca="1">IFERROR(__xludf.DUMMYFUNCTION("IMPORTRANGE(""https://docs.google.com/spreadsheets/d/13wPX838HrBrQMCywv1BsuMkt4PEKTChp52zj44s2izQ/edit?usp=sharing"",""กาญจนบุรี!S646"")+IMPORTRANGE(""https://docs.google.com/spreadsheets/d/1ddFKvqj1W1NEiWytbGlB1zMx_ykJDVtmfEQ-6-lIUBA/edit?usp=sharing"","&amp;"""จันทบุรี!S646"")+IMPORTRANGE(""https://docs.google.com/spreadsheets/d/1T1PQvRODqOBZk8BRht_U031fIS1beLA0Ub2CEytj2q0/edit?usp=sharing"",""ฉะเชิงเทรา!S646"")+IMPORTRANGE(""https://docs.google.com/spreadsheets/d/11tr1B-Bhyr79v2bkwVh5h_fR-PStkgjlZtkrZpYurG0/"&amp;"edit?usp=sharing"",""ชลบุรี!S646"")+IMPORTRANGE(""https://docs.google.com/spreadsheets/d/1hh-FVnSX0vozXhGluamEcS54Dw9_zqW0N7qJUWgJ0Sw/edit?usp=sharing"",""ชัยนาท!S646"")+IMPORTRANGE(""https://docs.google.com/spreadsheets/d/1jkqa6GXxSacMcY1eN8AHjMNJ_7dDXMJ"&amp;"VRLDlaFSOdPM/edit?usp=sharing"",""ตราด!S646"")+IMPORTRANGE(""https://docs.google.com/spreadsheets/d/18hSgUJ3VwClqi_qtULmmW3cLr0oe3OKaSYoKzdpTsYQ/edit?usp=sharing"",""นครนายก!S646"")+IMPORTRANGE(""https://docs.google.com/spreadsheets/d/1YTZo6WM2dQ6Ix6FSdnL"&amp;"5P7uVnVKu40sxZu975tgG10E/edit?usp=sharing"",""นครปฐม!S646"")+IMPORTRANGE(""https://docs.google.com/spreadsheets/d/1OYoGg4WDg5RIzwGeB10padOxJF9E_Vljuvvct_M7RDo/edit?usp=sharing"",""ปทุมธานี!S646"")+IMPORTRANGE(""https://docs.google.com/spreadsheets/d/1GbCI"&amp;"E4D4wk9FUozzqk7SxfDMxDVBwVmI5zcaVUSzKAc/edit?usp=sharing"",""ประจวบคีรีขันธ์!S646"")+IMPORTRANGE(""https://docs.google.com/spreadsheets/d/1vVf6wykvW_lAyu7Yo9L4hUTqHqIeP_qcVuxCtosJEbg/edit?usp=sharing"",""ปราจีนบุรี!S646"")+IMPORTRANGE(""https://docs.googl"&amp;"e.com/spreadsheets/d/1BIDqLLg5jk3v59G8NlR8rk5xfQDKne0sAvZHSj7TI6I/edit?usp=sharing"",""พระนครศรีอยุธยา!S646"")+IMPORTRANGE(""https://docs.google.com/spreadsheets/d/1YXvxf8Yu6_rV4hTBrwMqAcAnv6DfhUxh5emyM3CJp_w/edit?usp=sharing"",""เพชรบุรี!S646"")+IMPORTRA"&amp;"NGE(""https://docs.google.com/spreadsheets/d/19KBlQQs7uwvsao6t2n-KvW3Ax8J8uRRfZPq1zPbXgKc/edit?usp=sharing"",""ระยอง!S646"")+IMPORTRANGE(""https://docs.google.com/spreadsheets/d/1jQ6P4QcrGM89YfqcC_PxOHGCMq5ezhucwJd8ci-NHng/edit?usp=sharing"",""ราชบุรี!S64"&amp;"6"")+IMPORTRANGE(""https://docs.google.com/spreadsheets/d/1lufeA2cfFqM-elVq2hznhDzC6Pr7wkJ9ZG_sYNGCMCU/edit?usp=sharing"",""ลพบุรี!S646"")+IMPORTRANGE(""https://docs.google.com/spreadsheets/d/10oOiF7loTyfsTkbd4MpaIm0HQ9SwB7IYHdIUvt-U1Uc/edit?usp=sharing"""&amp;",""สระแก้ว!S646"")+IMPORTRANGE(""https://docs.google.com/spreadsheets/d/1xmPlrr1QbdSIKvl1dWUl9K4PjAfSL9oeMr_37QVzcxc/edit?usp=sharing"",""สระบุรี!S646"")+IMPORTRANGE(""https://docs.google.com/spreadsheets/d/1j51vR6CYVGhABJpv6tkstgok82RLpXieLzW1yOY5rHw/edi"&amp;"t?usp=sharing"",""สิงห์บุรี!S646"")+IMPORTRANGE(""https://docs.google.com/spreadsheets/d/1H1EalTWKUSzO4Z1-1CwzoDUaVffgrThEBe2sl74kKG0/edit?usp=sharing"",""สุพรรณบุรี!S646"")+IMPORTRANGE(""https://docs.google.com/spreadsheets/d/1BmIruG_sIrJLYao_Pdr7zVArWsf"&amp;"oBt2692TMi6x_854/edit?usp=sharing"",""อ่างทอง!S646"")"),0)</f>
        <v>0</v>
      </c>
      <c r="T646" s="136">
        <f t="shared" ca="1" si="449"/>
        <v>0</v>
      </c>
      <c r="U646" s="136">
        <f t="shared" ca="1" si="450"/>
        <v>0</v>
      </c>
    </row>
    <row r="647" spans="1:21" ht="18.75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f ca="1">IFERROR(__xludf.DUMMYFUNCTION("IMPORTRANGE(""https://docs.google.com/spreadsheets/d/13wPX838HrBrQMCywv1BsuMkt4PEKTChp52zj44s2izQ/edit?usp=sharing"",""กาญจนบุรี!L647"")+IMPORTRANGE(""https://docs.google.com/spreadsheets/d/1ddFKvqj1W1NEiWytbGlB1zMx_ykJDVtmfEQ-6-lIUBA/edit?usp=sharing"","&amp;"""จันทบุรี!L647"")+IMPORTRANGE(""https://docs.google.com/spreadsheets/d/1T1PQvRODqOBZk8BRht_U031fIS1beLA0Ub2CEytj2q0/edit?usp=sharing"",""ฉะเชิงเทรา!L647"")+IMPORTRANGE(""https://docs.google.com/spreadsheets/d/11tr1B-Bhyr79v2bkwVh5h_fR-PStkgjlZtkrZpYurG0/"&amp;"edit?usp=sharing"",""ชลบุรี!L647"")+IMPORTRANGE(""https://docs.google.com/spreadsheets/d/1hh-FVnSX0vozXhGluamEcS54Dw9_zqW0N7qJUWgJ0Sw/edit?usp=sharing"",""ชัยนาท!L647"")+IMPORTRANGE(""https://docs.google.com/spreadsheets/d/1jkqa6GXxSacMcY1eN8AHjMNJ_7dDXMJ"&amp;"VRLDlaFSOdPM/edit?usp=sharing"",""ตราด!L647"")+IMPORTRANGE(""https://docs.google.com/spreadsheets/d/18hSgUJ3VwClqi_qtULmmW3cLr0oe3OKaSYoKzdpTsYQ/edit?usp=sharing"",""นครนายก!L647"")+IMPORTRANGE(""https://docs.google.com/spreadsheets/d/1YTZo6WM2dQ6Ix6FSdnL"&amp;"5P7uVnVKu40sxZu975tgG10E/edit?usp=sharing"",""นครปฐม!L647"")+IMPORTRANGE(""https://docs.google.com/spreadsheets/d/1OYoGg4WDg5RIzwGeB10padOxJF9E_Vljuvvct_M7RDo/edit?usp=sharing"",""ปทุมธานี!L647"")+IMPORTRANGE(""https://docs.google.com/spreadsheets/d/1GbCI"&amp;"E4D4wk9FUozzqk7SxfDMxDVBwVmI5zcaVUSzKAc/edit?usp=sharing"",""ประจวบคีรีขันธ์!L647"")+IMPORTRANGE(""https://docs.google.com/spreadsheets/d/1vVf6wykvW_lAyu7Yo9L4hUTqHqIeP_qcVuxCtosJEbg/edit?usp=sharing"",""ปราจีนบุรี!L647"")+IMPORTRANGE(""https://docs.googl"&amp;"e.com/spreadsheets/d/1BIDqLLg5jk3v59G8NlR8rk5xfQDKne0sAvZHSj7TI6I/edit?usp=sharing"",""พระนครศรีอยุธยา!L647"")+IMPORTRANGE(""https://docs.google.com/spreadsheets/d/1YXvxf8Yu6_rV4hTBrwMqAcAnv6DfhUxh5emyM3CJp_w/edit?usp=sharing"",""เพชรบุรี!L647"")+IMPORTRA"&amp;"NGE(""https://docs.google.com/spreadsheets/d/19KBlQQs7uwvsao6t2n-KvW3Ax8J8uRRfZPq1zPbXgKc/edit?usp=sharing"",""ระยอง!L647"")+IMPORTRANGE(""https://docs.google.com/spreadsheets/d/1jQ6P4QcrGM89YfqcC_PxOHGCMq5ezhucwJd8ci-NHng/edit?usp=sharing"",""ราชบุรี!L64"&amp;"7"")+IMPORTRANGE(""https://docs.google.com/spreadsheets/d/1lufeA2cfFqM-elVq2hznhDzC6Pr7wkJ9ZG_sYNGCMCU/edit?usp=sharing"",""ลพบุรี!L647"")+IMPORTRANGE(""https://docs.google.com/spreadsheets/d/10oOiF7loTyfsTkbd4MpaIm0HQ9SwB7IYHdIUvt-U1Uc/edit?usp=sharing"""&amp;",""สระแก้ว!L647"")+IMPORTRANGE(""https://docs.google.com/spreadsheets/d/1xmPlrr1QbdSIKvl1dWUl9K4PjAfSL9oeMr_37QVzcxc/edit?usp=sharing"",""สระบุรี!L647"")+IMPORTRANGE(""https://docs.google.com/spreadsheets/d/1j51vR6CYVGhABJpv6tkstgok82RLpXieLzW1yOY5rHw/edi"&amp;"t?usp=sharing"",""สิงห์บุรี!L647"")+IMPORTRANGE(""https://docs.google.com/spreadsheets/d/1H1EalTWKUSzO4Z1-1CwzoDUaVffgrThEBe2sl74kKG0/edit?usp=sharing"",""สุพรรณบุรี!L647"")+IMPORTRANGE(""https://docs.google.com/spreadsheets/d/1BmIruG_sIrJLYao_Pdr7zVArWsf"&amp;"oBt2692TMi6x_854/edit?usp=sharing"",""อ่างทอง!L647"")"),0)</f>
        <v>0</v>
      </c>
      <c r="M647" s="77">
        <f ca="1">IFERROR(__xludf.DUMMYFUNCTION("IMPORTRANGE(""https://docs.google.com/spreadsheets/d/13wPX838HrBrQMCywv1BsuMkt4PEKTChp52zj44s2izQ/edit?usp=sharing"",""กาญจนบุรี!M647"")+IMPORTRANGE(""https://docs.google.com/spreadsheets/d/1ddFKvqj1W1NEiWytbGlB1zMx_ykJDVtmfEQ-6-lIUBA/edit?usp=sharing"","&amp;"""จันทบุรี!M647"")+IMPORTRANGE(""https://docs.google.com/spreadsheets/d/1T1PQvRODqOBZk8BRht_U031fIS1beLA0Ub2CEytj2q0/edit?usp=sharing"",""ฉะเชิงเทรา!M647"")+IMPORTRANGE(""https://docs.google.com/spreadsheets/d/11tr1B-Bhyr79v2bkwVh5h_fR-PStkgjlZtkrZpYurG0/"&amp;"edit?usp=sharing"",""ชลบุรี!M647"")+IMPORTRANGE(""https://docs.google.com/spreadsheets/d/1hh-FVnSX0vozXhGluamEcS54Dw9_zqW0N7qJUWgJ0Sw/edit?usp=sharing"",""ชัยนาท!M647"")+IMPORTRANGE(""https://docs.google.com/spreadsheets/d/1jkqa6GXxSacMcY1eN8AHjMNJ_7dDXMJ"&amp;"VRLDlaFSOdPM/edit?usp=sharing"",""ตราด!M647"")+IMPORTRANGE(""https://docs.google.com/spreadsheets/d/18hSgUJ3VwClqi_qtULmmW3cLr0oe3OKaSYoKzdpTsYQ/edit?usp=sharing"",""นครนายก!M647"")+IMPORTRANGE(""https://docs.google.com/spreadsheets/d/1YTZo6WM2dQ6Ix6FSdnL"&amp;"5P7uVnVKu40sxZu975tgG10E/edit?usp=sharing"",""นครปฐม!M647"")+IMPORTRANGE(""https://docs.google.com/spreadsheets/d/1OYoGg4WDg5RIzwGeB10padOxJF9E_Vljuvvct_M7RDo/edit?usp=sharing"",""ปทุมธานี!M647"")+IMPORTRANGE(""https://docs.google.com/spreadsheets/d/1GbCI"&amp;"E4D4wk9FUozzqk7SxfDMxDVBwVmI5zcaVUSzKAc/edit?usp=sharing"",""ประจวบคีรีขันธ์!M647"")+IMPORTRANGE(""https://docs.google.com/spreadsheets/d/1vVf6wykvW_lAyu7Yo9L4hUTqHqIeP_qcVuxCtosJEbg/edit?usp=sharing"",""ปราจีนบุรี!M647"")+IMPORTRANGE(""https://docs.googl"&amp;"e.com/spreadsheets/d/1BIDqLLg5jk3v59G8NlR8rk5xfQDKne0sAvZHSj7TI6I/edit?usp=sharing"",""พระนครศรีอยุธยา!M647"")+IMPORTRANGE(""https://docs.google.com/spreadsheets/d/1YXvxf8Yu6_rV4hTBrwMqAcAnv6DfhUxh5emyM3CJp_w/edit?usp=sharing"",""เพชรบุรี!M647"")+IMPORTRA"&amp;"NGE(""https://docs.google.com/spreadsheets/d/19KBlQQs7uwvsao6t2n-KvW3Ax8J8uRRfZPq1zPbXgKc/edit?usp=sharing"",""ระยอง!M647"")+IMPORTRANGE(""https://docs.google.com/spreadsheets/d/1jQ6P4QcrGM89YfqcC_PxOHGCMq5ezhucwJd8ci-NHng/edit?usp=sharing"",""ราชบุรี!M64"&amp;"7"")+IMPORTRANGE(""https://docs.google.com/spreadsheets/d/1lufeA2cfFqM-elVq2hznhDzC6Pr7wkJ9ZG_sYNGCMCU/edit?usp=sharing"",""ลพบุรี!M647"")+IMPORTRANGE(""https://docs.google.com/spreadsheets/d/10oOiF7loTyfsTkbd4MpaIm0HQ9SwB7IYHdIUvt-U1Uc/edit?usp=sharing"""&amp;",""สระแก้ว!M647"")+IMPORTRANGE(""https://docs.google.com/spreadsheets/d/1xmPlrr1QbdSIKvl1dWUl9K4PjAfSL9oeMr_37QVzcxc/edit?usp=sharing"",""สระบุรี!M647"")+IMPORTRANGE(""https://docs.google.com/spreadsheets/d/1j51vR6CYVGhABJpv6tkstgok82RLpXieLzW1yOY5rHw/edi"&amp;"t?usp=sharing"",""สิงห์บุรี!M647"")+IMPORTRANGE(""https://docs.google.com/spreadsheets/d/1H1EalTWKUSzO4Z1-1CwzoDUaVffgrThEBe2sl74kKG0/edit?usp=sharing"",""สุพรรณบุรี!M647"")+IMPORTRANGE(""https://docs.google.com/spreadsheets/d/1BmIruG_sIrJLYao_Pdr7zVArWsf"&amp;"oBt2692TMi6x_854/edit?usp=sharing"",""อ่างทอง!M647"")"),0)</f>
        <v>0</v>
      </c>
      <c r="N647" s="77">
        <f ca="1">IFERROR(__xludf.DUMMYFUNCTION("IMPORTRANGE(""https://docs.google.com/spreadsheets/d/13wPX838HrBrQMCywv1BsuMkt4PEKTChp52zj44s2izQ/edit?usp=sharing"",""กาญจนบุรี!N647"")+IMPORTRANGE(""https://docs.google.com/spreadsheets/d/1ddFKvqj1W1NEiWytbGlB1zMx_ykJDVtmfEQ-6-lIUBA/edit?usp=sharing"","&amp;"""จันทบุรี!N647"")+IMPORTRANGE(""https://docs.google.com/spreadsheets/d/1T1PQvRODqOBZk8BRht_U031fIS1beLA0Ub2CEytj2q0/edit?usp=sharing"",""ฉะเชิงเทรา!N647"")+IMPORTRANGE(""https://docs.google.com/spreadsheets/d/11tr1B-Bhyr79v2bkwVh5h_fR-PStkgjlZtkrZpYurG0/"&amp;"edit?usp=sharing"",""ชลบุรี!N647"")+IMPORTRANGE(""https://docs.google.com/spreadsheets/d/1hh-FVnSX0vozXhGluamEcS54Dw9_zqW0N7qJUWgJ0Sw/edit?usp=sharing"",""ชัยนาท!N647"")+IMPORTRANGE(""https://docs.google.com/spreadsheets/d/1jkqa6GXxSacMcY1eN8AHjMNJ_7dDXMJ"&amp;"VRLDlaFSOdPM/edit?usp=sharing"",""ตราด!N647"")+IMPORTRANGE(""https://docs.google.com/spreadsheets/d/18hSgUJ3VwClqi_qtULmmW3cLr0oe3OKaSYoKzdpTsYQ/edit?usp=sharing"",""นครนายก!N647"")+IMPORTRANGE(""https://docs.google.com/spreadsheets/d/1YTZo6WM2dQ6Ix6FSdnL"&amp;"5P7uVnVKu40sxZu975tgG10E/edit?usp=sharing"",""นครปฐม!N647"")+IMPORTRANGE(""https://docs.google.com/spreadsheets/d/1OYoGg4WDg5RIzwGeB10padOxJF9E_Vljuvvct_M7RDo/edit?usp=sharing"",""ปทุมธานี!N647"")+IMPORTRANGE(""https://docs.google.com/spreadsheets/d/1GbCI"&amp;"E4D4wk9FUozzqk7SxfDMxDVBwVmI5zcaVUSzKAc/edit?usp=sharing"",""ประจวบคีรีขันธ์!N647"")+IMPORTRANGE(""https://docs.google.com/spreadsheets/d/1vVf6wykvW_lAyu7Yo9L4hUTqHqIeP_qcVuxCtosJEbg/edit?usp=sharing"",""ปราจีนบุรี!N647"")+IMPORTRANGE(""https://docs.googl"&amp;"e.com/spreadsheets/d/1BIDqLLg5jk3v59G8NlR8rk5xfQDKne0sAvZHSj7TI6I/edit?usp=sharing"",""พระนครศรีอยุธยา!N647"")+IMPORTRANGE(""https://docs.google.com/spreadsheets/d/1YXvxf8Yu6_rV4hTBrwMqAcAnv6DfhUxh5emyM3CJp_w/edit?usp=sharing"",""เพชรบุรี!N647"")+IMPORTRA"&amp;"NGE(""https://docs.google.com/spreadsheets/d/19KBlQQs7uwvsao6t2n-KvW3Ax8J8uRRfZPq1zPbXgKc/edit?usp=sharing"",""ระยอง!N647"")+IMPORTRANGE(""https://docs.google.com/spreadsheets/d/1jQ6P4QcrGM89YfqcC_PxOHGCMq5ezhucwJd8ci-NHng/edit?usp=sharing"",""ราชบุรี!N64"&amp;"7"")+IMPORTRANGE(""https://docs.google.com/spreadsheets/d/1lufeA2cfFqM-elVq2hznhDzC6Pr7wkJ9ZG_sYNGCMCU/edit?usp=sharing"",""ลพบุรี!N647"")+IMPORTRANGE(""https://docs.google.com/spreadsheets/d/10oOiF7loTyfsTkbd4MpaIm0HQ9SwB7IYHdIUvt-U1Uc/edit?usp=sharing"""&amp;",""สระแก้ว!N647"")+IMPORTRANGE(""https://docs.google.com/spreadsheets/d/1xmPlrr1QbdSIKvl1dWUl9K4PjAfSL9oeMr_37QVzcxc/edit?usp=sharing"",""สระบุรี!N647"")+IMPORTRANGE(""https://docs.google.com/spreadsheets/d/1j51vR6CYVGhABJpv6tkstgok82RLpXieLzW1yOY5rHw/edi"&amp;"t?usp=sharing"",""สิงห์บุรี!N647"")+IMPORTRANGE(""https://docs.google.com/spreadsheets/d/1H1EalTWKUSzO4Z1-1CwzoDUaVffgrThEBe2sl74kKG0/edit?usp=sharing"",""สุพรรณบุรี!N647"")+IMPORTRANGE(""https://docs.google.com/spreadsheets/d/1BmIruG_sIrJLYao_Pdr7zVArWsf"&amp;"oBt2692TMi6x_854/edit?usp=sharing"",""อ่างทอง!N647"")"),0)</f>
        <v>0</v>
      </c>
      <c r="O647" s="77">
        <f t="shared" ca="1" si="446"/>
        <v>0</v>
      </c>
      <c r="P647" s="77">
        <f t="shared" ca="1" si="447"/>
        <v>0</v>
      </c>
      <c r="Q647" s="134">
        <f ca="1">IFERROR(__xludf.DUMMYFUNCTION("IMPORTRANGE(""https://docs.google.com/spreadsheets/d/13wPX838HrBrQMCywv1BsuMkt4PEKTChp52zj44s2izQ/edit?usp=sharing"",""กาญจนบุรี!Q647"")+IMPORTRANGE(""https://docs.google.com/spreadsheets/d/1ddFKvqj1W1NEiWytbGlB1zMx_ykJDVtmfEQ-6-lIUBA/edit?usp=sharing"","&amp;"""จันทบุรี!Q647"")+IMPORTRANGE(""https://docs.google.com/spreadsheets/d/1T1PQvRODqOBZk8BRht_U031fIS1beLA0Ub2CEytj2q0/edit?usp=sharing"",""ฉะเชิงเทรา!Q647"")+IMPORTRANGE(""https://docs.google.com/spreadsheets/d/11tr1B-Bhyr79v2bkwVh5h_fR-PStkgjlZtkrZpYurG0/"&amp;"edit?usp=sharing"",""ชลบุรี!Q647"")+IMPORTRANGE(""https://docs.google.com/spreadsheets/d/1hh-FVnSX0vozXhGluamEcS54Dw9_zqW0N7qJUWgJ0Sw/edit?usp=sharing"",""ชัยนาท!Q647"")+IMPORTRANGE(""https://docs.google.com/spreadsheets/d/1jkqa6GXxSacMcY1eN8AHjMNJ_7dDXMJ"&amp;"VRLDlaFSOdPM/edit?usp=sharing"",""ตราด!Q647"")+IMPORTRANGE(""https://docs.google.com/spreadsheets/d/18hSgUJ3VwClqi_qtULmmW3cLr0oe3OKaSYoKzdpTsYQ/edit?usp=sharing"",""นครนายก!Q647"")+IMPORTRANGE(""https://docs.google.com/spreadsheets/d/1YTZo6WM2dQ6Ix6FSdnL"&amp;"5P7uVnVKu40sxZu975tgG10E/edit?usp=sharing"",""นครปฐม!Q647"")+IMPORTRANGE(""https://docs.google.com/spreadsheets/d/1OYoGg4WDg5RIzwGeB10padOxJF9E_Vljuvvct_M7RDo/edit?usp=sharing"",""ปทุมธานี!Q647"")+IMPORTRANGE(""https://docs.google.com/spreadsheets/d/1GbCI"&amp;"E4D4wk9FUozzqk7SxfDMxDVBwVmI5zcaVUSzKAc/edit?usp=sharing"",""ประจวบคีรีขันธ์!Q647"")+IMPORTRANGE(""https://docs.google.com/spreadsheets/d/1vVf6wykvW_lAyu7Yo9L4hUTqHqIeP_qcVuxCtosJEbg/edit?usp=sharing"",""ปราจีนบุรี!Q647"")+IMPORTRANGE(""https://docs.googl"&amp;"e.com/spreadsheets/d/1BIDqLLg5jk3v59G8NlR8rk5xfQDKne0sAvZHSj7TI6I/edit?usp=sharing"",""พระนครศรีอยุธยา!Q647"")+IMPORTRANGE(""https://docs.google.com/spreadsheets/d/1YXvxf8Yu6_rV4hTBrwMqAcAnv6DfhUxh5emyM3CJp_w/edit?usp=sharing"",""เพชรบุรี!Q647"")+IMPORTRA"&amp;"NGE(""https://docs.google.com/spreadsheets/d/19KBlQQs7uwvsao6t2n-KvW3Ax8J8uRRfZPq1zPbXgKc/edit?usp=sharing"",""ระยอง!Q647"")+IMPORTRANGE(""https://docs.google.com/spreadsheets/d/1jQ6P4QcrGM89YfqcC_PxOHGCMq5ezhucwJd8ci-NHng/edit?usp=sharing"",""ราชบุรี!Q64"&amp;"7"")+IMPORTRANGE(""https://docs.google.com/spreadsheets/d/1lufeA2cfFqM-elVq2hznhDzC6Pr7wkJ9ZG_sYNGCMCU/edit?usp=sharing"",""ลพบุรี!Q647"")+IMPORTRANGE(""https://docs.google.com/spreadsheets/d/10oOiF7loTyfsTkbd4MpaIm0HQ9SwB7IYHdIUvt-U1Uc/edit?usp=sharing"""&amp;",""สระแก้ว!Q647"")+IMPORTRANGE(""https://docs.google.com/spreadsheets/d/1xmPlrr1QbdSIKvl1dWUl9K4PjAfSL9oeMr_37QVzcxc/edit?usp=sharing"",""สระบุรี!Q647"")+IMPORTRANGE(""https://docs.google.com/spreadsheets/d/1j51vR6CYVGhABJpv6tkstgok82RLpXieLzW1yOY5rHw/edi"&amp;"t?usp=sharing"",""สิงห์บุรี!Q647"")+IMPORTRANGE(""https://docs.google.com/spreadsheets/d/1H1EalTWKUSzO4Z1-1CwzoDUaVffgrThEBe2sl74kKG0/edit?usp=sharing"",""สุพรรณบุรี!Q647"")+IMPORTRANGE(""https://docs.google.com/spreadsheets/d/1BmIruG_sIrJLYao_Pdr7zVArWsf"&amp;"oBt2692TMi6x_854/edit?usp=sharing"",""อ่างทอง!Q647"")"),417660)</f>
        <v>417660</v>
      </c>
      <c r="R647" s="135">
        <f ca="1">IFERROR(__xludf.DUMMYFUNCTION("IMPORTRANGE(""https://docs.google.com/spreadsheets/d/13wPX838HrBrQMCywv1BsuMkt4PEKTChp52zj44s2izQ/edit?usp=sharing"",""กาญจนบุรี!R647"")+IMPORTRANGE(""https://docs.google.com/spreadsheets/d/1ddFKvqj1W1NEiWytbGlB1zMx_ykJDVtmfEQ-6-lIUBA/edit?usp=sharing"","&amp;"""จันทบุรี!R647"")+IMPORTRANGE(""https://docs.google.com/spreadsheets/d/1T1PQvRODqOBZk8BRht_U031fIS1beLA0Ub2CEytj2q0/edit?usp=sharing"",""ฉะเชิงเทรา!R647"")+IMPORTRANGE(""https://docs.google.com/spreadsheets/d/11tr1B-Bhyr79v2bkwVh5h_fR-PStkgjlZtkrZpYurG0/"&amp;"edit?usp=sharing"",""ชลบุรี!R647"")+IMPORTRANGE(""https://docs.google.com/spreadsheets/d/1hh-FVnSX0vozXhGluamEcS54Dw9_zqW0N7qJUWgJ0Sw/edit?usp=sharing"",""ชัยนาท!R647"")+IMPORTRANGE(""https://docs.google.com/spreadsheets/d/1jkqa6GXxSacMcY1eN8AHjMNJ_7dDXMJ"&amp;"VRLDlaFSOdPM/edit?usp=sharing"",""ตราด!R647"")+IMPORTRANGE(""https://docs.google.com/spreadsheets/d/18hSgUJ3VwClqi_qtULmmW3cLr0oe3OKaSYoKzdpTsYQ/edit?usp=sharing"",""นครนายก!R647"")+IMPORTRANGE(""https://docs.google.com/spreadsheets/d/1YTZo6WM2dQ6Ix6FSdnL"&amp;"5P7uVnVKu40sxZu975tgG10E/edit?usp=sharing"",""นครปฐม!R647"")+IMPORTRANGE(""https://docs.google.com/spreadsheets/d/1OYoGg4WDg5RIzwGeB10padOxJF9E_Vljuvvct_M7RDo/edit?usp=sharing"",""ปทุมธานี!R647"")+IMPORTRANGE(""https://docs.google.com/spreadsheets/d/1GbCI"&amp;"E4D4wk9FUozzqk7SxfDMxDVBwVmI5zcaVUSzKAc/edit?usp=sharing"",""ประจวบคีรีขันธ์!R647"")+IMPORTRANGE(""https://docs.google.com/spreadsheets/d/1vVf6wykvW_lAyu7Yo9L4hUTqHqIeP_qcVuxCtosJEbg/edit?usp=sharing"",""ปราจีนบุรี!R647"")+IMPORTRANGE(""https://docs.googl"&amp;"e.com/spreadsheets/d/1BIDqLLg5jk3v59G8NlR8rk5xfQDKne0sAvZHSj7TI6I/edit?usp=sharing"",""พระนครศรีอยุธยา!R647"")+IMPORTRANGE(""https://docs.google.com/spreadsheets/d/1YXvxf8Yu6_rV4hTBrwMqAcAnv6DfhUxh5emyM3CJp_w/edit?usp=sharing"",""เพชรบุรี!R647"")+IMPORTRA"&amp;"NGE(""https://docs.google.com/spreadsheets/d/19KBlQQs7uwvsao6t2n-KvW3Ax8J8uRRfZPq1zPbXgKc/edit?usp=sharing"",""ระยอง!R647"")+IMPORTRANGE(""https://docs.google.com/spreadsheets/d/1jQ6P4QcrGM89YfqcC_PxOHGCMq5ezhucwJd8ci-NHng/edit?usp=sharing"",""ราชบุรี!R64"&amp;"7"")+IMPORTRANGE(""https://docs.google.com/spreadsheets/d/1lufeA2cfFqM-elVq2hznhDzC6Pr7wkJ9ZG_sYNGCMCU/edit?usp=sharing"",""ลพบุรี!R647"")+IMPORTRANGE(""https://docs.google.com/spreadsheets/d/10oOiF7loTyfsTkbd4MpaIm0HQ9SwB7IYHdIUvt-U1Uc/edit?usp=sharing"""&amp;",""สระแก้ว!R647"")+IMPORTRANGE(""https://docs.google.com/spreadsheets/d/1xmPlrr1QbdSIKvl1dWUl9K4PjAfSL9oeMr_37QVzcxc/edit?usp=sharing"",""สระบุรี!R647"")+IMPORTRANGE(""https://docs.google.com/spreadsheets/d/1j51vR6CYVGhABJpv6tkstgok82RLpXieLzW1yOY5rHw/edi"&amp;"t?usp=sharing"",""สิงห์บุรี!R647"")+IMPORTRANGE(""https://docs.google.com/spreadsheets/d/1H1EalTWKUSzO4Z1-1CwzoDUaVffgrThEBe2sl74kKG0/edit?usp=sharing"",""สุพรรณบุรี!R647"")+IMPORTRANGE(""https://docs.google.com/spreadsheets/d/1BmIruG_sIrJLYao_Pdr7zVArWsf"&amp;"oBt2692TMi6x_854/edit?usp=sharing"",""อ่างทอง!R647"")"),417660)</f>
        <v>417660</v>
      </c>
      <c r="S647" s="135">
        <f ca="1">IFERROR(__xludf.DUMMYFUNCTION("IMPORTRANGE(""https://docs.google.com/spreadsheets/d/13wPX838HrBrQMCywv1BsuMkt4PEKTChp52zj44s2izQ/edit?usp=sharing"",""กาญจนบุรี!S647"")+IMPORTRANGE(""https://docs.google.com/spreadsheets/d/1ddFKvqj1W1NEiWytbGlB1zMx_ykJDVtmfEQ-6-lIUBA/edit?usp=sharing"","&amp;"""จันทบุรี!S647"")+IMPORTRANGE(""https://docs.google.com/spreadsheets/d/1T1PQvRODqOBZk8BRht_U031fIS1beLA0Ub2CEytj2q0/edit?usp=sharing"",""ฉะเชิงเทรา!S647"")+IMPORTRANGE(""https://docs.google.com/spreadsheets/d/11tr1B-Bhyr79v2bkwVh5h_fR-PStkgjlZtkrZpYurG0/"&amp;"edit?usp=sharing"",""ชลบุรี!S647"")+IMPORTRANGE(""https://docs.google.com/spreadsheets/d/1hh-FVnSX0vozXhGluamEcS54Dw9_zqW0N7qJUWgJ0Sw/edit?usp=sharing"",""ชัยนาท!S647"")+IMPORTRANGE(""https://docs.google.com/spreadsheets/d/1jkqa6GXxSacMcY1eN8AHjMNJ_7dDXMJ"&amp;"VRLDlaFSOdPM/edit?usp=sharing"",""ตราด!S647"")+IMPORTRANGE(""https://docs.google.com/spreadsheets/d/18hSgUJ3VwClqi_qtULmmW3cLr0oe3OKaSYoKzdpTsYQ/edit?usp=sharing"",""นครนายก!S647"")+IMPORTRANGE(""https://docs.google.com/spreadsheets/d/1YTZo6WM2dQ6Ix6FSdnL"&amp;"5P7uVnVKu40sxZu975tgG10E/edit?usp=sharing"",""นครปฐม!S647"")+IMPORTRANGE(""https://docs.google.com/spreadsheets/d/1OYoGg4WDg5RIzwGeB10padOxJF9E_Vljuvvct_M7RDo/edit?usp=sharing"",""ปทุมธานี!S647"")+IMPORTRANGE(""https://docs.google.com/spreadsheets/d/1GbCI"&amp;"E4D4wk9FUozzqk7SxfDMxDVBwVmI5zcaVUSzKAc/edit?usp=sharing"",""ประจวบคีรีขันธ์!S647"")+IMPORTRANGE(""https://docs.google.com/spreadsheets/d/1vVf6wykvW_lAyu7Yo9L4hUTqHqIeP_qcVuxCtosJEbg/edit?usp=sharing"",""ปราจีนบุรี!S647"")+IMPORTRANGE(""https://docs.googl"&amp;"e.com/spreadsheets/d/1BIDqLLg5jk3v59G8NlR8rk5xfQDKne0sAvZHSj7TI6I/edit?usp=sharing"",""พระนครศรีอยุธยา!S647"")+IMPORTRANGE(""https://docs.google.com/spreadsheets/d/1YXvxf8Yu6_rV4hTBrwMqAcAnv6DfhUxh5emyM3CJp_w/edit?usp=sharing"",""เพชรบุรี!S647"")+IMPORTRA"&amp;"NGE(""https://docs.google.com/spreadsheets/d/19KBlQQs7uwvsao6t2n-KvW3Ax8J8uRRfZPq1zPbXgKc/edit?usp=sharing"",""ระยอง!S647"")+IMPORTRANGE(""https://docs.google.com/spreadsheets/d/1jQ6P4QcrGM89YfqcC_PxOHGCMq5ezhucwJd8ci-NHng/edit?usp=sharing"",""ราชบุรี!S64"&amp;"7"")+IMPORTRANGE(""https://docs.google.com/spreadsheets/d/1lufeA2cfFqM-elVq2hznhDzC6Pr7wkJ9ZG_sYNGCMCU/edit?usp=sharing"",""ลพบุรี!S647"")+IMPORTRANGE(""https://docs.google.com/spreadsheets/d/10oOiF7loTyfsTkbd4MpaIm0HQ9SwB7IYHdIUvt-U1Uc/edit?usp=sharing"""&amp;",""สระแก้ว!S647"")+IMPORTRANGE(""https://docs.google.com/spreadsheets/d/1xmPlrr1QbdSIKvl1dWUl9K4PjAfSL9oeMr_37QVzcxc/edit?usp=sharing"",""สระบุรี!S647"")+IMPORTRANGE(""https://docs.google.com/spreadsheets/d/1j51vR6CYVGhABJpv6tkstgok82RLpXieLzW1yOY5rHw/edi"&amp;"t?usp=sharing"",""สิงห์บุรี!S647"")+IMPORTRANGE(""https://docs.google.com/spreadsheets/d/1H1EalTWKUSzO4Z1-1CwzoDUaVffgrThEBe2sl74kKG0/edit?usp=sharing"",""สุพรรณบุรี!S647"")+IMPORTRANGE(""https://docs.google.com/spreadsheets/d/1BmIruG_sIrJLYao_Pdr7zVArWsf"&amp;"oBt2692TMi6x_854/edit?usp=sharing"",""อ่างทอง!S647"")"),60960)</f>
        <v>60960</v>
      </c>
      <c r="T647" s="135">
        <f t="shared" ca="1" si="449"/>
        <v>14.595604079873581</v>
      </c>
      <c r="U647" s="135">
        <f t="shared" ca="1" si="450"/>
        <v>14.595604079873581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 t="shared" ref="L648:N648" ca="1" si="457">L649+L650</f>
        <v>0</v>
      </c>
      <c r="M648" s="77">
        <f t="shared" ca="1" si="457"/>
        <v>0</v>
      </c>
      <c r="N648" s="77">
        <f t="shared" ca="1" si="457"/>
        <v>0</v>
      </c>
      <c r="O648" s="77">
        <f t="shared" ca="1" si="446"/>
        <v>0</v>
      </c>
      <c r="P648" s="77">
        <f t="shared" ca="1" si="447"/>
        <v>0</v>
      </c>
      <c r="Q648" s="134">
        <f t="shared" ref="Q648:S648" ca="1" si="458">Q649+Q650</f>
        <v>0</v>
      </c>
      <c r="R648" s="135">
        <f t="shared" ca="1" si="458"/>
        <v>0</v>
      </c>
      <c r="S648" s="135">
        <f t="shared" ca="1" si="458"/>
        <v>0</v>
      </c>
      <c r="T648" s="135">
        <f t="shared" ca="1" si="449"/>
        <v>0</v>
      </c>
      <c r="U648" s="135">
        <f t="shared" ca="1" si="450"/>
        <v>0</v>
      </c>
    </row>
    <row r="649" spans="1:21" ht="18.75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f ca="1">IFERROR(__xludf.DUMMYFUNCTION("IMPORTRANGE(""https://docs.google.com/spreadsheets/d/13wPX838HrBrQMCywv1BsuMkt4PEKTChp52zj44s2izQ/edit?usp=sharing"",""กาญจนบุรี!L649"")+IMPORTRANGE(""https://docs.google.com/spreadsheets/d/1ddFKvqj1W1NEiWytbGlB1zMx_ykJDVtmfEQ-6-lIUBA/edit?usp=sharing"","&amp;"""จันทบุรี!L649"")+IMPORTRANGE(""https://docs.google.com/spreadsheets/d/1T1PQvRODqOBZk8BRht_U031fIS1beLA0Ub2CEytj2q0/edit?usp=sharing"",""ฉะเชิงเทรา!L649"")+IMPORTRANGE(""https://docs.google.com/spreadsheets/d/11tr1B-Bhyr79v2bkwVh5h_fR-PStkgjlZtkrZpYurG0/"&amp;"edit?usp=sharing"",""ชลบุรี!L649"")+IMPORTRANGE(""https://docs.google.com/spreadsheets/d/1hh-FVnSX0vozXhGluamEcS54Dw9_zqW0N7qJUWgJ0Sw/edit?usp=sharing"",""ชัยนาท!L649"")+IMPORTRANGE(""https://docs.google.com/spreadsheets/d/1jkqa6GXxSacMcY1eN8AHjMNJ_7dDXMJ"&amp;"VRLDlaFSOdPM/edit?usp=sharing"",""ตราด!L649"")+IMPORTRANGE(""https://docs.google.com/spreadsheets/d/18hSgUJ3VwClqi_qtULmmW3cLr0oe3OKaSYoKzdpTsYQ/edit?usp=sharing"",""นครนายก!L649"")+IMPORTRANGE(""https://docs.google.com/spreadsheets/d/1YTZo6WM2dQ6Ix6FSdnL"&amp;"5P7uVnVKu40sxZu975tgG10E/edit?usp=sharing"",""นครปฐม!L649"")+IMPORTRANGE(""https://docs.google.com/spreadsheets/d/1OYoGg4WDg5RIzwGeB10padOxJF9E_Vljuvvct_M7RDo/edit?usp=sharing"",""ปทุมธานี!L649"")+IMPORTRANGE(""https://docs.google.com/spreadsheets/d/1GbCI"&amp;"E4D4wk9FUozzqk7SxfDMxDVBwVmI5zcaVUSzKAc/edit?usp=sharing"",""ประจวบคีรีขันธ์!L649"")+IMPORTRANGE(""https://docs.google.com/spreadsheets/d/1vVf6wykvW_lAyu7Yo9L4hUTqHqIeP_qcVuxCtosJEbg/edit?usp=sharing"",""ปราจีนบุรี!L649"")+IMPORTRANGE(""https://docs.googl"&amp;"e.com/spreadsheets/d/1BIDqLLg5jk3v59G8NlR8rk5xfQDKne0sAvZHSj7TI6I/edit?usp=sharing"",""พระนครศรีอยุธยา!L649"")+IMPORTRANGE(""https://docs.google.com/spreadsheets/d/1YXvxf8Yu6_rV4hTBrwMqAcAnv6DfhUxh5emyM3CJp_w/edit?usp=sharing"",""เพชรบุรี!L649"")+IMPORTRA"&amp;"NGE(""https://docs.google.com/spreadsheets/d/19KBlQQs7uwvsao6t2n-KvW3Ax8J8uRRfZPq1zPbXgKc/edit?usp=sharing"",""ระยอง!L649"")+IMPORTRANGE(""https://docs.google.com/spreadsheets/d/1jQ6P4QcrGM89YfqcC_PxOHGCMq5ezhucwJd8ci-NHng/edit?usp=sharing"",""ราชบุรี!L64"&amp;"9"")+IMPORTRANGE(""https://docs.google.com/spreadsheets/d/1lufeA2cfFqM-elVq2hznhDzC6Pr7wkJ9ZG_sYNGCMCU/edit?usp=sharing"",""ลพบุรี!L649"")+IMPORTRANGE(""https://docs.google.com/spreadsheets/d/10oOiF7loTyfsTkbd4MpaIm0HQ9SwB7IYHdIUvt-U1Uc/edit?usp=sharing"""&amp;",""สระแก้ว!L649"")+IMPORTRANGE(""https://docs.google.com/spreadsheets/d/1xmPlrr1QbdSIKvl1dWUl9K4PjAfSL9oeMr_37QVzcxc/edit?usp=sharing"",""สระบุรี!L649"")+IMPORTRANGE(""https://docs.google.com/spreadsheets/d/1j51vR6CYVGhABJpv6tkstgok82RLpXieLzW1yOY5rHw/edi"&amp;"t?usp=sharing"",""สิงห์บุรี!L649"")+IMPORTRANGE(""https://docs.google.com/spreadsheets/d/1H1EalTWKUSzO4Z1-1CwzoDUaVffgrThEBe2sl74kKG0/edit?usp=sharing"",""สุพรรณบุรี!L649"")+IMPORTRANGE(""https://docs.google.com/spreadsheets/d/1BmIruG_sIrJLYao_Pdr7zVArWsf"&amp;"oBt2692TMi6x_854/edit?usp=sharing"",""อ่างทอง!L649"")"),0)</f>
        <v>0</v>
      </c>
      <c r="M649" s="80">
        <f ca="1">IFERROR(__xludf.DUMMYFUNCTION("IMPORTRANGE(""https://docs.google.com/spreadsheets/d/13wPX838HrBrQMCywv1BsuMkt4PEKTChp52zj44s2izQ/edit?usp=sharing"",""กาญจนบุรี!M649"")+IMPORTRANGE(""https://docs.google.com/spreadsheets/d/1ddFKvqj1W1NEiWytbGlB1zMx_ykJDVtmfEQ-6-lIUBA/edit?usp=sharing"","&amp;"""จันทบุรี!M649"")+IMPORTRANGE(""https://docs.google.com/spreadsheets/d/1T1PQvRODqOBZk8BRht_U031fIS1beLA0Ub2CEytj2q0/edit?usp=sharing"",""ฉะเชิงเทรา!M649"")+IMPORTRANGE(""https://docs.google.com/spreadsheets/d/11tr1B-Bhyr79v2bkwVh5h_fR-PStkgjlZtkrZpYurG0/"&amp;"edit?usp=sharing"",""ชลบุรี!M649"")+IMPORTRANGE(""https://docs.google.com/spreadsheets/d/1hh-FVnSX0vozXhGluamEcS54Dw9_zqW0N7qJUWgJ0Sw/edit?usp=sharing"",""ชัยนาท!M649"")+IMPORTRANGE(""https://docs.google.com/spreadsheets/d/1jkqa6GXxSacMcY1eN8AHjMNJ_7dDXMJ"&amp;"VRLDlaFSOdPM/edit?usp=sharing"",""ตราด!M649"")+IMPORTRANGE(""https://docs.google.com/spreadsheets/d/18hSgUJ3VwClqi_qtULmmW3cLr0oe3OKaSYoKzdpTsYQ/edit?usp=sharing"",""นครนายก!M649"")+IMPORTRANGE(""https://docs.google.com/spreadsheets/d/1YTZo6WM2dQ6Ix6FSdnL"&amp;"5P7uVnVKu40sxZu975tgG10E/edit?usp=sharing"",""นครปฐม!M649"")+IMPORTRANGE(""https://docs.google.com/spreadsheets/d/1OYoGg4WDg5RIzwGeB10padOxJF9E_Vljuvvct_M7RDo/edit?usp=sharing"",""ปทุมธานี!M649"")+IMPORTRANGE(""https://docs.google.com/spreadsheets/d/1GbCI"&amp;"E4D4wk9FUozzqk7SxfDMxDVBwVmI5zcaVUSzKAc/edit?usp=sharing"",""ประจวบคีรีขันธ์!M649"")+IMPORTRANGE(""https://docs.google.com/spreadsheets/d/1vVf6wykvW_lAyu7Yo9L4hUTqHqIeP_qcVuxCtosJEbg/edit?usp=sharing"",""ปราจีนบุรี!M649"")+IMPORTRANGE(""https://docs.googl"&amp;"e.com/spreadsheets/d/1BIDqLLg5jk3v59G8NlR8rk5xfQDKne0sAvZHSj7TI6I/edit?usp=sharing"",""พระนครศรีอยุธยา!M649"")+IMPORTRANGE(""https://docs.google.com/spreadsheets/d/1YXvxf8Yu6_rV4hTBrwMqAcAnv6DfhUxh5emyM3CJp_w/edit?usp=sharing"",""เพชรบุรี!M649"")+IMPORTRA"&amp;"NGE(""https://docs.google.com/spreadsheets/d/19KBlQQs7uwvsao6t2n-KvW3Ax8J8uRRfZPq1zPbXgKc/edit?usp=sharing"",""ระยอง!M649"")+IMPORTRANGE(""https://docs.google.com/spreadsheets/d/1jQ6P4QcrGM89YfqcC_PxOHGCMq5ezhucwJd8ci-NHng/edit?usp=sharing"",""ราชบุรี!M64"&amp;"9"")+IMPORTRANGE(""https://docs.google.com/spreadsheets/d/1lufeA2cfFqM-elVq2hznhDzC6Pr7wkJ9ZG_sYNGCMCU/edit?usp=sharing"",""ลพบุรี!M649"")+IMPORTRANGE(""https://docs.google.com/spreadsheets/d/10oOiF7loTyfsTkbd4MpaIm0HQ9SwB7IYHdIUvt-U1Uc/edit?usp=sharing"""&amp;",""สระแก้ว!M649"")+IMPORTRANGE(""https://docs.google.com/spreadsheets/d/1xmPlrr1QbdSIKvl1dWUl9K4PjAfSL9oeMr_37QVzcxc/edit?usp=sharing"",""สระบุรี!M649"")+IMPORTRANGE(""https://docs.google.com/spreadsheets/d/1j51vR6CYVGhABJpv6tkstgok82RLpXieLzW1yOY5rHw/edi"&amp;"t?usp=sharing"",""สิงห์บุรี!M649"")+IMPORTRANGE(""https://docs.google.com/spreadsheets/d/1H1EalTWKUSzO4Z1-1CwzoDUaVffgrThEBe2sl74kKG0/edit?usp=sharing"",""สุพรรณบุรี!M649"")+IMPORTRANGE(""https://docs.google.com/spreadsheets/d/1BmIruG_sIrJLYao_Pdr7zVArWsf"&amp;"oBt2692TMi6x_854/edit?usp=sharing"",""อ่างทอง!M649"")"),0)</f>
        <v>0</v>
      </c>
      <c r="N649" s="80">
        <f ca="1">IFERROR(__xludf.DUMMYFUNCTION("IMPORTRANGE(""https://docs.google.com/spreadsheets/d/13wPX838HrBrQMCywv1BsuMkt4PEKTChp52zj44s2izQ/edit?usp=sharing"",""กาญจนบุรี!N649"")+IMPORTRANGE(""https://docs.google.com/spreadsheets/d/1ddFKvqj1W1NEiWytbGlB1zMx_ykJDVtmfEQ-6-lIUBA/edit?usp=sharing"","&amp;"""จันทบุรี!N649"")+IMPORTRANGE(""https://docs.google.com/spreadsheets/d/1T1PQvRODqOBZk8BRht_U031fIS1beLA0Ub2CEytj2q0/edit?usp=sharing"",""ฉะเชิงเทรา!N649"")+IMPORTRANGE(""https://docs.google.com/spreadsheets/d/11tr1B-Bhyr79v2bkwVh5h_fR-PStkgjlZtkrZpYurG0/"&amp;"edit?usp=sharing"",""ชลบุรี!N649"")+IMPORTRANGE(""https://docs.google.com/spreadsheets/d/1hh-FVnSX0vozXhGluamEcS54Dw9_zqW0N7qJUWgJ0Sw/edit?usp=sharing"",""ชัยนาท!N649"")+IMPORTRANGE(""https://docs.google.com/spreadsheets/d/1jkqa6GXxSacMcY1eN8AHjMNJ_7dDXMJ"&amp;"VRLDlaFSOdPM/edit?usp=sharing"",""ตราด!N649"")+IMPORTRANGE(""https://docs.google.com/spreadsheets/d/18hSgUJ3VwClqi_qtULmmW3cLr0oe3OKaSYoKzdpTsYQ/edit?usp=sharing"",""นครนายก!N649"")+IMPORTRANGE(""https://docs.google.com/spreadsheets/d/1YTZo6WM2dQ6Ix6FSdnL"&amp;"5P7uVnVKu40sxZu975tgG10E/edit?usp=sharing"",""นครปฐม!N649"")+IMPORTRANGE(""https://docs.google.com/spreadsheets/d/1OYoGg4WDg5RIzwGeB10padOxJF9E_Vljuvvct_M7RDo/edit?usp=sharing"",""ปทุมธานี!N649"")+IMPORTRANGE(""https://docs.google.com/spreadsheets/d/1GbCI"&amp;"E4D4wk9FUozzqk7SxfDMxDVBwVmI5zcaVUSzKAc/edit?usp=sharing"",""ประจวบคีรีขันธ์!N649"")+IMPORTRANGE(""https://docs.google.com/spreadsheets/d/1vVf6wykvW_lAyu7Yo9L4hUTqHqIeP_qcVuxCtosJEbg/edit?usp=sharing"",""ปราจีนบุรี!N649"")+IMPORTRANGE(""https://docs.googl"&amp;"e.com/spreadsheets/d/1BIDqLLg5jk3v59G8NlR8rk5xfQDKne0sAvZHSj7TI6I/edit?usp=sharing"",""พระนครศรีอยุธยา!N649"")+IMPORTRANGE(""https://docs.google.com/spreadsheets/d/1YXvxf8Yu6_rV4hTBrwMqAcAnv6DfhUxh5emyM3CJp_w/edit?usp=sharing"",""เพชรบุรี!N649"")+IMPORTRA"&amp;"NGE(""https://docs.google.com/spreadsheets/d/19KBlQQs7uwvsao6t2n-KvW3Ax8J8uRRfZPq1zPbXgKc/edit?usp=sharing"",""ระยอง!N649"")+IMPORTRANGE(""https://docs.google.com/spreadsheets/d/1jQ6P4QcrGM89YfqcC_PxOHGCMq5ezhucwJd8ci-NHng/edit?usp=sharing"",""ราชบุรี!N64"&amp;"9"")+IMPORTRANGE(""https://docs.google.com/spreadsheets/d/1lufeA2cfFqM-elVq2hznhDzC6Pr7wkJ9ZG_sYNGCMCU/edit?usp=sharing"",""ลพบุรี!N649"")+IMPORTRANGE(""https://docs.google.com/spreadsheets/d/10oOiF7loTyfsTkbd4MpaIm0HQ9SwB7IYHdIUvt-U1Uc/edit?usp=sharing"""&amp;",""สระแก้ว!N649"")+IMPORTRANGE(""https://docs.google.com/spreadsheets/d/1xmPlrr1QbdSIKvl1dWUl9K4PjAfSL9oeMr_37QVzcxc/edit?usp=sharing"",""สระบุรี!N649"")+IMPORTRANGE(""https://docs.google.com/spreadsheets/d/1j51vR6CYVGhABJpv6tkstgok82RLpXieLzW1yOY5rHw/edi"&amp;"t?usp=sharing"",""สิงห์บุรี!N649"")+IMPORTRANGE(""https://docs.google.com/spreadsheets/d/1H1EalTWKUSzO4Z1-1CwzoDUaVffgrThEBe2sl74kKG0/edit?usp=sharing"",""สุพรรณบุรี!N649"")+IMPORTRANGE(""https://docs.google.com/spreadsheets/d/1BmIruG_sIrJLYao_Pdr7zVArWsf"&amp;"oBt2692TMi6x_854/edit?usp=sharing"",""อ่างทอง!N649"")"),0)</f>
        <v>0</v>
      </c>
      <c r="O649" s="80">
        <f t="shared" ca="1" si="446"/>
        <v>0</v>
      </c>
      <c r="P649" s="80">
        <f t="shared" ca="1" si="447"/>
        <v>0</v>
      </c>
      <c r="Q649" s="79">
        <f ca="1">IFERROR(__xludf.DUMMYFUNCTION("IMPORTRANGE(""https://docs.google.com/spreadsheets/d/13wPX838HrBrQMCywv1BsuMkt4PEKTChp52zj44s2izQ/edit?usp=sharing"",""กาญจนบุรี!Q649"")+IMPORTRANGE(""https://docs.google.com/spreadsheets/d/1ddFKvqj1W1NEiWytbGlB1zMx_ykJDVtmfEQ-6-lIUBA/edit?usp=sharing"","&amp;"""จันทบุรี!Q649"")+IMPORTRANGE(""https://docs.google.com/spreadsheets/d/1T1PQvRODqOBZk8BRht_U031fIS1beLA0Ub2CEytj2q0/edit?usp=sharing"",""ฉะเชิงเทรา!Q649"")+IMPORTRANGE(""https://docs.google.com/spreadsheets/d/11tr1B-Bhyr79v2bkwVh5h_fR-PStkgjlZtkrZpYurG0/"&amp;"edit?usp=sharing"",""ชลบุรี!Q649"")+IMPORTRANGE(""https://docs.google.com/spreadsheets/d/1hh-FVnSX0vozXhGluamEcS54Dw9_zqW0N7qJUWgJ0Sw/edit?usp=sharing"",""ชัยนาท!Q649"")+IMPORTRANGE(""https://docs.google.com/spreadsheets/d/1jkqa6GXxSacMcY1eN8AHjMNJ_7dDXMJ"&amp;"VRLDlaFSOdPM/edit?usp=sharing"",""ตราด!Q649"")+IMPORTRANGE(""https://docs.google.com/spreadsheets/d/18hSgUJ3VwClqi_qtULmmW3cLr0oe3OKaSYoKzdpTsYQ/edit?usp=sharing"",""นครนายก!Q649"")+IMPORTRANGE(""https://docs.google.com/spreadsheets/d/1YTZo6WM2dQ6Ix6FSdnL"&amp;"5P7uVnVKu40sxZu975tgG10E/edit?usp=sharing"",""นครปฐม!Q649"")+IMPORTRANGE(""https://docs.google.com/spreadsheets/d/1OYoGg4WDg5RIzwGeB10padOxJF9E_Vljuvvct_M7RDo/edit?usp=sharing"",""ปทุมธานี!Q649"")+IMPORTRANGE(""https://docs.google.com/spreadsheets/d/1GbCI"&amp;"E4D4wk9FUozzqk7SxfDMxDVBwVmI5zcaVUSzKAc/edit?usp=sharing"",""ประจวบคีรีขันธ์!Q649"")+IMPORTRANGE(""https://docs.google.com/spreadsheets/d/1vVf6wykvW_lAyu7Yo9L4hUTqHqIeP_qcVuxCtosJEbg/edit?usp=sharing"",""ปราจีนบุรี!Q649"")+IMPORTRANGE(""https://docs.googl"&amp;"e.com/spreadsheets/d/1BIDqLLg5jk3v59G8NlR8rk5xfQDKne0sAvZHSj7TI6I/edit?usp=sharing"",""พระนครศรีอยุธยา!Q649"")+IMPORTRANGE(""https://docs.google.com/spreadsheets/d/1YXvxf8Yu6_rV4hTBrwMqAcAnv6DfhUxh5emyM3CJp_w/edit?usp=sharing"",""เพชรบุรี!Q649"")+IMPORTRA"&amp;"NGE(""https://docs.google.com/spreadsheets/d/19KBlQQs7uwvsao6t2n-KvW3Ax8J8uRRfZPq1zPbXgKc/edit?usp=sharing"",""ระยอง!Q649"")+IMPORTRANGE(""https://docs.google.com/spreadsheets/d/1jQ6P4QcrGM89YfqcC_PxOHGCMq5ezhucwJd8ci-NHng/edit?usp=sharing"",""ราชบุรี!Q64"&amp;"9"")+IMPORTRANGE(""https://docs.google.com/spreadsheets/d/1lufeA2cfFqM-elVq2hznhDzC6Pr7wkJ9ZG_sYNGCMCU/edit?usp=sharing"",""ลพบุรี!Q649"")+IMPORTRANGE(""https://docs.google.com/spreadsheets/d/10oOiF7loTyfsTkbd4MpaIm0HQ9SwB7IYHdIUvt-U1Uc/edit?usp=sharing"""&amp;",""สระแก้ว!Q649"")+IMPORTRANGE(""https://docs.google.com/spreadsheets/d/1xmPlrr1QbdSIKvl1dWUl9K4PjAfSL9oeMr_37QVzcxc/edit?usp=sharing"",""สระบุรี!Q649"")+IMPORTRANGE(""https://docs.google.com/spreadsheets/d/1j51vR6CYVGhABJpv6tkstgok82RLpXieLzW1yOY5rHw/edi"&amp;"t?usp=sharing"",""สิงห์บุรี!Q649"")+IMPORTRANGE(""https://docs.google.com/spreadsheets/d/1H1EalTWKUSzO4Z1-1CwzoDUaVffgrThEBe2sl74kKG0/edit?usp=sharing"",""สุพรรณบุรี!Q649"")+IMPORTRANGE(""https://docs.google.com/spreadsheets/d/1BmIruG_sIrJLYao_Pdr7zVArWsf"&amp;"oBt2692TMi6x_854/edit?usp=sharing"",""อ่างทอง!Q649"")"),0)</f>
        <v>0</v>
      </c>
      <c r="R649" s="80">
        <f ca="1">IFERROR(__xludf.DUMMYFUNCTION("IMPORTRANGE(""https://docs.google.com/spreadsheets/d/13wPX838HrBrQMCywv1BsuMkt4PEKTChp52zj44s2izQ/edit?usp=sharing"",""กาญจนบุรี!R649"")+IMPORTRANGE(""https://docs.google.com/spreadsheets/d/1ddFKvqj1W1NEiWytbGlB1zMx_ykJDVtmfEQ-6-lIUBA/edit?usp=sharing"","&amp;"""จันทบุรี!R649"")+IMPORTRANGE(""https://docs.google.com/spreadsheets/d/1T1PQvRODqOBZk8BRht_U031fIS1beLA0Ub2CEytj2q0/edit?usp=sharing"",""ฉะเชิงเทรา!R649"")+IMPORTRANGE(""https://docs.google.com/spreadsheets/d/11tr1B-Bhyr79v2bkwVh5h_fR-PStkgjlZtkrZpYurG0/"&amp;"edit?usp=sharing"",""ชลบุรี!R649"")+IMPORTRANGE(""https://docs.google.com/spreadsheets/d/1hh-FVnSX0vozXhGluamEcS54Dw9_zqW0N7qJUWgJ0Sw/edit?usp=sharing"",""ชัยนาท!R649"")+IMPORTRANGE(""https://docs.google.com/spreadsheets/d/1jkqa6GXxSacMcY1eN8AHjMNJ_7dDXMJ"&amp;"VRLDlaFSOdPM/edit?usp=sharing"",""ตราด!R649"")+IMPORTRANGE(""https://docs.google.com/spreadsheets/d/18hSgUJ3VwClqi_qtULmmW3cLr0oe3OKaSYoKzdpTsYQ/edit?usp=sharing"",""นครนายก!R649"")+IMPORTRANGE(""https://docs.google.com/spreadsheets/d/1YTZo6WM2dQ6Ix6FSdnL"&amp;"5P7uVnVKu40sxZu975tgG10E/edit?usp=sharing"",""นครปฐม!R649"")+IMPORTRANGE(""https://docs.google.com/spreadsheets/d/1OYoGg4WDg5RIzwGeB10padOxJF9E_Vljuvvct_M7RDo/edit?usp=sharing"",""ปทุมธานี!R649"")+IMPORTRANGE(""https://docs.google.com/spreadsheets/d/1GbCI"&amp;"E4D4wk9FUozzqk7SxfDMxDVBwVmI5zcaVUSzKAc/edit?usp=sharing"",""ประจวบคีรีขันธ์!R649"")+IMPORTRANGE(""https://docs.google.com/spreadsheets/d/1vVf6wykvW_lAyu7Yo9L4hUTqHqIeP_qcVuxCtosJEbg/edit?usp=sharing"",""ปราจีนบุรี!R649"")+IMPORTRANGE(""https://docs.googl"&amp;"e.com/spreadsheets/d/1BIDqLLg5jk3v59G8NlR8rk5xfQDKne0sAvZHSj7TI6I/edit?usp=sharing"",""พระนครศรีอยุธยา!R649"")+IMPORTRANGE(""https://docs.google.com/spreadsheets/d/1YXvxf8Yu6_rV4hTBrwMqAcAnv6DfhUxh5emyM3CJp_w/edit?usp=sharing"",""เพชรบุรี!R649"")+IMPORTRA"&amp;"NGE(""https://docs.google.com/spreadsheets/d/19KBlQQs7uwvsao6t2n-KvW3Ax8J8uRRfZPq1zPbXgKc/edit?usp=sharing"",""ระยอง!R649"")+IMPORTRANGE(""https://docs.google.com/spreadsheets/d/1jQ6P4QcrGM89YfqcC_PxOHGCMq5ezhucwJd8ci-NHng/edit?usp=sharing"",""ราชบุรี!R64"&amp;"9"")+IMPORTRANGE(""https://docs.google.com/spreadsheets/d/1lufeA2cfFqM-elVq2hznhDzC6Pr7wkJ9ZG_sYNGCMCU/edit?usp=sharing"",""ลพบุรี!R649"")+IMPORTRANGE(""https://docs.google.com/spreadsheets/d/10oOiF7loTyfsTkbd4MpaIm0HQ9SwB7IYHdIUvt-U1Uc/edit?usp=sharing"""&amp;",""สระแก้ว!R649"")+IMPORTRANGE(""https://docs.google.com/spreadsheets/d/1xmPlrr1QbdSIKvl1dWUl9K4PjAfSL9oeMr_37QVzcxc/edit?usp=sharing"",""สระบุรี!R649"")+IMPORTRANGE(""https://docs.google.com/spreadsheets/d/1j51vR6CYVGhABJpv6tkstgok82RLpXieLzW1yOY5rHw/edi"&amp;"t?usp=sharing"",""สิงห์บุรี!R649"")+IMPORTRANGE(""https://docs.google.com/spreadsheets/d/1H1EalTWKUSzO4Z1-1CwzoDUaVffgrThEBe2sl74kKG0/edit?usp=sharing"",""สุพรรณบุรี!R649"")+IMPORTRANGE(""https://docs.google.com/spreadsheets/d/1BmIruG_sIrJLYao_Pdr7zVArWsf"&amp;"oBt2692TMi6x_854/edit?usp=sharing"",""อ่างทอง!R649"")"),0)</f>
        <v>0</v>
      </c>
      <c r="S649" s="80">
        <f ca="1">IFERROR(__xludf.DUMMYFUNCTION("IMPORTRANGE(""https://docs.google.com/spreadsheets/d/13wPX838HrBrQMCywv1BsuMkt4PEKTChp52zj44s2izQ/edit?usp=sharing"",""กาญจนบุรี!S649"")+IMPORTRANGE(""https://docs.google.com/spreadsheets/d/1ddFKvqj1W1NEiWytbGlB1zMx_ykJDVtmfEQ-6-lIUBA/edit?usp=sharing"","&amp;"""จันทบุรี!S649"")+IMPORTRANGE(""https://docs.google.com/spreadsheets/d/1T1PQvRODqOBZk8BRht_U031fIS1beLA0Ub2CEytj2q0/edit?usp=sharing"",""ฉะเชิงเทรา!S649"")+IMPORTRANGE(""https://docs.google.com/spreadsheets/d/11tr1B-Bhyr79v2bkwVh5h_fR-PStkgjlZtkrZpYurG0/"&amp;"edit?usp=sharing"",""ชลบุรี!S649"")+IMPORTRANGE(""https://docs.google.com/spreadsheets/d/1hh-FVnSX0vozXhGluamEcS54Dw9_zqW0N7qJUWgJ0Sw/edit?usp=sharing"",""ชัยนาท!S649"")+IMPORTRANGE(""https://docs.google.com/spreadsheets/d/1jkqa6GXxSacMcY1eN8AHjMNJ_7dDXMJ"&amp;"VRLDlaFSOdPM/edit?usp=sharing"",""ตราด!S649"")+IMPORTRANGE(""https://docs.google.com/spreadsheets/d/18hSgUJ3VwClqi_qtULmmW3cLr0oe3OKaSYoKzdpTsYQ/edit?usp=sharing"",""นครนายก!S649"")+IMPORTRANGE(""https://docs.google.com/spreadsheets/d/1YTZo6WM2dQ6Ix6FSdnL"&amp;"5P7uVnVKu40sxZu975tgG10E/edit?usp=sharing"",""นครปฐม!S649"")+IMPORTRANGE(""https://docs.google.com/spreadsheets/d/1OYoGg4WDg5RIzwGeB10padOxJF9E_Vljuvvct_M7RDo/edit?usp=sharing"",""ปทุมธานี!S649"")+IMPORTRANGE(""https://docs.google.com/spreadsheets/d/1GbCI"&amp;"E4D4wk9FUozzqk7SxfDMxDVBwVmI5zcaVUSzKAc/edit?usp=sharing"",""ประจวบคีรีขันธ์!S649"")+IMPORTRANGE(""https://docs.google.com/spreadsheets/d/1vVf6wykvW_lAyu7Yo9L4hUTqHqIeP_qcVuxCtosJEbg/edit?usp=sharing"",""ปราจีนบุรี!S649"")+IMPORTRANGE(""https://docs.googl"&amp;"e.com/spreadsheets/d/1BIDqLLg5jk3v59G8NlR8rk5xfQDKne0sAvZHSj7TI6I/edit?usp=sharing"",""พระนครศรีอยุธยา!S649"")+IMPORTRANGE(""https://docs.google.com/spreadsheets/d/1YXvxf8Yu6_rV4hTBrwMqAcAnv6DfhUxh5emyM3CJp_w/edit?usp=sharing"",""เพชรบุรี!S649"")+IMPORTRA"&amp;"NGE(""https://docs.google.com/spreadsheets/d/19KBlQQs7uwvsao6t2n-KvW3Ax8J8uRRfZPq1zPbXgKc/edit?usp=sharing"",""ระยอง!S649"")+IMPORTRANGE(""https://docs.google.com/spreadsheets/d/1jQ6P4QcrGM89YfqcC_PxOHGCMq5ezhucwJd8ci-NHng/edit?usp=sharing"",""ราชบุรี!S64"&amp;"9"")+IMPORTRANGE(""https://docs.google.com/spreadsheets/d/1lufeA2cfFqM-elVq2hznhDzC6Pr7wkJ9ZG_sYNGCMCU/edit?usp=sharing"",""ลพบุรี!S649"")+IMPORTRANGE(""https://docs.google.com/spreadsheets/d/10oOiF7loTyfsTkbd4MpaIm0HQ9SwB7IYHdIUvt-U1Uc/edit?usp=sharing"""&amp;",""สระแก้ว!S649"")+IMPORTRANGE(""https://docs.google.com/spreadsheets/d/1xmPlrr1QbdSIKvl1dWUl9K4PjAfSL9oeMr_37QVzcxc/edit?usp=sharing"",""สระบุรี!S649"")+IMPORTRANGE(""https://docs.google.com/spreadsheets/d/1j51vR6CYVGhABJpv6tkstgok82RLpXieLzW1yOY5rHw/edi"&amp;"t?usp=sharing"",""สิงห์บุรี!S649"")+IMPORTRANGE(""https://docs.google.com/spreadsheets/d/1H1EalTWKUSzO4Z1-1CwzoDUaVffgrThEBe2sl74kKG0/edit?usp=sharing"",""สุพรรณบุรี!S649"")+IMPORTRANGE(""https://docs.google.com/spreadsheets/d/1BmIruG_sIrJLYao_Pdr7zVArWsf"&amp;"oBt2692TMi6x_854/edit?usp=sharing"",""อ่างทอง!S649"")"),0)</f>
        <v>0</v>
      </c>
      <c r="T649" s="136">
        <f t="shared" ca="1" si="449"/>
        <v>0</v>
      </c>
      <c r="U649" s="136">
        <f t="shared" ca="1" si="450"/>
        <v>0</v>
      </c>
    </row>
    <row r="650" spans="1:21" ht="18.75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f ca="1">IFERROR(__xludf.DUMMYFUNCTION("IMPORTRANGE(""https://docs.google.com/spreadsheets/d/13wPX838HrBrQMCywv1BsuMkt4PEKTChp52zj44s2izQ/edit?usp=sharing"",""กาญจนบุรี!L650"")+IMPORTRANGE(""https://docs.google.com/spreadsheets/d/1ddFKvqj1W1NEiWytbGlB1zMx_ykJDVtmfEQ-6-lIUBA/edit?usp=sharing"","&amp;"""จันทบุรี!L650"")+IMPORTRANGE(""https://docs.google.com/spreadsheets/d/1T1PQvRODqOBZk8BRht_U031fIS1beLA0Ub2CEytj2q0/edit?usp=sharing"",""ฉะเชิงเทรา!L650"")+IMPORTRANGE(""https://docs.google.com/spreadsheets/d/11tr1B-Bhyr79v2bkwVh5h_fR-PStkgjlZtkrZpYurG0/"&amp;"edit?usp=sharing"",""ชลบุรี!L650"")+IMPORTRANGE(""https://docs.google.com/spreadsheets/d/1hh-FVnSX0vozXhGluamEcS54Dw9_zqW0N7qJUWgJ0Sw/edit?usp=sharing"",""ชัยนาท!L650"")+IMPORTRANGE(""https://docs.google.com/spreadsheets/d/1jkqa6GXxSacMcY1eN8AHjMNJ_7dDXMJ"&amp;"VRLDlaFSOdPM/edit?usp=sharing"",""ตราด!L650"")+IMPORTRANGE(""https://docs.google.com/spreadsheets/d/18hSgUJ3VwClqi_qtULmmW3cLr0oe3OKaSYoKzdpTsYQ/edit?usp=sharing"",""นครนายก!L650"")+IMPORTRANGE(""https://docs.google.com/spreadsheets/d/1YTZo6WM2dQ6Ix6FSdnL"&amp;"5P7uVnVKu40sxZu975tgG10E/edit?usp=sharing"",""นครปฐม!L650"")+IMPORTRANGE(""https://docs.google.com/spreadsheets/d/1OYoGg4WDg5RIzwGeB10padOxJF9E_Vljuvvct_M7RDo/edit?usp=sharing"",""ปทุมธานี!L650"")+IMPORTRANGE(""https://docs.google.com/spreadsheets/d/1GbCI"&amp;"E4D4wk9FUozzqk7SxfDMxDVBwVmI5zcaVUSzKAc/edit?usp=sharing"",""ประจวบคีรีขันธ์!L650"")+IMPORTRANGE(""https://docs.google.com/spreadsheets/d/1vVf6wykvW_lAyu7Yo9L4hUTqHqIeP_qcVuxCtosJEbg/edit?usp=sharing"",""ปราจีนบุรี!L650"")+IMPORTRANGE(""https://docs.googl"&amp;"e.com/spreadsheets/d/1BIDqLLg5jk3v59G8NlR8rk5xfQDKne0sAvZHSj7TI6I/edit?usp=sharing"",""พระนครศรีอยุธยา!L650"")+IMPORTRANGE(""https://docs.google.com/spreadsheets/d/1YXvxf8Yu6_rV4hTBrwMqAcAnv6DfhUxh5emyM3CJp_w/edit?usp=sharing"",""เพชรบุรี!L650"")+IMPORTRA"&amp;"NGE(""https://docs.google.com/spreadsheets/d/19KBlQQs7uwvsao6t2n-KvW3Ax8J8uRRfZPq1zPbXgKc/edit?usp=sharing"",""ระยอง!L650"")+IMPORTRANGE(""https://docs.google.com/spreadsheets/d/1jQ6P4QcrGM89YfqcC_PxOHGCMq5ezhucwJd8ci-NHng/edit?usp=sharing"",""ราชบุรี!L65"&amp;"0"")+IMPORTRANGE(""https://docs.google.com/spreadsheets/d/1lufeA2cfFqM-elVq2hznhDzC6Pr7wkJ9ZG_sYNGCMCU/edit?usp=sharing"",""ลพบุรี!L650"")+IMPORTRANGE(""https://docs.google.com/spreadsheets/d/10oOiF7loTyfsTkbd4MpaIm0HQ9SwB7IYHdIUvt-U1Uc/edit?usp=sharing"""&amp;",""สระแก้ว!L650"")+IMPORTRANGE(""https://docs.google.com/spreadsheets/d/1xmPlrr1QbdSIKvl1dWUl9K4PjAfSL9oeMr_37QVzcxc/edit?usp=sharing"",""สระบุรี!L650"")+IMPORTRANGE(""https://docs.google.com/spreadsheets/d/1j51vR6CYVGhABJpv6tkstgok82RLpXieLzW1yOY5rHw/edi"&amp;"t?usp=sharing"",""สิงห์บุรี!L650"")+IMPORTRANGE(""https://docs.google.com/spreadsheets/d/1H1EalTWKUSzO4Z1-1CwzoDUaVffgrThEBe2sl74kKG0/edit?usp=sharing"",""สุพรรณบุรี!L650"")+IMPORTRANGE(""https://docs.google.com/spreadsheets/d/1BmIruG_sIrJLYao_Pdr7zVArWsf"&amp;"oBt2692TMi6x_854/edit?usp=sharing"",""อ่างทอง!L650"")"),0)</f>
        <v>0</v>
      </c>
      <c r="M650" s="77">
        <f ca="1">IFERROR(__xludf.DUMMYFUNCTION("IMPORTRANGE(""https://docs.google.com/spreadsheets/d/13wPX838HrBrQMCywv1BsuMkt4PEKTChp52zj44s2izQ/edit?usp=sharing"",""กาญจนบุรี!M650"")+IMPORTRANGE(""https://docs.google.com/spreadsheets/d/1ddFKvqj1W1NEiWytbGlB1zMx_ykJDVtmfEQ-6-lIUBA/edit?usp=sharing"","&amp;"""จันทบุรี!M650"")+IMPORTRANGE(""https://docs.google.com/spreadsheets/d/1T1PQvRODqOBZk8BRht_U031fIS1beLA0Ub2CEytj2q0/edit?usp=sharing"",""ฉะเชิงเทรา!M650"")+IMPORTRANGE(""https://docs.google.com/spreadsheets/d/11tr1B-Bhyr79v2bkwVh5h_fR-PStkgjlZtkrZpYurG0/"&amp;"edit?usp=sharing"",""ชลบุรี!M650"")+IMPORTRANGE(""https://docs.google.com/spreadsheets/d/1hh-FVnSX0vozXhGluamEcS54Dw9_zqW0N7qJUWgJ0Sw/edit?usp=sharing"",""ชัยนาท!M650"")+IMPORTRANGE(""https://docs.google.com/spreadsheets/d/1jkqa6GXxSacMcY1eN8AHjMNJ_7dDXMJ"&amp;"VRLDlaFSOdPM/edit?usp=sharing"",""ตราด!M650"")+IMPORTRANGE(""https://docs.google.com/spreadsheets/d/18hSgUJ3VwClqi_qtULmmW3cLr0oe3OKaSYoKzdpTsYQ/edit?usp=sharing"",""นครนายก!M650"")+IMPORTRANGE(""https://docs.google.com/spreadsheets/d/1YTZo6WM2dQ6Ix6FSdnL"&amp;"5P7uVnVKu40sxZu975tgG10E/edit?usp=sharing"",""นครปฐม!M650"")+IMPORTRANGE(""https://docs.google.com/spreadsheets/d/1OYoGg4WDg5RIzwGeB10padOxJF9E_Vljuvvct_M7RDo/edit?usp=sharing"",""ปทุมธานี!M650"")+IMPORTRANGE(""https://docs.google.com/spreadsheets/d/1GbCI"&amp;"E4D4wk9FUozzqk7SxfDMxDVBwVmI5zcaVUSzKAc/edit?usp=sharing"",""ประจวบคีรีขันธ์!M650"")+IMPORTRANGE(""https://docs.google.com/spreadsheets/d/1vVf6wykvW_lAyu7Yo9L4hUTqHqIeP_qcVuxCtosJEbg/edit?usp=sharing"",""ปราจีนบุรี!M650"")+IMPORTRANGE(""https://docs.googl"&amp;"e.com/spreadsheets/d/1BIDqLLg5jk3v59G8NlR8rk5xfQDKne0sAvZHSj7TI6I/edit?usp=sharing"",""พระนครศรีอยุธยา!M650"")+IMPORTRANGE(""https://docs.google.com/spreadsheets/d/1YXvxf8Yu6_rV4hTBrwMqAcAnv6DfhUxh5emyM3CJp_w/edit?usp=sharing"",""เพชรบุรี!M650"")+IMPORTRA"&amp;"NGE(""https://docs.google.com/spreadsheets/d/19KBlQQs7uwvsao6t2n-KvW3Ax8J8uRRfZPq1zPbXgKc/edit?usp=sharing"",""ระยอง!M650"")+IMPORTRANGE(""https://docs.google.com/spreadsheets/d/1jQ6P4QcrGM89YfqcC_PxOHGCMq5ezhucwJd8ci-NHng/edit?usp=sharing"",""ราชบุรี!M65"&amp;"0"")+IMPORTRANGE(""https://docs.google.com/spreadsheets/d/1lufeA2cfFqM-elVq2hznhDzC6Pr7wkJ9ZG_sYNGCMCU/edit?usp=sharing"",""ลพบุรี!M650"")+IMPORTRANGE(""https://docs.google.com/spreadsheets/d/10oOiF7loTyfsTkbd4MpaIm0HQ9SwB7IYHdIUvt-U1Uc/edit?usp=sharing"""&amp;",""สระแก้ว!M650"")+IMPORTRANGE(""https://docs.google.com/spreadsheets/d/1xmPlrr1QbdSIKvl1dWUl9K4PjAfSL9oeMr_37QVzcxc/edit?usp=sharing"",""สระบุรี!M650"")+IMPORTRANGE(""https://docs.google.com/spreadsheets/d/1j51vR6CYVGhABJpv6tkstgok82RLpXieLzW1yOY5rHw/edi"&amp;"t?usp=sharing"",""สิงห์บุรี!M650"")+IMPORTRANGE(""https://docs.google.com/spreadsheets/d/1H1EalTWKUSzO4Z1-1CwzoDUaVffgrThEBe2sl74kKG0/edit?usp=sharing"",""สุพรรณบุรี!M650"")+IMPORTRANGE(""https://docs.google.com/spreadsheets/d/1BmIruG_sIrJLYao_Pdr7zVArWsf"&amp;"oBt2692TMi6x_854/edit?usp=sharing"",""อ่างทอง!M650"")"),0)</f>
        <v>0</v>
      </c>
      <c r="N650" s="77">
        <f ca="1">IFERROR(__xludf.DUMMYFUNCTION("IMPORTRANGE(""https://docs.google.com/spreadsheets/d/13wPX838HrBrQMCywv1BsuMkt4PEKTChp52zj44s2izQ/edit?usp=sharing"",""กาญจนบุรี!N650"")+IMPORTRANGE(""https://docs.google.com/spreadsheets/d/1ddFKvqj1W1NEiWytbGlB1zMx_ykJDVtmfEQ-6-lIUBA/edit?usp=sharing"","&amp;"""จันทบุรี!N650"")+IMPORTRANGE(""https://docs.google.com/spreadsheets/d/1T1PQvRODqOBZk8BRht_U031fIS1beLA0Ub2CEytj2q0/edit?usp=sharing"",""ฉะเชิงเทรา!N650"")+IMPORTRANGE(""https://docs.google.com/spreadsheets/d/11tr1B-Bhyr79v2bkwVh5h_fR-PStkgjlZtkrZpYurG0/"&amp;"edit?usp=sharing"",""ชลบุรี!N650"")+IMPORTRANGE(""https://docs.google.com/spreadsheets/d/1hh-FVnSX0vozXhGluamEcS54Dw9_zqW0N7qJUWgJ0Sw/edit?usp=sharing"",""ชัยนาท!N650"")+IMPORTRANGE(""https://docs.google.com/spreadsheets/d/1jkqa6GXxSacMcY1eN8AHjMNJ_7dDXMJ"&amp;"VRLDlaFSOdPM/edit?usp=sharing"",""ตราด!N650"")+IMPORTRANGE(""https://docs.google.com/spreadsheets/d/18hSgUJ3VwClqi_qtULmmW3cLr0oe3OKaSYoKzdpTsYQ/edit?usp=sharing"",""นครนายก!N650"")+IMPORTRANGE(""https://docs.google.com/spreadsheets/d/1YTZo6WM2dQ6Ix6FSdnL"&amp;"5P7uVnVKu40sxZu975tgG10E/edit?usp=sharing"",""นครปฐม!N650"")+IMPORTRANGE(""https://docs.google.com/spreadsheets/d/1OYoGg4WDg5RIzwGeB10padOxJF9E_Vljuvvct_M7RDo/edit?usp=sharing"",""ปทุมธานี!N650"")+IMPORTRANGE(""https://docs.google.com/spreadsheets/d/1GbCI"&amp;"E4D4wk9FUozzqk7SxfDMxDVBwVmI5zcaVUSzKAc/edit?usp=sharing"",""ประจวบคีรีขันธ์!N650"")+IMPORTRANGE(""https://docs.google.com/spreadsheets/d/1vVf6wykvW_lAyu7Yo9L4hUTqHqIeP_qcVuxCtosJEbg/edit?usp=sharing"",""ปราจีนบุรี!N650"")+IMPORTRANGE(""https://docs.googl"&amp;"e.com/spreadsheets/d/1BIDqLLg5jk3v59G8NlR8rk5xfQDKne0sAvZHSj7TI6I/edit?usp=sharing"",""พระนครศรีอยุธยา!N650"")+IMPORTRANGE(""https://docs.google.com/spreadsheets/d/1YXvxf8Yu6_rV4hTBrwMqAcAnv6DfhUxh5emyM3CJp_w/edit?usp=sharing"",""เพชรบุรี!N650"")+IMPORTRA"&amp;"NGE(""https://docs.google.com/spreadsheets/d/19KBlQQs7uwvsao6t2n-KvW3Ax8J8uRRfZPq1zPbXgKc/edit?usp=sharing"",""ระยอง!N650"")+IMPORTRANGE(""https://docs.google.com/spreadsheets/d/1jQ6P4QcrGM89YfqcC_PxOHGCMq5ezhucwJd8ci-NHng/edit?usp=sharing"",""ราชบุรี!N65"&amp;"0"")+IMPORTRANGE(""https://docs.google.com/spreadsheets/d/1lufeA2cfFqM-elVq2hznhDzC6Pr7wkJ9ZG_sYNGCMCU/edit?usp=sharing"",""ลพบุรี!N650"")+IMPORTRANGE(""https://docs.google.com/spreadsheets/d/10oOiF7loTyfsTkbd4MpaIm0HQ9SwB7IYHdIUvt-U1Uc/edit?usp=sharing"""&amp;",""สระแก้ว!N650"")+IMPORTRANGE(""https://docs.google.com/spreadsheets/d/1xmPlrr1QbdSIKvl1dWUl9K4PjAfSL9oeMr_37QVzcxc/edit?usp=sharing"",""สระบุรี!N650"")+IMPORTRANGE(""https://docs.google.com/spreadsheets/d/1j51vR6CYVGhABJpv6tkstgok82RLpXieLzW1yOY5rHw/edi"&amp;"t?usp=sharing"",""สิงห์บุรี!N650"")+IMPORTRANGE(""https://docs.google.com/spreadsheets/d/1H1EalTWKUSzO4Z1-1CwzoDUaVffgrThEBe2sl74kKG0/edit?usp=sharing"",""สุพรรณบุรี!N650"")+IMPORTRANGE(""https://docs.google.com/spreadsheets/d/1BmIruG_sIrJLYao_Pdr7zVArWsf"&amp;"oBt2692TMi6x_854/edit?usp=sharing"",""อ่างทอง!N650"")"),0)</f>
        <v>0</v>
      </c>
      <c r="O650" s="77">
        <f t="shared" ca="1" si="446"/>
        <v>0</v>
      </c>
      <c r="P650" s="77">
        <f t="shared" ca="1" si="447"/>
        <v>0</v>
      </c>
      <c r="Q650" s="76">
        <f ca="1">IFERROR(__xludf.DUMMYFUNCTION("IMPORTRANGE(""https://docs.google.com/spreadsheets/d/13wPX838HrBrQMCywv1BsuMkt4PEKTChp52zj44s2izQ/edit?usp=sharing"",""กาญจนบุรี!Q650"")+IMPORTRANGE(""https://docs.google.com/spreadsheets/d/1ddFKvqj1W1NEiWytbGlB1zMx_ykJDVtmfEQ-6-lIUBA/edit?usp=sharing"","&amp;"""จันทบุรี!Q650"")+IMPORTRANGE(""https://docs.google.com/spreadsheets/d/1T1PQvRODqOBZk8BRht_U031fIS1beLA0Ub2CEytj2q0/edit?usp=sharing"",""ฉะเชิงเทรา!Q650"")+IMPORTRANGE(""https://docs.google.com/spreadsheets/d/11tr1B-Bhyr79v2bkwVh5h_fR-PStkgjlZtkrZpYurG0/"&amp;"edit?usp=sharing"",""ชลบุรี!Q650"")+IMPORTRANGE(""https://docs.google.com/spreadsheets/d/1hh-FVnSX0vozXhGluamEcS54Dw9_zqW0N7qJUWgJ0Sw/edit?usp=sharing"",""ชัยนาท!Q650"")+IMPORTRANGE(""https://docs.google.com/spreadsheets/d/1jkqa6GXxSacMcY1eN8AHjMNJ_7dDXMJ"&amp;"VRLDlaFSOdPM/edit?usp=sharing"",""ตราด!Q650"")+IMPORTRANGE(""https://docs.google.com/spreadsheets/d/18hSgUJ3VwClqi_qtULmmW3cLr0oe3OKaSYoKzdpTsYQ/edit?usp=sharing"",""นครนายก!Q650"")+IMPORTRANGE(""https://docs.google.com/spreadsheets/d/1YTZo6WM2dQ6Ix6FSdnL"&amp;"5P7uVnVKu40sxZu975tgG10E/edit?usp=sharing"",""นครปฐม!Q650"")+IMPORTRANGE(""https://docs.google.com/spreadsheets/d/1OYoGg4WDg5RIzwGeB10padOxJF9E_Vljuvvct_M7RDo/edit?usp=sharing"",""ปทุมธานี!Q650"")+IMPORTRANGE(""https://docs.google.com/spreadsheets/d/1GbCI"&amp;"E4D4wk9FUozzqk7SxfDMxDVBwVmI5zcaVUSzKAc/edit?usp=sharing"",""ประจวบคีรีขันธ์!Q650"")+IMPORTRANGE(""https://docs.google.com/spreadsheets/d/1vVf6wykvW_lAyu7Yo9L4hUTqHqIeP_qcVuxCtosJEbg/edit?usp=sharing"",""ปราจีนบุรี!Q650"")+IMPORTRANGE(""https://docs.googl"&amp;"e.com/spreadsheets/d/1BIDqLLg5jk3v59G8NlR8rk5xfQDKne0sAvZHSj7TI6I/edit?usp=sharing"",""พระนครศรีอยุธยา!Q650"")+IMPORTRANGE(""https://docs.google.com/spreadsheets/d/1YXvxf8Yu6_rV4hTBrwMqAcAnv6DfhUxh5emyM3CJp_w/edit?usp=sharing"",""เพชรบุรี!Q650"")+IMPORTRA"&amp;"NGE(""https://docs.google.com/spreadsheets/d/19KBlQQs7uwvsao6t2n-KvW3Ax8J8uRRfZPq1zPbXgKc/edit?usp=sharing"",""ระยอง!Q650"")+IMPORTRANGE(""https://docs.google.com/spreadsheets/d/1jQ6P4QcrGM89YfqcC_PxOHGCMq5ezhucwJd8ci-NHng/edit?usp=sharing"",""ราชบุรี!Q65"&amp;"0"")+IMPORTRANGE(""https://docs.google.com/spreadsheets/d/1lufeA2cfFqM-elVq2hznhDzC6Pr7wkJ9ZG_sYNGCMCU/edit?usp=sharing"",""ลพบุรี!Q650"")+IMPORTRANGE(""https://docs.google.com/spreadsheets/d/10oOiF7loTyfsTkbd4MpaIm0HQ9SwB7IYHdIUvt-U1Uc/edit?usp=sharing"""&amp;",""สระแก้ว!Q650"")+IMPORTRANGE(""https://docs.google.com/spreadsheets/d/1xmPlrr1QbdSIKvl1dWUl9K4PjAfSL9oeMr_37QVzcxc/edit?usp=sharing"",""สระบุรี!Q650"")+IMPORTRANGE(""https://docs.google.com/spreadsheets/d/1j51vR6CYVGhABJpv6tkstgok82RLpXieLzW1yOY5rHw/edi"&amp;"t?usp=sharing"",""สิงห์บุรี!Q650"")+IMPORTRANGE(""https://docs.google.com/spreadsheets/d/1H1EalTWKUSzO4Z1-1CwzoDUaVffgrThEBe2sl74kKG0/edit?usp=sharing"",""สุพรรณบุรี!Q650"")+IMPORTRANGE(""https://docs.google.com/spreadsheets/d/1BmIruG_sIrJLYao_Pdr7zVArWsf"&amp;"oBt2692TMi6x_854/edit?usp=sharing"",""อ่างทอง!Q650"")"),0)</f>
        <v>0</v>
      </c>
      <c r="R650" s="77">
        <f ca="1">IFERROR(__xludf.DUMMYFUNCTION("IMPORTRANGE(""https://docs.google.com/spreadsheets/d/13wPX838HrBrQMCywv1BsuMkt4PEKTChp52zj44s2izQ/edit?usp=sharing"",""กาญจนบุรี!R650"")+IMPORTRANGE(""https://docs.google.com/spreadsheets/d/1ddFKvqj1W1NEiWytbGlB1zMx_ykJDVtmfEQ-6-lIUBA/edit?usp=sharing"","&amp;"""จันทบุรี!R650"")+IMPORTRANGE(""https://docs.google.com/spreadsheets/d/1T1PQvRODqOBZk8BRht_U031fIS1beLA0Ub2CEytj2q0/edit?usp=sharing"",""ฉะเชิงเทรา!R650"")+IMPORTRANGE(""https://docs.google.com/spreadsheets/d/11tr1B-Bhyr79v2bkwVh5h_fR-PStkgjlZtkrZpYurG0/"&amp;"edit?usp=sharing"",""ชลบุรี!R650"")+IMPORTRANGE(""https://docs.google.com/spreadsheets/d/1hh-FVnSX0vozXhGluamEcS54Dw9_zqW0N7qJUWgJ0Sw/edit?usp=sharing"",""ชัยนาท!R650"")+IMPORTRANGE(""https://docs.google.com/spreadsheets/d/1jkqa6GXxSacMcY1eN8AHjMNJ_7dDXMJ"&amp;"VRLDlaFSOdPM/edit?usp=sharing"",""ตราด!R650"")+IMPORTRANGE(""https://docs.google.com/spreadsheets/d/18hSgUJ3VwClqi_qtULmmW3cLr0oe3OKaSYoKzdpTsYQ/edit?usp=sharing"",""นครนายก!R650"")+IMPORTRANGE(""https://docs.google.com/spreadsheets/d/1YTZo6WM2dQ6Ix6FSdnL"&amp;"5P7uVnVKu40sxZu975tgG10E/edit?usp=sharing"",""นครปฐม!R650"")+IMPORTRANGE(""https://docs.google.com/spreadsheets/d/1OYoGg4WDg5RIzwGeB10padOxJF9E_Vljuvvct_M7RDo/edit?usp=sharing"",""ปทุมธานี!R650"")+IMPORTRANGE(""https://docs.google.com/spreadsheets/d/1GbCI"&amp;"E4D4wk9FUozzqk7SxfDMxDVBwVmI5zcaVUSzKAc/edit?usp=sharing"",""ประจวบคีรีขันธ์!R650"")+IMPORTRANGE(""https://docs.google.com/spreadsheets/d/1vVf6wykvW_lAyu7Yo9L4hUTqHqIeP_qcVuxCtosJEbg/edit?usp=sharing"",""ปราจีนบุรี!R650"")+IMPORTRANGE(""https://docs.googl"&amp;"e.com/spreadsheets/d/1BIDqLLg5jk3v59G8NlR8rk5xfQDKne0sAvZHSj7TI6I/edit?usp=sharing"",""พระนครศรีอยุธยา!R650"")+IMPORTRANGE(""https://docs.google.com/spreadsheets/d/1YXvxf8Yu6_rV4hTBrwMqAcAnv6DfhUxh5emyM3CJp_w/edit?usp=sharing"",""เพชรบุรี!R650"")+IMPORTRA"&amp;"NGE(""https://docs.google.com/spreadsheets/d/19KBlQQs7uwvsao6t2n-KvW3Ax8J8uRRfZPq1zPbXgKc/edit?usp=sharing"",""ระยอง!R650"")+IMPORTRANGE(""https://docs.google.com/spreadsheets/d/1jQ6P4QcrGM89YfqcC_PxOHGCMq5ezhucwJd8ci-NHng/edit?usp=sharing"",""ราชบุรี!R65"&amp;"0"")+IMPORTRANGE(""https://docs.google.com/spreadsheets/d/1lufeA2cfFqM-elVq2hznhDzC6Pr7wkJ9ZG_sYNGCMCU/edit?usp=sharing"",""ลพบุรี!R650"")+IMPORTRANGE(""https://docs.google.com/spreadsheets/d/10oOiF7loTyfsTkbd4MpaIm0HQ9SwB7IYHdIUvt-U1Uc/edit?usp=sharing"""&amp;",""สระแก้ว!R650"")+IMPORTRANGE(""https://docs.google.com/spreadsheets/d/1xmPlrr1QbdSIKvl1dWUl9K4PjAfSL9oeMr_37QVzcxc/edit?usp=sharing"",""สระบุรี!R650"")+IMPORTRANGE(""https://docs.google.com/spreadsheets/d/1j51vR6CYVGhABJpv6tkstgok82RLpXieLzW1yOY5rHw/edi"&amp;"t?usp=sharing"",""สิงห์บุรี!R650"")+IMPORTRANGE(""https://docs.google.com/spreadsheets/d/1H1EalTWKUSzO4Z1-1CwzoDUaVffgrThEBe2sl74kKG0/edit?usp=sharing"",""สุพรรณบุรี!R650"")+IMPORTRANGE(""https://docs.google.com/spreadsheets/d/1BmIruG_sIrJLYao_Pdr7zVArWsf"&amp;"oBt2692TMi6x_854/edit?usp=sharing"",""อ่างทอง!R650"")"),0)</f>
        <v>0</v>
      </c>
      <c r="S650" s="77">
        <f ca="1">IFERROR(__xludf.DUMMYFUNCTION("IMPORTRANGE(""https://docs.google.com/spreadsheets/d/13wPX838HrBrQMCywv1BsuMkt4PEKTChp52zj44s2izQ/edit?usp=sharing"",""กาญจนบุรี!S650"")+IMPORTRANGE(""https://docs.google.com/spreadsheets/d/1ddFKvqj1W1NEiWytbGlB1zMx_ykJDVtmfEQ-6-lIUBA/edit?usp=sharing"","&amp;"""จันทบุรี!S650"")+IMPORTRANGE(""https://docs.google.com/spreadsheets/d/1T1PQvRODqOBZk8BRht_U031fIS1beLA0Ub2CEytj2q0/edit?usp=sharing"",""ฉะเชิงเทรา!S650"")+IMPORTRANGE(""https://docs.google.com/spreadsheets/d/11tr1B-Bhyr79v2bkwVh5h_fR-PStkgjlZtkrZpYurG0/"&amp;"edit?usp=sharing"",""ชลบุรี!S650"")+IMPORTRANGE(""https://docs.google.com/spreadsheets/d/1hh-FVnSX0vozXhGluamEcS54Dw9_zqW0N7qJUWgJ0Sw/edit?usp=sharing"",""ชัยนาท!S650"")+IMPORTRANGE(""https://docs.google.com/spreadsheets/d/1jkqa6GXxSacMcY1eN8AHjMNJ_7dDXMJ"&amp;"VRLDlaFSOdPM/edit?usp=sharing"",""ตราด!S650"")+IMPORTRANGE(""https://docs.google.com/spreadsheets/d/18hSgUJ3VwClqi_qtULmmW3cLr0oe3OKaSYoKzdpTsYQ/edit?usp=sharing"",""นครนายก!S650"")+IMPORTRANGE(""https://docs.google.com/spreadsheets/d/1YTZo6WM2dQ6Ix6FSdnL"&amp;"5P7uVnVKu40sxZu975tgG10E/edit?usp=sharing"",""นครปฐม!S650"")+IMPORTRANGE(""https://docs.google.com/spreadsheets/d/1OYoGg4WDg5RIzwGeB10padOxJF9E_Vljuvvct_M7RDo/edit?usp=sharing"",""ปทุมธานี!S650"")+IMPORTRANGE(""https://docs.google.com/spreadsheets/d/1GbCI"&amp;"E4D4wk9FUozzqk7SxfDMxDVBwVmI5zcaVUSzKAc/edit?usp=sharing"",""ประจวบคีรีขันธ์!S650"")+IMPORTRANGE(""https://docs.google.com/spreadsheets/d/1vVf6wykvW_lAyu7Yo9L4hUTqHqIeP_qcVuxCtosJEbg/edit?usp=sharing"",""ปราจีนบุรี!S650"")+IMPORTRANGE(""https://docs.googl"&amp;"e.com/spreadsheets/d/1BIDqLLg5jk3v59G8NlR8rk5xfQDKne0sAvZHSj7TI6I/edit?usp=sharing"",""พระนครศรีอยุธยา!S650"")+IMPORTRANGE(""https://docs.google.com/spreadsheets/d/1YXvxf8Yu6_rV4hTBrwMqAcAnv6DfhUxh5emyM3CJp_w/edit?usp=sharing"",""เพชรบุรี!S650"")+IMPORTRA"&amp;"NGE(""https://docs.google.com/spreadsheets/d/19KBlQQs7uwvsao6t2n-KvW3Ax8J8uRRfZPq1zPbXgKc/edit?usp=sharing"",""ระยอง!S650"")+IMPORTRANGE(""https://docs.google.com/spreadsheets/d/1jQ6P4QcrGM89YfqcC_PxOHGCMq5ezhucwJd8ci-NHng/edit?usp=sharing"",""ราชบุรี!S65"&amp;"0"")+IMPORTRANGE(""https://docs.google.com/spreadsheets/d/1lufeA2cfFqM-elVq2hznhDzC6Pr7wkJ9ZG_sYNGCMCU/edit?usp=sharing"",""ลพบุรี!S650"")+IMPORTRANGE(""https://docs.google.com/spreadsheets/d/10oOiF7loTyfsTkbd4MpaIm0HQ9SwB7IYHdIUvt-U1Uc/edit?usp=sharing"""&amp;",""สระแก้ว!S650"")+IMPORTRANGE(""https://docs.google.com/spreadsheets/d/1xmPlrr1QbdSIKvl1dWUl9K4PjAfSL9oeMr_37QVzcxc/edit?usp=sharing"",""สระบุรี!S650"")+IMPORTRANGE(""https://docs.google.com/spreadsheets/d/1j51vR6CYVGhABJpv6tkstgok82RLpXieLzW1yOY5rHw/edi"&amp;"t?usp=sharing"",""สิงห์บุรี!S650"")+IMPORTRANGE(""https://docs.google.com/spreadsheets/d/1H1EalTWKUSzO4Z1-1CwzoDUaVffgrThEBe2sl74kKG0/edit?usp=sharing"",""สุพรรณบุรี!S650"")+IMPORTRANGE(""https://docs.google.com/spreadsheets/d/1BmIruG_sIrJLYao_Pdr7zVArWsf"&amp;"oBt2692TMi6x_854/edit?usp=sharing"",""อ่างทอง!S650"")"),0)</f>
        <v>0</v>
      </c>
      <c r="T650" s="135">
        <f t="shared" ca="1" si="449"/>
        <v>0</v>
      </c>
      <c r="U650" s="135">
        <f t="shared" ca="1" si="450"/>
        <v>0</v>
      </c>
    </row>
    <row r="651" spans="1:21" ht="19.5" x14ac:dyDescent="0.3">
      <c r="A651" s="278"/>
      <c r="B651" s="279"/>
      <c r="C651" s="571" t="s">
        <v>18</v>
      </c>
      <c r="D651" s="730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13wPX838HrBrQMCywv1BsuMkt4PEKTChp52zj44s2izQ/edit?usp=sharing"",""กาญจนบุรี!I652"")+IMPORTRANGE(""https://docs.google.com/spreadsheets/d/1ddFKvqj1W1NEiWytbGlB1zMx_ykJDVtmfEQ-6-lIUBA/edit?usp=sharing"","&amp;"""จันทบุรี!I652"")+IMPORTRANGE(""https://docs.google.com/spreadsheets/d/1T1PQvRODqOBZk8BRht_U031fIS1beLA0Ub2CEytj2q0/edit?usp=sharing"",""ฉะเชิงเทรา!I652"")+IMPORTRANGE(""https://docs.google.com/spreadsheets/d/11tr1B-Bhyr79v2bkwVh5h_fR-PStkgjlZtkrZpYurG0/"&amp;"edit?usp=sharing"",""ชลบุรี!I652"")+IMPORTRANGE(""https://docs.google.com/spreadsheets/d/1hh-FVnSX0vozXhGluamEcS54Dw9_zqW0N7qJUWgJ0Sw/edit?usp=sharing"",""ชัยนาท!I652"")+IMPORTRANGE(""https://docs.google.com/spreadsheets/d/1jkqa6GXxSacMcY1eN8AHjMNJ_7dDXMJ"&amp;"VRLDlaFSOdPM/edit?usp=sharing"",""ตราด!I652"")+IMPORTRANGE(""https://docs.google.com/spreadsheets/d/18hSgUJ3VwClqi_qtULmmW3cLr0oe3OKaSYoKzdpTsYQ/edit?usp=sharing"",""นครนายก!I652"")+IMPORTRANGE(""https://docs.google.com/spreadsheets/d/1YTZo6WM2dQ6Ix6FSdnL"&amp;"5P7uVnVKu40sxZu975tgG10E/edit?usp=sharing"",""นครปฐม!I652"")+IMPORTRANGE(""https://docs.google.com/spreadsheets/d/1OYoGg4WDg5RIzwGeB10padOxJF9E_Vljuvvct_M7RDo/edit?usp=sharing"",""ปทุมธานี!I652"")+IMPORTRANGE(""https://docs.google.com/spreadsheets/d/1GbCI"&amp;"E4D4wk9FUozzqk7SxfDMxDVBwVmI5zcaVUSzKAc/edit?usp=sharing"",""ประจวบคีรีขันธ์!I652"")+IMPORTRANGE(""https://docs.google.com/spreadsheets/d/1vVf6wykvW_lAyu7Yo9L4hUTqHqIeP_qcVuxCtosJEbg/edit?usp=sharing"",""ปราจีนบุรี!I652"")+IMPORTRANGE(""https://docs.googl"&amp;"e.com/spreadsheets/d/1BIDqLLg5jk3v59G8NlR8rk5xfQDKne0sAvZHSj7TI6I/edit?usp=sharing"",""พระนครศรีอยุธยา!I652"")+IMPORTRANGE(""https://docs.google.com/spreadsheets/d/1YXvxf8Yu6_rV4hTBrwMqAcAnv6DfhUxh5emyM3CJp_w/edit?usp=sharing"",""เพชรบุรี!I652"")+IMPORTRA"&amp;"NGE(""https://docs.google.com/spreadsheets/d/19KBlQQs7uwvsao6t2n-KvW3Ax8J8uRRfZPq1zPbXgKc/edit?usp=sharing"",""ระยอง!I652"")+IMPORTRANGE(""https://docs.google.com/spreadsheets/d/1jQ6P4QcrGM89YfqcC_PxOHGCMq5ezhucwJd8ci-NHng/edit?usp=sharing"",""ราชบุรี!I65"&amp;"2"")+IMPORTRANGE(""https://docs.google.com/spreadsheets/d/1lufeA2cfFqM-elVq2hznhDzC6Pr7wkJ9ZG_sYNGCMCU/edit?usp=sharing"",""ลพบุรี!I652"")+IMPORTRANGE(""https://docs.google.com/spreadsheets/d/10oOiF7loTyfsTkbd4MpaIm0HQ9SwB7IYHdIUvt-U1Uc/edit?usp=sharing"""&amp;",""สระแก้ว!I652"")+IMPORTRANGE(""https://docs.google.com/spreadsheets/d/1xmPlrr1QbdSIKvl1dWUl9K4PjAfSL9oeMr_37QVzcxc/edit?usp=sharing"",""สระบุรี!I652"")+IMPORTRANGE(""https://docs.google.com/spreadsheets/d/1j51vR6CYVGhABJpv6tkstgok82RLpXieLzW1yOY5rHw/edi"&amp;"t?usp=sharing"",""สิงห์บุรี!I652"")+IMPORTRANGE(""https://docs.google.com/spreadsheets/d/1H1EalTWKUSzO4Z1-1CwzoDUaVffgrThEBe2sl74kKG0/edit?usp=sharing"",""สุพรรณบุรี!I652"")+IMPORTRANGE(""https://docs.google.com/spreadsheets/d/1BmIruG_sIrJLYao_Pdr7zVArWsf"&amp;"oBt2692TMi6x_854/edit?usp=sharing"",""อ่างทอง!I652"")"),21)</f>
        <v>21</v>
      </c>
      <c r="J652" s="295">
        <f ca="1">IFERROR(__xludf.DUMMYFUNCTION("IMPORTRANGE(""https://docs.google.com/spreadsheets/d/13wPX838HrBrQMCywv1BsuMkt4PEKTChp52zj44s2izQ/edit?usp=sharing"",""กาญจนบุรี!J652"")+IMPORTRANGE(""https://docs.google.com/spreadsheets/d/1ddFKvqj1W1NEiWytbGlB1zMx_ykJDVtmfEQ-6-lIUBA/edit?usp=sharing"","&amp;"""จันทบุรี!J652"")+IMPORTRANGE(""https://docs.google.com/spreadsheets/d/1T1PQvRODqOBZk8BRht_U031fIS1beLA0Ub2CEytj2q0/edit?usp=sharing"",""ฉะเชิงเทรา!J652"")+IMPORTRANGE(""https://docs.google.com/spreadsheets/d/11tr1B-Bhyr79v2bkwVh5h_fR-PStkgjlZtkrZpYurG0/"&amp;"edit?usp=sharing"",""ชลบุรี!J652"")+IMPORTRANGE(""https://docs.google.com/spreadsheets/d/1hh-FVnSX0vozXhGluamEcS54Dw9_zqW0N7qJUWgJ0Sw/edit?usp=sharing"",""ชัยนาท!J652"")+IMPORTRANGE(""https://docs.google.com/spreadsheets/d/1jkqa6GXxSacMcY1eN8AHjMNJ_7dDXMJ"&amp;"VRLDlaFSOdPM/edit?usp=sharing"",""ตราด!J652"")+IMPORTRANGE(""https://docs.google.com/spreadsheets/d/18hSgUJ3VwClqi_qtULmmW3cLr0oe3OKaSYoKzdpTsYQ/edit?usp=sharing"",""นครนายก!J652"")+IMPORTRANGE(""https://docs.google.com/spreadsheets/d/1YTZo6WM2dQ6Ix6FSdnL"&amp;"5P7uVnVKu40sxZu975tgG10E/edit?usp=sharing"",""นครปฐม!J652"")+IMPORTRANGE(""https://docs.google.com/spreadsheets/d/1OYoGg4WDg5RIzwGeB10padOxJF9E_Vljuvvct_M7RDo/edit?usp=sharing"",""ปทุมธานี!J652"")+IMPORTRANGE(""https://docs.google.com/spreadsheets/d/1GbCI"&amp;"E4D4wk9FUozzqk7SxfDMxDVBwVmI5zcaVUSzKAc/edit?usp=sharing"",""ประจวบคีรีขันธ์!J652"")+IMPORTRANGE(""https://docs.google.com/spreadsheets/d/1vVf6wykvW_lAyu7Yo9L4hUTqHqIeP_qcVuxCtosJEbg/edit?usp=sharing"",""ปราจีนบุรี!J652"")+IMPORTRANGE(""https://docs.googl"&amp;"e.com/spreadsheets/d/1BIDqLLg5jk3v59G8NlR8rk5xfQDKne0sAvZHSj7TI6I/edit?usp=sharing"",""พระนครศรีอยุธยา!J652"")+IMPORTRANGE(""https://docs.google.com/spreadsheets/d/1YXvxf8Yu6_rV4hTBrwMqAcAnv6DfhUxh5emyM3CJp_w/edit?usp=sharing"",""เพชรบุรี!J652"")+IMPORTRA"&amp;"NGE(""https://docs.google.com/spreadsheets/d/19KBlQQs7uwvsao6t2n-KvW3Ax8J8uRRfZPq1zPbXgKc/edit?usp=sharing"",""ระยอง!J652"")+IMPORTRANGE(""https://docs.google.com/spreadsheets/d/1jQ6P4QcrGM89YfqcC_PxOHGCMq5ezhucwJd8ci-NHng/edit?usp=sharing"",""ราชบุรี!J65"&amp;"2"")+IMPORTRANGE(""https://docs.google.com/spreadsheets/d/1lufeA2cfFqM-elVq2hznhDzC6Pr7wkJ9ZG_sYNGCMCU/edit?usp=sharing"",""ลพบุรี!J652"")+IMPORTRANGE(""https://docs.google.com/spreadsheets/d/10oOiF7loTyfsTkbd4MpaIm0HQ9SwB7IYHdIUvt-U1Uc/edit?usp=sharing"""&amp;",""สระแก้ว!J652"")+IMPORTRANGE(""https://docs.google.com/spreadsheets/d/1xmPlrr1QbdSIKvl1dWUl9K4PjAfSL9oeMr_37QVzcxc/edit?usp=sharing"",""สระบุรี!J652"")+IMPORTRANGE(""https://docs.google.com/spreadsheets/d/1j51vR6CYVGhABJpv6tkstgok82RLpXieLzW1yOY5rHw/edi"&amp;"t?usp=sharing"",""สิงห์บุรี!J652"")+IMPORTRANGE(""https://docs.google.com/spreadsheets/d/1H1EalTWKUSzO4Z1-1CwzoDUaVffgrThEBe2sl74kKG0/edit?usp=sharing"",""สุพรรณบุรี!J652"")+IMPORTRANGE(""https://docs.google.com/spreadsheets/d/1BmIruG_sIrJLYao_Pdr7zVArWsf"&amp;"oBt2692TMi6x_854/edit?usp=sharing"",""อ่างทอง!J652"")"),73.3)</f>
        <v>73.3</v>
      </c>
      <c r="K652" s="77">
        <f t="shared" ref="K652:K654" ca="1" si="459">IF(I652&gt;0,J652*100/I652,0)</f>
        <v>349.04761904761904</v>
      </c>
      <c r="L652" s="90"/>
      <c r="M652" s="90"/>
      <c r="N652" s="732"/>
      <c r="O652" s="90"/>
      <c r="P652" s="90"/>
      <c r="Q652" s="89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13wPX838HrBrQMCywv1BsuMkt4PEKTChp52zj44s2izQ/edit?usp=sharing"",""กาญจนบุรี!I653"")+IMPORTRANGE(""https://docs.google.com/spreadsheets/d/1ddFKvqj1W1NEiWytbGlB1zMx_ykJDVtmfEQ-6-lIUBA/edit?usp=sharing"","&amp;"""จันทบุรี!I653"")+IMPORTRANGE(""https://docs.google.com/spreadsheets/d/1T1PQvRODqOBZk8BRht_U031fIS1beLA0Ub2CEytj2q0/edit?usp=sharing"",""ฉะเชิงเทรา!I653"")+IMPORTRANGE(""https://docs.google.com/spreadsheets/d/11tr1B-Bhyr79v2bkwVh5h_fR-PStkgjlZtkrZpYurG0/"&amp;"edit?usp=sharing"",""ชลบุรี!I653"")+IMPORTRANGE(""https://docs.google.com/spreadsheets/d/1hh-FVnSX0vozXhGluamEcS54Dw9_zqW0N7qJUWgJ0Sw/edit?usp=sharing"",""ชัยนาท!I653"")+IMPORTRANGE(""https://docs.google.com/spreadsheets/d/1jkqa6GXxSacMcY1eN8AHjMNJ_7dDXMJ"&amp;"VRLDlaFSOdPM/edit?usp=sharing"",""ตราด!I653"")+IMPORTRANGE(""https://docs.google.com/spreadsheets/d/18hSgUJ3VwClqi_qtULmmW3cLr0oe3OKaSYoKzdpTsYQ/edit?usp=sharing"",""นครนายก!I653"")+IMPORTRANGE(""https://docs.google.com/spreadsheets/d/1YTZo6WM2dQ6Ix6FSdnL"&amp;"5P7uVnVKu40sxZu975tgG10E/edit?usp=sharing"",""นครปฐม!I653"")+IMPORTRANGE(""https://docs.google.com/spreadsheets/d/1OYoGg4WDg5RIzwGeB10padOxJF9E_Vljuvvct_M7RDo/edit?usp=sharing"",""ปทุมธานี!I653"")+IMPORTRANGE(""https://docs.google.com/spreadsheets/d/1GbCI"&amp;"E4D4wk9FUozzqk7SxfDMxDVBwVmI5zcaVUSzKAc/edit?usp=sharing"",""ประจวบคีรีขันธ์!I653"")+IMPORTRANGE(""https://docs.google.com/spreadsheets/d/1vVf6wykvW_lAyu7Yo9L4hUTqHqIeP_qcVuxCtosJEbg/edit?usp=sharing"",""ปราจีนบุรี!I653"")+IMPORTRANGE(""https://docs.googl"&amp;"e.com/spreadsheets/d/1BIDqLLg5jk3v59G8NlR8rk5xfQDKne0sAvZHSj7TI6I/edit?usp=sharing"",""พระนครศรีอยุธยา!I653"")+IMPORTRANGE(""https://docs.google.com/spreadsheets/d/1YXvxf8Yu6_rV4hTBrwMqAcAnv6DfhUxh5emyM3CJp_w/edit?usp=sharing"",""เพชรบุรี!I653"")+IMPORTRA"&amp;"NGE(""https://docs.google.com/spreadsheets/d/19KBlQQs7uwvsao6t2n-KvW3Ax8J8uRRfZPq1zPbXgKc/edit?usp=sharing"",""ระยอง!I653"")+IMPORTRANGE(""https://docs.google.com/spreadsheets/d/1jQ6P4QcrGM89YfqcC_PxOHGCMq5ezhucwJd8ci-NHng/edit?usp=sharing"",""ราชบุรี!I65"&amp;"3"")+IMPORTRANGE(""https://docs.google.com/spreadsheets/d/1lufeA2cfFqM-elVq2hznhDzC6Pr7wkJ9ZG_sYNGCMCU/edit?usp=sharing"",""ลพบุรี!I653"")+IMPORTRANGE(""https://docs.google.com/spreadsheets/d/10oOiF7loTyfsTkbd4MpaIm0HQ9SwB7IYHdIUvt-U1Uc/edit?usp=sharing"""&amp;",""สระแก้ว!I653"")+IMPORTRANGE(""https://docs.google.com/spreadsheets/d/1xmPlrr1QbdSIKvl1dWUl9K4PjAfSL9oeMr_37QVzcxc/edit?usp=sharing"",""สระบุรี!I653"")+IMPORTRANGE(""https://docs.google.com/spreadsheets/d/1j51vR6CYVGhABJpv6tkstgok82RLpXieLzW1yOY5rHw/edi"&amp;"t?usp=sharing"",""สิงห์บุรี!I653"")+IMPORTRANGE(""https://docs.google.com/spreadsheets/d/1H1EalTWKUSzO4Z1-1CwzoDUaVffgrThEBe2sl74kKG0/edit?usp=sharing"",""สุพรรณบุรี!I653"")+IMPORTRANGE(""https://docs.google.com/spreadsheets/d/1BmIruG_sIrJLYao_Pdr7zVArWsf"&amp;"oBt2692TMi6x_854/edit?usp=sharing"",""อ่างทอง!I653"")"),122)</f>
        <v>122</v>
      </c>
      <c r="J653" s="295">
        <f ca="1">IFERROR(__xludf.DUMMYFUNCTION("IMPORTRANGE(""https://docs.google.com/spreadsheets/d/13wPX838HrBrQMCywv1BsuMkt4PEKTChp52zj44s2izQ/edit?usp=sharing"",""กาญจนบุรี!J653"")+IMPORTRANGE(""https://docs.google.com/spreadsheets/d/1ddFKvqj1W1NEiWytbGlB1zMx_ykJDVtmfEQ-6-lIUBA/edit?usp=sharing"","&amp;"""จันทบุรี!J653"")+IMPORTRANGE(""https://docs.google.com/spreadsheets/d/1T1PQvRODqOBZk8BRht_U031fIS1beLA0Ub2CEytj2q0/edit?usp=sharing"",""ฉะเชิงเทรา!J653"")+IMPORTRANGE(""https://docs.google.com/spreadsheets/d/11tr1B-Bhyr79v2bkwVh5h_fR-PStkgjlZtkrZpYurG0/"&amp;"edit?usp=sharing"",""ชลบุรี!J653"")+IMPORTRANGE(""https://docs.google.com/spreadsheets/d/1hh-FVnSX0vozXhGluamEcS54Dw9_zqW0N7qJUWgJ0Sw/edit?usp=sharing"",""ชัยนาท!J653"")+IMPORTRANGE(""https://docs.google.com/spreadsheets/d/1jkqa6GXxSacMcY1eN8AHjMNJ_7dDXMJ"&amp;"VRLDlaFSOdPM/edit?usp=sharing"",""ตราด!J653"")+IMPORTRANGE(""https://docs.google.com/spreadsheets/d/18hSgUJ3VwClqi_qtULmmW3cLr0oe3OKaSYoKzdpTsYQ/edit?usp=sharing"",""นครนายก!J653"")+IMPORTRANGE(""https://docs.google.com/spreadsheets/d/1YTZo6WM2dQ6Ix6FSdnL"&amp;"5P7uVnVKu40sxZu975tgG10E/edit?usp=sharing"",""นครปฐม!J653"")+IMPORTRANGE(""https://docs.google.com/spreadsheets/d/1OYoGg4WDg5RIzwGeB10padOxJF9E_Vljuvvct_M7RDo/edit?usp=sharing"",""ปทุมธานี!J653"")+IMPORTRANGE(""https://docs.google.com/spreadsheets/d/1GbCI"&amp;"E4D4wk9FUozzqk7SxfDMxDVBwVmI5zcaVUSzKAc/edit?usp=sharing"",""ประจวบคีรีขันธ์!J653"")+IMPORTRANGE(""https://docs.google.com/spreadsheets/d/1vVf6wykvW_lAyu7Yo9L4hUTqHqIeP_qcVuxCtosJEbg/edit?usp=sharing"",""ปราจีนบุรี!J653"")+IMPORTRANGE(""https://docs.googl"&amp;"e.com/spreadsheets/d/1BIDqLLg5jk3v59G8NlR8rk5xfQDKne0sAvZHSj7TI6I/edit?usp=sharing"",""พระนครศรีอยุธยา!J653"")+IMPORTRANGE(""https://docs.google.com/spreadsheets/d/1YXvxf8Yu6_rV4hTBrwMqAcAnv6DfhUxh5emyM3CJp_w/edit?usp=sharing"",""เพชรบุรี!J653"")+IMPORTRA"&amp;"NGE(""https://docs.google.com/spreadsheets/d/19KBlQQs7uwvsao6t2n-KvW3Ax8J8uRRfZPq1zPbXgKc/edit?usp=sharing"",""ระยอง!J653"")+IMPORTRANGE(""https://docs.google.com/spreadsheets/d/1jQ6P4QcrGM89YfqcC_PxOHGCMq5ezhucwJd8ci-NHng/edit?usp=sharing"",""ราชบุรี!J65"&amp;"3"")+IMPORTRANGE(""https://docs.google.com/spreadsheets/d/1lufeA2cfFqM-elVq2hznhDzC6Pr7wkJ9ZG_sYNGCMCU/edit?usp=sharing"",""ลพบุรี!J653"")+IMPORTRANGE(""https://docs.google.com/spreadsheets/d/10oOiF7loTyfsTkbd4MpaIm0HQ9SwB7IYHdIUvt-U1Uc/edit?usp=sharing"""&amp;",""สระแก้ว!J653"")+IMPORTRANGE(""https://docs.google.com/spreadsheets/d/1xmPlrr1QbdSIKvl1dWUl9K4PjAfSL9oeMr_37QVzcxc/edit?usp=sharing"",""สระบุรี!J653"")+IMPORTRANGE(""https://docs.google.com/spreadsheets/d/1j51vR6CYVGhABJpv6tkstgok82RLpXieLzW1yOY5rHw/edi"&amp;"t?usp=sharing"",""สิงห์บุรี!J653"")+IMPORTRANGE(""https://docs.google.com/spreadsheets/d/1H1EalTWKUSzO4Z1-1CwzoDUaVffgrThEBe2sl74kKG0/edit?usp=sharing"",""สุพรรณบุรี!J653"")+IMPORTRANGE(""https://docs.google.com/spreadsheets/d/1BmIruG_sIrJLYao_Pdr7zVArWsf"&amp;"oBt2692TMi6x_854/edit?usp=sharing"",""อ่างทอง!J653"")"),42)</f>
        <v>42</v>
      </c>
      <c r="K653" s="77">
        <f t="shared" ca="1" si="459"/>
        <v>34.42622950819672</v>
      </c>
      <c r="L653" s="90"/>
      <c r="M653" s="90"/>
      <c r="N653" s="732"/>
      <c r="O653" s="90"/>
      <c r="P653" s="90"/>
      <c r="Q653" s="89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13wPX838HrBrQMCywv1BsuMkt4PEKTChp52zj44s2izQ/edit?usp=sharing"",""กาญจนบุรี!I654"")+IMPORTRANGE(""https://docs.google.com/spreadsheets/d/1ddFKvqj1W1NEiWytbGlB1zMx_ykJDVtmfEQ-6-lIUBA/edit?usp=sharing"","&amp;"""จันทบุรี!I654"")+IMPORTRANGE(""https://docs.google.com/spreadsheets/d/1T1PQvRODqOBZk8BRht_U031fIS1beLA0Ub2CEytj2q0/edit?usp=sharing"",""ฉะเชิงเทรา!I654"")+IMPORTRANGE(""https://docs.google.com/spreadsheets/d/11tr1B-Bhyr79v2bkwVh5h_fR-PStkgjlZtkrZpYurG0/"&amp;"edit?usp=sharing"",""ชลบุรี!I654"")+IMPORTRANGE(""https://docs.google.com/spreadsheets/d/1hh-FVnSX0vozXhGluamEcS54Dw9_zqW0N7qJUWgJ0Sw/edit?usp=sharing"",""ชัยนาท!I654"")+IMPORTRANGE(""https://docs.google.com/spreadsheets/d/1jkqa6GXxSacMcY1eN8AHjMNJ_7dDXMJ"&amp;"VRLDlaFSOdPM/edit?usp=sharing"",""ตราด!I654"")+IMPORTRANGE(""https://docs.google.com/spreadsheets/d/18hSgUJ3VwClqi_qtULmmW3cLr0oe3OKaSYoKzdpTsYQ/edit?usp=sharing"",""นครนายก!I654"")+IMPORTRANGE(""https://docs.google.com/spreadsheets/d/1YTZo6WM2dQ6Ix6FSdnL"&amp;"5P7uVnVKu40sxZu975tgG10E/edit?usp=sharing"",""นครปฐม!I654"")+IMPORTRANGE(""https://docs.google.com/spreadsheets/d/1OYoGg4WDg5RIzwGeB10padOxJF9E_Vljuvvct_M7RDo/edit?usp=sharing"",""ปทุมธานี!I654"")+IMPORTRANGE(""https://docs.google.com/spreadsheets/d/1GbCI"&amp;"E4D4wk9FUozzqk7SxfDMxDVBwVmI5zcaVUSzKAc/edit?usp=sharing"",""ประจวบคีรีขันธ์!I654"")+IMPORTRANGE(""https://docs.google.com/spreadsheets/d/1vVf6wykvW_lAyu7Yo9L4hUTqHqIeP_qcVuxCtosJEbg/edit?usp=sharing"",""ปราจีนบุรี!I654"")+IMPORTRANGE(""https://docs.googl"&amp;"e.com/spreadsheets/d/1BIDqLLg5jk3v59G8NlR8rk5xfQDKne0sAvZHSj7TI6I/edit?usp=sharing"",""พระนครศรีอยุธยา!I654"")+IMPORTRANGE(""https://docs.google.com/spreadsheets/d/1YXvxf8Yu6_rV4hTBrwMqAcAnv6DfhUxh5emyM3CJp_w/edit?usp=sharing"",""เพชรบุรี!I654"")+IMPORTRA"&amp;"NGE(""https://docs.google.com/spreadsheets/d/19KBlQQs7uwvsao6t2n-KvW3Ax8J8uRRfZPq1zPbXgKc/edit?usp=sharing"",""ระยอง!I654"")+IMPORTRANGE(""https://docs.google.com/spreadsheets/d/1jQ6P4QcrGM89YfqcC_PxOHGCMq5ezhucwJd8ci-NHng/edit?usp=sharing"",""ราชบุรี!I65"&amp;"4"")+IMPORTRANGE(""https://docs.google.com/spreadsheets/d/1lufeA2cfFqM-elVq2hznhDzC6Pr7wkJ9ZG_sYNGCMCU/edit?usp=sharing"",""ลพบุรี!I654"")+IMPORTRANGE(""https://docs.google.com/spreadsheets/d/10oOiF7loTyfsTkbd4MpaIm0HQ9SwB7IYHdIUvt-U1Uc/edit?usp=sharing"""&amp;",""สระแก้ว!I654"")+IMPORTRANGE(""https://docs.google.com/spreadsheets/d/1xmPlrr1QbdSIKvl1dWUl9K4PjAfSL9oeMr_37QVzcxc/edit?usp=sharing"",""สระบุรี!I654"")+IMPORTRANGE(""https://docs.google.com/spreadsheets/d/1j51vR6CYVGhABJpv6tkstgok82RLpXieLzW1yOY5rHw/edi"&amp;"t?usp=sharing"",""สิงห์บุรี!I654"")+IMPORTRANGE(""https://docs.google.com/spreadsheets/d/1H1EalTWKUSzO4Z1-1CwzoDUaVffgrThEBe2sl74kKG0/edit?usp=sharing"",""สุพรรณบุรี!I654"")+IMPORTRANGE(""https://docs.google.com/spreadsheets/d/1BmIruG_sIrJLYao_Pdr7zVArWsf"&amp;"oBt2692TMi6x_854/edit?usp=sharing"",""อ่างทอง!I654"")"),955)</f>
        <v>955</v>
      </c>
      <c r="J654" s="603">
        <f ca="1">J657+J660</f>
        <v>525.59</v>
      </c>
      <c r="K654" s="266">
        <f t="shared" ca="1" si="459"/>
        <v>55.035602094240836</v>
      </c>
      <c r="L654" s="90"/>
      <c r="M654" s="90"/>
      <c r="N654" s="732"/>
      <c r="O654" s="90"/>
      <c r="P654" s="90"/>
      <c r="Q654" s="89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f ca="1">IFERROR(__xludf.DUMMYFUNCTION("IMPORTRANGE(""https://docs.google.com/spreadsheets/d/13wPX838HrBrQMCywv1BsuMkt4PEKTChp52zj44s2izQ/edit?usp=sharing"",""กาญจนบุรี!J655"")+IMPORTRANGE(""https://docs.google.com/spreadsheets/d/1ddFKvqj1W1NEiWytbGlB1zMx_ykJDVtmfEQ-6-lIUBA/edit?usp=sharing"","&amp;"""จันทบุรี!J655"")+IMPORTRANGE(""https://docs.google.com/spreadsheets/d/1T1PQvRODqOBZk8BRht_U031fIS1beLA0Ub2CEytj2q0/edit?usp=sharing"",""ฉะเชิงเทรา!J655"")+IMPORTRANGE(""https://docs.google.com/spreadsheets/d/11tr1B-Bhyr79v2bkwVh5h_fR-PStkgjlZtkrZpYurG0/"&amp;"edit?usp=sharing"",""ชลบุรี!J655"")+IMPORTRANGE(""https://docs.google.com/spreadsheets/d/1hh-FVnSX0vozXhGluamEcS54Dw9_zqW0N7qJUWgJ0Sw/edit?usp=sharing"",""ชัยนาท!J655"")+IMPORTRANGE(""https://docs.google.com/spreadsheets/d/1jkqa6GXxSacMcY1eN8AHjMNJ_7dDXMJ"&amp;"VRLDlaFSOdPM/edit?usp=sharing"",""ตราด!J655"")+IMPORTRANGE(""https://docs.google.com/spreadsheets/d/18hSgUJ3VwClqi_qtULmmW3cLr0oe3OKaSYoKzdpTsYQ/edit?usp=sharing"",""นครนายก!J655"")+IMPORTRANGE(""https://docs.google.com/spreadsheets/d/1YTZo6WM2dQ6Ix6FSdnL"&amp;"5P7uVnVKu40sxZu975tgG10E/edit?usp=sharing"",""นครปฐม!J655"")+IMPORTRANGE(""https://docs.google.com/spreadsheets/d/1OYoGg4WDg5RIzwGeB10padOxJF9E_Vljuvvct_M7RDo/edit?usp=sharing"",""ปทุมธานี!J655"")+IMPORTRANGE(""https://docs.google.com/spreadsheets/d/1GbCI"&amp;"E4D4wk9FUozzqk7SxfDMxDVBwVmI5zcaVUSzKAc/edit?usp=sharing"",""ประจวบคีรีขันธ์!J655"")+IMPORTRANGE(""https://docs.google.com/spreadsheets/d/1vVf6wykvW_lAyu7Yo9L4hUTqHqIeP_qcVuxCtosJEbg/edit?usp=sharing"",""ปราจีนบุรี!J655"")+IMPORTRANGE(""https://docs.googl"&amp;"e.com/spreadsheets/d/1BIDqLLg5jk3v59G8NlR8rk5xfQDKne0sAvZHSj7TI6I/edit?usp=sharing"",""พระนครศรีอยุธยา!J655"")+IMPORTRANGE(""https://docs.google.com/spreadsheets/d/1YXvxf8Yu6_rV4hTBrwMqAcAnv6DfhUxh5emyM3CJp_w/edit?usp=sharing"",""เพชรบุรี!J655"")+IMPORTRA"&amp;"NGE(""https://docs.google.com/spreadsheets/d/19KBlQQs7uwvsao6t2n-KvW3Ax8J8uRRfZPq1zPbXgKc/edit?usp=sharing"",""ระยอง!J655"")+IMPORTRANGE(""https://docs.google.com/spreadsheets/d/1jQ6P4QcrGM89YfqcC_PxOHGCMq5ezhucwJd8ci-NHng/edit?usp=sharing"",""ราชบุรี!J65"&amp;"5"")+IMPORTRANGE(""https://docs.google.com/spreadsheets/d/1lufeA2cfFqM-elVq2hznhDzC6Pr7wkJ9ZG_sYNGCMCU/edit?usp=sharing"",""ลพบุรี!J655"")+IMPORTRANGE(""https://docs.google.com/spreadsheets/d/10oOiF7loTyfsTkbd4MpaIm0HQ9SwB7IYHdIUvt-U1Uc/edit?usp=sharing"""&amp;",""สระแก้ว!J655"")+IMPORTRANGE(""https://docs.google.com/spreadsheets/d/1xmPlrr1QbdSIKvl1dWUl9K4PjAfSL9oeMr_37QVzcxc/edit?usp=sharing"",""สระบุรี!J655"")+IMPORTRANGE(""https://docs.google.com/spreadsheets/d/1j51vR6CYVGhABJpv6tkstgok82RLpXieLzW1yOY5rHw/edi"&amp;"t?usp=sharing"",""สิงห์บุรี!J655"")+IMPORTRANGE(""https://docs.google.com/spreadsheets/d/1H1EalTWKUSzO4Z1-1CwzoDUaVffgrThEBe2sl74kKG0/edit?usp=sharing"",""สุพรรณบุรี!J655"")+IMPORTRANGE(""https://docs.google.com/spreadsheets/d/1BmIruG_sIrJLYao_Pdr7zVArWsf"&amp;"oBt2692TMi6x_854/edit?usp=sharing"",""อ่างทอง!J655"")"),44)</f>
        <v>44</v>
      </c>
      <c r="K655" s="90"/>
      <c r="L655" s="90"/>
      <c r="M655" s="90"/>
      <c r="N655" s="732"/>
      <c r="O655" s="90"/>
      <c r="P655" s="90"/>
      <c r="Q655" s="89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f ca="1">IFERROR(__xludf.DUMMYFUNCTION("IMPORTRANGE(""https://docs.google.com/spreadsheets/d/13wPX838HrBrQMCywv1BsuMkt4PEKTChp52zj44s2izQ/edit?usp=sharing"",""กาญจนบุรี!J656"")+IMPORTRANGE(""https://docs.google.com/spreadsheets/d/1ddFKvqj1W1NEiWytbGlB1zMx_ykJDVtmfEQ-6-lIUBA/edit?usp=sharing"","&amp;"""จันทบุรี!J656"")+IMPORTRANGE(""https://docs.google.com/spreadsheets/d/1T1PQvRODqOBZk8BRht_U031fIS1beLA0Ub2CEytj2q0/edit?usp=sharing"",""ฉะเชิงเทรา!J656"")+IMPORTRANGE(""https://docs.google.com/spreadsheets/d/11tr1B-Bhyr79v2bkwVh5h_fR-PStkgjlZtkrZpYurG0/"&amp;"edit?usp=sharing"",""ชลบุรี!J656"")+IMPORTRANGE(""https://docs.google.com/spreadsheets/d/1hh-FVnSX0vozXhGluamEcS54Dw9_zqW0N7qJUWgJ0Sw/edit?usp=sharing"",""ชัยนาท!J656"")+IMPORTRANGE(""https://docs.google.com/spreadsheets/d/1jkqa6GXxSacMcY1eN8AHjMNJ_7dDXMJ"&amp;"VRLDlaFSOdPM/edit?usp=sharing"",""ตราด!J656"")+IMPORTRANGE(""https://docs.google.com/spreadsheets/d/18hSgUJ3VwClqi_qtULmmW3cLr0oe3OKaSYoKzdpTsYQ/edit?usp=sharing"",""นครนายก!J656"")+IMPORTRANGE(""https://docs.google.com/spreadsheets/d/1YTZo6WM2dQ6Ix6FSdnL"&amp;"5P7uVnVKu40sxZu975tgG10E/edit?usp=sharing"",""นครปฐม!J656"")+IMPORTRANGE(""https://docs.google.com/spreadsheets/d/1OYoGg4WDg5RIzwGeB10padOxJF9E_Vljuvvct_M7RDo/edit?usp=sharing"",""ปทุมธานี!J656"")+IMPORTRANGE(""https://docs.google.com/spreadsheets/d/1GbCI"&amp;"E4D4wk9FUozzqk7SxfDMxDVBwVmI5zcaVUSzKAc/edit?usp=sharing"",""ประจวบคีรีขันธ์!J656"")+IMPORTRANGE(""https://docs.google.com/spreadsheets/d/1vVf6wykvW_lAyu7Yo9L4hUTqHqIeP_qcVuxCtosJEbg/edit?usp=sharing"",""ปราจีนบุรี!J656"")+IMPORTRANGE(""https://docs.googl"&amp;"e.com/spreadsheets/d/1BIDqLLg5jk3v59G8NlR8rk5xfQDKne0sAvZHSj7TI6I/edit?usp=sharing"",""พระนครศรีอยุธยา!J656"")+IMPORTRANGE(""https://docs.google.com/spreadsheets/d/1YXvxf8Yu6_rV4hTBrwMqAcAnv6DfhUxh5emyM3CJp_w/edit?usp=sharing"",""เพชรบุรี!J656"")+IMPORTRA"&amp;"NGE(""https://docs.google.com/spreadsheets/d/19KBlQQs7uwvsao6t2n-KvW3Ax8J8uRRfZPq1zPbXgKc/edit?usp=sharing"",""ระยอง!J656"")+IMPORTRANGE(""https://docs.google.com/spreadsheets/d/1jQ6P4QcrGM89YfqcC_PxOHGCMq5ezhucwJd8ci-NHng/edit?usp=sharing"",""ราชบุรี!J65"&amp;"6"")+IMPORTRANGE(""https://docs.google.com/spreadsheets/d/1lufeA2cfFqM-elVq2hznhDzC6Pr7wkJ9ZG_sYNGCMCU/edit?usp=sharing"",""ลพบุรี!J656"")+IMPORTRANGE(""https://docs.google.com/spreadsheets/d/10oOiF7loTyfsTkbd4MpaIm0HQ9SwB7IYHdIUvt-U1Uc/edit?usp=sharing"""&amp;",""สระแก้ว!J656"")+IMPORTRANGE(""https://docs.google.com/spreadsheets/d/1xmPlrr1QbdSIKvl1dWUl9K4PjAfSL9oeMr_37QVzcxc/edit?usp=sharing"",""สระบุรี!J656"")+IMPORTRANGE(""https://docs.google.com/spreadsheets/d/1j51vR6CYVGhABJpv6tkstgok82RLpXieLzW1yOY5rHw/edi"&amp;"t?usp=sharing"",""สิงห์บุรี!J656"")+IMPORTRANGE(""https://docs.google.com/spreadsheets/d/1H1EalTWKUSzO4Z1-1CwzoDUaVffgrThEBe2sl74kKG0/edit?usp=sharing"",""สุพรรณบุรี!J656"")+IMPORTRANGE(""https://docs.google.com/spreadsheets/d/1BmIruG_sIrJLYao_Pdr7zVArWsf"&amp;"oBt2692TMi6x_854/edit?usp=sharing"",""อ่างทอง!J656"")"),47)</f>
        <v>47</v>
      </c>
      <c r="K656" s="90"/>
      <c r="L656" s="90"/>
      <c r="M656" s="90"/>
      <c r="N656" s="732"/>
      <c r="O656" s="90"/>
      <c r="P656" s="90"/>
      <c r="Q656" s="89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13wPX838HrBrQMCywv1BsuMkt4PEKTChp52zj44s2izQ/edit?usp=sharing"",""กาญจนบุรี!I657"")+IMPORTRANGE(""https://docs.google.com/spreadsheets/d/1ddFKvqj1W1NEiWytbGlB1zMx_ykJDVtmfEQ-6-lIUBA/edit?usp=sharing"","&amp;"""จันทบุรี!I657"")+IMPORTRANGE(""https://docs.google.com/spreadsheets/d/1T1PQvRODqOBZk8BRht_U031fIS1beLA0Ub2CEytj2q0/edit?usp=sharing"",""ฉะเชิงเทรา!I657"")+IMPORTRANGE(""https://docs.google.com/spreadsheets/d/11tr1B-Bhyr79v2bkwVh5h_fR-PStkgjlZtkrZpYurG0/"&amp;"edit?usp=sharing"",""ชลบุรี!I657"")+IMPORTRANGE(""https://docs.google.com/spreadsheets/d/1hh-FVnSX0vozXhGluamEcS54Dw9_zqW0N7qJUWgJ0Sw/edit?usp=sharing"",""ชัยนาท!I657"")+IMPORTRANGE(""https://docs.google.com/spreadsheets/d/1jkqa6GXxSacMcY1eN8AHjMNJ_7dDXMJ"&amp;"VRLDlaFSOdPM/edit?usp=sharing"",""ตราด!I657"")+IMPORTRANGE(""https://docs.google.com/spreadsheets/d/18hSgUJ3VwClqi_qtULmmW3cLr0oe3OKaSYoKzdpTsYQ/edit?usp=sharing"",""นครนายก!I657"")+IMPORTRANGE(""https://docs.google.com/spreadsheets/d/1YTZo6WM2dQ6Ix6FSdnL"&amp;"5P7uVnVKu40sxZu975tgG10E/edit?usp=sharing"",""นครปฐม!I657"")+IMPORTRANGE(""https://docs.google.com/spreadsheets/d/1OYoGg4WDg5RIzwGeB10padOxJF9E_Vljuvvct_M7RDo/edit?usp=sharing"",""ปทุมธานี!I657"")+IMPORTRANGE(""https://docs.google.com/spreadsheets/d/1GbCI"&amp;"E4D4wk9FUozzqk7SxfDMxDVBwVmI5zcaVUSzKAc/edit?usp=sharing"",""ประจวบคีรีขันธ์!I657"")+IMPORTRANGE(""https://docs.google.com/spreadsheets/d/1vVf6wykvW_lAyu7Yo9L4hUTqHqIeP_qcVuxCtosJEbg/edit?usp=sharing"",""ปราจีนบุรี!I657"")+IMPORTRANGE(""https://docs.googl"&amp;"e.com/spreadsheets/d/1BIDqLLg5jk3v59G8NlR8rk5xfQDKne0sAvZHSj7TI6I/edit?usp=sharing"",""พระนครศรีอยุธยา!I657"")+IMPORTRANGE(""https://docs.google.com/spreadsheets/d/1YXvxf8Yu6_rV4hTBrwMqAcAnv6DfhUxh5emyM3CJp_w/edit?usp=sharing"",""เพชรบุรี!I657"")+IMPORTRA"&amp;"NGE(""https://docs.google.com/spreadsheets/d/19KBlQQs7uwvsao6t2n-KvW3Ax8J8uRRfZPq1zPbXgKc/edit?usp=sharing"",""ระยอง!I657"")+IMPORTRANGE(""https://docs.google.com/spreadsheets/d/1jQ6P4QcrGM89YfqcC_PxOHGCMq5ezhucwJd8ci-NHng/edit?usp=sharing"",""ราชบุรี!I65"&amp;"7"")+IMPORTRANGE(""https://docs.google.com/spreadsheets/d/1lufeA2cfFqM-elVq2hznhDzC6Pr7wkJ9ZG_sYNGCMCU/edit?usp=sharing"",""ลพบุรี!I657"")+IMPORTRANGE(""https://docs.google.com/spreadsheets/d/10oOiF7loTyfsTkbd4MpaIm0HQ9SwB7IYHdIUvt-U1Uc/edit?usp=sharing"""&amp;",""สระแก้ว!I657"")+IMPORTRANGE(""https://docs.google.com/spreadsheets/d/1xmPlrr1QbdSIKvl1dWUl9K4PjAfSL9oeMr_37QVzcxc/edit?usp=sharing"",""สระบุรี!I657"")+IMPORTRANGE(""https://docs.google.com/spreadsheets/d/1j51vR6CYVGhABJpv6tkstgok82RLpXieLzW1yOY5rHw/edi"&amp;"t?usp=sharing"",""สิงห์บุรี!I657"")+IMPORTRANGE(""https://docs.google.com/spreadsheets/d/1H1EalTWKUSzO4Z1-1CwzoDUaVffgrThEBe2sl74kKG0/edit?usp=sharing"",""สุพรรณบุรี!I657"")+IMPORTRANGE(""https://docs.google.com/spreadsheets/d/1BmIruG_sIrJLYao_Pdr7zVArWsf"&amp;"oBt2692TMi6x_854/edit?usp=sharing"",""อ่างทอง!I657"")"),505)</f>
        <v>505</v>
      </c>
      <c r="J657" s="296">
        <f ca="1">IFERROR(__xludf.DUMMYFUNCTION("IMPORTRANGE(""https://docs.google.com/spreadsheets/d/13wPX838HrBrQMCywv1BsuMkt4PEKTChp52zj44s2izQ/edit?usp=sharing"",""กาญจนบุรี!J657"")+IMPORTRANGE(""https://docs.google.com/spreadsheets/d/1ddFKvqj1W1NEiWytbGlB1zMx_ykJDVtmfEQ-6-lIUBA/edit?usp=sharing"","&amp;"""จันทบุรี!J657"")+IMPORTRANGE(""https://docs.google.com/spreadsheets/d/1T1PQvRODqOBZk8BRht_U031fIS1beLA0Ub2CEytj2q0/edit?usp=sharing"",""ฉะเชิงเทรา!J657"")+IMPORTRANGE(""https://docs.google.com/spreadsheets/d/11tr1B-Bhyr79v2bkwVh5h_fR-PStkgjlZtkrZpYurG0/"&amp;"edit?usp=sharing"",""ชลบุรี!J657"")+IMPORTRANGE(""https://docs.google.com/spreadsheets/d/1hh-FVnSX0vozXhGluamEcS54Dw9_zqW0N7qJUWgJ0Sw/edit?usp=sharing"",""ชัยนาท!J657"")+IMPORTRANGE(""https://docs.google.com/spreadsheets/d/1jkqa6GXxSacMcY1eN8AHjMNJ_7dDXMJ"&amp;"VRLDlaFSOdPM/edit?usp=sharing"",""ตราด!J657"")+IMPORTRANGE(""https://docs.google.com/spreadsheets/d/18hSgUJ3VwClqi_qtULmmW3cLr0oe3OKaSYoKzdpTsYQ/edit?usp=sharing"",""นครนายก!J657"")+IMPORTRANGE(""https://docs.google.com/spreadsheets/d/1YTZo6WM2dQ6Ix6FSdnL"&amp;"5P7uVnVKu40sxZu975tgG10E/edit?usp=sharing"",""นครปฐม!J657"")+IMPORTRANGE(""https://docs.google.com/spreadsheets/d/1OYoGg4WDg5RIzwGeB10padOxJF9E_Vljuvvct_M7RDo/edit?usp=sharing"",""ปทุมธานี!J657"")+IMPORTRANGE(""https://docs.google.com/spreadsheets/d/1GbCI"&amp;"E4D4wk9FUozzqk7SxfDMxDVBwVmI5zcaVUSzKAc/edit?usp=sharing"",""ประจวบคีรีขันธ์!J657"")+IMPORTRANGE(""https://docs.google.com/spreadsheets/d/1vVf6wykvW_lAyu7Yo9L4hUTqHqIeP_qcVuxCtosJEbg/edit?usp=sharing"",""ปราจีนบุรี!J657"")+IMPORTRANGE(""https://docs.googl"&amp;"e.com/spreadsheets/d/1BIDqLLg5jk3v59G8NlR8rk5xfQDKne0sAvZHSj7TI6I/edit?usp=sharing"",""พระนครศรีอยุธยา!J657"")+IMPORTRANGE(""https://docs.google.com/spreadsheets/d/1YXvxf8Yu6_rV4hTBrwMqAcAnv6DfhUxh5emyM3CJp_w/edit?usp=sharing"",""เพชรบุรี!J657"")+IMPORTRA"&amp;"NGE(""https://docs.google.com/spreadsheets/d/19KBlQQs7uwvsao6t2n-KvW3Ax8J8uRRfZPq1zPbXgKc/edit?usp=sharing"",""ระยอง!J657"")+IMPORTRANGE(""https://docs.google.com/spreadsheets/d/1jQ6P4QcrGM89YfqcC_PxOHGCMq5ezhucwJd8ci-NHng/edit?usp=sharing"",""ราชบุรี!J65"&amp;"7"")+IMPORTRANGE(""https://docs.google.com/spreadsheets/d/1lufeA2cfFqM-elVq2hznhDzC6Pr7wkJ9ZG_sYNGCMCU/edit?usp=sharing"",""ลพบุรี!J657"")+IMPORTRANGE(""https://docs.google.com/spreadsheets/d/10oOiF7loTyfsTkbd4MpaIm0HQ9SwB7IYHdIUvt-U1Uc/edit?usp=sharing"""&amp;",""สระแก้ว!J657"")+IMPORTRANGE(""https://docs.google.com/spreadsheets/d/1xmPlrr1QbdSIKvl1dWUl9K4PjAfSL9oeMr_37QVzcxc/edit?usp=sharing"",""สระบุรี!J657"")+IMPORTRANGE(""https://docs.google.com/spreadsheets/d/1j51vR6CYVGhABJpv6tkstgok82RLpXieLzW1yOY5rHw/edi"&amp;"t?usp=sharing"",""สิงห์บุรี!J657"")+IMPORTRANGE(""https://docs.google.com/spreadsheets/d/1H1EalTWKUSzO4Z1-1CwzoDUaVffgrThEBe2sl74kKG0/edit?usp=sharing"",""สุพรรณบุรี!J657"")+IMPORTRANGE(""https://docs.google.com/spreadsheets/d/1BmIruG_sIrJLYao_Pdr7zVArWsf"&amp;"oBt2692TMi6x_854/edit?usp=sharing"",""อ่างทอง!J657"")"),525.59)</f>
        <v>525.59</v>
      </c>
      <c r="K657" s="90"/>
      <c r="L657" s="90"/>
      <c r="M657" s="90"/>
      <c r="N657" s="732"/>
      <c r="O657" s="90"/>
      <c r="P657" s="90"/>
      <c r="Q657" s="89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f ca="1">IFERROR(__xludf.DUMMYFUNCTION("IMPORTRANGE(""https://docs.google.com/spreadsheets/d/13wPX838HrBrQMCywv1BsuMkt4PEKTChp52zj44s2izQ/edit?usp=sharing"",""กาญจนบุรี!J658"")+IMPORTRANGE(""https://docs.google.com/spreadsheets/d/1ddFKvqj1W1NEiWytbGlB1zMx_ykJDVtmfEQ-6-lIUBA/edit?usp=sharing"","&amp;"""จันทบุรี!J658"")+IMPORTRANGE(""https://docs.google.com/spreadsheets/d/1T1PQvRODqOBZk8BRht_U031fIS1beLA0Ub2CEytj2q0/edit?usp=sharing"",""ฉะเชิงเทรา!J658"")+IMPORTRANGE(""https://docs.google.com/spreadsheets/d/11tr1B-Bhyr79v2bkwVh5h_fR-PStkgjlZtkrZpYurG0/"&amp;"edit?usp=sharing"",""ชลบุรี!J658"")+IMPORTRANGE(""https://docs.google.com/spreadsheets/d/1hh-FVnSX0vozXhGluamEcS54Dw9_zqW0N7qJUWgJ0Sw/edit?usp=sharing"",""ชัยนาท!J658"")+IMPORTRANGE(""https://docs.google.com/spreadsheets/d/1jkqa6GXxSacMcY1eN8AHjMNJ_7dDXMJ"&amp;"VRLDlaFSOdPM/edit?usp=sharing"",""ตราด!J658"")+IMPORTRANGE(""https://docs.google.com/spreadsheets/d/18hSgUJ3VwClqi_qtULmmW3cLr0oe3OKaSYoKzdpTsYQ/edit?usp=sharing"",""นครนายก!J658"")+IMPORTRANGE(""https://docs.google.com/spreadsheets/d/1YTZo6WM2dQ6Ix6FSdnL"&amp;"5P7uVnVKu40sxZu975tgG10E/edit?usp=sharing"",""นครปฐม!J658"")+IMPORTRANGE(""https://docs.google.com/spreadsheets/d/1OYoGg4WDg5RIzwGeB10padOxJF9E_Vljuvvct_M7RDo/edit?usp=sharing"",""ปทุมธานี!J658"")+IMPORTRANGE(""https://docs.google.com/spreadsheets/d/1GbCI"&amp;"E4D4wk9FUozzqk7SxfDMxDVBwVmI5zcaVUSzKAc/edit?usp=sharing"",""ประจวบคีรีขันธ์!J658"")+IMPORTRANGE(""https://docs.google.com/spreadsheets/d/1vVf6wykvW_lAyu7Yo9L4hUTqHqIeP_qcVuxCtosJEbg/edit?usp=sharing"",""ปราจีนบุรี!J658"")+IMPORTRANGE(""https://docs.googl"&amp;"e.com/spreadsheets/d/1BIDqLLg5jk3v59G8NlR8rk5xfQDKne0sAvZHSj7TI6I/edit?usp=sharing"",""พระนครศรีอยุธยา!J658"")+IMPORTRANGE(""https://docs.google.com/spreadsheets/d/1YXvxf8Yu6_rV4hTBrwMqAcAnv6DfhUxh5emyM3CJp_w/edit?usp=sharing"",""เพชรบุรี!J658"")+IMPORTRA"&amp;"NGE(""https://docs.google.com/spreadsheets/d/19KBlQQs7uwvsao6t2n-KvW3Ax8J8uRRfZPq1zPbXgKc/edit?usp=sharing"",""ระยอง!J658"")+IMPORTRANGE(""https://docs.google.com/spreadsheets/d/1jQ6P4QcrGM89YfqcC_PxOHGCMq5ezhucwJd8ci-NHng/edit?usp=sharing"",""ราชบุรี!J65"&amp;"8"")+IMPORTRANGE(""https://docs.google.com/spreadsheets/d/1lufeA2cfFqM-elVq2hznhDzC6Pr7wkJ9ZG_sYNGCMCU/edit?usp=sharing"",""ลพบุรี!J658"")+IMPORTRANGE(""https://docs.google.com/spreadsheets/d/10oOiF7loTyfsTkbd4MpaIm0HQ9SwB7IYHdIUvt-U1Uc/edit?usp=sharing"""&amp;",""สระแก้ว!J658"")+IMPORTRANGE(""https://docs.google.com/spreadsheets/d/1xmPlrr1QbdSIKvl1dWUl9K4PjAfSL9oeMr_37QVzcxc/edit?usp=sharing"",""สระบุรี!J658"")+IMPORTRANGE(""https://docs.google.com/spreadsheets/d/1j51vR6CYVGhABJpv6tkstgok82RLpXieLzW1yOY5rHw/edi"&amp;"t?usp=sharing"",""สิงห์บุรี!J658"")+IMPORTRANGE(""https://docs.google.com/spreadsheets/d/1H1EalTWKUSzO4Z1-1CwzoDUaVffgrThEBe2sl74kKG0/edit?usp=sharing"",""สุพรรณบุรี!J658"")+IMPORTRANGE(""https://docs.google.com/spreadsheets/d/1BmIruG_sIrJLYao_Pdr7zVArWsf"&amp;"oBt2692TMi6x_854/edit?usp=sharing"",""อ่างทอง!J658"")"),0)</f>
        <v>0</v>
      </c>
      <c r="K658" s="90"/>
      <c r="L658" s="90"/>
      <c r="M658" s="90"/>
      <c r="N658" s="732"/>
      <c r="O658" s="90"/>
      <c r="P658" s="90"/>
      <c r="Q658" s="89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f ca="1">IFERROR(__xludf.DUMMYFUNCTION("IMPORTRANGE(""https://docs.google.com/spreadsheets/d/13wPX838HrBrQMCywv1BsuMkt4PEKTChp52zj44s2izQ/edit?usp=sharing"",""กาญจนบุรี!J659"")+IMPORTRANGE(""https://docs.google.com/spreadsheets/d/1ddFKvqj1W1NEiWytbGlB1zMx_ykJDVtmfEQ-6-lIUBA/edit?usp=sharing"","&amp;"""จันทบุรี!J659"")+IMPORTRANGE(""https://docs.google.com/spreadsheets/d/1T1PQvRODqOBZk8BRht_U031fIS1beLA0Ub2CEytj2q0/edit?usp=sharing"",""ฉะเชิงเทรา!J659"")+IMPORTRANGE(""https://docs.google.com/spreadsheets/d/11tr1B-Bhyr79v2bkwVh5h_fR-PStkgjlZtkrZpYurG0/"&amp;"edit?usp=sharing"",""ชลบุรี!J659"")+IMPORTRANGE(""https://docs.google.com/spreadsheets/d/1hh-FVnSX0vozXhGluamEcS54Dw9_zqW0N7qJUWgJ0Sw/edit?usp=sharing"",""ชัยนาท!J659"")+IMPORTRANGE(""https://docs.google.com/spreadsheets/d/1jkqa6GXxSacMcY1eN8AHjMNJ_7dDXMJ"&amp;"VRLDlaFSOdPM/edit?usp=sharing"",""ตราด!J659"")+IMPORTRANGE(""https://docs.google.com/spreadsheets/d/18hSgUJ3VwClqi_qtULmmW3cLr0oe3OKaSYoKzdpTsYQ/edit?usp=sharing"",""นครนายก!J659"")+IMPORTRANGE(""https://docs.google.com/spreadsheets/d/1YTZo6WM2dQ6Ix6FSdnL"&amp;"5P7uVnVKu40sxZu975tgG10E/edit?usp=sharing"",""นครปฐม!J659"")+IMPORTRANGE(""https://docs.google.com/spreadsheets/d/1OYoGg4WDg5RIzwGeB10padOxJF9E_Vljuvvct_M7RDo/edit?usp=sharing"",""ปทุมธานี!J659"")+IMPORTRANGE(""https://docs.google.com/spreadsheets/d/1GbCI"&amp;"E4D4wk9FUozzqk7SxfDMxDVBwVmI5zcaVUSzKAc/edit?usp=sharing"",""ประจวบคีรีขันธ์!J659"")+IMPORTRANGE(""https://docs.google.com/spreadsheets/d/1vVf6wykvW_lAyu7Yo9L4hUTqHqIeP_qcVuxCtosJEbg/edit?usp=sharing"",""ปราจีนบุรี!J659"")+IMPORTRANGE(""https://docs.googl"&amp;"e.com/spreadsheets/d/1BIDqLLg5jk3v59G8NlR8rk5xfQDKne0sAvZHSj7TI6I/edit?usp=sharing"",""พระนครศรีอยุธยา!J659"")+IMPORTRANGE(""https://docs.google.com/spreadsheets/d/1YXvxf8Yu6_rV4hTBrwMqAcAnv6DfhUxh5emyM3CJp_w/edit?usp=sharing"",""เพชรบุรี!J659"")+IMPORTRA"&amp;"NGE(""https://docs.google.com/spreadsheets/d/19KBlQQs7uwvsao6t2n-KvW3Ax8J8uRRfZPq1zPbXgKc/edit?usp=sharing"",""ระยอง!J659"")+IMPORTRANGE(""https://docs.google.com/spreadsheets/d/1jQ6P4QcrGM89YfqcC_PxOHGCMq5ezhucwJd8ci-NHng/edit?usp=sharing"",""ราชบุรี!J65"&amp;"9"")+IMPORTRANGE(""https://docs.google.com/spreadsheets/d/1lufeA2cfFqM-elVq2hznhDzC6Pr7wkJ9ZG_sYNGCMCU/edit?usp=sharing"",""ลพบุรี!J659"")+IMPORTRANGE(""https://docs.google.com/spreadsheets/d/10oOiF7loTyfsTkbd4MpaIm0HQ9SwB7IYHdIUvt-U1Uc/edit?usp=sharing"""&amp;",""สระแก้ว!J659"")+IMPORTRANGE(""https://docs.google.com/spreadsheets/d/1xmPlrr1QbdSIKvl1dWUl9K4PjAfSL9oeMr_37QVzcxc/edit?usp=sharing"",""สระบุรี!J659"")+IMPORTRANGE(""https://docs.google.com/spreadsheets/d/1j51vR6CYVGhABJpv6tkstgok82RLpXieLzW1yOY5rHw/edi"&amp;"t?usp=sharing"",""สิงห์บุรี!J659"")+IMPORTRANGE(""https://docs.google.com/spreadsheets/d/1H1EalTWKUSzO4Z1-1CwzoDUaVffgrThEBe2sl74kKG0/edit?usp=sharing"",""สุพรรณบุรี!J659"")+IMPORTRANGE(""https://docs.google.com/spreadsheets/d/1BmIruG_sIrJLYao_Pdr7zVArWsf"&amp;"oBt2692TMi6x_854/edit?usp=sharing"",""อ่างทอง!J659"")"),0)</f>
        <v>0</v>
      </c>
      <c r="K659" s="90"/>
      <c r="L659" s="90"/>
      <c r="M659" s="90"/>
      <c r="N659" s="732"/>
      <c r="O659" s="90"/>
      <c r="P659" s="90"/>
      <c r="Q659" s="89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13wPX838HrBrQMCywv1BsuMkt4PEKTChp52zj44s2izQ/edit?usp=sharing"",""กาญจนบุรี!I660"")+IMPORTRANGE(""https://docs.google.com/spreadsheets/d/1ddFKvqj1W1NEiWytbGlB1zMx_ykJDVtmfEQ-6-lIUBA/edit?usp=sharing"","&amp;"""จันทบุรี!I660"")+IMPORTRANGE(""https://docs.google.com/spreadsheets/d/1T1PQvRODqOBZk8BRht_U031fIS1beLA0Ub2CEytj2q0/edit?usp=sharing"",""ฉะเชิงเทรา!I660"")+IMPORTRANGE(""https://docs.google.com/spreadsheets/d/11tr1B-Bhyr79v2bkwVh5h_fR-PStkgjlZtkrZpYurG0/"&amp;"edit?usp=sharing"",""ชลบุรี!I660"")+IMPORTRANGE(""https://docs.google.com/spreadsheets/d/1hh-FVnSX0vozXhGluamEcS54Dw9_zqW0N7qJUWgJ0Sw/edit?usp=sharing"",""ชัยนาท!I660"")+IMPORTRANGE(""https://docs.google.com/spreadsheets/d/1jkqa6GXxSacMcY1eN8AHjMNJ_7dDXMJ"&amp;"VRLDlaFSOdPM/edit?usp=sharing"",""ตราด!I660"")+IMPORTRANGE(""https://docs.google.com/spreadsheets/d/18hSgUJ3VwClqi_qtULmmW3cLr0oe3OKaSYoKzdpTsYQ/edit?usp=sharing"",""นครนายก!I660"")+IMPORTRANGE(""https://docs.google.com/spreadsheets/d/1YTZo6WM2dQ6Ix6FSdnL"&amp;"5P7uVnVKu40sxZu975tgG10E/edit?usp=sharing"",""นครปฐม!I660"")+IMPORTRANGE(""https://docs.google.com/spreadsheets/d/1OYoGg4WDg5RIzwGeB10padOxJF9E_Vljuvvct_M7RDo/edit?usp=sharing"",""ปทุมธานี!I660"")+IMPORTRANGE(""https://docs.google.com/spreadsheets/d/1GbCI"&amp;"E4D4wk9FUozzqk7SxfDMxDVBwVmI5zcaVUSzKAc/edit?usp=sharing"",""ประจวบคีรีขันธ์!I660"")+IMPORTRANGE(""https://docs.google.com/spreadsheets/d/1vVf6wykvW_lAyu7Yo9L4hUTqHqIeP_qcVuxCtosJEbg/edit?usp=sharing"",""ปราจีนบุรี!I660"")+IMPORTRANGE(""https://docs.googl"&amp;"e.com/spreadsheets/d/1BIDqLLg5jk3v59G8NlR8rk5xfQDKne0sAvZHSj7TI6I/edit?usp=sharing"",""พระนครศรีอยุธยา!I660"")+IMPORTRANGE(""https://docs.google.com/spreadsheets/d/1YXvxf8Yu6_rV4hTBrwMqAcAnv6DfhUxh5emyM3CJp_w/edit?usp=sharing"",""เพชรบุรี!I660"")+IMPORTRA"&amp;"NGE(""https://docs.google.com/spreadsheets/d/19KBlQQs7uwvsao6t2n-KvW3Ax8J8uRRfZPq1zPbXgKc/edit?usp=sharing"",""ระยอง!I660"")+IMPORTRANGE(""https://docs.google.com/spreadsheets/d/1jQ6P4QcrGM89YfqcC_PxOHGCMq5ezhucwJd8ci-NHng/edit?usp=sharing"",""ราชบุรี!I66"&amp;"0"")+IMPORTRANGE(""https://docs.google.com/spreadsheets/d/1lufeA2cfFqM-elVq2hznhDzC6Pr7wkJ9ZG_sYNGCMCU/edit?usp=sharing"",""ลพบุรี!I660"")+IMPORTRANGE(""https://docs.google.com/spreadsheets/d/10oOiF7loTyfsTkbd4MpaIm0HQ9SwB7IYHdIUvt-U1Uc/edit?usp=sharing"""&amp;",""สระแก้ว!I660"")+IMPORTRANGE(""https://docs.google.com/spreadsheets/d/1xmPlrr1QbdSIKvl1dWUl9K4PjAfSL9oeMr_37QVzcxc/edit?usp=sharing"",""สระบุรี!I660"")+IMPORTRANGE(""https://docs.google.com/spreadsheets/d/1j51vR6CYVGhABJpv6tkstgok82RLpXieLzW1yOY5rHw/edi"&amp;"t?usp=sharing"",""สิงห์บุรี!I660"")+IMPORTRANGE(""https://docs.google.com/spreadsheets/d/1H1EalTWKUSzO4Z1-1CwzoDUaVffgrThEBe2sl74kKG0/edit?usp=sharing"",""สุพรรณบุรี!I660"")+IMPORTRANGE(""https://docs.google.com/spreadsheets/d/1BmIruG_sIrJLYao_Pdr7zVArWsf"&amp;"oBt2692TMi6x_854/edit?usp=sharing"",""อ่างทอง!I660"")"),450)</f>
        <v>450</v>
      </c>
      <c r="J660" s="296">
        <f ca="1">IFERROR(__xludf.DUMMYFUNCTION("IMPORTRANGE(""https://docs.google.com/spreadsheets/d/13wPX838HrBrQMCywv1BsuMkt4PEKTChp52zj44s2izQ/edit?usp=sharing"",""กาญจนบุรี!J660"")+IMPORTRANGE(""https://docs.google.com/spreadsheets/d/1ddFKvqj1W1NEiWytbGlB1zMx_ykJDVtmfEQ-6-lIUBA/edit?usp=sharing"","&amp;"""จันทบุรี!J660"")+IMPORTRANGE(""https://docs.google.com/spreadsheets/d/1T1PQvRODqOBZk8BRht_U031fIS1beLA0Ub2CEytj2q0/edit?usp=sharing"",""ฉะเชิงเทรา!J660"")+IMPORTRANGE(""https://docs.google.com/spreadsheets/d/11tr1B-Bhyr79v2bkwVh5h_fR-PStkgjlZtkrZpYurG0/"&amp;"edit?usp=sharing"",""ชลบุรี!J660"")+IMPORTRANGE(""https://docs.google.com/spreadsheets/d/1hh-FVnSX0vozXhGluamEcS54Dw9_zqW0N7qJUWgJ0Sw/edit?usp=sharing"",""ชัยนาท!J660"")+IMPORTRANGE(""https://docs.google.com/spreadsheets/d/1jkqa6GXxSacMcY1eN8AHjMNJ_7dDXMJ"&amp;"VRLDlaFSOdPM/edit?usp=sharing"",""ตราด!J660"")+IMPORTRANGE(""https://docs.google.com/spreadsheets/d/18hSgUJ3VwClqi_qtULmmW3cLr0oe3OKaSYoKzdpTsYQ/edit?usp=sharing"",""นครนายก!J660"")+IMPORTRANGE(""https://docs.google.com/spreadsheets/d/1YTZo6WM2dQ6Ix6FSdnL"&amp;"5P7uVnVKu40sxZu975tgG10E/edit?usp=sharing"",""นครปฐม!J660"")+IMPORTRANGE(""https://docs.google.com/spreadsheets/d/1OYoGg4WDg5RIzwGeB10padOxJF9E_Vljuvvct_M7RDo/edit?usp=sharing"",""ปทุมธานี!J660"")+IMPORTRANGE(""https://docs.google.com/spreadsheets/d/1GbCI"&amp;"E4D4wk9FUozzqk7SxfDMxDVBwVmI5zcaVUSzKAc/edit?usp=sharing"",""ประจวบคีรีขันธ์!J660"")+IMPORTRANGE(""https://docs.google.com/spreadsheets/d/1vVf6wykvW_lAyu7Yo9L4hUTqHqIeP_qcVuxCtosJEbg/edit?usp=sharing"",""ปราจีนบุรี!J660"")+IMPORTRANGE(""https://docs.googl"&amp;"e.com/spreadsheets/d/1BIDqLLg5jk3v59G8NlR8rk5xfQDKne0sAvZHSj7TI6I/edit?usp=sharing"",""พระนครศรีอยุธยา!J660"")+IMPORTRANGE(""https://docs.google.com/spreadsheets/d/1YXvxf8Yu6_rV4hTBrwMqAcAnv6DfhUxh5emyM3CJp_w/edit?usp=sharing"",""เพชรบุรี!J660"")+IMPORTRA"&amp;"NGE(""https://docs.google.com/spreadsheets/d/19KBlQQs7uwvsao6t2n-KvW3Ax8J8uRRfZPq1zPbXgKc/edit?usp=sharing"",""ระยอง!J660"")+IMPORTRANGE(""https://docs.google.com/spreadsheets/d/1jQ6P4QcrGM89YfqcC_PxOHGCMq5ezhucwJd8ci-NHng/edit?usp=sharing"",""ราชบุรี!J66"&amp;"0"")+IMPORTRANGE(""https://docs.google.com/spreadsheets/d/1lufeA2cfFqM-elVq2hznhDzC6Pr7wkJ9ZG_sYNGCMCU/edit?usp=sharing"",""ลพบุรี!J660"")+IMPORTRANGE(""https://docs.google.com/spreadsheets/d/10oOiF7loTyfsTkbd4MpaIm0HQ9SwB7IYHdIUvt-U1Uc/edit?usp=sharing"""&amp;",""สระแก้ว!J660"")+IMPORTRANGE(""https://docs.google.com/spreadsheets/d/1xmPlrr1QbdSIKvl1dWUl9K4PjAfSL9oeMr_37QVzcxc/edit?usp=sharing"",""สระบุรี!J660"")+IMPORTRANGE(""https://docs.google.com/spreadsheets/d/1j51vR6CYVGhABJpv6tkstgok82RLpXieLzW1yOY5rHw/edi"&amp;"t?usp=sharing"",""สิงห์บุรี!J660"")+IMPORTRANGE(""https://docs.google.com/spreadsheets/d/1H1EalTWKUSzO4Z1-1CwzoDUaVffgrThEBe2sl74kKG0/edit?usp=sharing"",""สุพรรณบุรี!J660"")+IMPORTRANGE(""https://docs.google.com/spreadsheets/d/1BmIruG_sIrJLYao_Pdr7zVArWsf"&amp;"oBt2692TMi6x_854/edit?usp=sharing"",""อ่างทอง!J660"")"),0)</f>
        <v>0</v>
      </c>
      <c r="K660" s="90"/>
      <c r="L660" s="90"/>
      <c r="M660" s="90"/>
      <c r="N660" s="732"/>
      <c r="O660" s="90"/>
      <c r="P660" s="90"/>
      <c r="Q660" s="89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13wPX838HrBrQMCywv1BsuMkt4PEKTChp52zj44s2izQ/edit?usp=sharing"",""กาญจนบุรี!I661"")+IMPORTRANGE(""https://docs.google.com/spreadsheets/d/1ddFKvqj1W1NEiWytbGlB1zMx_ykJDVtmfEQ-6-lIUBA/edit?usp=sharing"","&amp;"""จันทบุรี!I661"")+IMPORTRANGE(""https://docs.google.com/spreadsheets/d/1T1PQvRODqOBZk8BRht_U031fIS1beLA0Ub2CEytj2q0/edit?usp=sharing"",""ฉะเชิงเทรา!I661"")+IMPORTRANGE(""https://docs.google.com/spreadsheets/d/11tr1B-Bhyr79v2bkwVh5h_fR-PStkgjlZtkrZpYurG0/"&amp;"edit?usp=sharing"",""ชลบุรี!I661"")+IMPORTRANGE(""https://docs.google.com/spreadsheets/d/1hh-FVnSX0vozXhGluamEcS54Dw9_zqW0N7qJUWgJ0Sw/edit?usp=sharing"",""ชัยนาท!I661"")+IMPORTRANGE(""https://docs.google.com/spreadsheets/d/1jkqa6GXxSacMcY1eN8AHjMNJ_7dDXMJ"&amp;"VRLDlaFSOdPM/edit?usp=sharing"",""ตราด!I661"")+IMPORTRANGE(""https://docs.google.com/spreadsheets/d/18hSgUJ3VwClqi_qtULmmW3cLr0oe3OKaSYoKzdpTsYQ/edit?usp=sharing"",""นครนายก!I661"")+IMPORTRANGE(""https://docs.google.com/spreadsheets/d/1YTZo6WM2dQ6Ix6FSdnL"&amp;"5P7uVnVKu40sxZu975tgG10E/edit?usp=sharing"",""นครปฐม!I661"")+IMPORTRANGE(""https://docs.google.com/spreadsheets/d/1OYoGg4WDg5RIzwGeB10padOxJF9E_Vljuvvct_M7RDo/edit?usp=sharing"",""ปทุมธานี!I661"")+IMPORTRANGE(""https://docs.google.com/spreadsheets/d/1GbCI"&amp;"E4D4wk9FUozzqk7SxfDMxDVBwVmI5zcaVUSzKAc/edit?usp=sharing"",""ประจวบคีรีขันธ์!I661"")+IMPORTRANGE(""https://docs.google.com/spreadsheets/d/1vVf6wykvW_lAyu7Yo9L4hUTqHqIeP_qcVuxCtosJEbg/edit?usp=sharing"",""ปราจีนบุรี!I661"")+IMPORTRANGE(""https://docs.googl"&amp;"e.com/spreadsheets/d/1BIDqLLg5jk3v59G8NlR8rk5xfQDKne0sAvZHSj7TI6I/edit?usp=sharing"",""พระนครศรีอยุธยา!I661"")+IMPORTRANGE(""https://docs.google.com/spreadsheets/d/1YXvxf8Yu6_rV4hTBrwMqAcAnv6DfhUxh5emyM3CJp_w/edit?usp=sharing"",""เพชรบุรี!I661"")+IMPORTRA"&amp;"NGE(""https://docs.google.com/spreadsheets/d/19KBlQQs7uwvsao6t2n-KvW3Ax8J8uRRfZPq1zPbXgKc/edit?usp=sharing"",""ระยอง!I661"")+IMPORTRANGE(""https://docs.google.com/spreadsheets/d/1jQ6P4QcrGM89YfqcC_PxOHGCMq5ezhucwJd8ci-NHng/edit?usp=sharing"",""ราชบุรี!I66"&amp;"1"")+IMPORTRANGE(""https://docs.google.com/spreadsheets/d/1lufeA2cfFqM-elVq2hznhDzC6Pr7wkJ9ZG_sYNGCMCU/edit?usp=sharing"",""ลพบุรี!I661"")+IMPORTRANGE(""https://docs.google.com/spreadsheets/d/10oOiF7loTyfsTkbd4MpaIm0HQ9SwB7IYHdIUvt-U1Uc/edit?usp=sharing"""&amp;",""สระแก้ว!I661"")+IMPORTRANGE(""https://docs.google.com/spreadsheets/d/1xmPlrr1QbdSIKvl1dWUl9K4PjAfSL9oeMr_37QVzcxc/edit?usp=sharing"",""สระบุรี!I661"")+IMPORTRANGE(""https://docs.google.com/spreadsheets/d/1j51vR6CYVGhABJpv6tkstgok82RLpXieLzW1yOY5rHw/edi"&amp;"t?usp=sharing"",""สิงห์บุรี!I661"")+IMPORTRANGE(""https://docs.google.com/spreadsheets/d/1H1EalTWKUSzO4Z1-1CwzoDUaVffgrThEBe2sl74kKG0/edit?usp=sharing"",""สุพรรณบุรี!I661"")+IMPORTRANGE(""https://docs.google.com/spreadsheets/d/1BmIruG_sIrJLYao_Pdr7zVArWsf"&amp;"oBt2692TMi6x_854/edit?usp=sharing"",""อ่างทอง!I661"")"),1250)</f>
        <v>1250</v>
      </c>
      <c r="J661" s="603">
        <f ca="1">J667+J670</f>
        <v>393.88</v>
      </c>
      <c r="K661" s="266">
        <f ca="1">IF(I661&gt;0,J661*100/I661,0)</f>
        <v>31.510400000000001</v>
      </c>
      <c r="L661" s="90"/>
      <c r="M661" s="90"/>
      <c r="N661" s="732"/>
      <c r="O661" s="90"/>
      <c r="P661" s="90"/>
      <c r="Q661" s="89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f ca="1">IFERROR(__xludf.DUMMYFUNCTION("IMPORTRANGE(""https://docs.google.com/spreadsheets/d/13wPX838HrBrQMCywv1BsuMkt4PEKTChp52zj44s2izQ/edit?usp=sharing"",""กาญจนบุรี!J662"")+IMPORTRANGE(""https://docs.google.com/spreadsheets/d/1ddFKvqj1W1NEiWytbGlB1zMx_ykJDVtmfEQ-6-lIUBA/edit?usp=sharing"","&amp;"""จันทบุรี!J662"")+IMPORTRANGE(""https://docs.google.com/spreadsheets/d/1T1PQvRODqOBZk8BRht_U031fIS1beLA0Ub2CEytj2q0/edit?usp=sharing"",""ฉะเชิงเทรา!J662"")+IMPORTRANGE(""https://docs.google.com/spreadsheets/d/11tr1B-Bhyr79v2bkwVh5h_fR-PStkgjlZtkrZpYurG0/"&amp;"edit?usp=sharing"",""ชลบุรี!J662"")+IMPORTRANGE(""https://docs.google.com/spreadsheets/d/1hh-FVnSX0vozXhGluamEcS54Dw9_zqW0N7qJUWgJ0Sw/edit?usp=sharing"",""ชัยนาท!J662"")+IMPORTRANGE(""https://docs.google.com/spreadsheets/d/1jkqa6GXxSacMcY1eN8AHjMNJ_7dDXMJ"&amp;"VRLDlaFSOdPM/edit?usp=sharing"",""ตราด!J662"")+IMPORTRANGE(""https://docs.google.com/spreadsheets/d/18hSgUJ3VwClqi_qtULmmW3cLr0oe3OKaSYoKzdpTsYQ/edit?usp=sharing"",""นครนายก!J662"")+IMPORTRANGE(""https://docs.google.com/spreadsheets/d/1YTZo6WM2dQ6Ix6FSdnL"&amp;"5P7uVnVKu40sxZu975tgG10E/edit?usp=sharing"",""นครปฐม!J662"")+IMPORTRANGE(""https://docs.google.com/spreadsheets/d/1OYoGg4WDg5RIzwGeB10padOxJF9E_Vljuvvct_M7RDo/edit?usp=sharing"",""ปทุมธานี!J662"")+IMPORTRANGE(""https://docs.google.com/spreadsheets/d/1GbCI"&amp;"E4D4wk9FUozzqk7SxfDMxDVBwVmI5zcaVUSzKAc/edit?usp=sharing"",""ประจวบคีรีขันธ์!J662"")+IMPORTRANGE(""https://docs.google.com/spreadsheets/d/1vVf6wykvW_lAyu7Yo9L4hUTqHqIeP_qcVuxCtosJEbg/edit?usp=sharing"",""ปราจีนบุรี!J662"")+IMPORTRANGE(""https://docs.googl"&amp;"e.com/spreadsheets/d/1BIDqLLg5jk3v59G8NlR8rk5xfQDKne0sAvZHSj7TI6I/edit?usp=sharing"",""พระนครศรีอยุธยา!J662"")+IMPORTRANGE(""https://docs.google.com/spreadsheets/d/1YXvxf8Yu6_rV4hTBrwMqAcAnv6DfhUxh5emyM3CJp_w/edit?usp=sharing"",""เพชรบุรี!J662"")+IMPORTRA"&amp;"NGE(""https://docs.google.com/spreadsheets/d/19KBlQQs7uwvsao6t2n-KvW3Ax8J8uRRfZPq1zPbXgKc/edit?usp=sharing"",""ระยอง!J662"")+IMPORTRANGE(""https://docs.google.com/spreadsheets/d/1jQ6P4QcrGM89YfqcC_PxOHGCMq5ezhucwJd8ci-NHng/edit?usp=sharing"",""ราชบุรี!J66"&amp;"2"")+IMPORTRANGE(""https://docs.google.com/spreadsheets/d/1lufeA2cfFqM-elVq2hznhDzC6Pr7wkJ9ZG_sYNGCMCU/edit?usp=sharing"",""ลพบุรี!J662"")+IMPORTRANGE(""https://docs.google.com/spreadsheets/d/10oOiF7loTyfsTkbd4MpaIm0HQ9SwB7IYHdIUvt-U1Uc/edit?usp=sharing"""&amp;",""สระแก้ว!J662"")+IMPORTRANGE(""https://docs.google.com/spreadsheets/d/1xmPlrr1QbdSIKvl1dWUl9K4PjAfSL9oeMr_37QVzcxc/edit?usp=sharing"",""สระบุรี!J662"")+IMPORTRANGE(""https://docs.google.com/spreadsheets/d/1j51vR6CYVGhABJpv6tkstgok82RLpXieLzW1yOY5rHw/edi"&amp;"t?usp=sharing"",""สิงห์บุรี!J662"")+IMPORTRANGE(""https://docs.google.com/spreadsheets/d/1H1EalTWKUSzO4Z1-1CwzoDUaVffgrThEBe2sl74kKG0/edit?usp=sharing"",""สุพรรณบุรี!J662"")+IMPORTRANGE(""https://docs.google.com/spreadsheets/d/1BmIruG_sIrJLYao_Pdr7zVArWsf"&amp;"oBt2692TMi6x_854/edit?usp=sharing"",""อ่างทอง!J662"")"),0)</f>
        <v>0</v>
      </c>
      <c r="K662" s="90"/>
      <c r="L662" s="732"/>
      <c r="M662" s="90"/>
      <c r="N662" s="732"/>
      <c r="O662" s="90"/>
      <c r="P662" s="90"/>
      <c r="Q662" s="734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f ca="1">IFERROR(__xludf.DUMMYFUNCTION("IMPORTRANGE(""https://docs.google.com/spreadsheets/d/13wPX838HrBrQMCywv1BsuMkt4PEKTChp52zj44s2izQ/edit?usp=sharing"",""กาญจนบุรี!J663"")+IMPORTRANGE(""https://docs.google.com/spreadsheets/d/1ddFKvqj1W1NEiWytbGlB1zMx_ykJDVtmfEQ-6-lIUBA/edit?usp=sharing"","&amp;"""จันทบุรี!J663"")+IMPORTRANGE(""https://docs.google.com/spreadsheets/d/1T1PQvRODqOBZk8BRht_U031fIS1beLA0Ub2CEytj2q0/edit?usp=sharing"",""ฉะเชิงเทรา!J663"")+IMPORTRANGE(""https://docs.google.com/spreadsheets/d/11tr1B-Bhyr79v2bkwVh5h_fR-PStkgjlZtkrZpYurG0/"&amp;"edit?usp=sharing"",""ชลบุรี!J663"")+IMPORTRANGE(""https://docs.google.com/spreadsheets/d/1hh-FVnSX0vozXhGluamEcS54Dw9_zqW0N7qJUWgJ0Sw/edit?usp=sharing"",""ชัยนาท!J663"")+IMPORTRANGE(""https://docs.google.com/spreadsheets/d/1jkqa6GXxSacMcY1eN8AHjMNJ_7dDXMJ"&amp;"VRLDlaFSOdPM/edit?usp=sharing"",""ตราด!J663"")+IMPORTRANGE(""https://docs.google.com/spreadsheets/d/18hSgUJ3VwClqi_qtULmmW3cLr0oe3OKaSYoKzdpTsYQ/edit?usp=sharing"",""นครนายก!J663"")+IMPORTRANGE(""https://docs.google.com/spreadsheets/d/1YTZo6WM2dQ6Ix6FSdnL"&amp;"5P7uVnVKu40sxZu975tgG10E/edit?usp=sharing"",""นครปฐม!J663"")+IMPORTRANGE(""https://docs.google.com/spreadsheets/d/1OYoGg4WDg5RIzwGeB10padOxJF9E_Vljuvvct_M7RDo/edit?usp=sharing"",""ปทุมธานี!J663"")+IMPORTRANGE(""https://docs.google.com/spreadsheets/d/1GbCI"&amp;"E4D4wk9FUozzqk7SxfDMxDVBwVmI5zcaVUSzKAc/edit?usp=sharing"",""ประจวบคีรีขันธ์!J663"")+IMPORTRANGE(""https://docs.google.com/spreadsheets/d/1vVf6wykvW_lAyu7Yo9L4hUTqHqIeP_qcVuxCtosJEbg/edit?usp=sharing"",""ปราจีนบุรี!J663"")+IMPORTRANGE(""https://docs.googl"&amp;"e.com/spreadsheets/d/1BIDqLLg5jk3v59G8NlR8rk5xfQDKne0sAvZHSj7TI6I/edit?usp=sharing"",""พระนครศรีอยุธยา!J663"")+IMPORTRANGE(""https://docs.google.com/spreadsheets/d/1YXvxf8Yu6_rV4hTBrwMqAcAnv6DfhUxh5emyM3CJp_w/edit?usp=sharing"",""เพชรบุรี!J663"")+IMPORTRA"&amp;"NGE(""https://docs.google.com/spreadsheets/d/19KBlQQs7uwvsao6t2n-KvW3Ax8J8uRRfZPq1zPbXgKc/edit?usp=sharing"",""ระยอง!J663"")+IMPORTRANGE(""https://docs.google.com/spreadsheets/d/1jQ6P4QcrGM89YfqcC_PxOHGCMq5ezhucwJd8ci-NHng/edit?usp=sharing"",""ราชบุรี!J66"&amp;"3"")+IMPORTRANGE(""https://docs.google.com/spreadsheets/d/1lufeA2cfFqM-elVq2hznhDzC6Pr7wkJ9ZG_sYNGCMCU/edit?usp=sharing"",""ลพบุรี!J663"")+IMPORTRANGE(""https://docs.google.com/spreadsheets/d/10oOiF7loTyfsTkbd4MpaIm0HQ9SwB7IYHdIUvt-U1Uc/edit?usp=sharing"""&amp;",""สระแก้ว!J663"")+IMPORTRANGE(""https://docs.google.com/spreadsheets/d/1xmPlrr1QbdSIKvl1dWUl9K4PjAfSL9oeMr_37QVzcxc/edit?usp=sharing"",""สระบุรี!J663"")+IMPORTRANGE(""https://docs.google.com/spreadsheets/d/1j51vR6CYVGhABJpv6tkstgok82RLpXieLzW1yOY5rHw/edi"&amp;"t?usp=sharing"",""สิงห์บุรี!J663"")+IMPORTRANGE(""https://docs.google.com/spreadsheets/d/1H1EalTWKUSzO4Z1-1CwzoDUaVffgrThEBe2sl74kKG0/edit?usp=sharing"",""สุพรรณบุรี!J663"")+IMPORTRANGE(""https://docs.google.com/spreadsheets/d/1BmIruG_sIrJLYao_Pdr7zVArWsf"&amp;"oBt2692TMi6x_854/edit?usp=sharing"",""อ่างทอง!J663"")"),0)</f>
        <v>0</v>
      </c>
      <c r="K663" s="90"/>
      <c r="L663" s="732"/>
      <c r="M663" s="90"/>
      <c r="N663" s="732"/>
      <c r="O663" s="90"/>
      <c r="P663" s="90"/>
      <c r="Q663" s="734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2"/>
      <c r="M664" s="90"/>
      <c r="N664" s="732"/>
      <c r="O664" s="90"/>
      <c r="P664" s="90"/>
      <c r="Q664" s="734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f ca="1">IFERROR(__xludf.DUMMYFUNCTION("IMPORTRANGE(""https://docs.google.com/spreadsheets/d/13wPX838HrBrQMCywv1BsuMkt4PEKTChp52zj44s2izQ/edit?usp=sharing"",""กาญจนบุรี!J665"")+IMPORTRANGE(""https://docs.google.com/spreadsheets/d/1ddFKvqj1W1NEiWytbGlB1zMx_ykJDVtmfEQ-6-lIUBA/edit?usp=sharing"","&amp;"""จันทบุรี!J665"")+IMPORTRANGE(""https://docs.google.com/spreadsheets/d/1T1PQvRODqOBZk8BRht_U031fIS1beLA0Ub2CEytj2q0/edit?usp=sharing"",""ฉะเชิงเทรา!J665"")+IMPORTRANGE(""https://docs.google.com/spreadsheets/d/11tr1B-Bhyr79v2bkwVh5h_fR-PStkgjlZtkrZpYurG0/"&amp;"edit?usp=sharing"",""ชลบุรี!J665"")+IMPORTRANGE(""https://docs.google.com/spreadsheets/d/1hh-FVnSX0vozXhGluamEcS54Dw9_zqW0N7qJUWgJ0Sw/edit?usp=sharing"",""ชัยนาท!J665"")+IMPORTRANGE(""https://docs.google.com/spreadsheets/d/1jkqa6GXxSacMcY1eN8AHjMNJ_7dDXMJ"&amp;"VRLDlaFSOdPM/edit?usp=sharing"",""ตราด!J665"")+IMPORTRANGE(""https://docs.google.com/spreadsheets/d/18hSgUJ3VwClqi_qtULmmW3cLr0oe3OKaSYoKzdpTsYQ/edit?usp=sharing"",""นครนายก!J665"")+IMPORTRANGE(""https://docs.google.com/spreadsheets/d/1YTZo6WM2dQ6Ix6FSdnL"&amp;"5P7uVnVKu40sxZu975tgG10E/edit?usp=sharing"",""นครปฐม!J665"")+IMPORTRANGE(""https://docs.google.com/spreadsheets/d/1OYoGg4WDg5RIzwGeB10padOxJF9E_Vljuvvct_M7RDo/edit?usp=sharing"",""ปทุมธานี!J665"")+IMPORTRANGE(""https://docs.google.com/spreadsheets/d/1GbCI"&amp;"E4D4wk9FUozzqk7SxfDMxDVBwVmI5zcaVUSzKAc/edit?usp=sharing"",""ประจวบคีรีขันธ์!J665"")+IMPORTRANGE(""https://docs.google.com/spreadsheets/d/1vVf6wykvW_lAyu7Yo9L4hUTqHqIeP_qcVuxCtosJEbg/edit?usp=sharing"",""ปราจีนบุรี!J665"")+IMPORTRANGE(""https://docs.googl"&amp;"e.com/spreadsheets/d/1BIDqLLg5jk3v59G8NlR8rk5xfQDKne0sAvZHSj7TI6I/edit?usp=sharing"",""พระนครศรีอยุธยา!J665"")+IMPORTRANGE(""https://docs.google.com/spreadsheets/d/1YXvxf8Yu6_rV4hTBrwMqAcAnv6DfhUxh5emyM3CJp_w/edit?usp=sharing"",""เพชรบุรี!J665"")+IMPORTRA"&amp;"NGE(""https://docs.google.com/spreadsheets/d/19KBlQQs7uwvsao6t2n-KvW3Ax8J8uRRfZPq1zPbXgKc/edit?usp=sharing"",""ระยอง!J665"")+IMPORTRANGE(""https://docs.google.com/spreadsheets/d/1jQ6P4QcrGM89YfqcC_PxOHGCMq5ezhucwJd8ci-NHng/edit?usp=sharing"",""ราชบุรี!J66"&amp;"5"")+IMPORTRANGE(""https://docs.google.com/spreadsheets/d/1lufeA2cfFqM-elVq2hznhDzC6Pr7wkJ9ZG_sYNGCMCU/edit?usp=sharing"",""ลพบุรี!J665"")+IMPORTRANGE(""https://docs.google.com/spreadsheets/d/10oOiF7loTyfsTkbd4MpaIm0HQ9SwB7IYHdIUvt-U1Uc/edit?usp=sharing"""&amp;",""สระแก้ว!J665"")+IMPORTRANGE(""https://docs.google.com/spreadsheets/d/1xmPlrr1QbdSIKvl1dWUl9K4PjAfSL9oeMr_37QVzcxc/edit?usp=sharing"",""สระบุรี!J665"")+IMPORTRANGE(""https://docs.google.com/spreadsheets/d/1j51vR6CYVGhABJpv6tkstgok82RLpXieLzW1yOY5rHw/edi"&amp;"t?usp=sharing"",""สิงห์บุรี!J665"")+IMPORTRANGE(""https://docs.google.com/spreadsheets/d/1H1EalTWKUSzO4Z1-1CwzoDUaVffgrThEBe2sl74kKG0/edit?usp=sharing"",""สุพรรณบุรี!J665"")+IMPORTRANGE(""https://docs.google.com/spreadsheets/d/1BmIruG_sIrJLYao_Pdr7zVArWsf"&amp;"oBt2692TMi6x_854/edit?usp=sharing"",""อ่างทอง!J665"")"),21)</f>
        <v>21</v>
      </c>
      <c r="K665" s="90"/>
      <c r="L665" s="732"/>
      <c r="M665" s="90"/>
      <c r="N665" s="732"/>
      <c r="O665" s="90"/>
      <c r="P665" s="90"/>
      <c r="Q665" s="734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f ca="1">IFERROR(__xludf.DUMMYFUNCTION("IMPORTRANGE(""https://docs.google.com/spreadsheets/d/13wPX838HrBrQMCywv1BsuMkt4PEKTChp52zj44s2izQ/edit?usp=sharing"",""กาญจนบุรี!J666"")+IMPORTRANGE(""https://docs.google.com/spreadsheets/d/1ddFKvqj1W1NEiWytbGlB1zMx_ykJDVtmfEQ-6-lIUBA/edit?usp=sharing"","&amp;"""จันทบุรี!J666"")+IMPORTRANGE(""https://docs.google.com/spreadsheets/d/1T1PQvRODqOBZk8BRht_U031fIS1beLA0Ub2CEytj2q0/edit?usp=sharing"",""ฉะเชิงเทรา!J666"")+IMPORTRANGE(""https://docs.google.com/spreadsheets/d/11tr1B-Bhyr79v2bkwVh5h_fR-PStkgjlZtkrZpYurG0/"&amp;"edit?usp=sharing"",""ชลบุรี!J666"")+IMPORTRANGE(""https://docs.google.com/spreadsheets/d/1hh-FVnSX0vozXhGluamEcS54Dw9_zqW0N7qJUWgJ0Sw/edit?usp=sharing"",""ชัยนาท!J666"")+IMPORTRANGE(""https://docs.google.com/spreadsheets/d/1jkqa6GXxSacMcY1eN8AHjMNJ_7dDXMJ"&amp;"VRLDlaFSOdPM/edit?usp=sharing"",""ตราด!J666"")+IMPORTRANGE(""https://docs.google.com/spreadsheets/d/18hSgUJ3VwClqi_qtULmmW3cLr0oe3OKaSYoKzdpTsYQ/edit?usp=sharing"",""นครนายก!J666"")+IMPORTRANGE(""https://docs.google.com/spreadsheets/d/1YTZo6WM2dQ6Ix6FSdnL"&amp;"5P7uVnVKu40sxZu975tgG10E/edit?usp=sharing"",""นครปฐม!J666"")+IMPORTRANGE(""https://docs.google.com/spreadsheets/d/1OYoGg4WDg5RIzwGeB10padOxJF9E_Vljuvvct_M7RDo/edit?usp=sharing"",""ปทุมธานี!J666"")+IMPORTRANGE(""https://docs.google.com/spreadsheets/d/1GbCI"&amp;"E4D4wk9FUozzqk7SxfDMxDVBwVmI5zcaVUSzKAc/edit?usp=sharing"",""ประจวบคีรีขันธ์!J666"")+IMPORTRANGE(""https://docs.google.com/spreadsheets/d/1vVf6wykvW_lAyu7Yo9L4hUTqHqIeP_qcVuxCtosJEbg/edit?usp=sharing"",""ปราจีนบุรี!J666"")+IMPORTRANGE(""https://docs.googl"&amp;"e.com/spreadsheets/d/1BIDqLLg5jk3v59G8NlR8rk5xfQDKne0sAvZHSj7TI6I/edit?usp=sharing"",""พระนครศรีอยุธยา!J666"")+IMPORTRANGE(""https://docs.google.com/spreadsheets/d/1YXvxf8Yu6_rV4hTBrwMqAcAnv6DfhUxh5emyM3CJp_w/edit?usp=sharing"",""เพชรบุรี!J666"")+IMPORTRA"&amp;"NGE(""https://docs.google.com/spreadsheets/d/19KBlQQs7uwvsao6t2n-KvW3Ax8J8uRRfZPq1zPbXgKc/edit?usp=sharing"",""ระยอง!J666"")+IMPORTRANGE(""https://docs.google.com/spreadsheets/d/1jQ6P4QcrGM89YfqcC_PxOHGCMq5ezhucwJd8ci-NHng/edit?usp=sharing"",""ราชบุรี!J66"&amp;"6"")+IMPORTRANGE(""https://docs.google.com/spreadsheets/d/1lufeA2cfFqM-elVq2hznhDzC6Pr7wkJ9ZG_sYNGCMCU/edit?usp=sharing"",""ลพบุรี!J666"")+IMPORTRANGE(""https://docs.google.com/spreadsheets/d/10oOiF7loTyfsTkbd4MpaIm0HQ9SwB7IYHdIUvt-U1Uc/edit?usp=sharing"""&amp;",""สระแก้ว!J666"")+IMPORTRANGE(""https://docs.google.com/spreadsheets/d/1xmPlrr1QbdSIKvl1dWUl9K4PjAfSL9oeMr_37QVzcxc/edit?usp=sharing"",""สระบุรี!J666"")+IMPORTRANGE(""https://docs.google.com/spreadsheets/d/1j51vR6CYVGhABJpv6tkstgok82RLpXieLzW1yOY5rHw/edi"&amp;"t?usp=sharing"",""สิงห์บุรี!J666"")+IMPORTRANGE(""https://docs.google.com/spreadsheets/d/1H1EalTWKUSzO4Z1-1CwzoDUaVffgrThEBe2sl74kKG0/edit?usp=sharing"",""สุพรรณบุรี!J666"")+IMPORTRANGE(""https://docs.google.com/spreadsheets/d/1BmIruG_sIrJLYao_Pdr7zVArWsf"&amp;"oBt2692TMi6x_854/edit?usp=sharing"",""อ่างทอง!J666"")"),27)</f>
        <v>27</v>
      </c>
      <c r="K666" s="90"/>
      <c r="L666" s="732"/>
      <c r="M666" s="90"/>
      <c r="N666" s="732"/>
      <c r="O666" s="90"/>
      <c r="P666" s="90"/>
      <c r="Q666" s="734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f ca="1">IFERROR(__xludf.DUMMYFUNCTION("IMPORTRANGE(""https://docs.google.com/spreadsheets/d/13wPX838HrBrQMCywv1BsuMkt4PEKTChp52zj44s2izQ/edit?usp=sharing"",""กาญจนบุรี!J667"")+IMPORTRANGE(""https://docs.google.com/spreadsheets/d/1ddFKvqj1W1NEiWytbGlB1zMx_ykJDVtmfEQ-6-lIUBA/edit?usp=sharing"","&amp;"""จันทบุรี!J667"")+IMPORTRANGE(""https://docs.google.com/spreadsheets/d/1T1PQvRODqOBZk8BRht_U031fIS1beLA0Ub2CEytj2q0/edit?usp=sharing"",""ฉะเชิงเทรา!J667"")+IMPORTRANGE(""https://docs.google.com/spreadsheets/d/11tr1B-Bhyr79v2bkwVh5h_fR-PStkgjlZtkrZpYurG0/"&amp;"edit?usp=sharing"",""ชลบุรี!J667"")+IMPORTRANGE(""https://docs.google.com/spreadsheets/d/1hh-FVnSX0vozXhGluamEcS54Dw9_zqW0N7qJUWgJ0Sw/edit?usp=sharing"",""ชัยนาท!J667"")+IMPORTRANGE(""https://docs.google.com/spreadsheets/d/1jkqa6GXxSacMcY1eN8AHjMNJ_7dDXMJ"&amp;"VRLDlaFSOdPM/edit?usp=sharing"",""ตราด!J667"")+IMPORTRANGE(""https://docs.google.com/spreadsheets/d/18hSgUJ3VwClqi_qtULmmW3cLr0oe3OKaSYoKzdpTsYQ/edit?usp=sharing"",""นครนายก!J667"")+IMPORTRANGE(""https://docs.google.com/spreadsheets/d/1YTZo6WM2dQ6Ix6FSdnL"&amp;"5P7uVnVKu40sxZu975tgG10E/edit?usp=sharing"",""นครปฐม!J667"")+IMPORTRANGE(""https://docs.google.com/spreadsheets/d/1OYoGg4WDg5RIzwGeB10padOxJF9E_Vljuvvct_M7RDo/edit?usp=sharing"",""ปทุมธานี!J667"")+IMPORTRANGE(""https://docs.google.com/spreadsheets/d/1GbCI"&amp;"E4D4wk9FUozzqk7SxfDMxDVBwVmI5zcaVUSzKAc/edit?usp=sharing"",""ประจวบคีรีขันธ์!J667"")+IMPORTRANGE(""https://docs.google.com/spreadsheets/d/1vVf6wykvW_lAyu7Yo9L4hUTqHqIeP_qcVuxCtosJEbg/edit?usp=sharing"",""ปราจีนบุรี!J667"")+IMPORTRANGE(""https://docs.googl"&amp;"e.com/spreadsheets/d/1BIDqLLg5jk3v59G8NlR8rk5xfQDKne0sAvZHSj7TI6I/edit?usp=sharing"",""พระนครศรีอยุธยา!J667"")+IMPORTRANGE(""https://docs.google.com/spreadsheets/d/1YXvxf8Yu6_rV4hTBrwMqAcAnv6DfhUxh5emyM3CJp_w/edit?usp=sharing"",""เพชรบุรี!J667"")+IMPORTRA"&amp;"NGE(""https://docs.google.com/spreadsheets/d/19KBlQQs7uwvsao6t2n-KvW3Ax8J8uRRfZPq1zPbXgKc/edit?usp=sharing"",""ระยอง!J667"")+IMPORTRANGE(""https://docs.google.com/spreadsheets/d/1jQ6P4QcrGM89YfqcC_PxOHGCMq5ezhucwJd8ci-NHng/edit?usp=sharing"",""ราชบุรี!J66"&amp;"7"")+IMPORTRANGE(""https://docs.google.com/spreadsheets/d/1lufeA2cfFqM-elVq2hznhDzC6Pr7wkJ9ZG_sYNGCMCU/edit?usp=sharing"",""ลพบุรี!J667"")+IMPORTRANGE(""https://docs.google.com/spreadsheets/d/10oOiF7loTyfsTkbd4MpaIm0HQ9SwB7IYHdIUvt-U1Uc/edit?usp=sharing"""&amp;",""สระแก้ว!J667"")+IMPORTRANGE(""https://docs.google.com/spreadsheets/d/1xmPlrr1QbdSIKvl1dWUl9K4PjAfSL9oeMr_37QVzcxc/edit?usp=sharing"",""สระบุรี!J667"")+IMPORTRANGE(""https://docs.google.com/spreadsheets/d/1j51vR6CYVGhABJpv6tkstgok82RLpXieLzW1yOY5rHw/edi"&amp;"t?usp=sharing"",""สิงห์บุรี!J667"")+IMPORTRANGE(""https://docs.google.com/spreadsheets/d/1H1EalTWKUSzO4Z1-1CwzoDUaVffgrThEBe2sl74kKG0/edit?usp=sharing"",""สุพรรณบุรี!J667"")+IMPORTRANGE(""https://docs.google.com/spreadsheets/d/1BmIruG_sIrJLYao_Pdr7zVArWsf"&amp;"oBt2692TMi6x_854/edit?usp=sharing"",""อ่างทอง!J667"")"),351.88)</f>
        <v>351.88</v>
      </c>
      <c r="K667" s="90"/>
      <c r="L667" s="732"/>
      <c r="M667" s="90"/>
      <c r="N667" s="732"/>
      <c r="O667" s="90"/>
      <c r="P667" s="90"/>
      <c r="Q667" s="734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f ca="1">IFERROR(__xludf.DUMMYFUNCTION("IMPORTRANGE(""https://docs.google.com/spreadsheets/d/13wPX838HrBrQMCywv1BsuMkt4PEKTChp52zj44s2izQ/edit?usp=sharing"",""กาญจนบุรี!J668"")+IMPORTRANGE(""https://docs.google.com/spreadsheets/d/1ddFKvqj1W1NEiWytbGlB1zMx_ykJDVtmfEQ-6-lIUBA/edit?usp=sharing"","&amp;"""จันทบุรี!J668"")+IMPORTRANGE(""https://docs.google.com/spreadsheets/d/1T1PQvRODqOBZk8BRht_U031fIS1beLA0Ub2CEytj2q0/edit?usp=sharing"",""ฉะเชิงเทรา!J668"")+IMPORTRANGE(""https://docs.google.com/spreadsheets/d/11tr1B-Bhyr79v2bkwVh5h_fR-PStkgjlZtkrZpYurG0/"&amp;"edit?usp=sharing"",""ชลบุรี!J668"")+IMPORTRANGE(""https://docs.google.com/spreadsheets/d/1hh-FVnSX0vozXhGluamEcS54Dw9_zqW0N7qJUWgJ0Sw/edit?usp=sharing"",""ชัยนาท!J668"")+IMPORTRANGE(""https://docs.google.com/spreadsheets/d/1jkqa6GXxSacMcY1eN8AHjMNJ_7dDXMJ"&amp;"VRLDlaFSOdPM/edit?usp=sharing"",""ตราด!J668"")+IMPORTRANGE(""https://docs.google.com/spreadsheets/d/18hSgUJ3VwClqi_qtULmmW3cLr0oe3OKaSYoKzdpTsYQ/edit?usp=sharing"",""นครนายก!J668"")+IMPORTRANGE(""https://docs.google.com/spreadsheets/d/1YTZo6WM2dQ6Ix6FSdnL"&amp;"5P7uVnVKu40sxZu975tgG10E/edit?usp=sharing"",""นครปฐม!J668"")+IMPORTRANGE(""https://docs.google.com/spreadsheets/d/1OYoGg4WDg5RIzwGeB10padOxJF9E_Vljuvvct_M7RDo/edit?usp=sharing"",""ปทุมธานี!J668"")+IMPORTRANGE(""https://docs.google.com/spreadsheets/d/1GbCI"&amp;"E4D4wk9FUozzqk7SxfDMxDVBwVmI5zcaVUSzKAc/edit?usp=sharing"",""ประจวบคีรีขันธ์!J668"")+IMPORTRANGE(""https://docs.google.com/spreadsheets/d/1vVf6wykvW_lAyu7Yo9L4hUTqHqIeP_qcVuxCtosJEbg/edit?usp=sharing"",""ปราจีนบุรี!J668"")+IMPORTRANGE(""https://docs.googl"&amp;"e.com/spreadsheets/d/1BIDqLLg5jk3v59G8NlR8rk5xfQDKne0sAvZHSj7TI6I/edit?usp=sharing"",""พระนครศรีอยุธยา!J668"")+IMPORTRANGE(""https://docs.google.com/spreadsheets/d/1YXvxf8Yu6_rV4hTBrwMqAcAnv6DfhUxh5emyM3CJp_w/edit?usp=sharing"",""เพชรบุรี!J668"")+IMPORTRA"&amp;"NGE(""https://docs.google.com/spreadsheets/d/19KBlQQs7uwvsao6t2n-KvW3Ax8J8uRRfZPq1zPbXgKc/edit?usp=sharing"",""ระยอง!J668"")+IMPORTRANGE(""https://docs.google.com/spreadsheets/d/1jQ6P4QcrGM89YfqcC_PxOHGCMq5ezhucwJd8ci-NHng/edit?usp=sharing"",""ราชบุรี!J66"&amp;"8"")+IMPORTRANGE(""https://docs.google.com/spreadsheets/d/1lufeA2cfFqM-elVq2hznhDzC6Pr7wkJ9ZG_sYNGCMCU/edit?usp=sharing"",""ลพบุรี!J668"")+IMPORTRANGE(""https://docs.google.com/spreadsheets/d/10oOiF7loTyfsTkbd4MpaIm0HQ9SwB7IYHdIUvt-U1Uc/edit?usp=sharing"""&amp;",""สระแก้ว!J668"")+IMPORTRANGE(""https://docs.google.com/spreadsheets/d/1xmPlrr1QbdSIKvl1dWUl9K4PjAfSL9oeMr_37QVzcxc/edit?usp=sharing"",""สระบุรี!J668"")+IMPORTRANGE(""https://docs.google.com/spreadsheets/d/1j51vR6CYVGhABJpv6tkstgok82RLpXieLzW1yOY5rHw/edi"&amp;"t?usp=sharing"",""สิงห์บุรี!J668"")+IMPORTRANGE(""https://docs.google.com/spreadsheets/d/1H1EalTWKUSzO4Z1-1CwzoDUaVffgrThEBe2sl74kKG0/edit?usp=sharing"",""สุพรรณบุรี!J668"")+IMPORTRANGE(""https://docs.google.com/spreadsheets/d/1BmIruG_sIrJLYao_Pdr7zVArWsf"&amp;"oBt2692TMi6x_854/edit?usp=sharing"",""อ่างทอง!J668"")"),4)</f>
        <v>4</v>
      </c>
      <c r="K668" s="90"/>
      <c r="L668" s="732"/>
      <c r="M668" s="90"/>
      <c r="N668" s="732"/>
      <c r="O668" s="90"/>
      <c r="P668" s="90"/>
      <c r="Q668" s="734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f ca="1">IFERROR(__xludf.DUMMYFUNCTION("IMPORTRANGE(""https://docs.google.com/spreadsheets/d/13wPX838HrBrQMCywv1BsuMkt4PEKTChp52zj44s2izQ/edit?usp=sharing"",""กาญจนบุรี!J669"")+IMPORTRANGE(""https://docs.google.com/spreadsheets/d/1ddFKvqj1W1NEiWytbGlB1zMx_ykJDVtmfEQ-6-lIUBA/edit?usp=sharing"","&amp;"""จันทบุรี!J669"")+IMPORTRANGE(""https://docs.google.com/spreadsheets/d/1T1PQvRODqOBZk8BRht_U031fIS1beLA0Ub2CEytj2q0/edit?usp=sharing"",""ฉะเชิงเทรา!J669"")+IMPORTRANGE(""https://docs.google.com/spreadsheets/d/11tr1B-Bhyr79v2bkwVh5h_fR-PStkgjlZtkrZpYurG0/"&amp;"edit?usp=sharing"",""ชลบุรี!J669"")+IMPORTRANGE(""https://docs.google.com/spreadsheets/d/1hh-FVnSX0vozXhGluamEcS54Dw9_zqW0N7qJUWgJ0Sw/edit?usp=sharing"",""ชัยนาท!J669"")+IMPORTRANGE(""https://docs.google.com/spreadsheets/d/1jkqa6GXxSacMcY1eN8AHjMNJ_7dDXMJ"&amp;"VRLDlaFSOdPM/edit?usp=sharing"",""ตราด!J669"")+IMPORTRANGE(""https://docs.google.com/spreadsheets/d/18hSgUJ3VwClqi_qtULmmW3cLr0oe3OKaSYoKzdpTsYQ/edit?usp=sharing"",""นครนายก!J669"")+IMPORTRANGE(""https://docs.google.com/spreadsheets/d/1YTZo6WM2dQ6Ix6FSdnL"&amp;"5P7uVnVKu40sxZu975tgG10E/edit?usp=sharing"",""นครปฐม!J669"")+IMPORTRANGE(""https://docs.google.com/spreadsheets/d/1OYoGg4WDg5RIzwGeB10padOxJF9E_Vljuvvct_M7RDo/edit?usp=sharing"",""ปทุมธานี!J669"")+IMPORTRANGE(""https://docs.google.com/spreadsheets/d/1GbCI"&amp;"E4D4wk9FUozzqk7SxfDMxDVBwVmI5zcaVUSzKAc/edit?usp=sharing"",""ประจวบคีรีขันธ์!J669"")+IMPORTRANGE(""https://docs.google.com/spreadsheets/d/1vVf6wykvW_lAyu7Yo9L4hUTqHqIeP_qcVuxCtosJEbg/edit?usp=sharing"",""ปราจีนบุรี!J669"")+IMPORTRANGE(""https://docs.googl"&amp;"e.com/spreadsheets/d/1BIDqLLg5jk3v59G8NlR8rk5xfQDKne0sAvZHSj7TI6I/edit?usp=sharing"",""พระนครศรีอยุธยา!J669"")+IMPORTRANGE(""https://docs.google.com/spreadsheets/d/1YXvxf8Yu6_rV4hTBrwMqAcAnv6DfhUxh5emyM3CJp_w/edit?usp=sharing"",""เพชรบุรี!J669"")+IMPORTRA"&amp;"NGE(""https://docs.google.com/spreadsheets/d/19KBlQQs7uwvsao6t2n-KvW3Ax8J8uRRfZPq1zPbXgKc/edit?usp=sharing"",""ระยอง!J669"")+IMPORTRANGE(""https://docs.google.com/spreadsheets/d/1jQ6P4QcrGM89YfqcC_PxOHGCMq5ezhucwJd8ci-NHng/edit?usp=sharing"",""ราชบุรี!J66"&amp;"9"")+IMPORTRANGE(""https://docs.google.com/spreadsheets/d/1lufeA2cfFqM-elVq2hznhDzC6Pr7wkJ9ZG_sYNGCMCU/edit?usp=sharing"",""ลพบุรี!J669"")+IMPORTRANGE(""https://docs.google.com/spreadsheets/d/10oOiF7loTyfsTkbd4MpaIm0HQ9SwB7IYHdIUvt-U1Uc/edit?usp=sharing"""&amp;",""สระแก้ว!J669"")+IMPORTRANGE(""https://docs.google.com/spreadsheets/d/1xmPlrr1QbdSIKvl1dWUl9K4PjAfSL9oeMr_37QVzcxc/edit?usp=sharing"",""สระบุรี!J669"")+IMPORTRANGE(""https://docs.google.com/spreadsheets/d/1j51vR6CYVGhABJpv6tkstgok82RLpXieLzW1yOY5rHw/edi"&amp;"t?usp=sharing"",""สิงห์บุรี!J669"")+IMPORTRANGE(""https://docs.google.com/spreadsheets/d/1H1EalTWKUSzO4Z1-1CwzoDUaVffgrThEBe2sl74kKG0/edit?usp=sharing"",""สุพรรณบุรี!J669"")+IMPORTRANGE(""https://docs.google.com/spreadsheets/d/1BmIruG_sIrJLYao_Pdr7zVArWsf"&amp;"oBt2692TMi6x_854/edit?usp=sharing"",""อ่างทอง!J669"")"),4)</f>
        <v>4</v>
      </c>
      <c r="K669" s="90"/>
      <c r="L669" s="732"/>
      <c r="M669" s="90"/>
      <c r="N669" s="732"/>
      <c r="O669" s="90"/>
      <c r="P669" s="90"/>
      <c r="Q669" s="734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f ca="1">IFERROR(__xludf.DUMMYFUNCTION("IMPORTRANGE(""https://docs.google.com/spreadsheets/d/13wPX838HrBrQMCywv1BsuMkt4PEKTChp52zj44s2izQ/edit?usp=sharing"",""กาญจนบุรี!J670"")+IMPORTRANGE(""https://docs.google.com/spreadsheets/d/1ddFKvqj1W1NEiWytbGlB1zMx_ykJDVtmfEQ-6-lIUBA/edit?usp=sharing"","&amp;"""จันทบุรี!J670"")+IMPORTRANGE(""https://docs.google.com/spreadsheets/d/1T1PQvRODqOBZk8BRht_U031fIS1beLA0Ub2CEytj2q0/edit?usp=sharing"",""ฉะเชิงเทรา!J670"")+IMPORTRANGE(""https://docs.google.com/spreadsheets/d/11tr1B-Bhyr79v2bkwVh5h_fR-PStkgjlZtkrZpYurG0/"&amp;"edit?usp=sharing"",""ชลบุรี!J670"")+IMPORTRANGE(""https://docs.google.com/spreadsheets/d/1hh-FVnSX0vozXhGluamEcS54Dw9_zqW0N7qJUWgJ0Sw/edit?usp=sharing"",""ชัยนาท!J670"")+IMPORTRANGE(""https://docs.google.com/spreadsheets/d/1jkqa6GXxSacMcY1eN8AHjMNJ_7dDXMJ"&amp;"VRLDlaFSOdPM/edit?usp=sharing"",""ตราด!J670"")+IMPORTRANGE(""https://docs.google.com/spreadsheets/d/18hSgUJ3VwClqi_qtULmmW3cLr0oe3OKaSYoKzdpTsYQ/edit?usp=sharing"",""นครนายก!J670"")+IMPORTRANGE(""https://docs.google.com/spreadsheets/d/1YTZo6WM2dQ6Ix6FSdnL"&amp;"5P7uVnVKu40sxZu975tgG10E/edit?usp=sharing"",""นครปฐม!J670"")+IMPORTRANGE(""https://docs.google.com/spreadsheets/d/1OYoGg4WDg5RIzwGeB10padOxJF9E_Vljuvvct_M7RDo/edit?usp=sharing"",""ปทุมธานี!J670"")+IMPORTRANGE(""https://docs.google.com/spreadsheets/d/1GbCI"&amp;"E4D4wk9FUozzqk7SxfDMxDVBwVmI5zcaVUSzKAc/edit?usp=sharing"",""ประจวบคีรีขันธ์!J670"")+IMPORTRANGE(""https://docs.google.com/spreadsheets/d/1vVf6wykvW_lAyu7Yo9L4hUTqHqIeP_qcVuxCtosJEbg/edit?usp=sharing"",""ปราจีนบุรี!J670"")+IMPORTRANGE(""https://docs.googl"&amp;"e.com/spreadsheets/d/1BIDqLLg5jk3v59G8NlR8rk5xfQDKne0sAvZHSj7TI6I/edit?usp=sharing"",""พระนครศรีอยุธยา!J670"")+IMPORTRANGE(""https://docs.google.com/spreadsheets/d/1YXvxf8Yu6_rV4hTBrwMqAcAnv6DfhUxh5emyM3CJp_w/edit?usp=sharing"",""เพชรบุรี!J670"")+IMPORTRA"&amp;"NGE(""https://docs.google.com/spreadsheets/d/19KBlQQs7uwvsao6t2n-KvW3Ax8J8uRRfZPq1zPbXgKc/edit?usp=sharing"",""ระยอง!J670"")+IMPORTRANGE(""https://docs.google.com/spreadsheets/d/1jQ6P4QcrGM89YfqcC_PxOHGCMq5ezhucwJd8ci-NHng/edit?usp=sharing"",""ราชบุรี!J67"&amp;"0"")+IMPORTRANGE(""https://docs.google.com/spreadsheets/d/1lufeA2cfFqM-elVq2hznhDzC6Pr7wkJ9ZG_sYNGCMCU/edit?usp=sharing"",""ลพบุรี!J670"")+IMPORTRANGE(""https://docs.google.com/spreadsheets/d/10oOiF7loTyfsTkbd4MpaIm0HQ9SwB7IYHdIUvt-U1Uc/edit?usp=sharing"""&amp;",""สระแก้ว!J670"")+IMPORTRANGE(""https://docs.google.com/spreadsheets/d/1xmPlrr1QbdSIKvl1dWUl9K4PjAfSL9oeMr_37QVzcxc/edit?usp=sharing"",""สระบุรี!J670"")+IMPORTRANGE(""https://docs.google.com/spreadsheets/d/1j51vR6CYVGhABJpv6tkstgok82RLpXieLzW1yOY5rHw/edi"&amp;"t?usp=sharing"",""สิงห์บุรี!J670"")+IMPORTRANGE(""https://docs.google.com/spreadsheets/d/1H1EalTWKUSzO4Z1-1CwzoDUaVffgrThEBe2sl74kKG0/edit?usp=sharing"",""สุพรรณบุรี!J670"")+IMPORTRANGE(""https://docs.google.com/spreadsheets/d/1BmIruG_sIrJLYao_Pdr7zVArWsf"&amp;"oBt2692TMi6x_854/edit?usp=sharing"",""อ่างทอง!J670"")"),42)</f>
        <v>42</v>
      </c>
      <c r="K670" s="90"/>
      <c r="L670" s="732"/>
      <c r="M670" s="90"/>
      <c r="N670" s="732"/>
      <c r="O670" s="90"/>
      <c r="P670" s="90"/>
      <c r="Q670" s="734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13wPX838HrBrQMCywv1BsuMkt4PEKTChp52zj44s2izQ/edit?usp=sharing"",""กาญจนบุรี!J671"")+IMPORTRANGE(""https://docs.google.com/spreadsheets/d/1ddFKvqj1W1NEiWytbGlB1zMx_ykJDVtmfEQ-6-lIUBA/edit?usp=sharing"","&amp;"""จันทบุรี!J671"")+IMPORTRANGE(""https://docs.google.com/spreadsheets/d/1T1PQvRODqOBZk8BRht_U031fIS1beLA0Ub2CEytj2q0/edit?usp=sharing"",""ฉะเชิงเทรา!J671"")+IMPORTRANGE(""https://docs.google.com/spreadsheets/d/11tr1B-Bhyr79v2bkwVh5h_fR-PStkgjlZtkrZpYurG0/"&amp;"edit?usp=sharing"",""ชลบุรี!J671"")+IMPORTRANGE(""https://docs.google.com/spreadsheets/d/1hh-FVnSX0vozXhGluamEcS54Dw9_zqW0N7qJUWgJ0Sw/edit?usp=sharing"",""ชัยนาท!J671"")+IMPORTRANGE(""https://docs.google.com/spreadsheets/d/1jkqa6GXxSacMcY1eN8AHjMNJ_7dDXMJ"&amp;"VRLDlaFSOdPM/edit?usp=sharing"",""ตราด!J671"")+IMPORTRANGE(""https://docs.google.com/spreadsheets/d/18hSgUJ3VwClqi_qtULmmW3cLr0oe3OKaSYoKzdpTsYQ/edit?usp=sharing"",""นครนายก!J671"")+IMPORTRANGE(""https://docs.google.com/spreadsheets/d/1YTZo6WM2dQ6Ix6FSdnL"&amp;"5P7uVnVKu40sxZu975tgG10E/edit?usp=sharing"",""นครปฐม!J671"")+IMPORTRANGE(""https://docs.google.com/spreadsheets/d/1OYoGg4WDg5RIzwGeB10padOxJF9E_Vljuvvct_M7RDo/edit?usp=sharing"",""ปทุมธานี!J671"")+IMPORTRANGE(""https://docs.google.com/spreadsheets/d/1GbCI"&amp;"E4D4wk9FUozzqk7SxfDMxDVBwVmI5zcaVUSzKAc/edit?usp=sharing"",""ประจวบคีรีขันธ์!J671"")+IMPORTRANGE(""https://docs.google.com/spreadsheets/d/1vVf6wykvW_lAyu7Yo9L4hUTqHqIeP_qcVuxCtosJEbg/edit?usp=sharing"",""ปราจีนบุรี!J671"")+IMPORTRANGE(""https://docs.googl"&amp;"e.com/spreadsheets/d/1BIDqLLg5jk3v59G8NlR8rk5xfQDKne0sAvZHSj7TI6I/edit?usp=sharing"",""พระนครศรีอยุธยา!J671"")+IMPORTRANGE(""https://docs.google.com/spreadsheets/d/1YXvxf8Yu6_rV4hTBrwMqAcAnv6DfhUxh5emyM3CJp_w/edit?usp=sharing"",""เพชรบุรี!J671"")+IMPORTRA"&amp;"NGE(""https://docs.google.com/spreadsheets/d/19KBlQQs7uwvsao6t2n-KvW3Ax8J8uRRfZPq1zPbXgKc/edit?usp=sharing"",""ระยอง!J671"")+IMPORTRANGE(""https://docs.google.com/spreadsheets/d/1jQ6P4QcrGM89YfqcC_PxOHGCMq5ezhucwJd8ci-NHng/edit?usp=sharing"",""ราชบุรี!J67"&amp;"1"")+IMPORTRANGE(""https://docs.google.com/spreadsheets/d/1lufeA2cfFqM-elVq2hznhDzC6Pr7wkJ9ZG_sYNGCMCU/edit?usp=sharing"",""ลพบุรี!J671"")+IMPORTRANGE(""https://docs.google.com/spreadsheets/d/10oOiF7loTyfsTkbd4MpaIm0HQ9SwB7IYHdIUvt-U1Uc/edit?usp=sharing"""&amp;",""สระแก้ว!J671"")+IMPORTRANGE(""https://docs.google.com/spreadsheets/d/1xmPlrr1QbdSIKvl1dWUl9K4PjAfSL9oeMr_37QVzcxc/edit?usp=sharing"",""สระบุรี!J671"")+IMPORTRANGE(""https://docs.google.com/spreadsheets/d/1j51vR6CYVGhABJpv6tkstgok82RLpXieLzW1yOY5rHw/edi"&amp;"t?usp=sharing"",""สิงห์บุรี!J671"")+IMPORTRANGE(""https://docs.google.com/spreadsheets/d/1H1EalTWKUSzO4Z1-1CwzoDUaVffgrThEBe2sl74kKG0/edit?usp=sharing"",""สุพรรณบุรี!J671"")+IMPORTRANGE(""https://docs.google.com/spreadsheets/d/1BmIruG_sIrJLYao_Pdr7zVArWsf"&amp;"oBt2692TMi6x_854/edit?usp=sharing"",""อ่างทอง!J671"")"),87)</f>
        <v>87</v>
      </c>
      <c r="K671" s="90"/>
      <c r="L671" s="90"/>
      <c r="M671" s="90"/>
      <c r="N671" s="732"/>
      <c r="O671" s="90"/>
      <c r="P671" s="90"/>
      <c r="Q671" s="89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13wPX838HrBrQMCywv1BsuMkt4PEKTChp52zj44s2izQ/edit?usp=sharing"",""กาญจนบุรี!J672"")+IMPORTRANGE(""https://docs.google.com/spreadsheets/d/1ddFKvqj1W1NEiWytbGlB1zMx_ykJDVtmfEQ-6-lIUBA/edit?usp=sharing"","&amp;"""จันทบุรี!J672"")+IMPORTRANGE(""https://docs.google.com/spreadsheets/d/1T1PQvRODqOBZk8BRht_U031fIS1beLA0Ub2CEytj2q0/edit?usp=sharing"",""ฉะเชิงเทรา!J672"")+IMPORTRANGE(""https://docs.google.com/spreadsheets/d/11tr1B-Bhyr79v2bkwVh5h_fR-PStkgjlZtkrZpYurG0/"&amp;"edit?usp=sharing"",""ชลบุรี!J672"")+IMPORTRANGE(""https://docs.google.com/spreadsheets/d/1hh-FVnSX0vozXhGluamEcS54Dw9_zqW0N7qJUWgJ0Sw/edit?usp=sharing"",""ชัยนาท!J672"")+IMPORTRANGE(""https://docs.google.com/spreadsheets/d/1jkqa6GXxSacMcY1eN8AHjMNJ_7dDXMJ"&amp;"VRLDlaFSOdPM/edit?usp=sharing"",""ตราด!J672"")+IMPORTRANGE(""https://docs.google.com/spreadsheets/d/18hSgUJ3VwClqi_qtULmmW3cLr0oe3OKaSYoKzdpTsYQ/edit?usp=sharing"",""นครนายก!J672"")+IMPORTRANGE(""https://docs.google.com/spreadsheets/d/1YTZo6WM2dQ6Ix6FSdnL"&amp;"5P7uVnVKu40sxZu975tgG10E/edit?usp=sharing"",""นครปฐม!J672"")+IMPORTRANGE(""https://docs.google.com/spreadsheets/d/1OYoGg4WDg5RIzwGeB10padOxJF9E_Vljuvvct_M7RDo/edit?usp=sharing"",""ปทุมธานี!J672"")+IMPORTRANGE(""https://docs.google.com/spreadsheets/d/1GbCI"&amp;"E4D4wk9FUozzqk7SxfDMxDVBwVmI5zcaVUSzKAc/edit?usp=sharing"",""ประจวบคีรีขันธ์!J672"")+IMPORTRANGE(""https://docs.google.com/spreadsheets/d/1vVf6wykvW_lAyu7Yo9L4hUTqHqIeP_qcVuxCtosJEbg/edit?usp=sharing"",""ปราจีนบุรี!J672"")+IMPORTRANGE(""https://docs.googl"&amp;"e.com/spreadsheets/d/1BIDqLLg5jk3v59G8NlR8rk5xfQDKne0sAvZHSj7TI6I/edit?usp=sharing"",""พระนครศรีอยุธยา!J672"")+IMPORTRANGE(""https://docs.google.com/spreadsheets/d/1YXvxf8Yu6_rV4hTBrwMqAcAnv6DfhUxh5emyM3CJp_w/edit?usp=sharing"",""เพชรบุรี!J672"")+IMPORTRA"&amp;"NGE(""https://docs.google.com/spreadsheets/d/19KBlQQs7uwvsao6t2n-KvW3Ax8J8uRRfZPq1zPbXgKc/edit?usp=sharing"",""ระยอง!J672"")+IMPORTRANGE(""https://docs.google.com/spreadsheets/d/1jQ6P4QcrGM89YfqcC_PxOHGCMq5ezhucwJd8ci-NHng/edit?usp=sharing"",""ราชบุรี!J67"&amp;"2"")+IMPORTRANGE(""https://docs.google.com/spreadsheets/d/1lufeA2cfFqM-elVq2hznhDzC6Pr7wkJ9ZG_sYNGCMCU/edit?usp=sharing"",""ลพบุรี!J672"")+IMPORTRANGE(""https://docs.google.com/spreadsheets/d/10oOiF7loTyfsTkbd4MpaIm0HQ9SwB7IYHdIUvt-U1Uc/edit?usp=sharing"""&amp;",""สระแก้ว!J672"")+IMPORTRANGE(""https://docs.google.com/spreadsheets/d/1xmPlrr1QbdSIKvl1dWUl9K4PjAfSL9oeMr_37QVzcxc/edit?usp=sharing"",""สระบุรี!J672"")+IMPORTRANGE(""https://docs.google.com/spreadsheets/d/1j51vR6CYVGhABJpv6tkstgok82RLpXieLzW1yOY5rHw/edi"&amp;"t?usp=sharing"",""สิงห์บุรี!J672"")+IMPORTRANGE(""https://docs.google.com/spreadsheets/d/1H1EalTWKUSzO4Z1-1CwzoDUaVffgrThEBe2sl74kKG0/edit?usp=sharing"",""สุพรรณบุรี!J672"")+IMPORTRANGE(""https://docs.google.com/spreadsheets/d/1BmIruG_sIrJLYao_Pdr7zVArWsf"&amp;"oBt2692TMi6x_854/edit?usp=sharing"",""อ่างทอง!J672"")"),95)</f>
        <v>95</v>
      </c>
      <c r="K672" s="90"/>
      <c r="L672" s="732"/>
      <c r="M672" s="90"/>
      <c r="N672" s="732"/>
      <c r="O672" s="90"/>
      <c r="P672" s="90"/>
      <c r="Q672" s="734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13wPX838HrBrQMCywv1BsuMkt4PEKTChp52zj44s2izQ/edit?usp=sharing"",""กาญจนบุรี!I673"")+IMPORTRANGE(""https://docs.google.com/spreadsheets/d/1ddFKvqj1W1NEiWytbGlB1zMx_ykJDVtmfEQ-6-lIUBA/edit?usp=sharing"","&amp;"""จันทบุรี!I673"")+IMPORTRANGE(""https://docs.google.com/spreadsheets/d/1T1PQvRODqOBZk8BRht_U031fIS1beLA0Ub2CEytj2q0/edit?usp=sharing"",""ฉะเชิงเทรา!I673"")+IMPORTRANGE(""https://docs.google.com/spreadsheets/d/11tr1B-Bhyr79v2bkwVh5h_fR-PStkgjlZtkrZpYurG0/"&amp;"edit?usp=sharing"",""ชลบุรี!I673"")+IMPORTRANGE(""https://docs.google.com/spreadsheets/d/1hh-FVnSX0vozXhGluamEcS54Dw9_zqW0N7qJUWgJ0Sw/edit?usp=sharing"",""ชัยนาท!I673"")+IMPORTRANGE(""https://docs.google.com/spreadsheets/d/1jkqa6GXxSacMcY1eN8AHjMNJ_7dDXMJ"&amp;"VRLDlaFSOdPM/edit?usp=sharing"",""ตราด!I673"")+IMPORTRANGE(""https://docs.google.com/spreadsheets/d/18hSgUJ3VwClqi_qtULmmW3cLr0oe3OKaSYoKzdpTsYQ/edit?usp=sharing"",""นครนายก!I673"")+IMPORTRANGE(""https://docs.google.com/spreadsheets/d/1YTZo6WM2dQ6Ix6FSdnL"&amp;"5P7uVnVKu40sxZu975tgG10E/edit?usp=sharing"",""นครปฐม!I673"")+IMPORTRANGE(""https://docs.google.com/spreadsheets/d/1OYoGg4WDg5RIzwGeB10padOxJF9E_Vljuvvct_M7RDo/edit?usp=sharing"",""ปทุมธานี!I673"")+IMPORTRANGE(""https://docs.google.com/spreadsheets/d/1GbCI"&amp;"E4D4wk9FUozzqk7SxfDMxDVBwVmI5zcaVUSzKAc/edit?usp=sharing"",""ประจวบคีรีขันธ์!I673"")+IMPORTRANGE(""https://docs.google.com/spreadsheets/d/1vVf6wykvW_lAyu7Yo9L4hUTqHqIeP_qcVuxCtosJEbg/edit?usp=sharing"",""ปราจีนบุรี!I673"")+IMPORTRANGE(""https://docs.googl"&amp;"e.com/spreadsheets/d/1BIDqLLg5jk3v59G8NlR8rk5xfQDKne0sAvZHSj7TI6I/edit?usp=sharing"",""พระนครศรีอยุธยา!I673"")+IMPORTRANGE(""https://docs.google.com/spreadsheets/d/1YXvxf8Yu6_rV4hTBrwMqAcAnv6DfhUxh5emyM3CJp_w/edit?usp=sharing"",""เพชรบุรี!I673"")+IMPORTRA"&amp;"NGE(""https://docs.google.com/spreadsheets/d/19KBlQQs7uwvsao6t2n-KvW3Ax8J8uRRfZPq1zPbXgKc/edit?usp=sharing"",""ระยอง!I673"")+IMPORTRANGE(""https://docs.google.com/spreadsheets/d/1jQ6P4QcrGM89YfqcC_PxOHGCMq5ezhucwJd8ci-NHng/edit?usp=sharing"",""ราชบุรี!I67"&amp;"3"")+IMPORTRANGE(""https://docs.google.com/spreadsheets/d/1lufeA2cfFqM-elVq2hznhDzC6Pr7wkJ9ZG_sYNGCMCU/edit?usp=sharing"",""ลพบุรี!I673"")+IMPORTRANGE(""https://docs.google.com/spreadsheets/d/10oOiF7loTyfsTkbd4MpaIm0HQ9SwB7IYHdIUvt-U1Uc/edit?usp=sharing"""&amp;",""สระแก้ว!I673"")+IMPORTRANGE(""https://docs.google.com/spreadsheets/d/1xmPlrr1QbdSIKvl1dWUl9K4PjAfSL9oeMr_37QVzcxc/edit?usp=sharing"",""สระบุรี!I673"")+IMPORTRANGE(""https://docs.google.com/spreadsheets/d/1j51vR6CYVGhABJpv6tkstgok82RLpXieLzW1yOY5rHw/edi"&amp;"t?usp=sharing"",""สิงห์บุรี!I673"")+IMPORTRANGE(""https://docs.google.com/spreadsheets/d/1H1EalTWKUSzO4Z1-1CwzoDUaVffgrThEBe2sl74kKG0/edit?usp=sharing"",""สุพรรณบุรี!I673"")+IMPORTRANGE(""https://docs.google.com/spreadsheets/d/1BmIruG_sIrJLYao_Pdr7zVArWsf"&amp;"oBt2692TMi6x_854/edit?usp=sharing"",""อ่างทอง!I673"")"),2046)</f>
        <v>2046</v>
      </c>
      <c r="J673" s="295">
        <f ca="1">IFERROR(__xludf.DUMMYFUNCTION("IMPORTRANGE(""https://docs.google.com/spreadsheets/d/13wPX838HrBrQMCywv1BsuMkt4PEKTChp52zj44s2izQ/edit?usp=sharing"",""กาญจนบุรี!J673"")+IMPORTRANGE(""https://docs.google.com/spreadsheets/d/1ddFKvqj1W1NEiWytbGlB1zMx_ykJDVtmfEQ-6-lIUBA/edit?usp=sharing"","&amp;"""จันทบุรี!J673"")+IMPORTRANGE(""https://docs.google.com/spreadsheets/d/1T1PQvRODqOBZk8BRht_U031fIS1beLA0Ub2CEytj2q0/edit?usp=sharing"",""ฉะเชิงเทรา!J673"")+IMPORTRANGE(""https://docs.google.com/spreadsheets/d/11tr1B-Bhyr79v2bkwVh5h_fR-PStkgjlZtkrZpYurG0/"&amp;"edit?usp=sharing"",""ชลบุรี!J673"")+IMPORTRANGE(""https://docs.google.com/spreadsheets/d/1hh-FVnSX0vozXhGluamEcS54Dw9_zqW0N7qJUWgJ0Sw/edit?usp=sharing"",""ชัยนาท!J673"")+IMPORTRANGE(""https://docs.google.com/spreadsheets/d/1jkqa6GXxSacMcY1eN8AHjMNJ_7dDXMJ"&amp;"VRLDlaFSOdPM/edit?usp=sharing"",""ตราด!J673"")+IMPORTRANGE(""https://docs.google.com/spreadsheets/d/18hSgUJ3VwClqi_qtULmmW3cLr0oe3OKaSYoKzdpTsYQ/edit?usp=sharing"",""นครนายก!J673"")+IMPORTRANGE(""https://docs.google.com/spreadsheets/d/1YTZo6WM2dQ6Ix6FSdnL"&amp;"5P7uVnVKu40sxZu975tgG10E/edit?usp=sharing"",""นครปฐม!J673"")+IMPORTRANGE(""https://docs.google.com/spreadsheets/d/1OYoGg4WDg5RIzwGeB10padOxJF9E_Vljuvvct_M7RDo/edit?usp=sharing"",""ปทุมธานี!J673"")+IMPORTRANGE(""https://docs.google.com/spreadsheets/d/1GbCI"&amp;"E4D4wk9FUozzqk7SxfDMxDVBwVmI5zcaVUSzKAc/edit?usp=sharing"",""ประจวบคีรีขันธ์!J673"")+IMPORTRANGE(""https://docs.google.com/spreadsheets/d/1vVf6wykvW_lAyu7Yo9L4hUTqHqIeP_qcVuxCtosJEbg/edit?usp=sharing"",""ปราจีนบุรี!J673"")+IMPORTRANGE(""https://docs.googl"&amp;"e.com/spreadsheets/d/1BIDqLLg5jk3v59G8NlR8rk5xfQDKne0sAvZHSj7TI6I/edit?usp=sharing"",""พระนครศรีอยุธยา!J673"")+IMPORTRANGE(""https://docs.google.com/spreadsheets/d/1YXvxf8Yu6_rV4hTBrwMqAcAnv6DfhUxh5emyM3CJp_w/edit?usp=sharing"",""เพชรบุรี!J673"")+IMPORTRA"&amp;"NGE(""https://docs.google.com/spreadsheets/d/19KBlQQs7uwvsao6t2n-KvW3Ax8J8uRRfZPq1zPbXgKc/edit?usp=sharing"",""ระยอง!J673"")+IMPORTRANGE(""https://docs.google.com/spreadsheets/d/1jQ6P4QcrGM89YfqcC_PxOHGCMq5ezhucwJd8ci-NHng/edit?usp=sharing"",""ราชบุรี!J67"&amp;"3"")+IMPORTRANGE(""https://docs.google.com/spreadsheets/d/1lufeA2cfFqM-elVq2hznhDzC6Pr7wkJ9ZG_sYNGCMCU/edit?usp=sharing"",""ลพบุรี!J673"")+IMPORTRANGE(""https://docs.google.com/spreadsheets/d/10oOiF7loTyfsTkbd4MpaIm0HQ9SwB7IYHdIUvt-U1Uc/edit?usp=sharing"""&amp;",""สระแก้ว!J673"")+IMPORTRANGE(""https://docs.google.com/spreadsheets/d/1xmPlrr1QbdSIKvl1dWUl9K4PjAfSL9oeMr_37QVzcxc/edit?usp=sharing"",""สระบุรี!J673"")+IMPORTRANGE(""https://docs.google.com/spreadsheets/d/1j51vR6CYVGhABJpv6tkstgok82RLpXieLzW1yOY5rHw/edi"&amp;"t?usp=sharing"",""สิงห์บุรี!J673"")+IMPORTRANGE(""https://docs.google.com/spreadsheets/d/1H1EalTWKUSzO4Z1-1CwzoDUaVffgrThEBe2sl74kKG0/edit?usp=sharing"",""สุพรรณบุรี!J673"")+IMPORTRANGE(""https://docs.google.com/spreadsheets/d/1BmIruG_sIrJLYao_Pdr7zVArWsf"&amp;"oBt2692TMi6x_854/edit?usp=sharing"",""อ่างทอง!J673"")"),968.97)</f>
        <v>968.97</v>
      </c>
      <c r="K673" s="77">
        <f t="shared" ref="K673:K676" ca="1" si="460">IF(I673&gt;0,J673*100/I673,0)</f>
        <v>47.359237536656892</v>
      </c>
      <c r="L673" s="732"/>
      <c r="M673" s="90"/>
      <c r="N673" s="732"/>
      <c r="O673" s="90"/>
      <c r="P673" s="90"/>
      <c r="Q673" s="734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13wPX838HrBrQMCywv1BsuMkt4PEKTChp52zj44s2izQ/edit?usp=sharing"",""กาญจนบุรี!I674"")+IMPORTRANGE(""https://docs.google.com/spreadsheets/d/1ddFKvqj1W1NEiWytbGlB1zMx_ykJDVtmfEQ-6-lIUBA/edit?usp=sharing"","&amp;"""จันทบุรี!I674"")+IMPORTRANGE(""https://docs.google.com/spreadsheets/d/1T1PQvRODqOBZk8BRht_U031fIS1beLA0Ub2CEytj2q0/edit?usp=sharing"",""ฉะเชิงเทรา!I674"")+IMPORTRANGE(""https://docs.google.com/spreadsheets/d/11tr1B-Bhyr79v2bkwVh5h_fR-PStkgjlZtkrZpYurG0/"&amp;"edit?usp=sharing"",""ชลบุรี!I674"")+IMPORTRANGE(""https://docs.google.com/spreadsheets/d/1hh-FVnSX0vozXhGluamEcS54Dw9_zqW0N7qJUWgJ0Sw/edit?usp=sharing"",""ชัยนาท!I674"")+IMPORTRANGE(""https://docs.google.com/spreadsheets/d/1jkqa6GXxSacMcY1eN8AHjMNJ_7dDXMJ"&amp;"VRLDlaFSOdPM/edit?usp=sharing"",""ตราด!I674"")+IMPORTRANGE(""https://docs.google.com/spreadsheets/d/18hSgUJ3VwClqi_qtULmmW3cLr0oe3OKaSYoKzdpTsYQ/edit?usp=sharing"",""นครนายก!I674"")+IMPORTRANGE(""https://docs.google.com/spreadsheets/d/1YTZo6WM2dQ6Ix6FSdnL"&amp;"5P7uVnVKu40sxZu975tgG10E/edit?usp=sharing"",""นครปฐม!I674"")+IMPORTRANGE(""https://docs.google.com/spreadsheets/d/1OYoGg4WDg5RIzwGeB10padOxJF9E_Vljuvvct_M7RDo/edit?usp=sharing"",""ปทุมธานี!I674"")+IMPORTRANGE(""https://docs.google.com/spreadsheets/d/1GbCI"&amp;"E4D4wk9FUozzqk7SxfDMxDVBwVmI5zcaVUSzKAc/edit?usp=sharing"",""ประจวบคีรีขันธ์!I674"")+IMPORTRANGE(""https://docs.google.com/spreadsheets/d/1vVf6wykvW_lAyu7Yo9L4hUTqHqIeP_qcVuxCtosJEbg/edit?usp=sharing"",""ปราจีนบุรี!I674"")+IMPORTRANGE(""https://docs.googl"&amp;"e.com/spreadsheets/d/1BIDqLLg5jk3v59G8NlR8rk5xfQDKne0sAvZHSj7TI6I/edit?usp=sharing"",""พระนครศรีอยุธยา!I674"")+IMPORTRANGE(""https://docs.google.com/spreadsheets/d/1YXvxf8Yu6_rV4hTBrwMqAcAnv6DfhUxh5emyM3CJp_w/edit?usp=sharing"",""เพชรบุรี!I674"")+IMPORTRA"&amp;"NGE(""https://docs.google.com/spreadsheets/d/19KBlQQs7uwvsao6t2n-KvW3Ax8J8uRRfZPq1zPbXgKc/edit?usp=sharing"",""ระยอง!I674"")+IMPORTRANGE(""https://docs.google.com/spreadsheets/d/1jQ6P4QcrGM89YfqcC_PxOHGCMq5ezhucwJd8ci-NHng/edit?usp=sharing"",""ราชบุรี!I67"&amp;"4"")+IMPORTRANGE(""https://docs.google.com/spreadsheets/d/1lufeA2cfFqM-elVq2hznhDzC6Pr7wkJ9ZG_sYNGCMCU/edit?usp=sharing"",""ลพบุรี!I674"")+IMPORTRANGE(""https://docs.google.com/spreadsheets/d/10oOiF7loTyfsTkbd4MpaIm0HQ9SwB7IYHdIUvt-U1Uc/edit?usp=sharing"""&amp;",""สระแก้ว!I674"")+IMPORTRANGE(""https://docs.google.com/spreadsheets/d/1xmPlrr1QbdSIKvl1dWUl9K4PjAfSL9oeMr_37QVzcxc/edit?usp=sharing"",""สระบุรี!I674"")+IMPORTRANGE(""https://docs.google.com/spreadsheets/d/1j51vR6CYVGhABJpv6tkstgok82RLpXieLzW1yOY5rHw/edi"&amp;"t?usp=sharing"",""สิงห์บุรี!I674"")+IMPORTRANGE(""https://docs.google.com/spreadsheets/d/1H1EalTWKUSzO4Z1-1CwzoDUaVffgrThEBe2sl74kKG0/edit?usp=sharing"",""สุพรรณบุรี!I674"")+IMPORTRANGE(""https://docs.google.com/spreadsheets/d/1BmIruG_sIrJLYao_Pdr7zVArWsf"&amp;"oBt2692TMi6x_854/edit?usp=sharing"",""อ่างทอง!I674"")"),268)</f>
        <v>268</v>
      </c>
      <c r="J674" s="603">
        <f ca="1">J676+J679</f>
        <v>142</v>
      </c>
      <c r="K674" s="266">
        <f t="shared" ca="1" si="460"/>
        <v>52.985074626865675</v>
      </c>
      <c r="L674" s="732"/>
      <c r="M674" s="90"/>
      <c r="N674" s="732"/>
      <c r="O674" s="90"/>
      <c r="P674" s="90"/>
      <c r="Q674" s="734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13wPX838HrBrQMCywv1BsuMkt4PEKTChp52zj44s2izQ/edit?usp=sharing"",""กาญจนบุรี!I675"")+IMPORTRANGE(""https://docs.google.com/spreadsheets/d/1ddFKvqj1W1NEiWytbGlB1zMx_ykJDVtmfEQ-6-lIUBA/edit?usp=sharing"","&amp;"""จันทบุรี!I675"")+IMPORTRANGE(""https://docs.google.com/spreadsheets/d/1T1PQvRODqOBZk8BRht_U031fIS1beLA0Ub2CEytj2q0/edit?usp=sharing"",""ฉะเชิงเทรา!I675"")+IMPORTRANGE(""https://docs.google.com/spreadsheets/d/11tr1B-Bhyr79v2bkwVh5h_fR-PStkgjlZtkrZpYurG0/"&amp;"edit?usp=sharing"",""ชลบุรี!I675"")+IMPORTRANGE(""https://docs.google.com/spreadsheets/d/1hh-FVnSX0vozXhGluamEcS54Dw9_zqW0N7qJUWgJ0Sw/edit?usp=sharing"",""ชัยนาท!I675"")+IMPORTRANGE(""https://docs.google.com/spreadsheets/d/1jkqa6GXxSacMcY1eN8AHjMNJ_7dDXMJ"&amp;"VRLDlaFSOdPM/edit?usp=sharing"",""ตราด!I675"")+IMPORTRANGE(""https://docs.google.com/spreadsheets/d/18hSgUJ3VwClqi_qtULmmW3cLr0oe3OKaSYoKzdpTsYQ/edit?usp=sharing"",""นครนายก!I675"")+IMPORTRANGE(""https://docs.google.com/spreadsheets/d/1YTZo6WM2dQ6Ix6FSdnL"&amp;"5P7uVnVKu40sxZu975tgG10E/edit?usp=sharing"",""นครปฐม!I675"")+IMPORTRANGE(""https://docs.google.com/spreadsheets/d/1OYoGg4WDg5RIzwGeB10padOxJF9E_Vljuvvct_M7RDo/edit?usp=sharing"",""ปทุมธานี!I675"")+IMPORTRANGE(""https://docs.google.com/spreadsheets/d/1GbCI"&amp;"E4D4wk9FUozzqk7SxfDMxDVBwVmI5zcaVUSzKAc/edit?usp=sharing"",""ประจวบคีรีขันธ์!I675"")+IMPORTRANGE(""https://docs.google.com/spreadsheets/d/1vVf6wykvW_lAyu7Yo9L4hUTqHqIeP_qcVuxCtosJEbg/edit?usp=sharing"",""ปราจีนบุรี!I675"")+IMPORTRANGE(""https://docs.googl"&amp;"e.com/spreadsheets/d/1BIDqLLg5jk3v59G8NlR8rk5xfQDKne0sAvZHSj7TI6I/edit?usp=sharing"",""พระนครศรีอยุธยา!I675"")+IMPORTRANGE(""https://docs.google.com/spreadsheets/d/1YXvxf8Yu6_rV4hTBrwMqAcAnv6DfhUxh5emyM3CJp_w/edit?usp=sharing"",""เพชรบุรี!I675"")+IMPORTRA"&amp;"NGE(""https://docs.google.com/spreadsheets/d/19KBlQQs7uwvsao6t2n-KvW3Ax8J8uRRfZPq1zPbXgKc/edit?usp=sharing"",""ระยอง!I675"")+IMPORTRANGE(""https://docs.google.com/spreadsheets/d/1jQ6P4QcrGM89YfqcC_PxOHGCMq5ezhucwJd8ci-NHng/edit?usp=sharing"",""ราชบุรี!I67"&amp;"5"")+IMPORTRANGE(""https://docs.google.com/spreadsheets/d/1lufeA2cfFqM-elVq2hznhDzC6Pr7wkJ9ZG_sYNGCMCU/edit?usp=sharing"",""ลพบุรี!I675"")+IMPORTRANGE(""https://docs.google.com/spreadsheets/d/10oOiF7loTyfsTkbd4MpaIm0HQ9SwB7IYHdIUvt-U1Uc/edit?usp=sharing"""&amp;",""สระแก้ว!I675"")+IMPORTRANGE(""https://docs.google.com/spreadsheets/d/1xmPlrr1QbdSIKvl1dWUl9K4PjAfSL9oeMr_37QVzcxc/edit?usp=sharing"",""สระบุรี!I675"")+IMPORTRANGE(""https://docs.google.com/spreadsheets/d/1j51vR6CYVGhABJpv6tkstgok82RLpXieLzW1yOY5rHw/edi"&amp;"t?usp=sharing"",""สิงห์บุรี!I675"")+IMPORTRANGE(""https://docs.google.com/spreadsheets/d/1H1EalTWKUSzO4Z1-1CwzoDUaVffgrThEBe2sl74kKG0/edit?usp=sharing"",""สุพรรณบุรี!I675"")+IMPORTRANGE(""https://docs.google.com/spreadsheets/d/1BmIruG_sIrJLYao_Pdr7zVArWsf"&amp;"oBt2692TMi6x_854/edit?usp=sharing"",""อ่างทอง!I675"")"),2703)</f>
        <v>2703</v>
      </c>
      <c r="J675" s="603">
        <f ca="1">J678+J681</f>
        <v>1276.3699999999999</v>
      </c>
      <c r="K675" s="266">
        <f t="shared" ca="1" si="460"/>
        <v>47.220495745467993</v>
      </c>
      <c r="L675" s="90"/>
      <c r="M675" s="90"/>
      <c r="N675" s="732"/>
      <c r="O675" s="90"/>
      <c r="P675" s="90"/>
      <c r="Q675" s="89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13wPX838HrBrQMCywv1BsuMkt4PEKTChp52zj44s2izQ/edit?usp=sharing"",""กาญจนบุรี!I676"")+IMPORTRANGE(""https://docs.google.com/spreadsheets/d/1ddFKvqj1W1NEiWytbGlB1zMx_ykJDVtmfEQ-6-lIUBA/edit?usp=sharing"","&amp;"""จันทบุรี!I676"")+IMPORTRANGE(""https://docs.google.com/spreadsheets/d/1T1PQvRODqOBZk8BRht_U031fIS1beLA0Ub2CEytj2q0/edit?usp=sharing"",""ฉะเชิงเทรา!I676"")+IMPORTRANGE(""https://docs.google.com/spreadsheets/d/11tr1B-Bhyr79v2bkwVh5h_fR-PStkgjlZtkrZpYurG0/"&amp;"edit?usp=sharing"",""ชลบุรี!I676"")+IMPORTRANGE(""https://docs.google.com/spreadsheets/d/1hh-FVnSX0vozXhGluamEcS54Dw9_zqW0N7qJUWgJ0Sw/edit?usp=sharing"",""ชัยนาท!I676"")+IMPORTRANGE(""https://docs.google.com/spreadsheets/d/1jkqa6GXxSacMcY1eN8AHjMNJ_7dDXMJ"&amp;"VRLDlaFSOdPM/edit?usp=sharing"",""ตราด!I676"")+IMPORTRANGE(""https://docs.google.com/spreadsheets/d/18hSgUJ3VwClqi_qtULmmW3cLr0oe3OKaSYoKzdpTsYQ/edit?usp=sharing"",""นครนายก!I676"")+IMPORTRANGE(""https://docs.google.com/spreadsheets/d/1YTZo6WM2dQ6Ix6FSdnL"&amp;"5P7uVnVKu40sxZu975tgG10E/edit?usp=sharing"",""นครปฐม!I676"")+IMPORTRANGE(""https://docs.google.com/spreadsheets/d/1OYoGg4WDg5RIzwGeB10padOxJF9E_Vljuvvct_M7RDo/edit?usp=sharing"",""ปทุมธานี!I676"")+IMPORTRANGE(""https://docs.google.com/spreadsheets/d/1GbCI"&amp;"E4D4wk9FUozzqk7SxfDMxDVBwVmI5zcaVUSzKAc/edit?usp=sharing"",""ประจวบคีรีขันธ์!I676"")+IMPORTRANGE(""https://docs.google.com/spreadsheets/d/1vVf6wykvW_lAyu7Yo9L4hUTqHqIeP_qcVuxCtosJEbg/edit?usp=sharing"",""ปราจีนบุรี!I676"")+IMPORTRANGE(""https://docs.googl"&amp;"e.com/spreadsheets/d/1BIDqLLg5jk3v59G8NlR8rk5xfQDKne0sAvZHSj7TI6I/edit?usp=sharing"",""พระนครศรีอยุธยา!I676"")+IMPORTRANGE(""https://docs.google.com/spreadsheets/d/1YXvxf8Yu6_rV4hTBrwMqAcAnv6DfhUxh5emyM3CJp_w/edit?usp=sharing"",""เพชรบุรี!I676"")+IMPORTRA"&amp;"NGE(""https://docs.google.com/spreadsheets/d/19KBlQQs7uwvsao6t2n-KvW3Ax8J8uRRfZPq1zPbXgKc/edit?usp=sharing"",""ระยอง!I676"")+IMPORTRANGE(""https://docs.google.com/spreadsheets/d/1jQ6P4QcrGM89YfqcC_PxOHGCMq5ezhucwJd8ci-NHng/edit?usp=sharing"",""ราชบุรี!I67"&amp;"6"")+IMPORTRANGE(""https://docs.google.com/spreadsheets/d/1lufeA2cfFqM-elVq2hznhDzC6Pr7wkJ9ZG_sYNGCMCU/edit?usp=sharing"",""ลพบุรี!I676"")+IMPORTRANGE(""https://docs.google.com/spreadsheets/d/10oOiF7loTyfsTkbd4MpaIm0HQ9SwB7IYHdIUvt-U1Uc/edit?usp=sharing"""&amp;",""สระแก้ว!I676"")+IMPORTRANGE(""https://docs.google.com/spreadsheets/d/1xmPlrr1QbdSIKvl1dWUl9K4PjAfSL9oeMr_37QVzcxc/edit?usp=sharing"",""สระบุรี!I676"")+IMPORTRANGE(""https://docs.google.com/spreadsheets/d/1j51vR6CYVGhABJpv6tkstgok82RLpXieLzW1yOY5rHw/edi"&amp;"t?usp=sharing"",""สิงห์บุรี!I676"")+IMPORTRANGE(""https://docs.google.com/spreadsheets/d/1H1EalTWKUSzO4Z1-1CwzoDUaVffgrThEBe2sl74kKG0/edit?usp=sharing"",""สุพรรณบุรี!I676"")+IMPORTRANGE(""https://docs.google.com/spreadsheets/d/1BmIruG_sIrJLYao_Pdr7zVArWsf"&amp;"oBt2692TMi6x_854/edit?usp=sharing"",""อ่างทอง!I676"")"),173)</f>
        <v>173</v>
      </c>
      <c r="J676" s="295">
        <f ca="1">IFERROR(__xludf.DUMMYFUNCTION("IMPORTRANGE(""https://docs.google.com/spreadsheets/d/13wPX838HrBrQMCywv1BsuMkt4PEKTChp52zj44s2izQ/edit?usp=sharing"",""กาญจนบุรี!J676"")+IMPORTRANGE(""https://docs.google.com/spreadsheets/d/1ddFKvqj1W1NEiWytbGlB1zMx_ykJDVtmfEQ-6-lIUBA/edit?usp=sharing"","&amp;"""จันทบุรี!J676"")+IMPORTRANGE(""https://docs.google.com/spreadsheets/d/1T1PQvRODqOBZk8BRht_U031fIS1beLA0Ub2CEytj2q0/edit?usp=sharing"",""ฉะเชิงเทรา!J676"")+IMPORTRANGE(""https://docs.google.com/spreadsheets/d/11tr1B-Bhyr79v2bkwVh5h_fR-PStkgjlZtkrZpYurG0/"&amp;"edit?usp=sharing"",""ชลบุรี!J676"")+IMPORTRANGE(""https://docs.google.com/spreadsheets/d/1hh-FVnSX0vozXhGluamEcS54Dw9_zqW0N7qJUWgJ0Sw/edit?usp=sharing"",""ชัยนาท!J676"")+IMPORTRANGE(""https://docs.google.com/spreadsheets/d/1jkqa6GXxSacMcY1eN8AHjMNJ_7dDXMJ"&amp;"VRLDlaFSOdPM/edit?usp=sharing"",""ตราด!J676"")+IMPORTRANGE(""https://docs.google.com/spreadsheets/d/18hSgUJ3VwClqi_qtULmmW3cLr0oe3OKaSYoKzdpTsYQ/edit?usp=sharing"",""นครนายก!J676"")+IMPORTRANGE(""https://docs.google.com/spreadsheets/d/1YTZo6WM2dQ6Ix6FSdnL"&amp;"5P7uVnVKu40sxZu975tgG10E/edit?usp=sharing"",""นครปฐม!J676"")+IMPORTRANGE(""https://docs.google.com/spreadsheets/d/1OYoGg4WDg5RIzwGeB10padOxJF9E_Vljuvvct_M7RDo/edit?usp=sharing"",""ปทุมธานี!J676"")+IMPORTRANGE(""https://docs.google.com/spreadsheets/d/1GbCI"&amp;"E4D4wk9FUozzqk7SxfDMxDVBwVmI5zcaVUSzKAc/edit?usp=sharing"",""ประจวบคีรีขันธ์!J676"")+IMPORTRANGE(""https://docs.google.com/spreadsheets/d/1vVf6wykvW_lAyu7Yo9L4hUTqHqIeP_qcVuxCtosJEbg/edit?usp=sharing"",""ปราจีนบุรี!J676"")+IMPORTRANGE(""https://docs.googl"&amp;"e.com/spreadsheets/d/1BIDqLLg5jk3v59G8NlR8rk5xfQDKne0sAvZHSj7TI6I/edit?usp=sharing"",""พระนครศรีอยุธยา!J676"")+IMPORTRANGE(""https://docs.google.com/spreadsheets/d/1YXvxf8Yu6_rV4hTBrwMqAcAnv6DfhUxh5emyM3CJp_w/edit?usp=sharing"",""เพชรบุรี!J676"")+IMPORTRA"&amp;"NGE(""https://docs.google.com/spreadsheets/d/19KBlQQs7uwvsao6t2n-KvW3Ax8J8uRRfZPq1zPbXgKc/edit?usp=sharing"",""ระยอง!J676"")+IMPORTRANGE(""https://docs.google.com/spreadsheets/d/1jQ6P4QcrGM89YfqcC_PxOHGCMq5ezhucwJd8ci-NHng/edit?usp=sharing"",""ราชบุรี!J67"&amp;"6"")+IMPORTRANGE(""https://docs.google.com/spreadsheets/d/1lufeA2cfFqM-elVq2hznhDzC6Pr7wkJ9ZG_sYNGCMCU/edit?usp=sharing"",""ลพบุรี!J676"")+IMPORTRANGE(""https://docs.google.com/spreadsheets/d/10oOiF7loTyfsTkbd4MpaIm0HQ9SwB7IYHdIUvt-U1Uc/edit?usp=sharing"""&amp;",""สระแก้ว!J676"")+IMPORTRANGE(""https://docs.google.com/spreadsheets/d/1xmPlrr1QbdSIKvl1dWUl9K4PjAfSL9oeMr_37QVzcxc/edit?usp=sharing"",""สระบุรี!J676"")+IMPORTRANGE(""https://docs.google.com/spreadsheets/d/1j51vR6CYVGhABJpv6tkstgok82RLpXieLzW1yOY5rHw/edi"&amp;"t?usp=sharing"",""สิงห์บุรี!J676"")+IMPORTRANGE(""https://docs.google.com/spreadsheets/d/1H1EalTWKUSzO4Z1-1CwzoDUaVffgrThEBe2sl74kKG0/edit?usp=sharing"",""สุพรรณบุรี!J676"")+IMPORTRANGE(""https://docs.google.com/spreadsheets/d/1BmIruG_sIrJLYao_Pdr7zVArWsf"&amp;"oBt2692TMi6x_854/edit?usp=sharing"",""อ่างทอง!J676"")"),69)</f>
        <v>69</v>
      </c>
      <c r="K676" s="77">
        <f t="shared" ca="1" si="460"/>
        <v>39.884393063583815</v>
      </c>
      <c r="L676" s="90"/>
      <c r="M676" s="90"/>
      <c r="N676" s="732"/>
      <c r="O676" s="90"/>
      <c r="P676" s="90"/>
      <c r="Q676" s="89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13wPX838HrBrQMCywv1BsuMkt4PEKTChp52zj44s2izQ/edit?usp=sharing"",""กาญจนบุรี!J677"")+IMPORTRANGE(""https://docs.google.com/spreadsheets/d/1ddFKvqj1W1NEiWytbGlB1zMx_ykJDVtmfEQ-6-lIUBA/edit?usp=sharing"","&amp;"""จันทบุรี!J677"")+IMPORTRANGE(""https://docs.google.com/spreadsheets/d/1T1PQvRODqOBZk8BRht_U031fIS1beLA0Ub2CEytj2q0/edit?usp=sharing"",""ฉะเชิงเทรา!J677"")+IMPORTRANGE(""https://docs.google.com/spreadsheets/d/11tr1B-Bhyr79v2bkwVh5h_fR-PStkgjlZtkrZpYurG0/"&amp;"edit?usp=sharing"",""ชลบุรี!J677"")+IMPORTRANGE(""https://docs.google.com/spreadsheets/d/1hh-FVnSX0vozXhGluamEcS54Dw9_zqW0N7qJUWgJ0Sw/edit?usp=sharing"",""ชัยนาท!J677"")+IMPORTRANGE(""https://docs.google.com/spreadsheets/d/1jkqa6GXxSacMcY1eN8AHjMNJ_7dDXMJ"&amp;"VRLDlaFSOdPM/edit?usp=sharing"",""ตราด!J677"")+IMPORTRANGE(""https://docs.google.com/spreadsheets/d/18hSgUJ3VwClqi_qtULmmW3cLr0oe3OKaSYoKzdpTsYQ/edit?usp=sharing"",""นครนายก!J677"")+IMPORTRANGE(""https://docs.google.com/spreadsheets/d/1YTZo6WM2dQ6Ix6FSdnL"&amp;"5P7uVnVKu40sxZu975tgG10E/edit?usp=sharing"",""นครปฐม!J677"")+IMPORTRANGE(""https://docs.google.com/spreadsheets/d/1OYoGg4WDg5RIzwGeB10padOxJF9E_Vljuvvct_M7RDo/edit?usp=sharing"",""ปทุมธานี!J677"")+IMPORTRANGE(""https://docs.google.com/spreadsheets/d/1GbCI"&amp;"E4D4wk9FUozzqk7SxfDMxDVBwVmI5zcaVUSzKAc/edit?usp=sharing"",""ประจวบคีรีขันธ์!J677"")+IMPORTRANGE(""https://docs.google.com/spreadsheets/d/1vVf6wykvW_lAyu7Yo9L4hUTqHqIeP_qcVuxCtosJEbg/edit?usp=sharing"",""ปราจีนบุรี!J677"")+IMPORTRANGE(""https://docs.googl"&amp;"e.com/spreadsheets/d/1BIDqLLg5jk3v59G8NlR8rk5xfQDKne0sAvZHSj7TI6I/edit?usp=sharing"",""พระนครศรีอยุธยา!J677"")+IMPORTRANGE(""https://docs.google.com/spreadsheets/d/1YXvxf8Yu6_rV4hTBrwMqAcAnv6DfhUxh5emyM3CJp_w/edit?usp=sharing"",""เพชรบุรี!J677"")+IMPORTRA"&amp;"NGE(""https://docs.google.com/spreadsheets/d/19KBlQQs7uwvsao6t2n-KvW3Ax8J8uRRfZPq1zPbXgKc/edit?usp=sharing"",""ระยอง!J677"")+IMPORTRANGE(""https://docs.google.com/spreadsheets/d/1jQ6P4QcrGM89YfqcC_PxOHGCMq5ezhucwJd8ci-NHng/edit?usp=sharing"",""ราชบุรี!J67"&amp;"7"")+IMPORTRANGE(""https://docs.google.com/spreadsheets/d/1lufeA2cfFqM-elVq2hznhDzC6Pr7wkJ9ZG_sYNGCMCU/edit?usp=sharing"",""ลพบุรี!J677"")+IMPORTRANGE(""https://docs.google.com/spreadsheets/d/10oOiF7loTyfsTkbd4MpaIm0HQ9SwB7IYHdIUvt-U1Uc/edit?usp=sharing"""&amp;",""สระแก้ว!J677"")+IMPORTRANGE(""https://docs.google.com/spreadsheets/d/1xmPlrr1QbdSIKvl1dWUl9K4PjAfSL9oeMr_37QVzcxc/edit?usp=sharing"",""สระบุรี!J677"")+IMPORTRANGE(""https://docs.google.com/spreadsheets/d/1j51vR6CYVGhABJpv6tkstgok82RLpXieLzW1yOY5rHw/edi"&amp;"t?usp=sharing"",""สิงห์บุรี!J677"")+IMPORTRANGE(""https://docs.google.com/spreadsheets/d/1H1EalTWKUSzO4Z1-1CwzoDUaVffgrThEBe2sl74kKG0/edit?usp=sharing"",""สุพรรณบุรี!J677"")+IMPORTRANGE(""https://docs.google.com/spreadsheets/d/1BmIruG_sIrJLYao_Pdr7zVArWsf"&amp;"oBt2692TMi6x_854/edit?usp=sharing"",""อ่างทอง!J677"")"),78)</f>
        <v>78</v>
      </c>
      <c r="K677" s="90"/>
      <c r="L677" s="732"/>
      <c r="M677" s="90"/>
      <c r="N677" s="732"/>
      <c r="O677" s="90"/>
      <c r="P677" s="90"/>
      <c r="Q677" s="734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13wPX838HrBrQMCywv1BsuMkt4PEKTChp52zj44s2izQ/edit?usp=sharing"",""กาญจนบุรี!I678"")+IMPORTRANGE(""https://docs.google.com/spreadsheets/d/1ddFKvqj1W1NEiWytbGlB1zMx_ykJDVtmfEQ-6-lIUBA/edit?usp=sharing"","&amp;"""จันทบุรี!I678"")+IMPORTRANGE(""https://docs.google.com/spreadsheets/d/1T1PQvRODqOBZk8BRht_U031fIS1beLA0Ub2CEytj2q0/edit?usp=sharing"",""ฉะเชิงเทรา!I678"")+IMPORTRANGE(""https://docs.google.com/spreadsheets/d/11tr1B-Bhyr79v2bkwVh5h_fR-PStkgjlZtkrZpYurG0/"&amp;"edit?usp=sharing"",""ชลบุรี!I678"")+IMPORTRANGE(""https://docs.google.com/spreadsheets/d/1hh-FVnSX0vozXhGluamEcS54Dw9_zqW0N7qJUWgJ0Sw/edit?usp=sharing"",""ชัยนาท!I678"")+IMPORTRANGE(""https://docs.google.com/spreadsheets/d/1jkqa6GXxSacMcY1eN8AHjMNJ_7dDXMJ"&amp;"VRLDlaFSOdPM/edit?usp=sharing"",""ตราด!I678"")+IMPORTRANGE(""https://docs.google.com/spreadsheets/d/18hSgUJ3VwClqi_qtULmmW3cLr0oe3OKaSYoKzdpTsYQ/edit?usp=sharing"",""นครนายก!I678"")+IMPORTRANGE(""https://docs.google.com/spreadsheets/d/1YTZo6WM2dQ6Ix6FSdnL"&amp;"5P7uVnVKu40sxZu975tgG10E/edit?usp=sharing"",""นครปฐม!I678"")+IMPORTRANGE(""https://docs.google.com/spreadsheets/d/1OYoGg4WDg5RIzwGeB10padOxJF9E_Vljuvvct_M7RDo/edit?usp=sharing"",""ปทุมธานี!I678"")+IMPORTRANGE(""https://docs.google.com/spreadsheets/d/1GbCI"&amp;"E4D4wk9FUozzqk7SxfDMxDVBwVmI5zcaVUSzKAc/edit?usp=sharing"",""ประจวบคีรีขันธ์!I678"")+IMPORTRANGE(""https://docs.google.com/spreadsheets/d/1vVf6wykvW_lAyu7Yo9L4hUTqHqIeP_qcVuxCtosJEbg/edit?usp=sharing"",""ปราจีนบุรี!I678"")+IMPORTRANGE(""https://docs.googl"&amp;"e.com/spreadsheets/d/1BIDqLLg5jk3v59G8NlR8rk5xfQDKne0sAvZHSj7TI6I/edit?usp=sharing"",""พระนครศรีอยุธยา!I678"")+IMPORTRANGE(""https://docs.google.com/spreadsheets/d/1YXvxf8Yu6_rV4hTBrwMqAcAnv6DfhUxh5emyM3CJp_w/edit?usp=sharing"",""เพชรบุรี!I678"")+IMPORTRA"&amp;"NGE(""https://docs.google.com/spreadsheets/d/19KBlQQs7uwvsao6t2n-KvW3Ax8J8uRRfZPq1zPbXgKc/edit?usp=sharing"",""ระยอง!I678"")+IMPORTRANGE(""https://docs.google.com/spreadsheets/d/1jQ6P4QcrGM89YfqcC_PxOHGCMq5ezhucwJd8ci-NHng/edit?usp=sharing"",""ราชบุรี!I67"&amp;"8"")+IMPORTRANGE(""https://docs.google.com/spreadsheets/d/1lufeA2cfFqM-elVq2hznhDzC6Pr7wkJ9ZG_sYNGCMCU/edit?usp=sharing"",""ลพบุรี!I678"")+IMPORTRANGE(""https://docs.google.com/spreadsheets/d/10oOiF7loTyfsTkbd4MpaIm0HQ9SwB7IYHdIUvt-U1Uc/edit?usp=sharing"""&amp;",""สระแก้ว!I678"")+IMPORTRANGE(""https://docs.google.com/spreadsheets/d/1xmPlrr1QbdSIKvl1dWUl9K4PjAfSL9oeMr_37QVzcxc/edit?usp=sharing"",""สระบุรี!I678"")+IMPORTRANGE(""https://docs.google.com/spreadsheets/d/1j51vR6CYVGhABJpv6tkstgok82RLpXieLzW1yOY5rHw/edi"&amp;"t?usp=sharing"",""สิงห์บุรี!I678"")+IMPORTRANGE(""https://docs.google.com/spreadsheets/d/1H1EalTWKUSzO4Z1-1CwzoDUaVffgrThEBe2sl74kKG0/edit?usp=sharing"",""สุพรรณบุรี!I678"")+IMPORTRANGE(""https://docs.google.com/spreadsheets/d/1BmIruG_sIrJLYao_Pdr7zVArWsf"&amp;"oBt2692TMi6x_854/edit?usp=sharing"",""อ่างทอง!I678"")"),1751)</f>
        <v>1751</v>
      </c>
      <c r="J678" s="295">
        <f ca="1">IFERROR(__xludf.DUMMYFUNCTION("IMPORTRANGE(""https://docs.google.com/spreadsheets/d/13wPX838HrBrQMCywv1BsuMkt4PEKTChp52zj44s2izQ/edit?usp=sharing"",""กาญจนบุรี!J678"")+IMPORTRANGE(""https://docs.google.com/spreadsheets/d/1ddFKvqj1W1NEiWytbGlB1zMx_ykJDVtmfEQ-6-lIUBA/edit?usp=sharing"","&amp;"""จันทบุรี!J678"")+IMPORTRANGE(""https://docs.google.com/spreadsheets/d/1T1PQvRODqOBZk8BRht_U031fIS1beLA0Ub2CEytj2q0/edit?usp=sharing"",""ฉะเชิงเทรา!J678"")+IMPORTRANGE(""https://docs.google.com/spreadsheets/d/11tr1B-Bhyr79v2bkwVh5h_fR-PStkgjlZtkrZpYurG0/"&amp;"edit?usp=sharing"",""ชลบุรี!J678"")+IMPORTRANGE(""https://docs.google.com/spreadsheets/d/1hh-FVnSX0vozXhGluamEcS54Dw9_zqW0N7qJUWgJ0Sw/edit?usp=sharing"",""ชัยนาท!J678"")+IMPORTRANGE(""https://docs.google.com/spreadsheets/d/1jkqa6GXxSacMcY1eN8AHjMNJ_7dDXMJ"&amp;"VRLDlaFSOdPM/edit?usp=sharing"",""ตราด!J678"")+IMPORTRANGE(""https://docs.google.com/spreadsheets/d/18hSgUJ3VwClqi_qtULmmW3cLr0oe3OKaSYoKzdpTsYQ/edit?usp=sharing"",""นครนายก!J678"")+IMPORTRANGE(""https://docs.google.com/spreadsheets/d/1YTZo6WM2dQ6Ix6FSdnL"&amp;"5P7uVnVKu40sxZu975tgG10E/edit?usp=sharing"",""นครปฐม!J678"")+IMPORTRANGE(""https://docs.google.com/spreadsheets/d/1OYoGg4WDg5RIzwGeB10padOxJF9E_Vljuvvct_M7RDo/edit?usp=sharing"",""ปทุมธานี!J678"")+IMPORTRANGE(""https://docs.google.com/spreadsheets/d/1GbCI"&amp;"E4D4wk9FUozzqk7SxfDMxDVBwVmI5zcaVUSzKAc/edit?usp=sharing"",""ประจวบคีรีขันธ์!J678"")+IMPORTRANGE(""https://docs.google.com/spreadsheets/d/1vVf6wykvW_lAyu7Yo9L4hUTqHqIeP_qcVuxCtosJEbg/edit?usp=sharing"",""ปราจีนบุรี!J678"")+IMPORTRANGE(""https://docs.googl"&amp;"e.com/spreadsheets/d/1BIDqLLg5jk3v59G8NlR8rk5xfQDKne0sAvZHSj7TI6I/edit?usp=sharing"",""พระนครศรีอยุธยา!J678"")+IMPORTRANGE(""https://docs.google.com/spreadsheets/d/1YXvxf8Yu6_rV4hTBrwMqAcAnv6DfhUxh5emyM3CJp_w/edit?usp=sharing"",""เพชรบุรี!J678"")+IMPORTRA"&amp;"NGE(""https://docs.google.com/spreadsheets/d/19KBlQQs7uwvsao6t2n-KvW3Ax8J8uRRfZPq1zPbXgKc/edit?usp=sharing"",""ระยอง!J678"")+IMPORTRANGE(""https://docs.google.com/spreadsheets/d/1jQ6P4QcrGM89YfqcC_PxOHGCMq5ezhucwJd8ci-NHng/edit?usp=sharing"",""ราชบุรี!J67"&amp;"8"")+IMPORTRANGE(""https://docs.google.com/spreadsheets/d/1lufeA2cfFqM-elVq2hznhDzC6Pr7wkJ9ZG_sYNGCMCU/edit?usp=sharing"",""ลพบุรี!J678"")+IMPORTRANGE(""https://docs.google.com/spreadsheets/d/10oOiF7loTyfsTkbd4MpaIm0HQ9SwB7IYHdIUvt-U1Uc/edit?usp=sharing"""&amp;",""สระแก้ว!J678"")+IMPORTRANGE(""https://docs.google.com/spreadsheets/d/1xmPlrr1QbdSIKvl1dWUl9K4PjAfSL9oeMr_37QVzcxc/edit?usp=sharing"",""สระบุรี!J678"")+IMPORTRANGE(""https://docs.google.com/spreadsheets/d/1j51vR6CYVGhABJpv6tkstgok82RLpXieLzW1yOY5rHw/edi"&amp;"t?usp=sharing"",""สิงห์บุรี!J678"")+IMPORTRANGE(""https://docs.google.com/spreadsheets/d/1H1EalTWKUSzO4Z1-1CwzoDUaVffgrThEBe2sl74kKG0/edit?usp=sharing"",""สุพรรณบุรี!J678"")+IMPORTRANGE(""https://docs.google.com/spreadsheets/d/1BmIruG_sIrJLYao_Pdr7zVArWsf"&amp;"oBt2692TMi6x_854/edit?usp=sharing"",""อ่างทอง!J678"")"),811.89)</f>
        <v>811.89</v>
      </c>
      <c r="K678" s="77">
        <f t="shared" ref="K678:K679" ca="1" si="461">IF(I678&gt;0,J678*100/I678,0)</f>
        <v>46.367218732153056</v>
      </c>
      <c r="L678" s="732"/>
      <c r="M678" s="90"/>
      <c r="N678" s="732"/>
      <c r="O678" s="90"/>
      <c r="P678" s="90"/>
      <c r="Q678" s="734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13wPX838HrBrQMCywv1BsuMkt4PEKTChp52zj44s2izQ/edit?usp=sharing"",""กาญจนบุรี!I679"")+IMPORTRANGE(""https://docs.google.com/spreadsheets/d/1ddFKvqj1W1NEiWytbGlB1zMx_ykJDVtmfEQ-6-lIUBA/edit?usp=sharing"","&amp;"""จันทบุรี!I679"")+IMPORTRANGE(""https://docs.google.com/spreadsheets/d/1T1PQvRODqOBZk8BRht_U031fIS1beLA0Ub2CEytj2q0/edit?usp=sharing"",""ฉะเชิงเทรา!I679"")+IMPORTRANGE(""https://docs.google.com/spreadsheets/d/11tr1B-Bhyr79v2bkwVh5h_fR-PStkgjlZtkrZpYurG0/"&amp;"edit?usp=sharing"",""ชลบุรี!I679"")+IMPORTRANGE(""https://docs.google.com/spreadsheets/d/1hh-FVnSX0vozXhGluamEcS54Dw9_zqW0N7qJUWgJ0Sw/edit?usp=sharing"",""ชัยนาท!I679"")+IMPORTRANGE(""https://docs.google.com/spreadsheets/d/1jkqa6GXxSacMcY1eN8AHjMNJ_7dDXMJ"&amp;"VRLDlaFSOdPM/edit?usp=sharing"",""ตราด!I679"")+IMPORTRANGE(""https://docs.google.com/spreadsheets/d/18hSgUJ3VwClqi_qtULmmW3cLr0oe3OKaSYoKzdpTsYQ/edit?usp=sharing"",""นครนายก!I679"")+IMPORTRANGE(""https://docs.google.com/spreadsheets/d/1YTZo6WM2dQ6Ix6FSdnL"&amp;"5P7uVnVKu40sxZu975tgG10E/edit?usp=sharing"",""นครปฐม!I679"")+IMPORTRANGE(""https://docs.google.com/spreadsheets/d/1OYoGg4WDg5RIzwGeB10padOxJF9E_Vljuvvct_M7RDo/edit?usp=sharing"",""ปทุมธานี!I679"")+IMPORTRANGE(""https://docs.google.com/spreadsheets/d/1GbCI"&amp;"E4D4wk9FUozzqk7SxfDMxDVBwVmI5zcaVUSzKAc/edit?usp=sharing"",""ประจวบคีรีขันธ์!I679"")+IMPORTRANGE(""https://docs.google.com/spreadsheets/d/1vVf6wykvW_lAyu7Yo9L4hUTqHqIeP_qcVuxCtosJEbg/edit?usp=sharing"",""ปราจีนบุรี!I679"")+IMPORTRANGE(""https://docs.googl"&amp;"e.com/spreadsheets/d/1BIDqLLg5jk3v59G8NlR8rk5xfQDKne0sAvZHSj7TI6I/edit?usp=sharing"",""พระนครศรีอยุธยา!I679"")+IMPORTRANGE(""https://docs.google.com/spreadsheets/d/1YXvxf8Yu6_rV4hTBrwMqAcAnv6DfhUxh5emyM3CJp_w/edit?usp=sharing"",""เพชรบุรี!I679"")+IMPORTRA"&amp;"NGE(""https://docs.google.com/spreadsheets/d/19KBlQQs7uwvsao6t2n-KvW3Ax8J8uRRfZPq1zPbXgKc/edit?usp=sharing"",""ระยอง!I679"")+IMPORTRANGE(""https://docs.google.com/spreadsheets/d/1jQ6P4QcrGM89YfqcC_PxOHGCMq5ezhucwJd8ci-NHng/edit?usp=sharing"",""ราชบุรี!I67"&amp;"9"")+IMPORTRANGE(""https://docs.google.com/spreadsheets/d/1lufeA2cfFqM-elVq2hznhDzC6Pr7wkJ9ZG_sYNGCMCU/edit?usp=sharing"",""ลพบุรี!I679"")+IMPORTRANGE(""https://docs.google.com/spreadsheets/d/10oOiF7loTyfsTkbd4MpaIm0HQ9SwB7IYHdIUvt-U1Uc/edit?usp=sharing"""&amp;",""สระแก้ว!I679"")+IMPORTRANGE(""https://docs.google.com/spreadsheets/d/1xmPlrr1QbdSIKvl1dWUl9K4PjAfSL9oeMr_37QVzcxc/edit?usp=sharing"",""สระบุรี!I679"")+IMPORTRANGE(""https://docs.google.com/spreadsheets/d/1j51vR6CYVGhABJpv6tkstgok82RLpXieLzW1yOY5rHw/edi"&amp;"t?usp=sharing"",""สิงห์บุรี!I679"")+IMPORTRANGE(""https://docs.google.com/spreadsheets/d/1H1EalTWKUSzO4Z1-1CwzoDUaVffgrThEBe2sl74kKG0/edit?usp=sharing"",""สุพรรณบุรี!I679"")+IMPORTRANGE(""https://docs.google.com/spreadsheets/d/1BmIruG_sIrJLYao_Pdr7zVArWsf"&amp;"oBt2692TMi6x_854/edit?usp=sharing"",""อ่างทอง!I679"")"),95)</f>
        <v>95</v>
      </c>
      <c r="J679" s="295">
        <f ca="1">IFERROR(__xludf.DUMMYFUNCTION("IMPORTRANGE(""https://docs.google.com/spreadsheets/d/13wPX838HrBrQMCywv1BsuMkt4PEKTChp52zj44s2izQ/edit?usp=sharing"",""กาญจนบุรี!J679"")+IMPORTRANGE(""https://docs.google.com/spreadsheets/d/1ddFKvqj1W1NEiWytbGlB1zMx_ykJDVtmfEQ-6-lIUBA/edit?usp=sharing"","&amp;"""จันทบุรี!J679"")+IMPORTRANGE(""https://docs.google.com/spreadsheets/d/1T1PQvRODqOBZk8BRht_U031fIS1beLA0Ub2CEytj2q0/edit?usp=sharing"",""ฉะเชิงเทรา!J679"")+IMPORTRANGE(""https://docs.google.com/spreadsheets/d/11tr1B-Bhyr79v2bkwVh5h_fR-PStkgjlZtkrZpYurG0/"&amp;"edit?usp=sharing"",""ชลบุรี!J679"")+IMPORTRANGE(""https://docs.google.com/spreadsheets/d/1hh-FVnSX0vozXhGluamEcS54Dw9_zqW0N7qJUWgJ0Sw/edit?usp=sharing"",""ชัยนาท!J679"")+IMPORTRANGE(""https://docs.google.com/spreadsheets/d/1jkqa6GXxSacMcY1eN8AHjMNJ_7dDXMJ"&amp;"VRLDlaFSOdPM/edit?usp=sharing"",""ตราด!J679"")+IMPORTRANGE(""https://docs.google.com/spreadsheets/d/18hSgUJ3VwClqi_qtULmmW3cLr0oe3OKaSYoKzdpTsYQ/edit?usp=sharing"",""นครนายก!J679"")+IMPORTRANGE(""https://docs.google.com/spreadsheets/d/1YTZo6WM2dQ6Ix6FSdnL"&amp;"5P7uVnVKu40sxZu975tgG10E/edit?usp=sharing"",""นครปฐม!J679"")+IMPORTRANGE(""https://docs.google.com/spreadsheets/d/1OYoGg4WDg5RIzwGeB10padOxJF9E_Vljuvvct_M7RDo/edit?usp=sharing"",""ปทุมธานี!J679"")+IMPORTRANGE(""https://docs.google.com/spreadsheets/d/1GbCI"&amp;"E4D4wk9FUozzqk7SxfDMxDVBwVmI5zcaVUSzKAc/edit?usp=sharing"",""ประจวบคีรีขันธ์!J679"")+IMPORTRANGE(""https://docs.google.com/spreadsheets/d/1vVf6wykvW_lAyu7Yo9L4hUTqHqIeP_qcVuxCtosJEbg/edit?usp=sharing"",""ปราจีนบุรี!J679"")+IMPORTRANGE(""https://docs.googl"&amp;"e.com/spreadsheets/d/1BIDqLLg5jk3v59G8NlR8rk5xfQDKne0sAvZHSj7TI6I/edit?usp=sharing"",""พระนครศรีอยุธยา!J679"")+IMPORTRANGE(""https://docs.google.com/spreadsheets/d/1YXvxf8Yu6_rV4hTBrwMqAcAnv6DfhUxh5emyM3CJp_w/edit?usp=sharing"",""เพชรบุรี!J679"")+IMPORTRA"&amp;"NGE(""https://docs.google.com/spreadsheets/d/19KBlQQs7uwvsao6t2n-KvW3Ax8J8uRRfZPq1zPbXgKc/edit?usp=sharing"",""ระยอง!J679"")+IMPORTRANGE(""https://docs.google.com/spreadsheets/d/1jQ6P4QcrGM89YfqcC_PxOHGCMq5ezhucwJd8ci-NHng/edit?usp=sharing"",""ราชบุรี!J67"&amp;"9"")+IMPORTRANGE(""https://docs.google.com/spreadsheets/d/1lufeA2cfFqM-elVq2hznhDzC6Pr7wkJ9ZG_sYNGCMCU/edit?usp=sharing"",""ลพบุรี!J679"")+IMPORTRANGE(""https://docs.google.com/spreadsheets/d/10oOiF7loTyfsTkbd4MpaIm0HQ9SwB7IYHdIUvt-U1Uc/edit?usp=sharing"""&amp;",""สระแก้ว!J679"")+IMPORTRANGE(""https://docs.google.com/spreadsheets/d/1xmPlrr1QbdSIKvl1dWUl9K4PjAfSL9oeMr_37QVzcxc/edit?usp=sharing"",""สระบุรี!J679"")+IMPORTRANGE(""https://docs.google.com/spreadsheets/d/1j51vR6CYVGhABJpv6tkstgok82RLpXieLzW1yOY5rHw/edi"&amp;"t?usp=sharing"",""สิงห์บุรี!J679"")+IMPORTRANGE(""https://docs.google.com/spreadsheets/d/1H1EalTWKUSzO4Z1-1CwzoDUaVffgrThEBe2sl74kKG0/edit?usp=sharing"",""สุพรรณบุรี!J679"")+IMPORTRANGE(""https://docs.google.com/spreadsheets/d/1BmIruG_sIrJLYao_Pdr7zVArWsf"&amp;"oBt2692TMi6x_854/edit?usp=sharing"",""อ่างทอง!J679"")"),73)</f>
        <v>73</v>
      </c>
      <c r="K679" s="77">
        <f t="shared" ca="1" si="461"/>
        <v>76.84210526315789</v>
      </c>
      <c r="L679" s="90"/>
      <c r="M679" s="90"/>
      <c r="N679" s="732"/>
      <c r="O679" s="90"/>
      <c r="P679" s="90"/>
      <c r="Q679" s="89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13wPX838HrBrQMCywv1BsuMkt4PEKTChp52zj44s2izQ/edit?usp=sharing"",""กาญจนบุรี!J680"")+IMPORTRANGE(""https://docs.google.com/spreadsheets/d/1ddFKvqj1W1NEiWytbGlB1zMx_ykJDVtmfEQ-6-lIUBA/edit?usp=sharing"","&amp;"""จันทบุรี!J680"")+IMPORTRANGE(""https://docs.google.com/spreadsheets/d/1T1PQvRODqOBZk8BRht_U031fIS1beLA0Ub2CEytj2q0/edit?usp=sharing"",""ฉะเชิงเทรา!J680"")+IMPORTRANGE(""https://docs.google.com/spreadsheets/d/11tr1B-Bhyr79v2bkwVh5h_fR-PStkgjlZtkrZpYurG0/"&amp;"edit?usp=sharing"",""ชลบุรี!J680"")+IMPORTRANGE(""https://docs.google.com/spreadsheets/d/1hh-FVnSX0vozXhGluamEcS54Dw9_zqW0N7qJUWgJ0Sw/edit?usp=sharing"",""ชัยนาท!J680"")+IMPORTRANGE(""https://docs.google.com/spreadsheets/d/1jkqa6GXxSacMcY1eN8AHjMNJ_7dDXMJ"&amp;"VRLDlaFSOdPM/edit?usp=sharing"",""ตราด!J680"")+IMPORTRANGE(""https://docs.google.com/spreadsheets/d/18hSgUJ3VwClqi_qtULmmW3cLr0oe3OKaSYoKzdpTsYQ/edit?usp=sharing"",""นครนายก!J680"")+IMPORTRANGE(""https://docs.google.com/spreadsheets/d/1YTZo6WM2dQ6Ix6FSdnL"&amp;"5P7uVnVKu40sxZu975tgG10E/edit?usp=sharing"",""นครปฐม!J680"")+IMPORTRANGE(""https://docs.google.com/spreadsheets/d/1OYoGg4WDg5RIzwGeB10padOxJF9E_Vljuvvct_M7RDo/edit?usp=sharing"",""ปทุมธานี!J680"")+IMPORTRANGE(""https://docs.google.com/spreadsheets/d/1GbCI"&amp;"E4D4wk9FUozzqk7SxfDMxDVBwVmI5zcaVUSzKAc/edit?usp=sharing"",""ประจวบคีรีขันธ์!J680"")+IMPORTRANGE(""https://docs.google.com/spreadsheets/d/1vVf6wykvW_lAyu7Yo9L4hUTqHqIeP_qcVuxCtosJEbg/edit?usp=sharing"",""ปราจีนบุรี!J680"")+IMPORTRANGE(""https://docs.googl"&amp;"e.com/spreadsheets/d/1BIDqLLg5jk3v59G8NlR8rk5xfQDKne0sAvZHSj7TI6I/edit?usp=sharing"",""พระนครศรีอยุธยา!J680"")+IMPORTRANGE(""https://docs.google.com/spreadsheets/d/1YXvxf8Yu6_rV4hTBrwMqAcAnv6DfhUxh5emyM3CJp_w/edit?usp=sharing"",""เพชรบุรี!J680"")+IMPORTRA"&amp;"NGE(""https://docs.google.com/spreadsheets/d/19KBlQQs7uwvsao6t2n-KvW3Ax8J8uRRfZPq1zPbXgKc/edit?usp=sharing"",""ระยอง!J680"")+IMPORTRANGE(""https://docs.google.com/spreadsheets/d/1jQ6P4QcrGM89YfqcC_PxOHGCMq5ezhucwJd8ci-NHng/edit?usp=sharing"",""ราชบุรี!J68"&amp;"0"")+IMPORTRANGE(""https://docs.google.com/spreadsheets/d/1lufeA2cfFqM-elVq2hznhDzC6Pr7wkJ9ZG_sYNGCMCU/edit?usp=sharing"",""ลพบุรี!J680"")+IMPORTRANGE(""https://docs.google.com/spreadsheets/d/10oOiF7loTyfsTkbd4MpaIm0HQ9SwB7IYHdIUvt-U1Uc/edit?usp=sharing"""&amp;",""สระแก้ว!J680"")+IMPORTRANGE(""https://docs.google.com/spreadsheets/d/1xmPlrr1QbdSIKvl1dWUl9K4PjAfSL9oeMr_37QVzcxc/edit?usp=sharing"",""สระบุรี!J680"")+IMPORTRANGE(""https://docs.google.com/spreadsheets/d/1j51vR6CYVGhABJpv6tkstgok82RLpXieLzW1yOY5rHw/edi"&amp;"t?usp=sharing"",""สิงห์บุรี!J680"")+IMPORTRANGE(""https://docs.google.com/spreadsheets/d/1H1EalTWKUSzO4Z1-1CwzoDUaVffgrThEBe2sl74kKG0/edit?usp=sharing"",""สุพรรณบุรี!J680"")+IMPORTRANGE(""https://docs.google.com/spreadsheets/d/1BmIruG_sIrJLYao_Pdr7zVArWsf"&amp;"oBt2692TMi6x_854/edit?usp=sharing"",""อ่างทอง!J680"")"),87)</f>
        <v>87</v>
      </c>
      <c r="K680" s="90"/>
      <c r="L680" s="732"/>
      <c r="M680" s="90"/>
      <c r="N680" s="732"/>
      <c r="O680" s="90"/>
      <c r="P680" s="90"/>
      <c r="Q680" s="734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13wPX838HrBrQMCywv1BsuMkt4PEKTChp52zj44s2izQ/edit?usp=sharing"",""กาญจนบุรี!I681"")+IMPORTRANGE(""https://docs.google.com/spreadsheets/d/1ddFKvqj1W1NEiWytbGlB1zMx_ykJDVtmfEQ-6-lIUBA/edit?usp=sharing"","&amp;"""จันทบุรี!I681"")+IMPORTRANGE(""https://docs.google.com/spreadsheets/d/1T1PQvRODqOBZk8BRht_U031fIS1beLA0Ub2CEytj2q0/edit?usp=sharing"",""ฉะเชิงเทรา!I681"")+IMPORTRANGE(""https://docs.google.com/spreadsheets/d/11tr1B-Bhyr79v2bkwVh5h_fR-PStkgjlZtkrZpYurG0/"&amp;"edit?usp=sharing"",""ชลบุรี!I681"")+IMPORTRANGE(""https://docs.google.com/spreadsheets/d/1hh-FVnSX0vozXhGluamEcS54Dw9_zqW0N7qJUWgJ0Sw/edit?usp=sharing"",""ชัยนาท!I681"")+IMPORTRANGE(""https://docs.google.com/spreadsheets/d/1jkqa6GXxSacMcY1eN8AHjMNJ_7dDXMJ"&amp;"VRLDlaFSOdPM/edit?usp=sharing"",""ตราด!I681"")+IMPORTRANGE(""https://docs.google.com/spreadsheets/d/18hSgUJ3VwClqi_qtULmmW3cLr0oe3OKaSYoKzdpTsYQ/edit?usp=sharing"",""นครนายก!I681"")+IMPORTRANGE(""https://docs.google.com/spreadsheets/d/1YTZo6WM2dQ6Ix6FSdnL"&amp;"5P7uVnVKu40sxZu975tgG10E/edit?usp=sharing"",""นครปฐม!I681"")+IMPORTRANGE(""https://docs.google.com/spreadsheets/d/1OYoGg4WDg5RIzwGeB10padOxJF9E_Vljuvvct_M7RDo/edit?usp=sharing"",""ปทุมธานี!I681"")+IMPORTRANGE(""https://docs.google.com/spreadsheets/d/1GbCI"&amp;"E4D4wk9FUozzqk7SxfDMxDVBwVmI5zcaVUSzKAc/edit?usp=sharing"",""ประจวบคีรีขันธ์!I681"")+IMPORTRANGE(""https://docs.google.com/spreadsheets/d/1vVf6wykvW_lAyu7Yo9L4hUTqHqIeP_qcVuxCtosJEbg/edit?usp=sharing"",""ปราจีนบุรี!I681"")+IMPORTRANGE(""https://docs.googl"&amp;"e.com/spreadsheets/d/1BIDqLLg5jk3v59G8NlR8rk5xfQDKne0sAvZHSj7TI6I/edit?usp=sharing"",""พระนครศรีอยุธยา!I681"")+IMPORTRANGE(""https://docs.google.com/spreadsheets/d/1YXvxf8Yu6_rV4hTBrwMqAcAnv6DfhUxh5emyM3CJp_w/edit?usp=sharing"",""เพชรบุรี!I681"")+IMPORTRA"&amp;"NGE(""https://docs.google.com/spreadsheets/d/19KBlQQs7uwvsao6t2n-KvW3Ax8J8uRRfZPq1zPbXgKc/edit?usp=sharing"",""ระยอง!I681"")+IMPORTRANGE(""https://docs.google.com/spreadsheets/d/1jQ6P4QcrGM89YfqcC_PxOHGCMq5ezhucwJd8ci-NHng/edit?usp=sharing"",""ราชบุรี!I68"&amp;"1"")+IMPORTRANGE(""https://docs.google.com/spreadsheets/d/1lufeA2cfFqM-elVq2hznhDzC6Pr7wkJ9ZG_sYNGCMCU/edit?usp=sharing"",""ลพบุรี!I681"")+IMPORTRANGE(""https://docs.google.com/spreadsheets/d/10oOiF7loTyfsTkbd4MpaIm0HQ9SwB7IYHdIUvt-U1Uc/edit?usp=sharing"""&amp;",""สระแก้ว!I681"")+IMPORTRANGE(""https://docs.google.com/spreadsheets/d/1xmPlrr1QbdSIKvl1dWUl9K4PjAfSL9oeMr_37QVzcxc/edit?usp=sharing"",""สระบุรี!I681"")+IMPORTRANGE(""https://docs.google.com/spreadsheets/d/1j51vR6CYVGhABJpv6tkstgok82RLpXieLzW1yOY5rHw/edi"&amp;"t?usp=sharing"",""สิงห์บุรี!I681"")+IMPORTRANGE(""https://docs.google.com/spreadsheets/d/1H1EalTWKUSzO4Z1-1CwzoDUaVffgrThEBe2sl74kKG0/edit?usp=sharing"",""สุพรรณบุรี!I681"")+IMPORTRANGE(""https://docs.google.com/spreadsheets/d/1BmIruG_sIrJLYao_Pdr7zVArWsf"&amp;"oBt2692TMi6x_854/edit?usp=sharing"",""อ่างทอง!I681"")"),952)</f>
        <v>952</v>
      </c>
      <c r="J681" s="295">
        <f ca="1">IFERROR(__xludf.DUMMYFUNCTION("IMPORTRANGE(""https://docs.google.com/spreadsheets/d/13wPX838HrBrQMCywv1BsuMkt4PEKTChp52zj44s2izQ/edit?usp=sharing"",""กาญจนบุรี!J681"")+IMPORTRANGE(""https://docs.google.com/spreadsheets/d/1ddFKvqj1W1NEiWytbGlB1zMx_ykJDVtmfEQ-6-lIUBA/edit?usp=sharing"","&amp;"""จันทบุรี!J681"")+IMPORTRANGE(""https://docs.google.com/spreadsheets/d/1T1PQvRODqOBZk8BRht_U031fIS1beLA0Ub2CEytj2q0/edit?usp=sharing"",""ฉะเชิงเทรา!J681"")+IMPORTRANGE(""https://docs.google.com/spreadsheets/d/11tr1B-Bhyr79v2bkwVh5h_fR-PStkgjlZtkrZpYurG0/"&amp;"edit?usp=sharing"",""ชลบุรี!J681"")+IMPORTRANGE(""https://docs.google.com/spreadsheets/d/1hh-FVnSX0vozXhGluamEcS54Dw9_zqW0N7qJUWgJ0Sw/edit?usp=sharing"",""ชัยนาท!J681"")+IMPORTRANGE(""https://docs.google.com/spreadsheets/d/1jkqa6GXxSacMcY1eN8AHjMNJ_7dDXMJ"&amp;"VRLDlaFSOdPM/edit?usp=sharing"",""ตราด!J681"")+IMPORTRANGE(""https://docs.google.com/spreadsheets/d/18hSgUJ3VwClqi_qtULmmW3cLr0oe3OKaSYoKzdpTsYQ/edit?usp=sharing"",""นครนายก!J681"")+IMPORTRANGE(""https://docs.google.com/spreadsheets/d/1YTZo6WM2dQ6Ix6FSdnL"&amp;"5P7uVnVKu40sxZu975tgG10E/edit?usp=sharing"",""นครปฐม!J681"")+IMPORTRANGE(""https://docs.google.com/spreadsheets/d/1OYoGg4WDg5RIzwGeB10padOxJF9E_Vljuvvct_M7RDo/edit?usp=sharing"",""ปทุมธานี!J681"")+IMPORTRANGE(""https://docs.google.com/spreadsheets/d/1GbCI"&amp;"E4D4wk9FUozzqk7SxfDMxDVBwVmI5zcaVUSzKAc/edit?usp=sharing"",""ประจวบคีรีขันธ์!J681"")+IMPORTRANGE(""https://docs.google.com/spreadsheets/d/1vVf6wykvW_lAyu7Yo9L4hUTqHqIeP_qcVuxCtosJEbg/edit?usp=sharing"",""ปราจีนบุรี!J681"")+IMPORTRANGE(""https://docs.googl"&amp;"e.com/spreadsheets/d/1BIDqLLg5jk3v59G8NlR8rk5xfQDKne0sAvZHSj7TI6I/edit?usp=sharing"",""พระนครศรีอยุธยา!J681"")+IMPORTRANGE(""https://docs.google.com/spreadsheets/d/1YXvxf8Yu6_rV4hTBrwMqAcAnv6DfhUxh5emyM3CJp_w/edit?usp=sharing"",""เพชรบุรี!J681"")+IMPORTRA"&amp;"NGE(""https://docs.google.com/spreadsheets/d/19KBlQQs7uwvsao6t2n-KvW3Ax8J8uRRfZPq1zPbXgKc/edit?usp=sharing"",""ระยอง!J681"")+IMPORTRANGE(""https://docs.google.com/spreadsheets/d/1jQ6P4QcrGM89YfqcC_PxOHGCMq5ezhucwJd8ci-NHng/edit?usp=sharing"",""ราชบุรี!J68"&amp;"1"")+IMPORTRANGE(""https://docs.google.com/spreadsheets/d/1lufeA2cfFqM-elVq2hznhDzC6Pr7wkJ9ZG_sYNGCMCU/edit?usp=sharing"",""ลพบุรี!J681"")+IMPORTRANGE(""https://docs.google.com/spreadsheets/d/10oOiF7loTyfsTkbd4MpaIm0HQ9SwB7IYHdIUvt-U1Uc/edit?usp=sharing"""&amp;",""สระแก้ว!J681"")+IMPORTRANGE(""https://docs.google.com/spreadsheets/d/1xmPlrr1QbdSIKvl1dWUl9K4PjAfSL9oeMr_37QVzcxc/edit?usp=sharing"",""สระบุรี!J681"")+IMPORTRANGE(""https://docs.google.com/spreadsheets/d/1j51vR6CYVGhABJpv6tkstgok82RLpXieLzW1yOY5rHw/edi"&amp;"t?usp=sharing"",""สิงห์บุรี!J681"")+IMPORTRANGE(""https://docs.google.com/spreadsheets/d/1H1EalTWKUSzO4Z1-1CwzoDUaVffgrThEBe2sl74kKG0/edit?usp=sharing"",""สุพรรณบุรี!J681"")+IMPORTRANGE(""https://docs.google.com/spreadsheets/d/1BmIruG_sIrJLYao_Pdr7zVArWsf"&amp;"oBt2692TMi6x_854/edit?usp=sharing"",""อ่างทอง!J681"")"),464.48)</f>
        <v>464.48</v>
      </c>
      <c r="K681" s="77">
        <f t="shared" ref="K681:K682" ca="1" si="462">IF(I681&gt;0,J681*100/I681,0)</f>
        <v>48.789915966386552</v>
      </c>
      <c r="L681" s="732"/>
      <c r="M681" s="90"/>
      <c r="N681" s="732"/>
      <c r="O681" s="90"/>
      <c r="P681" s="90"/>
      <c r="Q681" s="734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13wPX838HrBrQMCywv1BsuMkt4PEKTChp52zj44s2izQ/edit?usp=sharing"",""กาญจนบุรี!I682"")+IMPORTRANGE(""https://docs.google.com/spreadsheets/d/1ddFKvqj1W1NEiWytbGlB1zMx_ykJDVtmfEQ-6-lIUBA/edit?usp=sharing"","&amp;"""จันทบุรี!I682"")+IMPORTRANGE(""https://docs.google.com/spreadsheets/d/1T1PQvRODqOBZk8BRht_U031fIS1beLA0Ub2CEytj2q0/edit?usp=sharing"",""ฉะเชิงเทรา!I682"")+IMPORTRANGE(""https://docs.google.com/spreadsheets/d/11tr1B-Bhyr79v2bkwVh5h_fR-PStkgjlZtkrZpYurG0/"&amp;"edit?usp=sharing"",""ชลบุรี!I682"")+IMPORTRANGE(""https://docs.google.com/spreadsheets/d/1hh-FVnSX0vozXhGluamEcS54Dw9_zqW0N7qJUWgJ0Sw/edit?usp=sharing"",""ชัยนาท!I682"")+IMPORTRANGE(""https://docs.google.com/spreadsheets/d/1jkqa6GXxSacMcY1eN8AHjMNJ_7dDXMJ"&amp;"VRLDlaFSOdPM/edit?usp=sharing"",""ตราด!I682"")+IMPORTRANGE(""https://docs.google.com/spreadsheets/d/18hSgUJ3VwClqi_qtULmmW3cLr0oe3OKaSYoKzdpTsYQ/edit?usp=sharing"",""นครนายก!I682"")+IMPORTRANGE(""https://docs.google.com/spreadsheets/d/1YTZo6WM2dQ6Ix6FSdnL"&amp;"5P7uVnVKu40sxZu975tgG10E/edit?usp=sharing"",""นครปฐม!I682"")+IMPORTRANGE(""https://docs.google.com/spreadsheets/d/1OYoGg4WDg5RIzwGeB10padOxJF9E_Vljuvvct_M7RDo/edit?usp=sharing"",""ปทุมธานี!I682"")+IMPORTRANGE(""https://docs.google.com/spreadsheets/d/1GbCI"&amp;"E4D4wk9FUozzqk7SxfDMxDVBwVmI5zcaVUSzKAc/edit?usp=sharing"",""ประจวบคีรีขันธ์!I682"")+IMPORTRANGE(""https://docs.google.com/spreadsheets/d/1vVf6wykvW_lAyu7Yo9L4hUTqHqIeP_qcVuxCtosJEbg/edit?usp=sharing"",""ปราจีนบุรี!I682"")+IMPORTRANGE(""https://docs.googl"&amp;"e.com/spreadsheets/d/1BIDqLLg5jk3v59G8NlR8rk5xfQDKne0sAvZHSj7TI6I/edit?usp=sharing"",""พระนครศรีอยุธยา!I682"")+IMPORTRANGE(""https://docs.google.com/spreadsheets/d/1YXvxf8Yu6_rV4hTBrwMqAcAnv6DfhUxh5emyM3CJp_w/edit?usp=sharing"",""เพชรบุรี!I682"")+IMPORTRA"&amp;"NGE(""https://docs.google.com/spreadsheets/d/19KBlQQs7uwvsao6t2n-KvW3Ax8J8uRRfZPq1zPbXgKc/edit?usp=sharing"",""ระยอง!I682"")+IMPORTRANGE(""https://docs.google.com/spreadsheets/d/1jQ6P4QcrGM89YfqcC_PxOHGCMq5ezhucwJd8ci-NHng/edit?usp=sharing"",""ราชบุรี!I68"&amp;"2"")+IMPORTRANGE(""https://docs.google.com/spreadsheets/d/1lufeA2cfFqM-elVq2hznhDzC6Pr7wkJ9ZG_sYNGCMCU/edit?usp=sharing"",""ลพบุรี!I682"")+IMPORTRANGE(""https://docs.google.com/spreadsheets/d/10oOiF7loTyfsTkbd4MpaIm0HQ9SwB7IYHdIUvt-U1Uc/edit?usp=sharing"""&amp;",""สระแก้ว!I682"")+IMPORTRANGE(""https://docs.google.com/spreadsheets/d/1xmPlrr1QbdSIKvl1dWUl9K4PjAfSL9oeMr_37QVzcxc/edit?usp=sharing"",""สระบุรี!I682"")+IMPORTRANGE(""https://docs.google.com/spreadsheets/d/1j51vR6CYVGhABJpv6tkstgok82RLpXieLzW1yOY5rHw/edi"&amp;"t?usp=sharing"",""สิงห์บุรี!I682"")+IMPORTRANGE(""https://docs.google.com/spreadsheets/d/1H1EalTWKUSzO4Z1-1CwzoDUaVffgrThEBe2sl74kKG0/edit?usp=sharing"",""สุพรรณบุรี!I682"")+IMPORTRANGE(""https://docs.google.com/spreadsheets/d/1BmIruG_sIrJLYao_Pdr7zVArWsf"&amp;"oBt2692TMi6x_854/edit?usp=sharing"",""อ่างทอง!I682"")"),657)</f>
        <v>657</v>
      </c>
      <c r="J682" s="603">
        <f ca="1">J685+J688</f>
        <v>329.94999999999902</v>
      </c>
      <c r="K682" s="266">
        <f t="shared" ca="1" si="462"/>
        <v>50.220700152206859</v>
      </c>
      <c r="L682" s="90"/>
      <c r="M682" s="90"/>
      <c r="N682" s="732"/>
      <c r="O682" s="90"/>
      <c r="P682" s="90"/>
      <c r="Q682" s="89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f ca="1">IFERROR(__xludf.DUMMYFUNCTION("IMPORTRANGE(""https://docs.google.com/spreadsheets/d/13wPX838HrBrQMCywv1BsuMkt4PEKTChp52zj44s2izQ/edit?usp=sharing"",""กาญจนบุรี!J683"")+IMPORTRANGE(""https://docs.google.com/spreadsheets/d/1ddFKvqj1W1NEiWytbGlB1zMx_ykJDVtmfEQ-6-lIUBA/edit?usp=sharing"","&amp;"""จันทบุรี!J683"")+IMPORTRANGE(""https://docs.google.com/spreadsheets/d/1T1PQvRODqOBZk8BRht_U031fIS1beLA0Ub2CEytj2q0/edit?usp=sharing"",""ฉะเชิงเทรา!J683"")+IMPORTRANGE(""https://docs.google.com/spreadsheets/d/11tr1B-Bhyr79v2bkwVh5h_fR-PStkgjlZtkrZpYurG0/"&amp;"edit?usp=sharing"",""ชลบุรี!J683"")+IMPORTRANGE(""https://docs.google.com/spreadsheets/d/1hh-FVnSX0vozXhGluamEcS54Dw9_zqW0N7qJUWgJ0Sw/edit?usp=sharing"",""ชัยนาท!J683"")+IMPORTRANGE(""https://docs.google.com/spreadsheets/d/1jkqa6GXxSacMcY1eN8AHjMNJ_7dDXMJ"&amp;"VRLDlaFSOdPM/edit?usp=sharing"",""ตราด!J683"")+IMPORTRANGE(""https://docs.google.com/spreadsheets/d/18hSgUJ3VwClqi_qtULmmW3cLr0oe3OKaSYoKzdpTsYQ/edit?usp=sharing"",""นครนายก!J683"")+IMPORTRANGE(""https://docs.google.com/spreadsheets/d/1YTZo6WM2dQ6Ix6FSdnL"&amp;"5P7uVnVKu40sxZu975tgG10E/edit?usp=sharing"",""นครปฐม!J683"")+IMPORTRANGE(""https://docs.google.com/spreadsheets/d/1OYoGg4WDg5RIzwGeB10padOxJF9E_Vljuvvct_M7RDo/edit?usp=sharing"",""ปทุมธานี!J683"")+IMPORTRANGE(""https://docs.google.com/spreadsheets/d/1GbCI"&amp;"E4D4wk9FUozzqk7SxfDMxDVBwVmI5zcaVUSzKAc/edit?usp=sharing"",""ประจวบคีรีขันธ์!J683"")+IMPORTRANGE(""https://docs.google.com/spreadsheets/d/1vVf6wykvW_lAyu7Yo9L4hUTqHqIeP_qcVuxCtosJEbg/edit?usp=sharing"",""ปราจีนบุรี!J683"")+IMPORTRANGE(""https://docs.googl"&amp;"e.com/spreadsheets/d/1BIDqLLg5jk3v59G8NlR8rk5xfQDKne0sAvZHSj7TI6I/edit?usp=sharing"",""พระนครศรีอยุธยา!J683"")+IMPORTRANGE(""https://docs.google.com/spreadsheets/d/1YXvxf8Yu6_rV4hTBrwMqAcAnv6DfhUxh5emyM3CJp_w/edit?usp=sharing"",""เพชรบุรี!J683"")+IMPORTRA"&amp;"NGE(""https://docs.google.com/spreadsheets/d/19KBlQQs7uwvsao6t2n-KvW3Ax8J8uRRfZPq1zPbXgKc/edit?usp=sharing"",""ระยอง!J683"")+IMPORTRANGE(""https://docs.google.com/spreadsheets/d/1jQ6P4QcrGM89YfqcC_PxOHGCMq5ezhucwJd8ci-NHng/edit?usp=sharing"",""ราชบุรี!J68"&amp;"3"")+IMPORTRANGE(""https://docs.google.com/spreadsheets/d/1lufeA2cfFqM-elVq2hznhDzC6Pr7wkJ9ZG_sYNGCMCU/edit?usp=sharing"",""ลพบุรี!J683"")+IMPORTRANGE(""https://docs.google.com/spreadsheets/d/10oOiF7loTyfsTkbd4MpaIm0HQ9SwB7IYHdIUvt-U1Uc/edit?usp=sharing"""&amp;",""สระแก้ว!J683"")+IMPORTRANGE(""https://docs.google.com/spreadsheets/d/1xmPlrr1QbdSIKvl1dWUl9K4PjAfSL9oeMr_37QVzcxc/edit?usp=sharing"",""สระบุรี!J683"")+IMPORTRANGE(""https://docs.google.com/spreadsheets/d/1j51vR6CYVGhABJpv6tkstgok82RLpXieLzW1yOY5rHw/edi"&amp;"t?usp=sharing"",""สิงห์บุรี!J683"")+IMPORTRANGE(""https://docs.google.com/spreadsheets/d/1H1EalTWKUSzO4Z1-1CwzoDUaVffgrThEBe2sl74kKG0/edit?usp=sharing"",""สุพรรณบุรี!J683"")+IMPORTRANGE(""https://docs.google.com/spreadsheets/d/1BmIruG_sIrJLYao_Pdr7zVArWsf"&amp;"oBt2692TMi6x_854/edit?usp=sharing"",""อ่างทอง!J683"")"),20)</f>
        <v>20</v>
      </c>
      <c r="K683" s="90"/>
      <c r="L683" s="732"/>
      <c r="M683" s="90"/>
      <c r="N683" s="732"/>
      <c r="O683" s="90"/>
      <c r="P683" s="90"/>
      <c r="Q683" s="734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f ca="1">IFERROR(__xludf.DUMMYFUNCTION("IMPORTRANGE(""https://docs.google.com/spreadsheets/d/13wPX838HrBrQMCywv1BsuMkt4PEKTChp52zj44s2izQ/edit?usp=sharing"",""กาญจนบุรี!J684"")+IMPORTRANGE(""https://docs.google.com/spreadsheets/d/1ddFKvqj1W1NEiWytbGlB1zMx_ykJDVtmfEQ-6-lIUBA/edit?usp=sharing"","&amp;"""จันทบุรี!J684"")+IMPORTRANGE(""https://docs.google.com/spreadsheets/d/1T1PQvRODqOBZk8BRht_U031fIS1beLA0Ub2CEytj2q0/edit?usp=sharing"",""ฉะเชิงเทรา!J684"")+IMPORTRANGE(""https://docs.google.com/spreadsheets/d/11tr1B-Bhyr79v2bkwVh5h_fR-PStkgjlZtkrZpYurG0/"&amp;"edit?usp=sharing"",""ชลบุรี!J684"")+IMPORTRANGE(""https://docs.google.com/spreadsheets/d/1hh-FVnSX0vozXhGluamEcS54Dw9_zqW0N7qJUWgJ0Sw/edit?usp=sharing"",""ชัยนาท!J684"")+IMPORTRANGE(""https://docs.google.com/spreadsheets/d/1jkqa6GXxSacMcY1eN8AHjMNJ_7dDXMJ"&amp;"VRLDlaFSOdPM/edit?usp=sharing"",""ตราด!J684"")+IMPORTRANGE(""https://docs.google.com/spreadsheets/d/18hSgUJ3VwClqi_qtULmmW3cLr0oe3OKaSYoKzdpTsYQ/edit?usp=sharing"",""นครนายก!J684"")+IMPORTRANGE(""https://docs.google.com/spreadsheets/d/1YTZo6WM2dQ6Ix6FSdnL"&amp;"5P7uVnVKu40sxZu975tgG10E/edit?usp=sharing"",""นครปฐม!J684"")+IMPORTRANGE(""https://docs.google.com/spreadsheets/d/1OYoGg4WDg5RIzwGeB10padOxJF9E_Vljuvvct_M7RDo/edit?usp=sharing"",""ปทุมธานี!J684"")+IMPORTRANGE(""https://docs.google.com/spreadsheets/d/1GbCI"&amp;"E4D4wk9FUozzqk7SxfDMxDVBwVmI5zcaVUSzKAc/edit?usp=sharing"",""ประจวบคีรีขันธ์!J684"")+IMPORTRANGE(""https://docs.google.com/spreadsheets/d/1vVf6wykvW_lAyu7Yo9L4hUTqHqIeP_qcVuxCtosJEbg/edit?usp=sharing"",""ปราจีนบุรี!J684"")+IMPORTRANGE(""https://docs.googl"&amp;"e.com/spreadsheets/d/1BIDqLLg5jk3v59G8NlR8rk5xfQDKne0sAvZHSj7TI6I/edit?usp=sharing"",""พระนครศรีอยุธยา!J684"")+IMPORTRANGE(""https://docs.google.com/spreadsheets/d/1YXvxf8Yu6_rV4hTBrwMqAcAnv6DfhUxh5emyM3CJp_w/edit?usp=sharing"",""เพชรบุรี!J684"")+IMPORTRA"&amp;"NGE(""https://docs.google.com/spreadsheets/d/19KBlQQs7uwvsao6t2n-KvW3Ax8J8uRRfZPq1zPbXgKc/edit?usp=sharing"",""ระยอง!J684"")+IMPORTRANGE(""https://docs.google.com/spreadsheets/d/1jQ6P4QcrGM89YfqcC_PxOHGCMq5ezhucwJd8ci-NHng/edit?usp=sharing"",""ราชบุรี!J68"&amp;"4"")+IMPORTRANGE(""https://docs.google.com/spreadsheets/d/1lufeA2cfFqM-elVq2hznhDzC6Pr7wkJ9ZG_sYNGCMCU/edit?usp=sharing"",""ลพบุรี!J684"")+IMPORTRANGE(""https://docs.google.com/spreadsheets/d/10oOiF7loTyfsTkbd4MpaIm0HQ9SwB7IYHdIUvt-U1Uc/edit?usp=sharing"""&amp;",""สระแก้ว!J684"")+IMPORTRANGE(""https://docs.google.com/spreadsheets/d/1xmPlrr1QbdSIKvl1dWUl9K4PjAfSL9oeMr_37QVzcxc/edit?usp=sharing"",""สระบุรี!J684"")+IMPORTRANGE(""https://docs.google.com/spreadsheets/d/1j51vR6CYVGhABJpv6tkstgok82RLpXieLzW1yOY5rHw/edi"&amp;"t?usp=sharing"",""สิงห์บุรี!J684"")+IMPORTRANGE(""https://docs.google.com/spreadsheets/d/1H1EalTWKUSzO4Z1-1CwzoDUaVffgrThEBe2sl74kKG0/edit?usp=sharing"",""สุพรรณบุรี!J684"")+IMPORTRANGE(""https://docs.google.com/spreadsheets/d/1BmIruG_sIrJLYao_Pdr7zVArWsf"&amp;"oBt2692TMi6x_854/edit?usp=sharing"",""อ่างทอง!J684"")"),16)</f>
        <v>16</v>
      </c>
      <c r="K684" s="90"/>
      <c r="L684" s="732"/>
      <c r="M684" s="90"/>
      <c r="N684" s="732"/>
      <c r="O684" s="90"/>
      <c r="P684" s="90"/>
      <c r="Q684" s="734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f ca="1">IFERROR(__xludf.DUMMYFUNCTION("IMPORTRANGE(""https://docs.google.com/spreadsheets/d/13wPX838HrBrQMCywv1BsuMkt4PEKTChp52zj44s2izQ/edit?usp=sharing"",""กาญจนบุรี!J685"")+IMPORTRANGE(""https://docs.google.com/spreadsheets/d/1ddFKvqj1W1NEiWytbGlB1zMx_ykJDVtmfEQ-6-lIUBA/edit?usp=sharing"","&amp;"""จันทบุรี!J685"")+IMPORTRANGE(""https://docs.google.com/spreadsheets/d/1T1PQvRODqOBZk8BRht_U031fIS1beLA0Ub2CEytj2q0/edit?usp=sharing"",""ฉะเชิงเทรา!J685"")+IMPORTRANGE(""https://docs.google.com/spreadsheets/d/11tr1B-Bhyr79v2bkwVh5h_fR-PStkgjlZtkrZpYurG0/"&amp;"edit?usp=sharing"",""ชลบุรี!J685"")+IMPORTRANGE(""https://docs.google.com/spreadsheets/d/1hh-FVnSX0vozXhGluamEcS54Dw9_zqW0N7qJUWgJ0Sw/edit?usp=sharing"",""ชัยนาท!J685"")+IMPORTRANGE(""https://docs.google.com/spreadsheets/d/1jkqa6GXxSacMcY1eN8AHjMNJ_7dDXMJ"&amp;"VRLDlaFSOdPM/edit?usp=sharing"",""ตราด!J685"")+IMPORTRANGE(""https://docs.google.com/spreadsheets/d/18hSgUJ3VwClqi_qtULmmW3cLr0oe3OKaSYoKzdpTsYQ/edit?usp=sharing"",""นครนายก!J685"")+IMPORTRANGE(""https://docs.google.com/spreadsheets/d/1YTZo6WM2dQ6Ix6FSdnL"&amp;"5P7uVnVKu40sxZu975tgG10E/edit?usp=sharing"",""นครปฐม!J685"")+IMPORTRANGE(""https://docs.google.com/spreadsheets/d/1OYoGg4WDg5RIzwGeB10padOxJF9E_Vljuvvct_M7RDo/edit?usp=sharing"",""ปทุมธานี!J685"")+IMPORTRANGE(""https://docs.google.com/spreadsheets/d/1GbCI"&amp;"E4D4wk9FUozzqk7SxfDMxDVBwVmI5zcaVUSzKAc/edit?usp=sharing"",""ประจวบคีรีขันธ์!J685"")+IMPORTRANGE(""https://docs.google.com/spreadsheets/d/1vVf6wykvW_lAyu7Yo9L4hUTqHqIeP_qcVuxCtosJEbg/edit?usp=sharing"",""ปราจีนบุรี!J685"")+IMPORTRANGE(""https://docs.googl"&amp;"e.com/spreadsheets/d/1BIDqLLg5jk3v59G8NlR8rk5xfQDKne0sAvZHSj7TI6I/edit?usp=sharing"",""พระนครศรีอยุธยา!J685"")+IMPORTRANGE(""https://docs.google.com/spreadsheets/d/1YXvxf8Yu6_rV4hTBrwMqAcAnv6DfhUxh5emyM3CJp_w/edit?usp=sharing"",""เพชรบุรี!J685"")+IMPORTRA"&amp;"NGE(""https://docs.google.com/spreadsheets/d/19KBlQQs7uwvsao6t2n-KvW3Ax8J8uRRfZPq1zPbXgKc/edit?usp=sharing"",""ระยอง!J685"")+IMPORTRANGE(""https://docs.google.com/spreadsheets/d/1jQ6P4QcrGM89YfqcC_PxOHGCMq5ezhucwJd8ci-NHng/edit?usp=sharing"",""ราชบุรี!J68"&amp;"5"")+IMPORTRANGE(""https://docs.google.com/spreadsheets/d/1lufeA2cfFqM-elVq2hznhDzC6Pr7wkJ9ZG_sYNGCMCU/edit?usp=sharing"",""ลพบุรี!J685"")+IMPORTRANGE(""https://docs.google.com/spreadsheets/d/10oOiF7loTyfsTkbd4MpaIm0HQ9SwB7IYHdIUvt-U1Uc/edit?usp=sharing"""&amp;",""สระแก้ว!J685"")+IMPORTRANGE(""https://docs.google.com/spreadsheets/d/1xmPlrr1QbdSIKvl1dWUl9K4PjAfSL9oeMr_37QVzcxc/edit?usp=sharing"",""สระบุรี!J685"")+IMPORTRANGE(""https://docs.google.com/spreadsheets/d/1j51vR6CYVGhABJpv6tkstgok82RLpXieLzW1yOY5rHw/edi"&amp;"t?usp=sharing"",""สิงห์บุรี!J685"")+IMPORTRANGE(""https://docs.google.com/spreadsheets/d/1H1EalTWKUSzO4Z1-1CwzoDUaVffgrThEBe2sl74kKG0/edit?usp=sharing"",""สุพรรณบุรี!J685"")+IMPORTRANGE(""https://docs.google.com/spreadsheets/d/1BmIruG_sIrJLYao_Pdr7zVArWsf"&amp;"oBt2692TMi6x_854/edit?usp=sharing"",""อ่างทอง!J685"")"),153.454999999999)</f>
        <v>153.45499999999899</v>
      </c>
      <c r="K685" s="90"/>
      <c r="L685" s="732"/>
      <c r="M685" s="90"/>
      <c r="N685" s="732"/>
      <c r="O685" s="90"/>
      <c r="P685" s="90"/>
      <c r="Q685" s="734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f ca="1">IFERROR(__xludf.DUMMYFUNCTION("IMPORTRANGE(""https://docs.google.com/spreadsheets/d/13wPX838HrBrQMCywv1BsuMkt4PEKTChp52zj44s2izQ/edit?usp=sharing"",""กาญจนบุรี!J686"")+IMPORTRANGE(""https://docs.google.com/spreadsheets/d/1ddFKvqj1W1NEiWytbGlB1zMx_ykJDVtmfEQ-6-lIUBA/edit?usp=sharing"","&amp;"""จันทบุรี!J686"")+IMPORTRANGE(""https://docs.google.com/spreadsheets/d/1T1PQvRODqOBZk8BRht_U031fIS1beLA0Ub2CEytj2q0/edit?usp=sharing"",""ฉะเชิงเทรา!J686"")+IMPORTRANGE(""https://docs.google.com/spreadsheets/d/11tr1B-Bhyr79v2bkwVh5h_fR-PStkgjlZtkrZpYurG0/"&amp;"edit?usp=sharing"",""ชลบุรี!J686"")+IMPORTRANGE(""https://docs.google.com/spreadsheets/d/1hh-FVnSX0vozXhGluamEcS54Dw9_zqW0N7qJUWgJ0Sw/edit?usp=sharing"",""ชัยนาท!J686"")+IMPORTRANGE(""https://docs.google.com/spreadsheets/d/1jkqa6GXxSacMcY1eN8AHjMNJ_7dDXMJ"&amp;"VRLDlaFSOdPM/edit?usp=sharing"",""ตราด!J686"")+IMPORTRANGE(""https://docs.google.com/spreadsheets/d/18hSgUJ3VwClqi_qtULmmW3cLr0oe3OKaSYoKzdpTsYQ/edit?usp=sharing"",""นครนายก!J686"")+IMPORTRANGE(""https://docs.google.com/spreadsheets/d/1YTZo6WM2dQ6Ix6FSdnL"&amp;"5P7uVnVKu40sxZu975tgG10E/edit?usp=sharing"",""นครปฐม!J686"")+IMPORTRANGE(""https://docs.google.com/spreadsheets/d/1OYoGg4WDg5RIzwGeB10padOxJF9E_Vljuvvct_M7RDo/edit?usp=sharing"",""ปทุมธานี!J686"")+IMPORTRANGE(""https://docs.google.com/spreadsheets/d/1GbCI"&amp;"E4D4wk9FUozzqk7SxfDMxDVBwVmI5zcaVUSzKAc/edit?usp=sharing"",""ประจวบคีรีขันธ์!J686"")+IMPORTRANGE(""https://docs.google.com/spreadsheets/d/1vVf6wykvW_lAyu7Yo9L4hUTqHqIeP_qcVuxCtosJEbg/edit?usp=sharing"",""ปราจีนบุรี!J686"")+IMPORTRANGE(""https://docs.googl"&amp;"e.com/spreadsheets/d/1BIDqLLg5jk3v59G8NlR8rk5xfQDKne0sAvZHSj7TI6I/edit?usp=sharing"",""พระนครศรีอยุธยา!J686"")+IMPORTRANGE(""https://docs.google.com/spreadsheets/d/1YXvxf8Yu6_rV4hTBrwMqAcAnv6DfhUxh5emyM3CJp_w/edit?usp=sharing"",""เพชรบุรี!J686"")+IMPORTRA"&amp;"NGE(""https://docs.google.com/spreadsheets/d/19KBlQQs7uwvsao6t2n-KvW3Ax8J8uRRfZPq1zPbXgKc/edit?usp=sharing"",""ระยอง!J686"")+IMPORTRANGE(""https://docs.google.com/spreadsheets/d/1jQ6P4QcrGM89YfqcC_PxOHGCMq5ezhucwJd8ci-NHng/edit?usp=sharing"",""ราชบุรี!J68"&amp;"6"")+IMPORTRANGE(""https://docs.google.com/spreadsheets/d/1lufeA2cfFqM-elVq2hznhDzC6Pr7wkJ9ZG_sYNGCMCU/edit?usp=sharing"",""ลพบุรี!J686"")+IMPORTRANGE(""https://docs.google.com/spreadsheets/d/10oOiF7loTyfsTkbd4MpaIm0HQ9SwB7IYHdIUvt-U1Uc/edit?usp=sharing"""&amp;",""สระแก้ว!J686"")+IMPORTRANGE(""https://docs.google.com/spreadsheets/d/1xmPlrr1QbdSIKvl1dWUl9K4PjAfSL9oeMr_37QVzcxc/edit?usp=sharing"",""สระบุรี!J686"")+IMPORTRANGE(""https://docs.google.com/spreadsheets/d/1j51vR6CYVGhABJpv6tkstgok82RLpXieLzW1yOY5rHw/edi"&amp;"t?usp=sharing"",""สิงห์บุรี!J686"")+IMPORTRANGE(""https://docs.google.com/spreadsheets/d/1H1EalTWKUSzO4Z1-1CwzoDUaVffgrThEBe2sl74kKG0/edit?usp=sharing"",""สุพรรณบุรี!J686"")+IMPORTRANGE(""https://docs.google.com/spreadsheets/d/1BmIruG_sIrJLYao_Pdr7zVArWsf"&amp;"oBt2692TMi6x_854/edit?usp=sharing"",""อ่างทอง!J686"")"),28)</f>
        <v>28</v>
      </c>
      <c r="K686" s="90"/>
      <c r="L686" s="732"/>
      <c r="M686" s="90"/>
      <c r="N686" s="732"/>
      <c r="O686" s="90"/>
      <c r="P686" s="90"/>
      <c r="Q686" s="734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f ca="1">IFERROR(__xludf.DUMMYFUNCTION("IMPORTRANGE(""https://docs.google.com/spreadsheets/d/13wPX838HrBrQMCywv1BsuMkt4PEKTChp52zj44s2izQ/edit?usp=sharing"",""กาญจนบุรี!J687"")+IMPORTRANGE(""https://docs.google.com/spreadsheets/d/1ddFKvqj1W1NEiWytbGlB1zMx_ykJDVtmfEQ-6-lIUBA/edit?usp=sharing"","&amp;"""จันทบุรี!J687"")+IMPORTRANGE(""https://docs.google.com/spreadsheets/d/1T1PQvRODqOBZk8BRht_U031fIS1beLA0Ub2CEytj2q0/edit?usp=sharing"",""ฉะเชิงเทรา!J687"")+IMPORTRANGE(""https://docs.google.com/spreadsheets/d/11tr1B-Bhyr79v2bkwVh5h_fR-PStkgjlZtkrZpYurG0/"&amp;"edit?usp=sharing"",""ชลบุรี!J687"")+IMPORTRANGE(""https://docs.google.com/spreadsheets/d/1hh-FVnSX0vozXhGluamEcS54Dw9_zqW0N7qJUWgJ0Sw/edit?usp=sharing"",""ชัยนาท!J687"")+IMPORTRANGE(""https://docs.google.com/spreadsheets/d/1jkqa6GXxSacMcY1eN8AHjMNJ_7dDXMJ"&amp;"VRLDlaFSOdPM/edit?usp=sharing"",""ตราด!J687"")+IMPORTRANGE(""https://docs.google.com/spreadsheets/d/18hSgUJ3VwClqi_qtULmmW3cLr0oe3OKaSYoKzdpTsYQ/edit?usp=sharing"",""นครนายก!J687"")+IMPORTRANGE(""https://docs.google.com/spreadsheets/d/1YTZo6WM2dQ6Ix6FSdnL"&amp;"5P7uVnVKu40sxZu975tgG10E/edit?usp=sharing"",""นครปฐม!J687"")+IMPORTRANGE(""https://docs.google.com/spreadsheets/d/1OYoGg4WDg5RIzwGeB10padOxJF9E_Vljuvvct_M7RDo/edit?usp=sharing"",""ปทุมธานี!J687"")+IMPORTRANGE(""https://docs.google.com/spreadsheets/d/1GbCI"&amp;"E4D4wk9FUozzqk7SxfDMxDVBwVmI5zcaVUSzKAc/edit?usp=sharing"",""ประจวบคีรีขันธ์!J687"")+IMPORTRANGE(""https://docs.google.com/spreadsheets/d/1vVf6wykvW_lAyu7Yo9L4hUTqHqIeP_qcVuxCtosJEbg/edit?usp=sharing"",""ปราจีนบุรี!J687"")+IMPORTRANGE(""https://docs.googl"&amp;"e.com/spreadsheets/d/1BIDqLLg5jk3v59G8NlR8rk5xfQDKne0sAvZHSj7TI6I/edit?usp=sharing"",""พระนครศรีอยุธยา!J687"")+IMPORTRANGE(""https://docs.google.com/spreadsheets/d/1YXvxf8Yu6_rV4hTBrwMqAcAnv6DfhUxh5emyM3CJp_w/edit?usp=sharing"",""เพชรบุรี!J687"")+IMPORTRA"&amp;"NGE(""https://docs.google.com/spreadsheets/d/19KBlQQs7uwvsao6t2n-KvW3Ax8J8uRRfZPq1zPbXgKc/edit?usp=sharing"",""ระยอง!J687"")+IMPORTRANGE(""https://docs.google.com/spreadsheets/d/1jQ6P4QcrGM89YfqcC_PxOHGCMq5ezhucwJd8ci-NHng/edit?usp=sharing"",""ราชบุรี!J68"&amp;"7"")+IMPORTRANGE(""https://docs.google.com/spreadsheets/d/1lufeA2cfFqM-elVq2hznhDzC6Pr7wkJ9ZG_sYNGCMCU/edit?usp=sharing"",""ลพบุรี!J687"")+IMPORTRANGE(""https://docs.google.com/spreadsheets/d/10oOiF7loTyfsTkbd4MpaIm0HQ9SwB7IYHdIUvt-U1Uc/edit?usp=sharing"""&amp;",""สระแก้ว!J687"")+IMPORTRANGE(""https://docs.google.com/spreadsheets/d/1xmPlrr1QbdSIKvl1dWUl9K4PjAfSL9oeMr_37QVzcxc/edit?usp=sharing"",""สระบุรี!J687"")+IMPORTRANGE(""https://docs.google.com/spreadsheets/d/1j51vR6CYVGhABJpv6tkstgok82RLpXieLzW1yOY5rHw/edi"&amp;"t?usp=sharing"",""สิงห์บุรี!J687"")+IMPORTRANGE(""https://docs.google.com/spreadsheets/d/1H1EalTWKUSzO4Z1-1CwzoDUaVffgrThEBe2sl74kKG0/edit?usp=sharing"",""สุพรรณบุรี!J687"")+IMPORTRANGE(""https://docs.google.com/spreadsheets/d/1BmIruG_sIrJLYao_Pdr7zVArWsf"&amp;"oBt2692TMi6x_854/edit?usp=sharing"",""อ่างทอง!J687"")"),16)</f>
        <v>16</v>
      </c>
      <c r="K687" s="90"/>
      <c r="L687" s="732"/>
      <c r="M687" s="90"/>
      <c r="N687" s="732"/>
      <c r="O687" s="90"/>
      <c r="P687" s="90"/>
      <c r="Q687" s="734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f ca="1">IFERROR(__xludf.DUMMYFUNCTION("IMPORTRANGE(""https://docs.google.com/spreadsheets/d/13wPX838HrBrQMCywv1BsuMkt4PEKTChp52zj44s2izQ/edit?usp=sharing"",""กาญจนบุรี!J688"")+IMPORTRANGE(""https://docs.google.com/spreadsheets/d/1ddFKvqj1W1NEiWytbGlB1zMx_ykJDVtmfEQ-6-lIUBA/edit?usp=sharing"","&amp;"""จันทบุรี!J688"")+IMPORTRANGE(""https://docs.google.com/spreadsheets/d/1T1PQvRODqOBZk8BRht_U031fIS1beLA0Ub2CEytj2q0/edit?usp=sharing"",""ฉะเชิงเทรา!J688"")+IMPORTRANGE(""https://docs.google.com/spreadsheets/d/11tr1B-Bhyr79v2bkwVh5h_fR-PStkgjlZtkrZpYurG0/"&amp;"edit?usp=sharing"",""ชลบุรี!J688"")+IMPORTRANGE(""https://docs.google.com/spreadsheets/d/1hh-FVnSX0vozXhGluamEcS54Dw9_zqW0N7qJUWgJ0Sw/edit?usp=sharing"",""ชัยนาท!J688"")+IMPORTRANGE(""https://docs.google.com/spreadsheets/d/1jkqa6GXxSacMcY1eN8AHjMNJ_7dDXMJ"&amp;"VRLDlaFSOdPM/edit?usp=sharing"",""ตราด!J688"")+IMPORTRANGE(""https://docs.google.com/spreadsheets/d/18hSgUJ3VwClqi_qtULmmW3cLr0oe3OKaSYoKzdpTsYQ/edit?usp=sharing"",""นครนายก!J688"")+IMPORTRANGE(""https://docs.google.com/spreadsheets/d/1YTZo6WM2dQ6Ix6FSdnL"&amp;"5P7uVnVKu40sxZu975tgG10E/edit?usp=sharing"",""นครปฐม!J688"")+IMPORTRANGE(""https://docs.google.com/spreadsheets/d/1OYoGg4WDg5RIzwGeB10padOxJF9E_Vljuvvct_M7RDo/edit?usp=sharing"",""ปทุมธานี!J688"")+IMPORTRANGE(""https://docs.google.com/spreadsheets/d/1GbCI"&amp;"E4D4wk9FUozzqk7SxfDMxDVBwVmI5zcaVUSzKAc/edit?usp=sharing"",""ประจวบคีรีขันธ์!J688"")+IMPORTRANGE(""https://docs.google.com/spreadsheets/d/1vVf6wykvW_lAyu7Yo9L4hUTqHqIeP_qcVuxCtosJEbg/edit?usp=sharing"",""ปราจีนบุรี!J688"")+IMPORTRANGE(""https://docs.googl"&amp;"e.com/spreadsheets/d/1BIDqLLg5jk3v59G8NlR8rk5xfQDKne0sAvZHSj7TI6I/edit?usp=sharing"",""พระนครศรีอยุธยา!J688"")+IMPORTRANGE(""https://docs.google.com/spreadsheets/d/1YXvxf8Yu6_rV4hTBrwMqAcAnv6DfhUxh5emyM3CJp_w/edit?usp=sharing"",""เพชรบุรี!J688"")+IMPORTRA"&amp;"NGE(""https://docs.google.com/spreadsheets/d/19KBlQQs7uwvsao6t2n-KvW3Ax8J8uRRfZPq1zPbXgKc/edit?usp=sharing"",""ระยอง!J688"")+IMPORTRANGE(""https://docs.google.com/spreadsheets/d/1jQ6P4QcrGM89YfqcC_PxOHGCMq5ezhucwJd8ci-NHng/edit?usp=sharing"",""ราชบุรี!J68"&amp;"8"")+IMPORTRANGE(""https://docs.google.com/spreadsheets/d/1lufeA2cfFqM-elVq2hznhDzC6Pr7wkJ9ZG_sYNGCMCU/edit?usp=sharing"",""ลพบุรี!J688"")+IMPORTRANGE(""https://docs.google.com/spreadsheets/d/10oOiF7loTyfsTkbd4MpaIm0HQ9SwB7IYHdIUvt-U1Uc/edit?usp=sharing"""&amp;",""สระแก้ว!J688"")+IMPORTRANGE(""https://docs.google.com/spreadsheets/d/1xmPlrr1QbdSIKvl1dWUl9K4PjAfSL9oeMr_37QVzcxc/edit?usp=sharing"",""สระบุรี!J688"")+IMPORTRANGE(""https://docs.google.com/spreadsheets/d/1j51vR6CYVGhABJpv6tkstgok82RLpXieLzW1yOY5rHw/edi"&amp;"t?usp=sharing"",""สิงห์บุรี!J688"")+IMPORTRANGE(""https://docs.google.com/spreadsheets/d/1H1EalTWKUSzO4Z1-1CwzoDUaVffgrThEBe2sl74kKG0/edit?usp=sharing"",""สุพรรณบุรี!J688"")+IMPORTRANGE(""https://docs.google.com/spreadsheets/d/1BmIruG_sIrJLYao_Pdr7zVArWsf"&amp;"oBt2692TMi6x_854/edit?usp=sharing"",""อ่างทอง!J688"")"),176.495)</f>
        <v>176.495</v>
      </c>
      <c r="K688" s="101"/>
      <c r="L688" s="742"/>
      <c r="M688" s="101"/>
      <c r="N688" s="742"/>
      <c r="O688" s="101"/>
      <c r="P688" s="101"/>
      <c r="Q688" s="743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t="shared" ref="I689:J689" ca="1" si="463">I707</f>
        <v>668</v>
      </c>
      <c r="J689" s="745">
        <f t="shared" ca="1" si="463"/>
        <v>56</v>
      </c>
      <c r="K689" s="746">
        <f ca="1">IF(I689&gt;0,J689*100/I689,0)</f>
        <v>8.3832335329341312</v>
      </c>
      <c r="L689" s="714"/>
      <c r="M689" s="714"/>
      <c r="N689" s="714"/>
      <c r="O689" s="714"/>
      <c r="P689" s="714"/>
      <c r="Q689" s="715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06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66">
        <f t="shared" ref="L690:N690" ca="1" si="464">L691+L692</f>
        <v>0</v>
      </c>
      <c r="M690" s="266">
        <f t="shared" ca="1" si="464"/>
        <v>0</v>
      </c>
      <c r="N690" s="266">
        <f t="shared" ca="1" si="464"/>
        <v>0</v>
      </c>
      <c r="O690" s="266">
        <f t="shared" ref="O690:O698" ca="1" si="465">IF(L690&gt;0,N690*100/L690,0)</f>
        <v>0</v>
      </c>
      <c r="P690" s="266">
        <f t="shared" ref="P690:P698" ca="1" si="466">IF(M690&gt;0,N690*100/M690,0)</f>
        <v>0</v>
      </c>
      <c r="Q690" s="216">
        <f t="shared" ref="Q690:S690" ca="1" si="467">Q691+Q692</f>
        <v>2322060</v>
      </c>
      <c r="R690" s="217">
        <f t="shared" ca="1" si="467"/>
        <v>2322060</v>
      </c>
      <c r="S690" s="217">
        <f t="shared" ca="1" si="467"/>
        <v>374838.05</v>
      </c>
      <c r="T690" s="217">
        <f t="shared" ref="T690:T698" ca="1" si="468">IF(Q690&gt;0,S690*100/Q690,0)</f>
        <v>16.142479091840865</v>
      </c>
      <c r="U690" s="217">
        <f t="shared" ref="U690:U698" ca="1" si="469">IF(R690&gt;0,S690*100/R690,0)</f>
        <v>16.142479091840865</v>
      </c>
    </row>
    <row r="691" spans="1:21" ht="18.75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 t="shared" ref="L691:N691" ca="1" si="470">L694+L697</f>
        <v>0</v>
      </c>
      <c r="M691" s="80">
        <f t="shared" ca="1" si="470"/>
        <v>0</v>
      </c>
      <c r="N691" s="80">
        <f t="shared" ca="1" si="470"/>
        <v>0</v>
      </c>
      <c r="O691" s="80">
        <f t="shared" ca="1" si="465"/>
        <v>0</v>
      </c>
      <c r="P691" s="80">
        <f t="shared" ca="1" si="466"/>
        <v>0</v>
      </c>
      <c r="Q691" s="219">
        <f t="shared" ref="Q691:S691" ca="1" si="471">Q694+Q697</f>
        <v>0</v>
      </c>
      <c r="R691" s="136">
        <f t="shared" ca="1" si="471"/>
        <v>0</v>
      </c>
      <c r="S691" s="136">
        <f t="shared" ca="1" si="471"/>
        <v>0</v>
      </c>
      <c r="T691" s="136">
        <f t="shared" ca="1" si="468"/>
        <v>0</v>
      </c>
      <c r="U691" s="136">
        <f t="shared" ca="1" si="469"/>
        <v>0</v>
      </c>
    </row>
    <row r="692" spans="1:21" ht="18.75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 t="shared" ref="L692:N692" ca="1" si="472">L695+L698</f>
        <v>0</v>
      </c>
      <c r="M692" s="77">
        <f t="shared" ca="1" si="472"/>
        <v>0</v>
      </c>
      <c r="N692" s="77">
        <f t="shared" ca="1" si="472"/>
        <v>0</v>
      </c>
      <c r="O692" s="77">
        <f t="shared" ca="1" si="465"/>
        <v>0</v>
      </c>
      <c r="P692" s="77">
        <f t="shared" ca="1" si="466"/>
        <v>0</v>
      </c>
      <c r="Q692" s="134">
        <f t="shared" ref="Q692:S692" ca="1" si="473">Q695+Q698</f>
        <v>2322060</v>
      </c>
      <c r="R692" s="135">
        <f t="shared" ca="1" si="473"/>
        <v>2322060</v>
      </c>
      <c r="S692" s="135">
        <f t="shared" ca="1" si="473"/>
        <v>374838.05</v>
      </c>
      <c r="T692" s="135">
        <f t="shared" ca="1" si="468"/>
        <v>16.142479091840865</v>
      </c>
      <c r="U692" s="135">
        <f t="shared" ca="1" si="469"/>
        <v>16.142479091840865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 t="shared" ref="L693:N693" ca="1" si="474">L694+L695</f>
        <v>0</v>
      </c>
      <c r="M693" s="77">
        <f t="shared" ca="1" si="474"/>
        <v>0</v>
      </c>
      <c r="N693" s="77">
        <f t="shared" ca="1" si="474"/>
        <v>0</v>
      </c>
      <c r="O693" s="77">
        <f t="shared" ca="1" si="465"/>
        <v>0</v>
      </c>
      <c r="P693" s="77">
        <f t="shared" ca="1" si="466"/>
        <v>0</v>
      </c>
      <c r="Q693" s="134">
        <f t="shared" ref="Q693:S693" ca="1" si="475">Q694+Q695</f>
        <v>2322060</v>
      </c>
      <c r="R693" s="135">
        <f t="shared" ca="1" si="475"/>
        <v>2322060</v>
      </c>
      <c r="S693" s="135">
        <f t="shared" ca="1" si="475"/>
        <v>374838.05</v>
      </c>
      <c r="T693" s="135">
        <f t="shared" ca="1" si="468"/>
        <v>16.142479091840865</v>
      </c>
      <c r="U693" s="135">
        <f t="shared" ca="1" si="469"/>
        <v>16.142479091840865</v>
      </c>
    </row>
    <row r="694" spans="1:21" ht="18.75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f ca="1">IFERROR(__xludf.DUMMYFUNCTION("IMPORTRANGE(""https://docs.google.com/spreadsheets/d/13wPX838HrBrQMCywv1BsuMkt4PEKTChp52zj44s2izQ/edit?usp=sharing"",""กาญจนบุรี!L694"")+IMPORTRANGE(""https://docs.google.com/spreadsheets/d/1ddFKvqj1W1NEiWytbGlB1zMx_ykJDVtmfEQ-6-lIUBA/edit?usp=sharing"","&amp;"""จันทบุรี!L694"")+IMPORTRANGE(""https://docs.google.com/spreadsheets/d/1T1PQvRODqOBZk8BRht_U031fIS1beLA0Ub2CEytj2q0/edit?usp=sharing"",""ฉะเชิงเทรา!L694"")+IMPORTRANGE(""https://docs.google.com/spreadsheets/d/11tr1B-Bhyr79v2bkwVh5h_fR-PStkgjlZtkrZpYurG0/"&amp;"edit?usp=sharing"",""ชลบุรี!L694"")+IMPORTRANGE(""https://docs.google.com/spreadsheets/d/1hh-FVnSX0vozXhGluamEcS54Dw9_zqW0N7qJUWgJ0Sw/edit?usp=sharing"",""ชัยนาท!L694"")+IMPORTRANGE(""https://docs.google.com/spreadsheets/d/1jkqa6GXxSacMcY1eN8AHjMNJ_7dDXMJ"&amp;"VRLDlaFSOdPM/edit?usp=sharing"",""ตราด!L694"")+IMPORTRANGE(""https://docs.google.com/spreadsheets/d/18hSgUJ3VwClqi_qtULmmW3cLr0oe3OKaSYoKzdpTsYQ/edit?usp=sharing"",""นครนายก!L694"")+IMPORTRANGE(""https://docs.google.com/spreadsheets/d/1YTZo6WM2dQ6Ix6FSdnL"&amp;"5P7uVnVKu40sxZu975tgG10E/edit?usp=sharing"",""นครปฐม!L694"")+IMPORTRANGE(""https://docs.google.com/spreadsheets/d/1OYoGg4WDg5RIzwGeB10padOxJF9E_Vljuvvct_M7RDo/edit?usp=sharing"",""ปทุมธานี!L694"")+IMPORTRANGE(""https://docs.google.com/spreadsheets/d/1GbCI"&amp;"E4D4wk9FUozzqk7SxfDMxDVBwVmI5zcaVUSzKAc/edit?usp=sharing"",""ประจวบคีรีขันธ์!L694"")+IMPORTRANGE(""https://docs.google.com/spreadsheets/d/1vVf6wykvW_lAyu7Yo9L4hUTqHqIeP_qcVuxCtosJEbg/edit?usp=sharing"",""ปราจีนบุรี!L694"")+IMPORTRANGE(""https://docs.googl"&amp;"e.com/spreadsheets/d/1BIDqLLg5jk3v59G8NlR8rk5xfQDKne0sAvZHSj7TI6I/edit?usp=sharing"",""พระนครศรีอยุธยา!L694"")+IMPORTRANGE(""https://docs.google.com/spreadsheets/d/1YXvxf8Yu6_rV4hTBrwMqAcAnv6DfhUxh5emyM3CJp_w/edit?usp=sharing"",""เพชรบุรี!L694"")+IMPORTRA"&amp;"NGE(""https://docs.google.com/spreadsheets/d/19KBlQQs7uwvsao6t2n-KvW3Ax8J8uRRfZPq1zPbXgKc/edit?usp=sharing"",""ระยอง!L694"")+IMPORTRANGE(""https://docs.google.com/spreadsheets/d/1jQ6P4QcrGM89YfqcC_PxOHGCMq5ezhucwJd8ci-NHng/edit?usp=sharing"",""ราชบุรี!L69"&amp;"4"")+IMPORTRANGE(""https://docs.google.com/spreadsheets/d/1lufeA2cfFqM-elVq2hznhDzC6Pr7wkJ9ZG_sYNGCMCU/edit?usp=sharing"",""ลพบุรี!L694"")+IMPORTRANGE(""https://docs.google.com/spreadsheets/d/10oOiF7loTyfsTkbd4MpaIm0HQ9SwB7IYHdIUvt-U1Uc/edit?usp=sharing"""&amp;",""สระแก้ว!L694"")+IMPORTRANGE(""https://docs.google.com/spreadsheets/d/1xmPlrr1QbdSIKvl1dWUl9K4PjAfSL9oeMr_37QVzcxc/edit?usp=sharing"",""สระบุรี!L694"")+IMPORTRANGE(""https://docs.google.com/spreadsheets/d/1j51vR6CYVGhABJpv6tkstgok82RLpXieLzW1yOY5rHw/edi"&amp;"t?usp=sharing"",""สิงห์บุรี!L694"")+IMPORTRANGE(""https://docs.google.com/spreadsheets/d/1H1EalTWKUSzO4Z1-1CwzoDUaVffgrThEBe2sl74kKG0/edit?usp=sharing"",""สุพรรณบุรี!L694"")+IMPORTRANGE(""https://docs.google.com/spreadsheets/d/1BmIruG_sIrJLYao_Pdr7zVArWsf"&amp;"oBt2692TMi6x_854/edit?usp=sharing"",""อ่างทอง!L694"")"),0)</f>
        <v>0</v>
      </c>
      <c r="M694" s="80">
        <f ca="1">IFERROR(__xludf.DUMMYFUNCTION("IMPORTRANGE(""https://docs.google.com/spreadsheets/d/13wPX838HrBrQMCywv1BsuMkt4PEKTChp52zj44s2izQ/edit?usp=sharing"",""กาญจนบุรี!M694"")+IMPORTRANGE(""https://docs.google.com/spreadsheets/d/1ddFKvqj1W1NEiWytbGlB1zMx_ykJDVtmfEQ-6-lIUBA/edit?usp=sharing"","&amp;"""จันทบุรี!M694"")+IMPORTRANGE(""https://docs.google.com/spreadsheets/d/1T1PQvRODqOBZk8BRht_U031fIS1beLA0Ub2CEytj2q0/edit?usp=sharing"",""ฉะเชิงเทรา!M694"")+IMPORTRANGE(""https://docs.google.com/spreadsheets/d/11tr1B-Bhyr79v2bkwVh5h_fR-PStkgjlZtkrZpYurG0/"&amp;"edit?usp=sharing"",""ชลบุรี!M694"")+IMPORTRANGE(""https://docs.google.com/spreadsheets/d/1hh-FVnSX0vozXhGluamEcS54Dw9_zqW0N7qJUWgJ0Sw/edit?usp=sharing"",""ชัยนาท!M694"")+IMPORTRANGE(""https://docs.google.com/spreadsheets/d/1jkqa6GXxSacMcY1eN8AHjMNJ_7dDXMJ"&amp;"VRLDlaFSOdPM/edit?usp=sharing"",""ตราด!M694"")+IMPORTRANGE(""https://docs.google.com/spreadsheets/d/18hSgUJ3VwClqi_qtULmmW3cLr0oe3OKaSYoKzdpTsYQ/edit?usp=sharing"",""นครนายก!M694"")+IMPORTRANGE(""https://docs.google.com/spreadsheets/d/1YTZo6WM2dQ6Ix6FSdnL"&amp;"5P7uVnVKu40sxZu975tgG10E/edit?usp=sharing"",""นครปฐม!M694"")+IMPORTRANGE(""https://docs.google.com/spreadsheets/d/1OYoGg4WDg5RIzwGeB10padOxJF9E_Vljuvvct_M7RDo/edit?usp=sharing"",""ปทุมธานี!M694"")+IMPORTRANGE(""https://docs.google.com/spreadsheets/d/1GbCI"&amp;"E4D4wk9FUozzqk7SxfDMxDVBwVmI5zcaVUSzKAc/edit?usp=sharing"",""ประจวบคีรีขันธ์!M694"")+IMPORTRANGE(""https://docs.google.com/spreadsheets/d/1vVf6wykvW_lAyu7Yo9L4hUTqHqIeP_qcVuxCtosJEbg/edit?usp=sharing"",""ปราจีนบุรี!M694"")+IMPORTRANGE(""https://docs.googl"&amp;"e.com/spreadsheets/d/1BIDqLLg5jk3v59G8NlR8rk5xfQDKne0sAvZHSj7TI6I/edit?usp=sharing"",""พระนครศรีอยุธยา!M694"")+IMPORTRANGE(""https://docs.google.com/spreadsheets/d/1YXvxf8Yu6_rV4hTBrwMqAcAnv6DfhUxh5emyM3CJp_w/edit?usp=sharing"",""เพชรบุรี!M694"")+IMPORTRA"&amp;"NGE(""https://docs.google.com/spreadsheets/d/19KBlQQs7uwvsao6t2n-KvW3Ax8J8uRRfZPq1zPbXgKc/edit?usp=sharing"",""ระยอง!M694"")+IMPORTRANGE(""https://docs.google.com/spreadsheets/d/1jQ6P4QcrGM89YfqcC_PxOHGCMq5ezhucwJd8ci-NHng/edit?usp=sharing"",""ราชบุรี!M69"&amp;"4"")+IMPORTRANGE(""https://docs.google.com/spreadsheets/d/1lufeA2cfFqM-elVq2hznhDzC6Pr7wkJ9ZG_sYNGCMCU/edit?usp=sharing"",""ลพบุรี!M694"")+IMPORTRANGE(""https://docs.google.com/spreadsheets/d/10oOiF7loTyfsTkbd4MpaIm0HQ9SwB7IYHdIUvt-U1Uc/edit?usp=sharing"""&amp;",""สระแก้ว!M694"")+IMPORTRANGE(""https://docs.google.com/spreadsheets/d/1xmPlrr1QbdSIKvl1dWUl9K4PjAfSL9oeMr_37QVzcxc/edit?usp=sharing"",""สระบุรี!M694"")+IMPORTRANGE(""https://docs.google.com/spreadsheets/d/1j51vR6CYVGhABJpv6tkstgok82RLpXieLzW1yOY5rHw/edi"&amp;"t?usp=sharing"",""สิงห์บุรี!M694"")+IMPORTRANGE(""https://docs.google.com/spreadsheets/d/1H1EalTWKUSzO4Z1-1CwzoDUaVffgrThEBe2sl74kKG0/edit?usp=sharing"",""สุพรรณบุรี!M694"")+IMPORTRANGE(""https://docs.google.com/spreadsheets/d/1BmIruG_sIrJLYao_Pdr7zVArWsf"&amp;"oBt2692TMi6x_854/edit?usp=sharing"",""อ่างทอง!M694"")"),0)</f>
        <v>0</v>
      </c>
      <c r="N694" s="80">
        <f ca="1">IFERROR(__xludf.DUMMYFUNCTION("IMPORTRANGE(""https://docs.google.com/spreadsheets/d/13wPX838HrBrQMCywv1BsuMkt4PEKTChp52zj44s2izQ/edit?usp=sharing"",""กาญจนบุรี!N694"")+IMPORTRANGE(""https://docs.google.com/spreadsheets/d/1ddFKvqj1W1NEiWytbGlB1zMx_ykJDVtmfEQ-6-lIUBA/edit?usp=sharing"","&amp;"""จันทบุรี!N694"")+IMPORTRANGE(""https://docs.google.com/spreadsheets/d/1T1PQvRODqOBZk8BRht_U031fIS1beLA0Ub2CEytj2q0/edit?usp=sharing"",""ฉะเชิงเทรา!N694"")+IMPORTRANGE(""https://docs.google.com/spreadsheets/d/11tr1B-Bhyr79v2bkwVh5h_fR-PStkgjlZtkrZpYurG0/"&amp;"edit?usp=sharing"",""ชลบุรี!N694"")+IMPORTRANGE(""https://docs.google.com/spreadsheets/d/1hh-FVnSX0vozXhGluamEcS54Dw9_zqW0N7qJUWgJ0Sw/edit?usp=sharing"",""ชัยนาท!N694"")+IMPORTRANGE(""https://docs.google.com/spreadsheets/d/1jkqa6GXxSacMcY1eN8AHjMNJ_7dDXMJ"&amp;"VRLDlaFSOdPM/edit?usp=sharing"",""ตราด!N694"")+IMPORTRANGE(""https://docs.google.com/spreadsheets/d/18hSgUJ3VwClqi_qtULmmW3cLr0oe3OKaSYoKzdpTsYQ/edit?usp=sharing"",""นครนายก!N694"")+IMPORTRANGE(""https://docs.google.com/spreadsheets/d/1YTZo6WM2dQ6Ix6FSdnL"&amp;"5P7uVnVKu40sxZu975tgG10E/edit?usp=sharing"",""นครปฐม!N694"")+IMPORTRANGE(""https://docs.google.com/spreadsheets/d/1OYoGg4WDg5RIzwGeB10padOxJF9E_Vljuvvct_M7RDo/edit?usp=sharing"",""ปทุมธานี!N694"")+IMPORTRANGE(""https://docs.google.com/spreadsheets/d/1GbCI"&amp;"E4D4wk9FUozzqk7SxfDMxDVBwVmI5zcaVUSzKAc/edit?usp=sharing"",""ประจวบคีรีขันธ์!N694"")+IMPORTRANGE(""https://docs.google.com/spreadsheets/d/1vVf6wykvW_lAyu7Yo9L4hUTqHqIeP_qcVuxCtosJEbg/edit?usp=sharing"",""ปราจีนบุรี!N694"")+IMPORTRANGE(""https://docs.googl"&amp;"e.com/spreadsheets/d/1BIDqLLg5jk3v59G8NlR8rk5xfQDKne0sAvZHSj7TI6I/edit?usp=sharing"",""พระนครศรีอยุธยา!N694"")+IMPORTRANGE(""https://docs.google.com/spreadsheets/d/1YXvxf8Yu6_rV4hTBrwMqAcAnv6DfhUxh5emyM3CJp_w/edit?usp=sharing"",""เพชรบุรี!N694"")+IMPORTRA"&amp;"NGE(""https://docs.google.com/spreadsheets/d/19KBlQQs7uwvsao6t2n-KvW3Ax8J8uRRfZPq1zPbXgKc/edit?usp=sharing"",""ระยอง!N694"")+IMPORTRANGE(""https://docs.google.com/spreadsheets/d/1jQ6P4QcrGM89YfqcC_PxOHGCMq5ezhucwJd8ci-NHng/edit?usp=sharing"",""ราชบุรี!N69"&amp;"4"")+IMPORTRANGE(""https://docs.google.com/spreadsheets/d/1lufeA2cfFqM-elVq2hznhDzC6Pr7wkJ9ZG_sYNGCMCU/edit?usp=sharing"",""ลพบุรี!N694"")+IMPORTRANGE(""https://docs.google.com/spreadsheets/d/10oOiF7loTyfsTkbd4MpaIm0HQ9SwB7IYHdIUvt-U1Uc/edit?usp=sharing"""&amp;",""สระแก้ว!N694"")+IMPORTRANGE(""https://docs.google.com/spreadsheets/d/1xmPlrr1QbdSIKvl1dWUl9K4PjAfSL9oeMr_37QVzcxc/edit?usp=sharing"",""สระบุรี!N694"")+IMPORTRANGE(""https://docs.google.com/spreadsheets/d/1j51vR6CYVGhABJpv6tkstgok82RLpXieLzW1yOY5rHw/edi"&amp;"t?usp=sharing"",""สิงห์บุรี!N694"")+IMPORTRANGE(""https://docs.google.com/spreadsheets/d/1H1EalTWKUSzO4Z1-1CwzoDUaVffgrThEBe2sl74kKG0/edit?usp=sharing"",""สุพรรณบุรี!N694"")+IMPORTRANGE(""https://docs.google.com/spreadsheets/d/1BmIruG_sIrJLYao_Pdr7zVArWsf"&amp;"oBt2692TMi6x_854/edit?usp=sharing"",""อ่างทอง!N694"")"),0)</f>
        <v>0</v>
      </c>
      <c r="O694" s="80">
        <f t="shared" ca="1" si="465"/>
        <v>0</v>
      </c>
      <c r="P694" s="80">
        <f t="shared" ca="1" si="466"/>
        <v>0</v>
      </c>
      <c r="Q694" s="79">
        <f ca="1">IFERROR(__xludf.DUMMYFUNCTION("IMPORTRANGE(""https://docs.google.com/spreadsheets/d/13wPX838HrBrQMCywv1BsuMkt4PEKTChp52zj44s2izQ/edit?usp=sharing"",""กาญจนบุรี!Q694"")+IMPORTRANGE(""https://docs.google.com/spreadsheets/d/1ddFKvqj1W1NEiWytbGlB1zMx_ykJDVtmfEQ-6-lIUBA/edit?usp=sharing"","&amp;"""จันทบุรี!Q694"")+IMPORTRANGE(""https://docs.google.com/spreadsheets/d/1T1PQvRODqOBZk8BRht_U031fIS1beLA0Ub2CEytj2q0/edit?usp=sharing"",""ฉะเชิงเทรา!Q694"")+IMPORTRANGE(""https://docs.google.com/spreadsheets/d/11tr1B-Bhyr79v2bkwVh5h_fR-PStkgjlZtkrZpYurG0/"&amp;"edit?usp=sharing"",""ชลบุรี!Q694"")+IMPORTRANGE(""https://docs.google.com/spreadsheets/d/1hh-FVnSX0vozXhGluamEcS54Dw9_zqW0N7qJUWgJ0Sw/edit?usp=sharing"",""ชัยนาท!Q694"")+IMPORTRANGE(""https://docs.google.com/spreadsheets/d/1jkqa6GXxSacMcY1eN8AHjMNJ_7dDXMJ"&amp;"VRLDlaFSOdPM/edit?usp=sharing"",""ตราด!Q694"")+IMPORTRANGE(""https://docs.google.com/spreadsheets/d/18hSgUJ3VwClqi_qtULmmW3cLr0oe3OKaSYoKzdpTsYQ/edit?usp=sharing"",""นครนายก!Q694"")+IMPORTRANGE(""https://docs.google.com/spreadsheets/d/1YTZo6WM2dQ6Ix6FSdnL"&amp;"5P7uVnVKu40sxZu975tgG10E/edit?usp=sharing"",""นครปฐม!Q694"")+IMPORTRANGE(""https://docs.google.com/spreadsheets/d/1OYoGg4WDg5RIzwGeB10padOxJF9E_Vljuvvct_M7RDo/edit?usp=sharing"",""ปทุมธานี!Q694"")+IMPORTRANGE(""https://docs.google.com/spreadsheets/d/1GbCI"&amp;"E4D4wk9FUozzqk7SxfDMxDVBwVmI5zcaVUSzKAc/edit?usp=sharing"",""ประจวบคีรีขันธ์!Q694"")+IMPORTRANGE(""https://docs.google.com/spreadsheets/d/1vVf6wykvW_lAyu7Yo9L4hUTqHqIeP_qcVuxCtosJEbg/edit?usp=sharing"",""ปราจีนบุรี!Q694"")+IMPORTRANGE(""https://docs.googl"&amp;"e.com/spreadsheets/d/1BIDqLLg5jk3v59G8NlR8rk5xfQDKne0sAvZHSj7TI6I/edit?usp=sharing"",""พระนครศรีอยุธยา!Q694"")+IMPORTRANGE(""https://docs.google.com/spreadsheets/d/1YXvxf8Yu6_rV4hTBrwMqAcAnv6DfhUxh5emyM3CJp_w/edit?usp=sharing"",""เพชรบุรี!Q694"")+IMPORTRA"&amp;"NGE(""https://docs.google.com/spreadsheets/d/19KBlQQs7uwvsao6t2n-KvW3Ax8J8uRRfZPq1zPbXgKc/edit?usp=sharing"",""ระยอง!Q694"")+IMPORTRANGE(""https://docs.google.com/spreadsheets/d/1jQ6P4QcrGM89YfqcC_PxOHGCMq5ezhucwJd8ci-NHng/edit?usp=sharing"",""ราชบุรี!Q69"&amp;"4"")+IMPORTRANGE(""https://docs.google.com/spreadsheets/d/1lufeA2cfFqM-elVq2hznhDzC6Pr7wkJ9ZG_sYNGCMCU/edit?usp=sharing"",""ลพบุรี!Q694"")+IMPORTRANGE(""https://docs.google.com/spreadsheets/d/10oOiF7loTyfsTkbd4MpaIm0HQ9SwB7IYHdIUvt-U1Uc/edit?usp=sharing"""&amp;",""สระแก้ว!Q694"")+IMPORTRANGE(""https://docs.google.com/spreadsheets/d/1xmPlrr1QbdSIKvl1dWUl9K4PjAfSL9oeMr_37QVzcxc/edit?usp=sharing"",""สระบุรี!Q694"")+IMPORTRANGE(""https://docs.google.com/spreadsheets/d/1j51vR6CYVGhABJpv6tkstgok82RLpXieLzW1yOY5rHw/edi"&amp;"t?usp=sharing"",""สิงห์บุรี!Q694"")+IMPORTRANGE(""https://docs.google.com/spreadsheets/d/1H1EalTWKUSzO4Z1-1CwzoDUaVffgrThEBe2sl74kKG0/edit?usp=sharing"",""สุพรรณบุรี!Q694"")+IMPORTRANGE(""https://docs.google.com/spreadsheets/d/1BmIruG_sIrJLYao_Pdr7zVArWsf"&amp;"oBt2692TMi6x_854/edit?usp=sharing"",""อ่างทอง!Q694"")"),0)</f>
        <v>0</v>
      </c>
      <c r="R694" s="80">
        <f ca="1">IFERROR(__xludf.DUMMYFUNCTION("IMPORTRANGE(""https://docs.google.com/spreadsheets/d/13wPX838HrBrQMCywv1BsuMkt4PEKTChp52zj44s2izQ/edit?usp=sharing"",""กาญจนบุรี!R694"")+IMPORTRANGE(""https://docs.google.com/spreadsheets/d/1ddFKvqj1W1NEiWytbGlB1zMx_ykJDVtmfEQ-6-lIUBA/edit?usp=sharing"","&amp;"""จันทบุรี!R694"")+IMPORTRANGE(""https://docs.google.com/spreadsheets/d/1T1PQvRODqOBZk8BRht_U031fIS1beLA0Ub2CEytj2q0/edit?usp=sharing"",""ฉะเชิงเทรา!R694"")+IMPORTRANGE(""https://docs.google.com/spreadsheets/d/11tr1B-Bhyr79v2bkwVh5h_fR-PStkgjlZtkrZpYurG0/"&amp;"edit?usp=sharing"",""ชลบุรี!R694"")+IMPORTRANGE(""https://docs.google.com/spreadsheets/d/1hh-FVnSX0vozXhGluamEcS54Dw9_zqW0N7qJUWgJ0Sw/edit?usp=sharing"",""ชัยนาท!R694"")+IMPORTRANGE(""https://docs.google.com/spreadsheets/d/1jkqa6GXxSacMcY1eN8AHjMNJ_7dDXMJ"&amp;"VRLDlaFSOdPM/edit?usp=sharing"",""ตราด!R694"")+IMPORTRANGE(""https://docs.google.com/spreadsheets/d/18hSgUJ3VwClqi_qtULmmW3cLr0oe3OKaSYoKzdpTsYQ/edit?usp=sharing"",""นครนายก!R694"")+IMPORTRANGE(""https://docs.google.com/spreadsheets/d/1YTZo6WM2dQ6Ix6FSdnL"&amp;"5P7uVnVKu40sxZu975tgG10E/edit?usp=sharing"",""นครปฐม!R694"")+IMPORTRANGE(""https://docs.google.com/spreadsheets/d/1OYoGg4WDg5RIzwGeB10padOxJF9E_Vljuvvct_M7RDo/edit?usp=sharing"",""ปทุมธานี!R694"")+IMPORTRANGE(""https://docs.google.com/spreadsheets/d/1GbCI"&amp;"E4D4wk9FUozzqk7SxfDMxDVBwVmI5zcaVUSzKAc/edit?usp=sharing"",""ประจวบคีรีขันธ์!R694"")+IMPORTRANGE(""https://docs.google.com/spreadsheets/d/1vVf6wykvW_lAyu7Yo9L4hUTqHqIeP_qcVuxCtosJEbg/edit?usp=sharing"",""ปราจีนบุรี!R694"")+IMPORTRANGE(""https://docs.googl"&amp;"e.com/spreadsheets/d/1BIDqLLg5jk3v59G8NlR8rk5xfQDKne0sAvZHSj7TI6I/edit?usp=sharing"",""พระนครศรีอยุธยา!R694"")+IMPORTRANGE(""https://docs.google.com/spreadsheets/d/1YXvxf8Yu6_rV4hTBrwMqAcAnv6DfhUxh5emyM3CJp_w/edit?usp=sharing"",""เพชรบุรี!R694"")+IMPORTRA"&amp;"NGE(""https://docs.google.com/spreadsheets/d/19KBlQQs7uwvsao6t2n-KvW3Ax8J8uRRfZPq1zPbXgKc/edit?usp=sharing"",""ระยอง!R694"")+IMPORTRANGE(""https://docs.google.com/spreadsheets/d/1jQ6P4QcrGM89YfqcC_PxOHGCMq5ezhucwJd8ci-NHng/edit?usp=sharing"",""ราชบุรี!R69"&amp;"4"")+IMPORTRANGE(""https://docs.google.com/spreadsheets/d/1lufeA2cfFqM-elVq2hznhDzC6Pr7wkJ9ZG_sYNGCMCU/edit?usp=sharing"",""ลพบุรี!R694"")+IMPORTRANGE(""https://docs.google.com/spreadsheets/d/10oOiF7loTyfsTkbd4MpaIm0HQ9SwB7IYHdIUvt-U1Uc/edit?usp=sharing"""&amp;",""สระแก้ว!R694"")+IMPORTRANGE(""https://docs.google.com/spreadsheets/d/1xmPlrr1QbdSIKvl1dWUl9K4PjAfSL9oeMr_37QVzcxc/edit?usp=sharing"",""สระบุรี!R694"")+IMPORTRANGE(""https://docs.google.com/spreadsheets/d/1j51vR6CYVGhABJpv6tkstgok82RLpXieLzW1yOY5rHw/edi"&amp;"t?usp=sharing"",""สิงห์บุรี!R694"")+IMPORTRANGE(""https://docs.google.com/spreadsheets/d/1H1EalTWKUSzO4Z1-1CwzoDUaVffgrThEBe2sl74kKG0/edit?usp=sharing"",""สุพรรณบุรี!R694"")+IMPORTRANGE(""https://docs.google.com/spreadsheets/d/1BmIruG_sIrJLYao_Pdr7zVArWsf"&amp;"oBt2692TMi6x_854/edit?usp=sharing"",""อ่างทอง!R694"")"),0)</f>
        <v>0</v>
      </c>
      <c r="S694" s="80">
        <f ca="1">IFERROR(__xludf.DUMMYFUNCTION("IMPORTRANGE(""https://docs.google.com/spreadsheets/d/13wPX838HrBrQMCywv1BsuMkt4PEKTChp52zj44s2izQ/edit?usp=sharing"",""กาญจนบุรี!S694"")+IMPORTRANGE(""https://docs.google.com/spreadsheets/d/1ddFKvqj1W1NEiWytbGlB1zMx_ykJDVtmfEQ-6-lIUBA/edit?usp=sharing"","&amp;"""จันทบุรี!S694"")+IMPORTRANGE(""https://docs.google.com/spreadsheets/d/1T1PQvRODqOBZk8BRht_U031fIS1beLA0Ub2CEytj2q0/edit?usp=sharing"",""ฉะเชิงเทรา!S694"")+IMPORTRANGE(""https://docs.google.com/spreadsheets/d/11tr1B-Bhyr79v2bkwVh5h_fR-PStkgjlZtkrZpYurG0/"&amp;"edit?usp=sharing"",""ชลบุรี!S694"")+IMPORTRANGE(""https://docs.google.com/spreadsheets/d/1hh-FVnSX0vozXhGluamEcS54Dw9_zqW0N7qJUWgJ0Sw/edit?usp=sharing"",""ชัยนาท!S694"")+IMPORTRANGE(""https://docs.google.com/spreadsheets/d/1jkqa6GXxSacMcY1eN8AHjMNJ_7dDXMJ"&amp;"VRLDlaFSOdPM/edit?usp=sharing"",""ตราด!S694"")+IMPORTRANGE(""https://docs.google.com/spreadsheets/d/18hSgUJ3VwClqi_qtULmmW3cLr0oe3OKaSYoKzdpTsYQ/edit?usp=sharing"",""นครนายก!S694"")+IMPORTRANGE(""https://docs.google.com/spreadsheets/d/1YTZo6WM2dQ6Ix6FSdnL"&amp;"5P7uVnVKu40sxZu975tgG10E/edit?usp=sharing"",""นครปฐม!S694"")+IMPORTRANGE(""https://docs.google.com/spreadsheets/d/1OYoGg4WDg5RIzwGeB10padOxJF9E_Vljuvvct_M7RDo/edit?usp=sharing"",""ปทุมธานี!S694"")+IMPORTRANGE(""https://docs.google.com/spreadsheets/d/1GbCI"&amp;"E4D4wk9FUozzqk7SxfDMxDVBwVmI5zcaVUSzKAc/edit?usp=sharing"",""ประจวบคีรีขันธ์!S694"")+IMPORTRANGE(""https://docs.google.com/spreadsheets/d/1vVf6wykvW_lAyu7Yo9L4hUTqHqIeP_qcVuxCtosJEbg/edit?usp=sharing"",""ปราจีนบุรี!S694"")+IMPORTRANGE(""https://docs.googl"&amp;"e.com/spreadsheets/d/1BIDqLLg5jk3v59G8NlR8rk5xfQDKne0sAvZHSj7TI6I/edit?usp=sharing"",""พระนครศรีอยุธยา!S694"")+IMPORTRANGE(""https://docs.google.com/spreadsheets/d/1YXvxf8Yu6_rV4hTBrwMqAcAnv6DfhUxh5emyM3CJp_w/edit?usp=sharing"",""เพชรบุรี!S694"")+IMPORTRA"&amp;"NGE(""https://docs.google.com/spreadsheets/d/19KBlQQs7uwvsao6t2n-KvW3Ax8J8uRRfZPq1zPbXgKc/edit?usp=sharing"",""ระยอง!S694"")+IMPORTRANGE(""https://docs.google.com/spreadsheets/d/1jQ6P4QcrGM89YfqcC_PxOHGCMq5ezhucwJd8ci-NHng/edit?usp=sharing"",""ราชบุรี!S69"&amp;"4"")+IMPORTRANGE(""https://docs.google.com/spreadsheets/d/1lufeA2cfFqM-elVq2hznhDzC6Pr7wkJ9ZG_sYNGCMCU/edit?usp=sharing"",""ลพบุรี!S694"")+IMPORTRANGE(""https://docs.google.com/spreadsheets/d/10oOiF7loTyfsTkbd4MpaIm0HQ9SwB7IYHdIUvt-U1Uc/edit?usp=sharing"""&amp;",""สระแก้ว!S694"")+IMPORTRANGE(""https://docs.google.com/spreadsheets/d/1xmPlrr1QbdSIKvl1dWUl9K4PjAfSL9oeMr_37QVzcxc/edit?usp=sharing"",""สระบุรี!S694"")+IMPORTRANGE(""https://docs.google.com/spreadsheets/d/1j51vR6CYVGhABJpv6tkstgok82RLpXieLzW1yOY5rHw/edi"&amp;"t?usp=sharing"",""สิงห์บุรี!S694"")+IMPORTRANGE(""https://docs.google.com/spreadsheets/d/1H1EalTWKUSzO4Z1-1CwzoDUaVffgrThEBe2sl74kKG0/edit?usp=sharing"",""สุพรรณบุรี!S694"")+IMPORTRANGE(""https://docs.google.com/spreadsheets/d/1BmIruG_sIrJLYao_Pdr7zVArWsf"&amp;"oBt2692TMi6x_854/edit?usp=sharing"",""อ่างทอง!S694"")"),0)</f>
        <v>0</v>
      </c>
      <c r="T694" s="136">
        <f t="shared" ca="1" si="468"/>
        <v>0</v>
      </c>
      <c r="U694" s="136">
        <f t="shared" ca="1" si="469"/>
        <v>0</v>
      </c>
    </row>
    <row r="695" spans="1:21" ht="18.75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f ca="1">IFERROR(__xludf.DUMMYFUNCTION("IMPORTRANGE(""https://docs.google.com/spreadsheets/d/13wPX838HrBrQMCywv1BsuMkt4PEKTChp52zj44s2izQ/edit?usp=sharing"",""กาญจนบุรี!L695"")+IMPORTRANGE(""https://docs.google.com/spreadsheets/d/1ddFKvqj1W1NEiWytbGlB1zMx_ykJDVtmfEQ-6-lIUBA/edit?usp=sharing"","&amp;"""จันทบุรี!L695"")+IMPORTRANGE(""https://docs.google.com/spreadsheets/d/1T1PQvRODqOBZk8BRht_U031fIS1beLA0Ub2CEytj2q0/edit?usp=sharing"",""ฉะเชิงเทรา!L695"")+IMPORTRANGE(""https://docs.google.com/spreadsheets/d/11tr1B-Bhyr79v2bkwVh5h_fR-PStkgjlZtkrZpYurG0/"&amp;"edit?usp=sharing"",""ชลบุรี!L695"")+IMPORTRANGE(""https://docs.google.com/spreadsheets/d/1hh-FVnSX0vozXhGluamEcS54Dw9_zqW0N7qJUWgJ0Sw/edit?usp=sharing"",""ชัยนาท!L695"")+IMPORTRANGE(""https://docs.google.com/spreadsheets/d/1jkqa6GXxSacMcY1eN8AHjMNJ_7dDXMJ"&amp;"VRLDlaFSOdPM/edit?usp=sharing"",""ตราด!L695"")+IMPORTRANGE(""https://docs.google.com/spreadsheets/d/18hSgUJ3VwClqi_qtULmmW3cLr0oe3OKaSYoKzdpTsYQ/edit?usp=sharing"",""นครนายก!L695"")+IMPORTRANGE(""https://docs.google.com/spreadsheets/d/1YTZo6WM2dQ6Ix6FSdnL"&amp;"5P7uVnVKu40sxZu975tgG10E/edit?usp=sharing"",""นครปฐม!L695"")+IMPORTRANGE(""https://docs.google.com/spreadsheets/d/1OYoGg4WDg5RIzwGeB10padOxJF9E_Vljuvvct_M7RDo/edit?usp=sharing"",""ปทุมธานี!L695"")+IMPORTRANGE(""https://docs.google.com/spreadsheets/d/1GbCI"&amp;"E4D4wk9FUozzqk7SxfDMxDVBwVmI5zcaVUSzKAc/edit?usp=sharing"",""ประจวบคีรีขันธ์!L695"")+IMPORTRANGE(""https://docs.google.com/spreadsheets/d/1vVf6wykvW_lAyu7Yo9L4hUTqHqIeP_qcVuxCtosJEbg/edit?usp=sharing"",""ปราจีนบุรี!L695"")+IMPORTRANGE(""https://docs.googl"&amp;"e.com/spreadsheets/d/1BIDqLLg5jk3v59G8NlR8rk5xfQDKne0sAvZHSj7TI6I/edit?usp=sharing"",""พระนครศรีอยุธยา!L695"")+IMPORTRANGE(""https://docs.google.com/spreadsheets/d/1YXvxf8Yu6_rV4hTBrwMqAcAnv6DfhUxh5emyM3CJp_w/edit?usp=sharing"",""เพชรบุรี!L695"")+IMPORTRA"&amp;"NGE(""https://docs.google.com/spreadsheets/d/19KBlQQs7uwvsao6t2n-KvW3Ax8J8uRRfZPq1zPbXgKc/edit?usp=sharing"",""ระยอง!L695"")+IMPORTRANGE(""https://docs.google.com/spreadsheets/d/1jQ6P4QcrGM89YfqcC_PxOHGCMq5ezhucwJd8ci-NHng/edit?usp=sharing"",""ราชบุรี!L69"&amp;"5"")+IMPORTRANGE(""https://docs.google.com/spreadsheets/d/1lufeA2cfFqM-elVq2hznhDzC6Pr7wkJ9ZG_sYNGCMCU/edit?usp=sharing"",""ลพบุรี!L695"")+IMPORTRANGE(""https://docs.google.com/spreadsheets/d/10oOiF7loTyfsTkbd4MpaIm0HQ9SwB7IYHdIUvt-U1Uc/edit?usp=sharing"""&amp;",""สระแก้ว!L695"")+IMPORTRANGE(""https://docs.google.com/spreadsheets/d/1xmPlrr1QbdSIKvl1dWUl9K4PjAfSL9oeMr_37QVzcxc/edit?usp=sharing"",""สระบุรี!L695"")+IMPORTRANGE(""https://docs.google.com/spreadsheets/d/1j51vR6CYVGhABJpv6tkstgok82RLpXieLzW1yOY5rHw/edi"&amp;"t?usp=sharing"",""สิงห์บุรี!L695"")+IMPORTRANGE(""https://docs.google.com/spreadsheets/d/1H1EalTWKUSzO4Z1-1CwzoDUaVffgrThEBe2sl74kKG0/edit?usp=sharing"",""สุพรรณบุรี!L695"")+IMPORTRANGE(""https://docs.google.com/spreadsheets/d/1BmIruG_sIrJLYao_Pdr7zVArWsf"&amp;"oBt2692TMi6x_854/edit?usp=sharing"",""อ่างทอง!L695"")"),0)</f>
        <v>0</v>
      </c>
      <c r="M695" s="77">
        <f ca="1">IFERROR(__xludf.DUMMYFUNCTION("IMPORTRANGE(""https://docs.google.com/spreadsheets/d/13wPX838HrBrQMCywv1BsuMkt4PEKTChp52zj44s2izQ/edit?usp=sharing"",""กาญจนบุรี!M695"")+IMPORTRANGE(""https://docs.google.com/spreadsheets/d/1ddFKvqj1W1NEiWytbGlB1zMx_ykJDVtmfEQ-6-lIUBA/edit?usp=sharing"","&amp;"""จันทบุรี!M695"")+IMPORTRANGE(""https://docs.google.com/spreadsheets/d/1T1PQvRODqOBZk8BRht_U031fIS1beLA0Ub2CEytj2q0/edit?usp=sharing"",""ฉะเชิงเทรา!M695"")+IMPORTRANGE(""https://docs.google.com/spreadsheets/d/11tr1B-Bhyr79v2bkwVh5h_fR-PStkgjlZtkrZpYurG0/"&amp;"edit?usp=sharing"",""ชลบุรี!M695"")+IMPORTRANGE(""https://docs.google.com/spreadsheets/d/1hh-FVnSX0vozXhGluamEcS54Dw9_zqW0N7qJUWgJ0Sw/edit?usp=sharing"",""ชัยนาท!M695"")+IMPORTRANGE(""https://docs.google.com/spreadsheets/d/1jkqa6GXxSacMcY1eN8AHjMNJ_7dDXMJ"&amp;"VRLDlaFSOdPM/edit?usp=sharing"",""ตราด!M695"")+IMPORTRANGE(""https://docs.google.com/spreadsheets/d/18hSgUJ3VwClqi_qtULmmW3cLr0oe3OKaSYoKzdpTsYQ/edit?usp=sharing"",""นครนายก!M695"")+IMPORTRANGE(""https://docs.google.com/spreadsheets/d/1YTZo6WM2dQ6Ix6FSdnL"&amp;"5P7uVnVKu40sxZu975tgG10E/edit?usp=sharing"",""นครปฐม!M695"")+IMPORTRANGE(""https://docs.google.com/spreadsheets/d/1OYoGg4WDg5RIzwGeB10padOxJF9E_Vljuvvct_M7RDo/edit?usp=sharing"",""ปทุมธานี!M695"")+IMPORTRANGE(""https://docs.google.com/spreadsheets/d/1GbCI"&amp;"E4D4wk9FUozzqk7SxfDMxDVBwVmI5zcaVUSzKAc/edit?usp=sharing"",""ประจวบคีรีขันธ์!M695"")+IMPORTRANGE(""https://docs.google.com/spreadsheets/d/1vVf6wykvW_lAyu7Yo9L4hUTqHqIeP_qcVuxCtosJEbg/edit?usp=sharing"",""ปราจีนบุรี!M695"")+IMPORTRANGE(""https://docs.googl"&amp;"e.com/spreadsheets/d/1BIDqLLg5jk3v59G8NlR8rk5xfQDKne0sAvZHSj7TI6I/edit?usp=sharing"",""พระนครศรีอยุธยา!M695"")+IMPORTRANGE(""https://docs.google.com/spreadsheets/d/1YXvxf8Yu6_rV4hTBrwMqAcAnv6DfhUxh5emyM3CJp_w/edit?usp=sharing"",""เพชรบุรี!M695"")+IMPORTRA"&amp;"NGE(""https://docs.google.com/spreadsheets/d/19KBlQQs7uwvsao6t2n-KvW3Ax8J8uRRfZPq1zPbXgKc/edit?usp=sharing"",""ระยอง!M695"")+IMPORTRANGE(""https://docs.google.com/spreadsheets/d/1jQ6P4QcrGM89YfqcC_PxOHGCMq5ezhucwJd8ci-NHng/edit?usp=sharing"",""ราชบุรี!M69"&amp;"5"")+IMPORTRANGE(""https://docs.google.com/spreadsheets/d/1lufeA2cfFqM-elVq2hznhDzC6Pr7wkJ9ZG_sYNGCMCU/edit?usp=sharing"",""ลพบุรี!M695"")+IMPORTRANGE(""https://docs.google.com/spreadsheets/d/10oOiF7loTyfsTkbd4MpaIm0HQ9SwB7IYHdIUvt-U1Uc/edit?usp=sharing"""&amp;",""สระแก้ว!M695"")+IMPORTRANGE(""https://docs.google.com/spreadsheets/d/1xmPlrr1QbdSIKvl1dWUl9K4PjAfSL9oeMr_37QVzcxc/edit?usp=sharing"",""สระบุรี!M695"")+IMPORTRANGE(""https://docs.google.com/spreadsheets/d/1j51vR6CYVGhABJpv6tkstgok82RLpXieLzW1yOY5rHw/edi"&amp;"t?usp=sharing"",""สิงห์บุรี!M695"")+IMPORTRANGE(""https://docs.google.com/spreadsheets/d/1H1EalTWKUSzO4Z1-1CwzoDUaVffgrThEBe2sl74kKG0/edit?usp=sharing"",""สุพรรณบุรี!M695"")+IMPORTRANGE(""https://docs.google.com/spreadsheets/d/1BmIruG_sIrJLYao_Pdr7zVArWsf"&amp;"oBt2692TMi6x_854/edit?usp=sharing"",""อ่างทอง!M695"")"),0)</f>
        <v>0</v>
      </c>
      <c r="N695" s="77">
        <f ca="1">IFERROR(__xludf.DUMMYFUNCTION("IMPORTRANGE(""https://docs.google.com/spreadsheets/d/13wPX838HrBrQMCywv1BsuMkt4PEKTChp52zj44s2izQ/edit?usp=sharing"",""กาญจนบุรี!N695"")+IMPORTRANGE(""https://docs.google.com/spreadsheets/d/1ddFKvqj1W1NEiWytbGlB1zMx_ykJDVtmfEQ-6-lIUBA/edit?usp=sharing"","&amp;"""จันทบุรี!N695"")+IMPORTRANGE(""https://docs.google.com/spreadsheets/d/1T1PQvRODqOBZk8BRht_U031fIS1beLA0Ub2CEytj2q0/edit?usp=sharing"",""ฉะเชิงเทรา!N695"")+IMPORTRANGE(""https://docs.google.com/spreadsheets/d/11tr1B-Bhyr79v2bkwVh5h_fR-PStkgjlZtkrZpYurG0/"&amp;"edit?usp=sharing"",""ชลบุรี!N695"")+IMPORTRANGE(""https://docs.google.com/spreadsheets/d/1hh-FVnSX0vozXhGluamEcS54Dw9_zqW0N7qJUWgJ0Sw/edit?usp=sharing"",""ชัยนาท!N695"")+IMPORTRANGE(""https://docs.google.com/spreadsheets/d/1jkqa6GXxSacMcY1eN8AHjMNJ_7dDXMJ"&amp;"VRLDlaFSOdPM/edit?usp=sharing"",""ตราด!N695"")+IMPORTRANGE(""https://docs.google.com/spreadsheets/d/18hSgUJ3VwClqi_qtULmmW3cLr0oe3OKaSYoKzdpTsYQ/edit?usp=sharing"",""นครนายก!N695"")+IMPORTRANGE(""https://docs.google.com/spreadsheets/d/1YTZo6WM2dQ6Ix6FSdnL"&amp;"5P7uVnVKu40sxZu975tgG10E/edit?usp=sharing"",""นครปฐม!N695"")+IMPORTRANGE(""https://docs.google.com/spreadsheets/d/1OYoGg4WDg5RIzwGeB10padOxJF9E_Vljuvvct_M7RDo/edit?usp=sharing"",""ปทุมธานี!N695"")+IMPORTRANGE(""https://docs.google.com/spreadsheets/d/1GbCI"&amp;"E4D4wk9FUozzqk7SxfDMxDVBwVmI5zcaVUSzKAc/edit?usp=sharing"",""ประจวบคีรีขันธ์!N695"")+IMPORTRANGE(""https://docs.google.com/spreadsheets/d/1vVf6wykvW_lAyu7Yo9L4hUTqHqIeP_qcVuxCtosJEbg/edit?usp=sharing"",""ปราจีนบุรี!N695"")+IMPORTRANGE(""https://docs.googl"&amp;"e.com/spreadsheets/d/1BIDqLLg5jk3v59G8NlR8rk5xfQDKne0sAvZHSj7TI6I/edit?usp=sharing"",""พระนครศรีอยุธยา!N695"")+IMPORTRANGE(""https://docs.google.com/spreadsheets/d/1YXvxf8Yu6_rV4hTBrwMqAcAnv6DfhUxh5emyM3CJp_w/edit?usp=sharing"",""เพชรบุรี!N695"")+IMPORTRA"&amp;"NGE(""https://docs.google.com/spreadsheets/d/19KBlQQs7uwvsao6t2n-KvW3Ax8J8uRRfZPq1zPbXgKc/edit?usp=sharing"",""ระยอง!N695"")+IMPORTRANGE(""https://docs.google.com/spreadsheets/d/1jQ6P4QcrGM89YfqcC_PxOHGCMq5ezhucwJd8ci-NHng/edit?usp=sharing"",""ราชบุรี!N69"&amp;"5"")+IMPORTRANGE(""https://docs.google.com/spreadsheets/d/1lufeA2cfFqM-elVq2hznhDzC6Pr7wkJ9ZG_sYNGCMCU/edit?usp=sharing"",""ลพบุรี!N695"")+IMPORTRANGE(""https://docs.google.com/spreadsheets/d/10oOiF7loTyfsTkbd4MpaIm0HQ9SwB7IYHdIUvt-U1Uc/edit?usp=sharing"""&amp;",""สระแก้ว!N695"")+IMPORTRANGE(""https://docs.google.com/spreadsheets/d/1xmPlrr1QbdSIKvl1dWUl9K4PjAfSL9oeMr_37QVzcxc/edit?usp=sharing"",""สระบุรี!N695"")+IMPORTRANGE(""https://docs.google.com/spreadsheets/d/1j51vR6CYVGhABJpv6tkstgok82RLpXieLzW1yOY5rHw/edi"&amp;"t?usp=sharing"",""สิงห์บุรี!N695"")+IMPORTRANGE(""https://docs.google.com/spreadsheets/d/1H1EalTWKUSzO4Z1-1CwzoDUaVffgrThEBe2sl74kKG0/edit?usp=sharing"",""สุพรรณบุรี!N695"")+IMPORTRANGE(""https://docs.google.com/spreadsheets/d/1BmIruG_sIrJLYao_Pdr7zVArWsf"&amp;"oBt2692TMi6x_854/edit?usp=sharing"",""อ่างทอง!N695"")"),0)</f>
        <v>0</v>
      </c>
      <c r="O695" s="77">
        <f t="shared" ca="1" si="465"/>
        <v>0</v>
      </c>
      <c r="P695" s="77">
        <f t="shared" ca="1" si="466"/>
        <v>0</v>
      </c>
      <c r="Q695" s="134">
        <f ca="1">IFERROR(__xludf.DUMMYFUNCTION("IMPORTRANGE(""https://docs.google.com/spreadsheets/d/13wPX838HrBrQMCywv1BsuMkt4PEKTChp52zj44s2izQ/edit?usp=sharing"",""กาญจนบุรี!Q695"")+IMPORTRANGE(""https://docs.google.com/spreadsheets/d/1ddFKvqj1W1NEiWytbGlB1zMx_ykJDVtmfEQ-6-lIUBA/edit?usp=sharing"","&amp;"""จันทบุรี!Q695"")+IMPORTRANGE(""https://docs.google.com/spreadsheets/d/1T1PQvRODqOBZk8BRht_U031fIS1beLA0Ub2CEytj2q0/edit?usp=sharing"",""ฉะเชิงเทรา!Q695"")+IMPORTRANGE(""https://docs.google.com/spreadsheets/d/11tr1B-Bhyr79v2bkwVh5h_fR-PStkgjlZtkrZpYurG0/"&amp;"edit?usp=sharing"",""ชลบุรี!Q695"")+IMPORTRANGE(""https://docs.google.com/spreadsheets/d/1hh-FVnSX0vozXhGluamEcS54Dw9_zqW0N7qJUWgJ0Sw/edit?usp=sharing"",""ชัยนาท!Q695"")+IMPORTRANGE(""https://docs.google.com/spreadsheets/d/1jkqa6GXxSacMcY1eN8AHjMNJ_7dDXMJ"&amp;"VRLDlaFSOdPM/edit?usp=sharing"",""ตราด!Q695"")+IMPORTRANGE(""https://docs.google.com/spreadsheets/d/18hSgUJ3VwClqi_qtULmmW3cLr0oe3OKaSYoKzdpTsYQ/edit?usp=sharing"",""นครนายก!Q695"")+IMPORTRANGE(""https://docs.google.com/spreadsheets/d/1YTZo6WM2dQ6Ix6FSdnL"&amp;"5P7uVnVKu40sxZu975tgG10E/edit?usp=sharing"",""นครปฐม!Q695"")+IMPORTRANGE(""https://docs.google.com/spreadsheets/d/1OYoGg4WDg5RIzwGeB10padOxJF9E_Vljuvvct_M7RDo/edit?usp=sharing"",""ปทุมธานี!Q695"")+IMPORTRANGE(""https://docs.google.com/spreadsheets/d/1GbCI"&amp;"E4D4wk9FUozzqk7SxfDMxDVBwVmI5zcaVUSzKAc/edit?usp=sharing"",""ประจวบคีรีขันธ์!Q695"")+IMPORTRANGE(""https://docs.google.com/spreadsheets/d/1vVf6wykvW_lAyu7Yo9L4hUTqHqIeP_qcVuxCtosJEbg/edit?usp=sharing"",""ปราจีนบุรี!Q695"")+IMPORTRANGE(""https://docs.googl"&amp;"e.com/spreadsheets/d/1BIDqLLg5jk3v59G8NlR8rk5xfQDKne0sAvZHSj7TI6I/edit?usp=sharing"",""พระนครศรีอยุธยา!Q695"")+IMPORTRANGE(""https://docs.google.com/spreadsheets/d/1YXvxf8Yu6_rV4hTBrwMqAcAnv6DfhUxh5emyM3CJp_w/edit?usp=sharing"",""เพชรบุรี!Q695"")+IMPORTRA"&amp;"NGE(""https://docs.google.com/spreadsheets/d/19KBlQQs7uwvsao6t2n-KvW3Ax8J8uRRfZPq1zPbXgKc/edit?usp=sharing"",""ระยอง!Q695"")+IMPORTRANGE(""https://docs.google.com/spreadsheets/d/1jQ6P4QcrGM89YfqcC_PxOHGCMq5ezhucwJd8ci-NHng/edit?usp=sharing"",""ราชบุรี!Q69"&amp;"5"")+IMPORTRANGE(""https://docs.google.com/spreadsheets/d/1lufeA2cfFqM-elVq2hznhDzC6Pr7wkJ9ZG_sYNGCMCU/edit?usp=sharing"",""ลพบุรี!Q695"")+IMPORTRANGE(""https://docs.google.com/spreadsheets/d/10oOiF7loTyfsTkbd4MpaIm0HQ9SwB7IYHdIUvt-U1Uc/edit?usp=sharing"""&amp;",""สระแก้ว!Q695"")+IMPORTRANGE(""https://docs.google.com/spreadsheets/d/1xmPlrr1QbdSIKvl1dWUl9K4PjAfSL9oeMr_37QVzcxc/edit?usp=sharing"",""สระบุรี!Q695"")+IMPORTRANGE(""https://docs.google.com/spreadsheets/d/1j51vR6CYVGhABJpv6tkstgok82RLpXieLzW1yOY5rHw/edi"&amp;"t?usp=sharing"",""สิงห์บุรี!Q695"")+IMPORTRANGE(""https://docs.google.com/spreadsheets/d/1H1EalTWKUSzO4Z1-1CwzoDUaVffgrThEBe2sl74kKG0/edit?usp=sharing"",""สุพรรณบุรี!Q695"")+IMPORTRANGE(""https://docs.google.com/spreadsheets/d/1BmIruG_sIrJLYao_Pdr7zVArWsf"&amp;"oBt2692TMi6x_854/edit?usp=sharing"",""อ่างทอง!Q695"")"),2322060)</f>
        <v>2322060</v>
      </c>
      <c r="R695" s="135">
        <f ca="1">IFERROR(__xludf.DUMMYFUNCTION("IMPORTRANGE(""https://docs.google.com/spreadsheets/d/13wPX838HrBrQMCywv1BsuMkt4PEKTChp52zj44s2izQ/edit?usp=sharing"",""กาญจนบุรี!R695"")+IMPORTRANGE(""https://docs.google.com/spreadsheets/d/1ddFKvqj1W1NEiWytbGlB1zMx_ykJDVtmfEQ-6-lIUBA/edit?usp=sharing"","&amp;"""จันทบุรี!R695"")+IMPORTRANGE(""https://docs.google.com/spreadsheets/d/1T1PQvRODqOBZk8BRht_U031fIS1beLA0Ub2CEytj2q0/edit?usp=sharing"",""ฉะเชิงเทรา!R695"")+IMPORTRANGE(""https://docs.google.com/spreadsheets/d/11tr1B-Bhyr79v2bkwVh5h_fR-PStkgjlZtkrZpYurG0/"&amp;"edit?usp=sharing"",""ชลบุรี!R695"")+IMPORTRANGE(""https://docs.google.com/spreadsheets/d/1hh-FVnSX0vozXhGluamEcS54Dw9_zqW0N7qJUWgJ0Sw/edit?usp=sharing"",""ชัยนาท!R695"")+IMPORTRANGE(""https://docs.google.com/spreadsheets/d/1jkqa6GXxSacMcY1eN8AHjMNJ_7dDXMJ"&amp;"VRLDlaFSOdPM/edit?usp=sharing"",""ตราด!R695"")+IMPORTRANGE(""https://docs.google.com/spreadsheets/d/18hSgUJ3VwClqi_qtULmmW3cLr0oe3OKaSYoKzdpTsYQ/edit?usp=sharing"",""นครนายก!R695"")+IMPORTRANGE(""https://docs.google.com/spreadsheets/d/1YTZo6WM2dQ6Ix6FSdnL"&amp;"5P7uVnVKu40sxZu975tgG10E/edit?usp=sharing"",""นครปฐม!R695"")+IMPORTRANGE(""https://docs.google.com/spreadsheets/d/1OYoGg4WDg5RIzwGeB10padOxJF9E_Vljuvvct_M7RDo/edit?usp=sharing"",""ปทุมธานี!R695"")+IMPORTRANGE(""https://docs.google.com/spreadsheets/d/1GbCI"&amp;"E4D4wk9FUozzqk7SxfDMxDVBwVmI5zcaVUSzKAc/edit?usp=sharing"",""ประจวบคีรีขันธ์!R695"")+IMPORTRANGE(""https://docs.google.com/spreadsheets/d/1vVf6wykvW_lAyu7Yo9L4hUTqHqIeP_qcVuxCtosJEbg/edit?usp=sharing"",""ปราจีนบุรี!R695"")+IMPORTRANGE(""https://docs.googl"&amp;"e.com/spreadsheets/d/1BIDqLLg5jk3v59G8NlR8rk5xfQDKne0sAvZHSj7TI6I/edit?usp=sharing"",""พระนครศรีอยุธยา!R695"")+IMPORTRANGE(""https://docs.google.com/spreadsheets/d/1YXvxf8Yu6_rV4hTBrwMqAcAnv6DfhUxh5emyM3CJp_w/edit?usp=sharing"",""เพชรบุรี!R695"")+IMPORTRA"&amp;"NGE(""https://docs.google.com/spreadsheets/d/19KBlQQs7uwvsao6t2n-KvW3Ax8J8uRRfZPq1zPbXgKc/edit?usp=sharing"",""ระยอง!R695"")+IMPORTRANGE(""https://docs.google.com/spreadsheets/d/1jQ6P4QcrGM89YfqcC_PxOHGCMq5ezhucwJd8ci-NHng/edit?usp=sharing"",""ราชบุรี!R69"&amp;"5"")+IMPORTRANGE(""https://docs.google.com/spreadsheets/d/1lufeA2cfFqM-elVq2hznhDzC6Pr7wkJ9ZG_sYNGCMCU/edit?usp=sharing"",""ลพบุรี!R695"")+IMPORTRANGE(""https://docs.google.com/spreadsheets/d/10oOiF7loTyfsTkbd4MpaIm0HQ9SwB7IYHdIUvt-U1Uc/edit?usp=sharing"""&amp;",""สระแก้ว!R695"")+IMPORTRANGE(""https://docs.google.com/spreadsheets/d/1xmPlrr1QbdSIKvl1dWUl9K4PjAfSL9oeMr_37QVzcxc/edit?usp=sharing"",""สระบุรี!R695"")+IMPORTRANGE(""https://docs.google.com/spreadsheets/d/1j51vR6CYVGhABJpv6tkstgok82RLpXieLzW1yOY5rHw/edi"&amp;"t?usp=sharing"",""สิงห์บุรี!R695"")+IMPORTRANGE(""https://docs.google.com/spreadsheets/d/1H1EalTWKUSzO4Z1-1CwzoDUaVffgrThEBe2sl74kKG0/edit?usp=sharing"",""สุพรรณบุรี!R695"")+IMPORTRANGE(""https://docs.google.com/spreadsheets/d/1BmIruG_sIrJLYao_Pdr7zVArWsf"&amp;"oBt2692TMi6x_854/edit?usp=sharing"",""อ่างทอง!R695"")"),2322060)</f>
        <v>2322060</v>
      </c>
      <c r="S695" s="135">
        <f ca="1">IFERROR(__xludf.DUMMYFUNCTION("IMPORTRANGE(""https://docs.google.com/spreadsheets/d/13wPX838HrBrQMCywv1BsuMkt4PEKTChp52zj44s2izQ/edit?usp=sharing"",""กาญจนบุรี!S695"")+IMPORTRANGE(""https://docs.google.com/spreadsheets/d/1ddFKvqj1W1NEiWytbGlB1zMx_ykJDVtmfEQ-6-lIUBA/edit?usp=sharing"","&amp;"""จันทบุรี!S695"")+IMPORTRANGE(""https://docs.google.com/spreadsheets/d/1T1PQvRODqOBZk8BRht_U031fIS1beLA0Ub2CEytj2q0/edit?usp=sharing"",""ฉะเชิงเทรา!S695"")+IMPORTRANGE(""https://docs.google.com/spreadsheets/d/11tr1B-Bhyr79v2bkwVh5h_fR-PStkgjlZtkrZpYurG0/"&amp;"edit?usp=sharing"",""ชลบุรี!S695"")+IMPORTRANGE(""https://docs.google.com/spreadsheets/d/1hh-FVnSX0vozXhGluamEcS54Dw9_zqW0N7qJUWgJ0Sw/edit?usp=sharing"",""ชัยนาท!S695"")+IMPORTRANGE(""https://docs.google.com/spreadsheets/d/1jkqa6GXxSacMcY1eN8AHjMNJ_7dDXMJ"&amp;"VRLDlaFSOdPM/edit?usp=sharing"",""ตราด!S695"")+IMPORTRANGE(""https://docs.google.com/spreadsheets/d/18hSgUJ3VwClqi_qtULmmW3cLr0oe3OKaSYoKzdpTsYQ/edit?usp=sharing"",""นครนายก!S695"")+IMPORTRANGE(""https://docs.google.com/spreadsheets/d/1YTZo6WM2dQ6Ix6FSdnL"&amp;"5P7uVnVKu40sxZu975tgG10E/edit?usp=sharing"",""นครปฐม!S695"")+IMPORTRANGE(""https://docs.google.com/spreadsheets/d/1OYoGg4WDg5RIzwGeB10padOxJF9E_Vljuvvct_M7RDo/edit?usp=sharing"",""ปทุมธานี!S695"")+IMPORTRANGE(""https://docs.google.com/spreadsheets/d/1GbCI"&amp;"E4D4wk9FUozzqk7SxfDMxDVBwVmI5zcaVUSzKAc/edit?usp=sharing"",""ประจวบคีรีขันธ์!S695"")+IMPORTRANGE(""https://docs.google.com/spreadsheets/d/1vVf6wykvW_lAyu7Yo9L4hUTqHqIeP_qcVuxCtosJEbg/edit?usp=sharing"",""ปราจีนบุรี!S695"")+IMPORTRANGE(""https://docs.googl"&amp;"e.com/spreadsheets/d/1BIDqLLg5jk3v59G8NlR8rk5xfQDKne0sAvZHSj7TI6I/edit?usp=sharing"",""พระนครศรีอยุธยา!S695"")+IMPORTRANGE(""https://docs.google.com/spreadsheets/d/1YXvxf8Yu6_rV4hTBrwMqAcAnv6DfhUxh5emyM3CJp_w/edit?usp=sharing"",""เพชรบุรี!S695"")+IMPORTRA"&amp;"NGE(""https://docs.google.com/spreadsheets/d/19KBlQQs7uwvsao6t2n-KvW3Ax8J8uRRfZPq1zPbXgKc/edit?usp=sharing"",""ระยอง!S695"")+IMPORTRANGE(""https://docs.google.com/spreadsheets/d/1jQ6P4QcrGM89YfqcC_PxOHGCMq5ezhucwJd8ci-NHng/edit?usp=sharing"",""ราชบุรี!S69"&amp;"5"")+IMPORTRANGE(""https://docs.google.com/spreadsheets/d/1lufeA2cfFqM-elVq2hznhDzC6Pr7wkJ9ZG_sYNGCMCU/edit?usp=sharing"",""ลพบุรี!S695"")+IMPORTRANGE(""https://docs.google.com/spreadsheets/d/10oOiF7loTyfsTkbd4MpaIm0HQ9SwB7IYHdIUvt-U1Uc/edit?usp=sharing"""&amp;",""สระแก้ว!S695"")+IMPORTRANGE(""https://docs.google.com/spreadsheets/d/1xmPlrr1QbdSIKvl1dWUl9K4PjAfSL9oeMr_37QVzcxc/edit?usp=sharing"",""สระบุรี!S695"")+IMPORTRANGE(""https://docs.google.com/spreadsheets/d/1j51vR6CYVGhABJpv6tkstgok82RLpXieLzW1yOY5rHw/edi"&amp;"t?usp=sharing"",""สิงห์บุรี!S695"")+IMPORTRANGE(""https://docs.google.com/spreadsheets/d/1H1EalTWKUSzO4Z1-1CwzoDUaVffgrThEBe2sl74kKG0/edit?usp=sharing"",""สุพรรณบุรี!S695"")+IMPORTRANGE(""https://docs.google.com/spreadsheets/d/1BmIruG_sIrJLYao_Pdr7zVArWsf"&amp;"oBt2692TMi6x_854/edit?usp=sharing"",""อ่างทอง!S695"")"),374838.05)</f>
        <v>374838.05</v>
      </c>
      <c r="T695" s="135">
        <f t="shared" ca="1" si="468"/>
        <v>16.142479091840865</v>
      </c>
      <c r="U695" s="135">
        <f t="shared" ca="1" si="469"/>
        <v>16.142479091840865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 t="shared" ref="L696:N696" ca="1" si="476">L697+L698</f>
        <v>0</v>
      </c>
      <c r="M696" s="77">
        <f t="shared" ca="1" si="476"/>
        <v>0</v>
      </c>
      <c r="N696" s="77">
        <f t="shared" ca="1" si="476"/>
        <v>0</v>
      </c>
      <c r="O696" s="77">
        <f t="shared" ca="1" si="465"/>
        <v>0</v>
      </c>
      <c r="P696" s="77">
        <f t="shared" ca="1" si="466"/>
        <v>0</v>
      </c>
      <c r="Q696" s="134">
        <f t="shared" ref="Q696:S696" ca="1" si="477">Q697+Q698</f>
        <v>0</v>
      </c>
      <c r="R696" s="135">
        <f t="shared" ca="1" si="477"/>
        <v>0</v>
      </c>
      <c r="S696" s="135">
        <f t="shared" ca="1" si="477"/>
        <v>0</v>
      </c>
      <c r="T696" s="135">
        <f t="shared" ca="1" si="468"/>
        <v>0</v>
      </c>
      <c r="U696" s="135">
        <f t="shared" ca="1" si="469"/>
        <v>0</v>
      </c>
    </row>
    <row r="697" spans="1:21" ht="18.75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f ca="1">IFERROR(__xludf.DUMMYFUNCTION("IMPORTRANGE(""https://docs.google.com/spreadsheets/d/13wPX838HrBrQMCywv1BsuMkt4PEKTChp52zj44s2izQ/edit?usp=sharing"",""กาญจนบุรี!L697"")+IMPORTRANGE(""https://docs.google.com/spreadsheets/d/1ddFKvqj1W1NEiWytbGlB1zMx_ykJDVtmfEQ-6-lIUBA/edit?usp=sharing"","&amp;"""จันทบุรี!L697"")+IMPORTRANGE(""https://docs.google.com/spreadsheets/d/1T1PQvRODqOBZk8BRht_U031fIS1beLA0Ub2CEytj2q0/edit?usp=sharing"",""ฉะเชิงเทรา!L697"")+IMPORTRANGE(""https://docs.google.com/spreadsheets/d/11tr1B-Bhyr79v2bkwVh5h_fR-PStkgjlZtkrZpYurG0/"&amp;"edit?usp=sharing"",""ชลบุรี!L697"")+IMPORTRANGE(""https://docs.google.com/spreadsheets/d/1hh-FVnSX0vozXhGluamEcS54Dw9_zqW0N7qJUWgJ0Sw/edit?usp=sharing"",""ชัยนาท!L697"")+IMPORTRANGE(""https://docs.google.com/spreadsheets/d/1jkqa6GXxSacMcY1eN8AHjMNJ_7dDXMJ"&amp;"VRLDlaFSOdPM/edit?usp=sharing"",""ตราด!L697"")+IMPORTRANGE(""https://docs.google.com/spreadsheets/d/18hSgUJ3VwClqi_qtULmmW3cLr0oe3OKaSYoKzdpTsYQ/edit?usp=sharing"",""นครนายก!L697"")+IMPORTRANGE(""https://docs.google.com/spreadsheets/d/1YTZo6WM2dQ6Ix6FSdnL"&amp;"5P7uVnVKu40sxZu975tgG10E/edit?usp=sharing"",""นครปฐม!L697"")+IMPORTRANGE(""https://docs.google.com/spreadsheets/d/1OYoGg4WDg5RIzwGeB10padOxJF9E_Vljuvvct_M7RDo/edit?usp=sharing"",""ปทุมธานี!L697"")+IMPORTRANGE(""https://docs.google.com/spreadsheets/d/1GbCI"&amp;"E4D4wk9FUozzqk7SxfDMxDVBwVmI5zcaVUSzKAc/edit?usp=sharing"",""ประจวบคีรีขันธ์!L697"")+IMPORTRANGE(""https://docs.google.com/spreadsheets/d/1vVf6wykvW_lAyu7Yo9L4hUTqHqIeP_qcVuxCtosJEbg/edit?usp=sharing"",""ปราจีนบุรี!L697"")+IMPORTRANGE(""https://docs.googl"&amp;"e.com/spreadsheets/d/1BIDqLLg5jk3v59G8NlR8rk5xfQDKne0sAvZHSj7TI6I/edit?usp=sharing"",""พระนครศรีอยุธยา!L697"")+IMPORTRANGE(""https://docs.google.com/spreadsheets/d/1YXvxf8Yu6_rV4hTBrwMqAcAnv6DfhUxh5emyM3CJp_w/edit?usp=sharing"",""เพชรบุรี!L697"")+IMPORTRA"&amp;"NGE(""https://docs.google.com/spreadsheets/d/19KBlQQs7uwvsao6t2n-KvW3Ax8J8uRRfZPq1zPbXgKc/edit?usp=sharing"",""ระยอง!L697"")+IMPORTRANGE(""https://docs.google.com/spreadsheets/d/1jQ6P4QcrGM89YfqcC_PxOHGCMq5ezhucwJd8ci-NHng/edit?usp=sharing"",""ราชบุรี!L69"&amp;"7"")+IMPORTRANGE(""https://docs.google.com/spreadsheets/d/1lufeA2cfFqM-elVq2hznhDzC6Pr7wkJ9ZG_sYNGCMCU/edit?usp=sharing"",""ลพบุรี!L697"")+IMPORTRANGE(""https://docs.google.com/spreadsheets/d/10oOiF7loTyfsTkbd4MpaIm0HQ9SwB7IYHdIUvt-U1Uc/edit?usp=sharing"""&amp;",""สระแก้ว!L697"")+IMPORTRANGE(""https://docs.google.com/spreadsheets/d/1xmPlrr1QbdSIKvl1dWUl9K4PjAfSL9oeMr_37QVzcxc/edit?usp=sharing"",""สระบุรี!L697"")+IMPORTRANGE(""https://docs.google.com/spreadsheets/d/1j51vR6CYVGhABJpv6tkstgok82RLpXieLzW1yOY5rHw/edi"&amp;"t?usp=sharing"",""สิงห์บุรี!L697"")+IMPORTRANGE(""https://docs.google.com/spreadsheets/d/1H1EalTWKUSzO4Z1-1CwzoDUaVffgrThEBe2sl74kKG0/edit?usp=sharing"",""สุพรรณบุรี!L697"")+IMPORTRANGE(""https://docs.google.com/spreadsheets/d/1BmIruG_sIrJLYao_Pdr7zVArWsf"&amp;"oBt2692TMi6x_854/edit?usp=sharing"",""อ่างทอง!L697"")"),0)</f>
        <v>0</v>
      </c>
      <c r="M697" s="80">
        <f ca="1">IFERROR(__xludf.DUMMYFUNCTION("IMPORTRANGE(""https://docs.google.com/spreadsheets/d/13wPX838HrBrQMCywv1BsuMkt4PEKTChp52zj44s2izQ/edit?usp=sharing"",""กาญจนบุรี!M697"")+IMPORTRANGE(""https://docs.google.com/spreadsheets/d/1ddFKvqj1W1NEiWytbGlB1zMx_ykJDVtmfEQ-6-lIUBA/edit?usp=sharing"","&amp;"""จันทบุรี!M697"")+IMPORTRANGE(""https://docs.google.com/spreadsheets/d/1T1PQvRODqOBZk8BRht_U031fIS1beLA0Ub2CEytj2q0/edit?usp=sharing"",""ฉะเชิงเทรา!M697"")+IMPORTRANGE(""https://docs.google.com/spreadsheets/d/11tr1B-Bhyr79v2bkwVh5h_fR-PStkgjlZtkrZpYurG0/"&amp;"edit?usp=sharing"",""ชลบุรี!M697"")+IMPORTRANGE(""https://docs.google.com/spreadsheets/d/1hh-FVnSX0vozXhGluamEcS54Dw9_zqW0N7qJUWgJ0Sw/edit?usp=sharing"",""ชัยนาท!M697"")+IMPORTRANGE(""https://docs.google.com/spreadsheets/d/1jkqa6GXxSacMcY1eN8AHjMNJ_7dDXMJ"&amp;"VRLDlaFSOdPM/edit?usp=sharing"",""ตราด!M697"")+IMPORTRANGE(""https://docs.google.com/spreadsheets/d/18hSgUJ3VwClqi_qtULmmW3cLr0oe3OKaSYoKzdpTsYQ/edit?usp=sharing"",""นครนายก!M697"")+IMPORTRANGE(""https://docs.google.com/spreadsheets/d/1YTZo6WM2dQ6Ix6FSdnL"&amp;"5P7uVnVKu40sxZu975tgG10E/edit?usp=sharing"",""นครปฐม!M697"")+IMPORTRANGE(""https://docs.google.com/spreadsheets/d/1OYoGg4WDg5RIzwGeB10padOxJF9E_Vljuvvct_M7RDo/edit?usp=sharing"",""ปทุมธานี!M697"")+IMPORTRANGE(""https://docs.google.com/spreadsheets/d/1GbCI"&amp;"E4D4wk9FUozzqk7SxfDMxDVBwVmI5zcaVUSzKAc/edit?usp=sharing"",""ประจวบคีรีขันธ์!M697"")+IMPORTRANGE(""https://docs.google.com/spreadsheets/d/1vVf6wykvW_lAyu7Yo9L4hUTqHqIeP_qcVuxCtosJEbg/edit?usp=sharing"",""ปราจีนบุรี!M697"")+IMPORTRANGE(""https://docs.googl"&amp;"e.com/spreadsheets/d/1BIDqLLg5jk3v59G8NlR8rk5xfQDKne0sAvZHSj7TI6I/edit?usp=sharing"",""พระนครศรีอยุธยา!M697"")+IMPORTRANGE(""https://docs.google.com/spreadsheets/d/1YXvxf8Yu6_rV4hTBrwMqAcAnv6DfhUxh5emyM3CJp_w/edit?usp=sharing"",""เพชรบุรี!M697"")+IMPORTRA"&amp;"NGE(""https://docs.google.com/spreadsheets/d/19KBlQQs7uwvsao6t2n-KvW3Ax8J8uRRfZPq1zPbXgKc/edit?usp=sharing"",""ระยอง!M697"")+IMPORTRANGE(""https://docs.google.com/spreadsheets/d/1jQ6P4QcrGM89YfqcC_PxOHGCMq5ezhucwJd8ci-NHng/edit?usp=sharing"",""ราชบุรี!M69"&amp;"7"")+IMPORTRANGE(""https://docs.google.com/spreadsheets/d/1lufeA2cfFqM-elVq2hznhDzC6Pr7wkJ9ZG_sYNGCMCU/edit?usp=sharing"",""ลพบุรี!M697"")+IMPORTRANGE(""https://docs.google.com/spreadsheets/d/10oOiF7loTyfsTkbd4MpaIm0HQ9SwB7IYHdIUvt-U1Uc/edit?usp=sharing"""&amp;",""สระแก้ว!M697"")+IMPORTRANGE(""https://docs.google.com/spreadsheets/d/1xmPlrr1QbdSIKvl1dWUl9K4PjAfSL9oeMr_37QVzcxc/edit?usp=sharing"",""สระบุรี!M697"")+IMPORTRANGE(""https://docs.google.com/spreadsheets/d/1j51vR6CYVGhABJpv6tkstgok82RLpXieLzW1yOY5rHw/edi"&amp;"t?usp=sharing"",""สิงห์บุรี!M697"")+IMPORTRANGE(""https://docs.google.com/spreadsheets/d/1H1EalTWKUSzO4Z1-1CwzoDUaVffgrThEBe2sl74kKG0/edit?usp=sharing"",""สุพรรณบุรี!M697"")+IMPORTRANGE(""https://docs.google.com/spreadsheets/d/1BmIruG_sIrJLYao_Pdr7zVArWsf"&amp;"oBt2692TMi6x_854/edit?usp=sharing"",""อ่างทอง!M697"")"),0)</f>
        <v>0</v>
      </c>
      <c r="N697" s="80">
        <f ca="1">IFERROR(__xludf.DUMMYFUNCTION("IMPORTRANGE(""https://docs.google.com/spreadsheets/d/13wPX838HrBrQMCywv1BsuMkt4PEKTChp52zj44s2izQ/edit?usp=sharing"",""กาญจนบุรี!N697"")+IMPORTRANGE(""https://docs.google.com/spreadsheets/d/1ddFKvqj1W1NEiWytbGlB1zMx_ykJDVtmfEQ-6-lIUBA/edit?usp=sharing"","&amp;"""จันทบุรี!N697"")+IMPORTRANGE(""https://docs.google.com/spreadsheets/d/1T1PQvRODqOBZk8BRht_U031fIS1beLA0Ub2CEytj2q0/edit?usp=sharing"",""ฉะเชิงเทรา!N697"")+IMPORTRANGE(""https://docs.google.com/spreadsheets/d/11tr1B-Bhyr79v2bkwVh5h_fR-PStkgjlZtkrZpYurG0/"&amp;"edit?usp=sharing"",""ชลบุรี!N697"")+IMPORTRANGE(""https://docs.google.com/spreadsheets/d/1hh-FVnSX0vozXhGluamEcS54Dw9_zqW0N7qJUWgJ0Sw/edit?usp=sharing"",""ชัยนาท!N697"")+IMPORTRANGE(""https://docs.google.com/spreadsheets/d/1jkqa6GXxSacMcY1eN8AHjMNJ_7dDXMJ"&amp;"VRLDlaFSOdPM/edit?usp=sharing"",""ตราด!N697"")+IMPORTRANGE(""https://docs.google.com/spreadsheets/d/18hSgUJ3VwClqi_qtULmmW3cLr0oe3OKaSYoKzdpTsYQ/edit?usp=sharing"",""นครนายก!N697"")+IMPORTRANGE(""https://docs.google.com/spreadsheets/d/1YTZo6WM2dQ6Ix6FSdnL"&amp;"5P7uVnVKu40sxZu975tgG10E/edit?usp=sharing"",""นครปฐม!N697"")+IMPORTRANGE(""https://docs.google.com/spreadsheets/d/1OYoGg4WDg5RIzwGeB10padOxJF9E_Vljuvvct_M7RDo/edit?usp=sharing"",""ปทุมธานี!N697"")+IMPORTRANGE(""https://docs.google.com/spreadsheets/d/1GbCI"&amp;"E4D4wk9FUozzqk7SxfDMxDVBwVmI5zcaVUSzKAc/edit?usp=sharing"",""ประจวบคีรีขันธ์!N697"")+IMPORTRANGE(""https://docs.google.com/spreadsheets/d/1vVf6wykvW_lAyu7Yo9L4hUTqHqIeP_qcVuxCtosJEbg/edit?usp=sharing"",""ปราจีนบุรี!N697"")+IMPORTRANGE(""https://docs.googl"&amp;"e.com/spreadsheets/d/1BIDqLLg5jk3v59G8NlR8rk5xfQDKne0sAvZHSj7TI6I/edit?usp=sharing"",""พระนครศรีอยุธยา!N697"")+IMPORTRANGE(""https://docs.google.com/spreadsheets/d/1YXvxf8Yu6_rV4hTBrwMqAcAnv6DfhUxh5emyM3CJp_w/edit?usp=sharing"",""เพชรบุรี!N697"")+IMPORTRA"&amp;"NGE(""https://docs.google.com/spreadsheets/d/19KBlQQs7uwvsao6t2n-KvW3Ax8J8uRRfZPq1zPbXgKc/edit?usp=sharing"",""ระยอง!N697"")+IMPORTRANGE(""https://docs.google.com/spreadsheets/d/1jQ6P4QcrGM89YfqcC_PxOHGCMq5ezhucwJd8ci-NHng/edit?usp=sharing"",""ราชบุรี!N69"&amp;"7"")+IMPORTRANGE(""https://docs.google.com/spreadsheets/d/1lufeA2cfFqM-elVq2hznhDzC6Pr7wkJ9ZG_sYNGCMCU/edit?usp=sharing"",""ลพบุรี!N697"")+IMPORTRANGE(""https://docs.google.com/spreadsheets/d/10oOiF7loTyfsTkbd4MpaIm0HQ9SwB7IYHdIUvt-U1Uc/edit?usp=sharing"""&amp;",""สระแก้ว!N697"")+IMPORTRANGE(""https://docs.google.com/spreadsheets/d/1xmPlrr1QbdSIKvl1dWUl9K4PjAfSL9oeMr_37QVzcxc/edit?usp=sharing"",""สระบุรี!N697"")+IMPORTRANGE(""https://docs.google.com/spreadsheets/d/1j51vR6CYVGhABJpv6tkstgok82RLpXieLzW1yOY5rHw/edi"&amp;"t?usp=sharing"",""สิงห์บุรี!N697"")+IMPORTRANGE(""https://docs.google.com/spreadsheets/d/1H1EalTWKUSzO4Z1-1CwzoDUaVffgrThEBe2sl74kKG0/edit?usp=sharing"",""สุพรรณบุรี!N697"")+IMPORTRANGE(""https://docs.google.com/spreadsheets/d/1BmIruG_sIrJLYao_Pdr7zVArWsf"&amp;"oBt2692TMi6x_854/edit?usp=sharing"",""อ่างทอง!N697"")"),0)</f>
        <v>0</v>
      </c>
      <c r="O697" s="80">
        <f t="shared" ca="1" si="465"/>
        <v>0</v>
      </c>
      <c r="P697" s="80">
        <f t="shared" ca="1" si="466"/>
        <v>0</v>
      </c>
      <c r="Q697" s="79">
        <f ca="1">IFERROR(__xludf.DUMMYFUNCTION("IMPORTRANGE(""https://docs.google.com/spreadsheets/d/13wPX838HrBrQMCywv1BsuMkt4PEKTChp52zj44s2izQ/edit?usp=sharing"",""กาญจนบุรี!Q697"")+IMPORTRANGE(""https://docs.google.com/spreadsheets/d/1ddFKvqj1W1NEiWytbGlB1zMx_ykJDVtmfEQ-6-lIUBA/edit?usp=sharing"","&amp;"""จันทบุรี!Q697"")+IMPORTRANGE(""https://docs.google.com/spreadsheets/d/1T1PQvRODqOBZk8BRht_U031fIS1beLA0Ub2CEytj2q0/edit?usp=sharing"",""ฉะเชิงเทรา!Q697"")+IMPORTRANGE(""https://docs.google.com/spreadsheets/d/11tr1B-Bhyr79v2bkwVh5h_fR-PStkgjlZtkrZpYurG0/"&amp;"edit?usp=sharing"",""ชลบุรี!Q697"")+IMPORTRANGE(""https://docs.google.com/spreadsheets/d/1hh-FVnSX0vozXhGluamEcS54Dw9_zqW0N7qJUWgJ0Sw/edit?usp=sharing"",""ชัยนาท!Q697"")+IMPORTRANGE(""https://docs.google.com/spreadsheets/d/1jkqa6GXxSacMcY1eN8AHjMNJ_7dDXMJ"&amp;"VRLDlaFSOdPM/edit?usp=sharing"",""ตราด!Q697"")+IMPORTRANGE(""https://docs.google.com/spreadsheets/d/18hSgUJ3VwClqi_qtULmmW3cLr0oe3OKaSYoKzdpTsYQ/edit?usp=sharing"",""นครนายก!Q697"")+IMPORTRANGE(""https://docs.google.com/spreadsheets/d/1YTZo6WM2dQ6Ix6FSdnL"&amp;"5P7uVnVKu40sxZu975tgG10E/edit?usp=sharing"",""นครปฐม!Q697"")+IMPORTRANGE(""https://docs.google.com/spreadsheets/d/1OYoGg4WDg5RIzwGeB10padOxJF9E_Vljuvvct_M7RDo/edit?usp=sharing"",""ปทุมธานี!Q697"")+IMPORTRANGE(""https://docs.google.com/spreadsheets/d/1GbCI"&amp;"E4D4wk9FUozzqk7SxfDMxDVBwVmI5zcaVUSzKAc/edit?usp=sharing"",""ประจวบคีรีขันธ์!Q697"")+IMPORTRANGE(""https://docs.google.com/spreadsheets/d/1vVf6wykvW_lAyu7Yo9L4hUTqHqIeP_qcVuxCtosJEbg/edit?usp=sharing"",""ปราจีนบุรี!Q697"")+IMPORTRANGE(""https://docs.googl"&amp;"e.com/spreadsheets/d/1BIDqLLg5jk3v59G8NlR8rk5xfQDKne0sAvZHSj7TI6I/edit?usp=sharing"",""พระนครศรีอยุธยา!Q697"")+IMPORTRANGE(""https://docs.google.com/spreadsheets/d/1YXvxf8Yu6_rV4hTBrwMqAcAnv6DfhUxh5emyM3CJp_w/edit?usp=sharing"",""เพชรบุรี!Q697"")+IMPORTRA"&amp;"NGE(""https://docs.google.com/spreadsheets/d/19KBlQQs7uwvsao6t2n-KvW3Ax8J8uRRfZPq1zPbXgKc/edit?usp=sharing"",""ระยอง!Q697"")+IMPORTRANGE(""https://docs.google.com/spreadsheets/d/1jQ6P4QcrGM89YfqcC_PxOHGCMq5ezhucwJd8ci-NHng/edit?usp=sharing"",""ราชบุรี!Q69"&amp;"7"")+IMPORTRANGE(""https://docs.google.com/spreadsheets/d/1lufeA2cfFqM-elVq2hznhDzC6Pr7wkJ9ZG_sYNGCMCU/edit?usp=sharing"",""ลพบุรี!Q697"")+IMPORTRANGE(""https://docs.google.com/spreadsheets/d/10oOiF7loTyfsTkbd4MpaIm0HQ9SwB7IYHdIUvt-U1Uc/edit?usp=sharing"""&amp;",""สระแก้ว!Q697"")+IMPORTRANGE(""https://docs.google.com/spreadsheets/d/1xmPlrr1QbdSIKvl1dWUl9K4PjAfSL9oeMr_37QVzcxc/edit?usp=sharing"",""สระบุรี!Q697"")+IMPORTRANGE(""https://docs.google.com/spreadsheets/d/1j51vR6CYVGhABJpv6tkstgok82RLpXieLzW1yOY5rHw/edi"&amp;"t?usp=sharing"",""สิงห์บุรี!Q697"")+IMPORTRANGE(""https://docs.google.com/spreadsheets/d/1H1EalTWKUSzO4Z1-1CwzoDUaVffgrThEBe2sl74kKG0/edit?usp=sharing"",""สุพรรณบุรี!Q697"")+IMPORTRANGE(""https://docs.google.com/spreadsheets/d/1BmIruG_sIrJLYao_Pdr7zVArWsf"&amp;"oBt2692TMi6x_854/edit?usp=sharing"",""อ่างทอง!Q697"")"),0)</f>
        <v>0</v>
      </c>
      <c r="R697" s="80">
        <f ca="1">IFERROR(__xludf.DUMMYFUNCTION("IMPORTRANGE(""https://docs.google.com/spreadsheets/d/13wPX838HrBrQMCywv1BsuMkt4PEKTChp52zj44s2izQ/edit?usp=sharing"",""กาญจนบุรี!R697"")+IMPORTRANGE(""https://docs.google.com/spreadsheets/d/1ddFKvqj1W1NEiWytbGlB1zMx_ykJDVtmfEQ-6-lIUBA/edit?usp=sharing"","&amp;"""จันทบุรี!R697"")+IMPORTRANGE(""https://docs.google.com/spreadsheets/d/1T1PQvRODqOBZk8BRht_U031fIS1beLA0Ub2CEytj2q0/edit?usp=sharing"",""ฉะเชิงเทรา!R697"")+IMPORTRANGE(""https://docs.google.com/spreadsheets/d/11tr1B-Bhyr79v2bkwVh5h_fR-PStkgjlZtkrZpYurG0/"&amp;"edit?usp=sharing"",""ชลบุรี!R697"")+IMPORTRANGE(""https://docs.google.com/spreadsheets/d/1hh-FVnSX0vozXhGluamEcS54Dw9_zqW0N7qJUWgJ0Sw/edit?usp=sharing"",""ชัยนาท!R697"")+IMPORTRANGE(""https://docs.google.com/spreadsheets/d/1jkqa6GXxSacMcY1eN8AHjMNJ_7dDXMJ"&amp;"VRLDlaFSOdPM/edit?usp=sharing"",""ตราด!R697"")+IMPORTRANGE(""https://docs.google.com/spreadsheets/d/18hSgUJ3VwClqi_qtULmmW3cLr0oe3OKaSYoKzdpTsYQ/edit?usp=sharing"",""นครนายก!R697"")+IMPORTRANGE(""https://docs.google.com/spreadsheets/d/1YTZo6WM2dQ6Ix6FSdnL"&amp;"5P7uVnVKu40sxZu975tgG10E/edit?usp=sharing"",""นครปฐม!R697"")+IMPORTRANGE(""https://docs.google.com/spreadsheets/d/1OYoGg4WDg5RIzwGeB10padOxJF9E_Vljuvvct_M7RDo/edit?usp=sharing"",""ปทุมธานี!R697"")+IMPORTRANGE(""https://docs.google.com/spreadsheets/d/1GbCI"&amp;"E4D4wk9FUozzqk7SxfDMxDVBwVmI5zcaVUSzKAc/edit?usp=sharing"",""ประจวบคีรีขันธ์!R697"")+IMPORTRANGE(""https://docs.google.com/spreadsheets/d/1vVf6wykvW_lAyu7Yo9L4hUTqHqIeP_qcVuxCtosJEbg/edit?usp=sharing"",""ปราจีนบุรี!R697"")+IMPORTRANGE(""https://docs.googl"&amp;"e.com/spreadsheets/d/1BIDqLLg5jk3v59G8NlR8rk5xfQDKne0sAvZHSj7TI6I/edit?usp=sharing"",""พระนครศรีอยุธยา!R697"")+IMPORTRANGE(""https://docs.google.com/spreadsheets/d/1YXvxf8Yu6_rV4hTBrwMqAcAnv6DfhUxh5emyM3CJp_w/edit?usp=sharing"",""เพชรบุรี!R697"")+IMPORTRA"&amp;"NGE(""https://docs.google.com/spreadsheets/d/19KBlQQs7uwvsao6t2n-KvW3Ax8J8uRRfZPq1zPbXgKc/edit?usp=sharing"",""ระยอง!R697"")+IMPORTRANGE(""https://docs.google.com/spreadsheets/d/1jQ6P4QcrGM89YfqcC_PxOHGCMq5ezhucwJd8ci-NHng/edit?usp=sharing"",""ราชบุรี!R69"&amp;"7"")+IMPORTRANGE(""https://docs.google.com/spreadsheets/d/1lufeA2cfFqM-elVq2hznhDzC6Pr7wkJ9ZG_sYNGCMCU/edit?usp=sharing"",""ลพบุรี!R697"")+IMPORTRANGE(""https://docs.google.com/spreadsheets/d/10oOiF7loTyfsTkbd4MpaIm0HQ9SwB7IYHdIUvt-U1Uc/edit?usp=sharing"""&amp;",""สระแก้ว!R697"")+IMPORTRANGE(""https://docs.google.com/spreadsheets/d/1xmPlrr1QbdSIKvl1dWUl9K4PjAfSL9oeMr_37QVzcxc/edit?usp=sharing"",""สระบุรี!R697"")+IMPORTRANGE(""https://docs.google.com/spreadsheets/d/1j51vR6CYVGhABJpv6tkstgok82RLpXieLzW1yOY5rHw/edi"&amp;"t?usp=sharing"",""สิงห์บุรี!R697"")+IMPORTRANGE(""https://docs.google.com/spreadsheets/d/1H1EalTWKUSzO4Z1-1CwzoDUaVffgrThEBe2sl74kKG0/edit?usp=sharing"",""สุพรรณบุรี!R697"")+IMPORTRANGE(""https://docs.google.com/spreadsheets/d/1BmIruG_sIrJLYao_Pdr7zVArWsf"&amp;"oBt2692TMi6x_854/edit?usp=sharing"",""อ่างทอง!R697"")"),0)</f>
        <v>0</v>
      </c>
      <c r="S697" s="80">
        <f ca="1">IFERROR(__xludf.DUMMYFUNCTION("IMPORTRANGE(""https://docs.google.com/spreadsheets/d/13wPX838HrBrQMCywv1BsuMkt4PEKTChp52zj44s2izQ/edit?usp=sharing"",""กาญจนบุรี!S697"")+IMPORTRANGE(""https://docs.google.com/spreadsheets/d/1ddFKvqj1W1NEiWytbGlB1zMx_ykJDVtmfEQ-6-lIUBA/edit?usp=sharing"","&amp;"""จันทบุรี!S697"")+IMPORTRANGE(""https://docs.google.com/spreadsheets/d/1T1PQvRODqOBZk8BRht_U031fIS1beLA0Ub2CEytj2q0/edit?usp=sharing"",""ฉะเชิงเทรา!S697"")+IMPORTRANGE(""https://docs.google.com/spreadsheets/d/11tr1B-Bhyr79v2bkwVh5h_fR-PStkgjlZtkrZpYurG0/"&amp;"edit?usp=sharing"",""ชลบุรี!S697"")+IMPORTRANGE(""https://docs.google.com/spreadsheets/d/1hh-FVnSX0vozXhGluamEcS54Dw9_zqW0N7qJUWgJ0Sw/edit?usp=sharing"",""ชัยนาท!S697"")+IMPORTRANGE(""https://docs.google.com/spreadsheets/d/1jkqa6GXxSacMcY1eN8AHjMNJ_7dDXMJ"&amp;"VRLDlaFSOdPM/edit?usp=sharing"",""ตราด!S697"")+IMPORTRANGE(""https://docs.google.com/spreadsheets/d/18hSgUJ3VwClqi_qtULmmW3cLr0oe3OKaSYoKzdpTsYQ/edit?usp=sharing"",""นครนายก!S697"")+IMPORTRANGE(""https://docs.google.com/spreadsheets/d/1YTZo6WM2dQ6Ix6FSdnL"&amp;"5P7uVnVKu40sxZu975tgG10E/edit?usp=sharing"",""นครปฐม!S697"")+IMPORTRANGE(""https://docs.google.com/spreadsheets/d/1OYoGg4WDg5RIzwGeB10padOxJF9E_Vljuvvct_M7RDo/edit?usp=sharing"",""ปทุมธานี!S697"")+IMPORTRANGE(""https://docs.google.com/spreadsheets/d/1GbCI"&amp;"E4D4wk9FUozzqk7SxfDMxDVBwVmI5zcaVUSzKAc/edit?usp=sharing"",""ประจวบคีรีขันธ์!S697"")+IMPORTRANGE(""https://docs.google.com/spreadsheets/d/1vVf6wykvW_lAyu7Yo9L4hUTqHqIeP_qcVuxCtosJEbg/edit?usp=sharing"",""ปราจีนบุรี!S697"")+IMPORTRANGE(""https://docs.googl"&amp;"e.com/spreadsheets/d/1BIDqLLg5jk3v59G8NlR8rk5xfQDKne0sAvZHSj7TI6I/edit?usp=sharing"",""พระนครศรีอยุธยา!S697"")+IMPORTRANGE(""https://docs.google.com/spreadsheets/d/1YXvxf8Yu6_rV4hTBrwMqAcAnv6DfhUxh5emyM3CJp_w/edit?usp=sharing"",""เพชรบุรี!S697"")+IMPORTRA"&amp;"NGE(""https://docs.google.com/spreadsheets/d/19KBlQQs7uwvsao6t2n-KvW3Ax8J8uRRfZPq1zPbXgKc/edit?usp=sharing"",""ระยอง!S697"")+IMPORTRANGE(""https://docs.google.com/spreadsheets/d/1jQ6P4QcrGM89YfqcC_PxOHGCMq5ezhucwJd8ci-NHng/edit?usp=sharing"",""ราชบุรี!S69"&amp;"7"")+IMPORTRANGE(""https://docs.google.com/spreadsheets/d/1lufeA2cfFqM-elVq2hznhDzC6Pr7wkJ9ZG_sYNGCMCU/edit?usp=sharing"",""ลพบุรี!S697"")+IMPORTRANGE(""https://docs.google.com/spreadsheets/d/10oOiF7loTyfsTkbd4MpaIm0HQ9SwB7IYHdIUvt-U1Uc/edit?usp=sharing"""&amp;",""สระแก้ว!S697"")+IMPORTRANGE(""https://docs.google.com/spreadsheets/d/1xmPlrr1QbdSIKvl1dWUl9K4PjAfSL9oeMr_37QVzcxc/edit?usp=sharing"",""สระบุรี!S697"")+IMPORTRANGE(""https://docs.google.com/spreadsheets/d/1j51vR6CYVGhABJpv6tkstgok82RLpXieLzW1yOY5rHw/edi"&amp;"t?usp=sharing"",""สิงห์บุรี!S697"")+IMPORTRANGE(""https://docs.google.com/spreadsheets/d/1H1EalTWKUSzO4Z1-1CwzoDUaVffgrThEBe2sl74kKG0/edit?usp=sharing"",""สุพรรณบุรี!S697"")+IMPORTRANGE(""https://docs.google.com/spreadsheets/d/1BmIruG_sIrJLYao_Pdr7zVArWsf"&amp;"oBt2692TMi6x_854/edit?usp=sharing"",""อ่างทอง!S697"")"),0)</f>
        <v>0</v>
      </c>
      <c r="T697" s="136">
        <f t="shared" ca="1" si="468"/>
        <v>0</v>
      </c>
      <c r="U697" s="136">
        <f t="shared" ca="1" si="469"/>
        <v>0</v>
      </c>
    </row>
    <row r="698" spans="1:21" ht="18.75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f ca="1">IFERROR(__xludf.DUMMYFUNCTION("IMPORTRANGE(""https://docs.google.com/spreadsheets/d/13wPX838HrBrQMCywv1BsuMkt4PEKTChp52zj44s2izQ/edit?usp=sharing"",""กาญจนบุรี!L698"")+IMPORTRANGE(""https://docs.google.com/spreadsheets/d/1ddFKvqj1W1NEiWytbGlB1zMx_ykJDVtmfEQ-6-lIUBA/edit?usp=sharing"","&amp;"""จันทบุรี!L698"")+IMPORTRANGE(""https://docs.google.com/spreadsheets/d/1T1PQvRODqOBZk8BRht_U031fIS1beLA0Ub2CEytj2q0/edit?usp=sharing"",""ฉะเชิงเทรา!L698"")+IMPORTRANGE(""https://docs.google.com/spreadsheets/d/11tr1B-Bhyr79v2bkwVh5h_fR-PStkgjlZtkrZpYurG0/"&amp;"edit?usp=sharing"",""ชลบุรี!L698"")+IMPORTRANGE(""https://docs.google.com/spreadsheets/d/1hh-FVnSX0vozXhGluamEcS54Dw9_zqW0N7qJUWgJ0Sw/edit?usp=sharing"",""ชัยนาท!L698"")+IMPORTRANGE(""https://docs.google.com/spreadsheets/d/1jkqa6GXxSacMcY1eN8AHjMNJ_7dDXMJ"&amp;"VRLDlaFSOdPM/edit?usp=sharing"",""ตราด!L698"")+IMPORTRANGE(""https://docs.google.com/spreadsheets/d/18hSgUJ3VwClqi_qtULmmW3cLr0oe3OKaSYoKzdpTsYQ/edit?usp=sharing"",""นครนายก!L698"")+IMPORTRANGE(""https://docs.google.com/spreadsheets/d/1YTZo6WM2dQ6Ix6FSdnL"&amp;"5P7uVnVKu40sxZu975tgG10E/edit?usp=sharing"",""นครปฐม!L698"")+IMPORTRANGE(""https://docs.google.com/spreadsheets/d/1OYoGg4WDg5RIzwGeB10padOxJF9E_Vljuvvct_M7RDo/edit?usp=sharing"",""ปทุมธานี!L698"")+IMPORTRANGE(""https://docs.google.com/spreadsheets/d/1GbCI"&amp;"E4D4wk9FUozzqk7SxfDMxDVBwVmI5zcaVUSzKAc/edit?usp=sharing"",""ประจวบคีรีขันธ์!L698"")+IMPORTRANGE(""https://docs.google.com/spreadsheets/d/1vVf6wykvW_lAyu7Yo9L4hUTqHqIeP_qcVuxCtosJEbg/edit?usp=sharing"",""ปราจีนบุรี!L698"")+IMPORTRANGE(""https://docs.googl"&amp;"e.com/spreadsheets/d/1BIDqLLg5jk3v59G8NlR8rk5xfQDKne0sAvZHSj7TI6I/edit?usp=sharing"",""พระนครศรีอยุธยา!L698"")+IMPORTRANGE(""https://docs.google.com/spreadsheets/d/1YXvxf8Yu6_rV4hTBrwMqAcAnv6DfhUxh5emyM3CJp_w/edit?usp=sharing"",""เพชรบุรี!L698"")+IMPORTRA"&amp;"NGE(""https://docs.google.com/spreadsheets/d/19KBlQQs7uwvsao6t2n-KvW3Ax8J8uRRfZPq1zPbXgKc/edit?usp=sharing"",""ระยอง!L698"")+IMPORTRANGE(""https://docs.google.com/spreadsheets/d/1jQ6P4QcrGM89YfqcC_PxOHGCMq5ezhucwJd8ci-NHng/edit?usp=sharing"",""ราชบุรี!L69"&amp;"8"")+IMPORTRANGE(""https://docs.google.com/spreadsheets/d/1lufeA2cfFqM-elVq2hznhDzC6Pr7wkJ9ZG_sYNGCMCU/edit?usp=sharing"",""ลพบุรี!L698"")+IMPORTRANGE(""https://docs.google.com/spreadsheets/d/10oOiF7loTyfsTkbd4MpaIm0HQ9SwB7IYHdIUvt-U1Uc/edit?usp=sharing"""&amp;",""สระแก้ว!L698"")+IMPORTRANGE(""https://docs.google.com/spreadsheets/d/1xmPlrr1QbdSIKvl1dWUl9K4PjAfSL9oeMr_37QVzcxc/edit?usp=sharing"",""สระบุรี!L698"")+IMPORTRANGE(""https://docs.google.com/spreadsheets/d/1j51vR6CYVGhABJpv6tkstgok82RLpXieLzW1yOY5rHw/edi"&amp;"t?usp=sharing"",""สิงห์บุรี!L698"")+IMPORTRANGE(""https://docs.google.com/spreadsheets/d/1H1EalTWKUSzO4Z1-1CwzoDUaVffgrThEBe2sl74kKG0/edit?usp=sharing"",""สุพรรณบุรี!L698"")+IMPORTRANGE(""https://docs.google.com/spreadsheets/d/1BmIruG_sIrJLYao_Pdr7zVArWsf"&amp;"oBt2692TMi6x_854/edit?usp=sharing"",""อ่างทอง!L698"")"),0)</f>
        <v>0</v>
      </c>
      <c r="M698" s="77">
        <f ca="1">IFERROR(__xludf.DUMMYFUNCTION("IMPORTRANGE(""https://docs.google.com/spreadsheets/d/13wPX838HrBrQMCywv1BsuMkt4PEKTChp52zj44s2izQ/edit?usp=sharing"",""กาญจนบุรี!M698"")+IMPORTRANGE(""https://docs.google.com/spreadsheets/d/1ddFKvqj1W1NEiWytbGlB1zMx_ykJDVtmfEQ-6-lIUBA/edit?usp=sharing"","&amp;"""จันทบุรี!M698"")+IMPORTRANGE(""https://docs.google.com/spreadsheets/d/1T1PQvRODqOBZk8BRht_U031fIS1beLA0Ub2CEytj2q0/edit?usp=sharing"",""ฉะเชิงเทรา!M698"")+IMPORTRANGE(""https://docs.google.com/spreadsheets/d/11tr1B-Bhyr79v2bkwVh5h_fR-PStkgjlZtkrZpYurG0/"&amp;"edit?usp=sharing"",""ชลบุรี!M698"")+IMPORTRANGE(""https://docs.google.com/spreadsheets/d/1hh-FVnSX0vozXhGluamEcS54Dw9_zqW0N7qJUWgJ0Sw/edit?usp=sharing"",""ชัยนาท!M698"")+IMPORTRANGE(""https://docs.google.com/spreadsheets/d/1jkqa6GXxSacMcY1eN8AHjMNJ_7dDXMJ"&amp;"VRLDlaFSOdPM/edit?usp=sharing"",""ตราด!M698"")+IMPORTRANGE(""https://docs.google.com/spreadsheets/d/18hSgUJ3VwClqi_qtULmmW3cLr0oe3OKaSYoKzdpTsYQ/edit?usp=sharing"",""นครนายก!M698"")+IMPORTRANGE(""https://docs.google.com/spreadsheets/d/1YTZo6WM2dQ6Ix6FSdnL"&amp;"5P7uVnVKu40sxZu975tgG10E/edit?usp=sharing"",""นครปฐม!M698"")+IMPORTRANGE(""https://docs.google.com/spreadsheets/d/1OYoGg4WDg5RIzwGeB10padOxJF9E_Vljuvvct_M7RDo/edit?usp=sharing"",""ปทุมธานี!M698"")+IMPORTRANGE(""https://docs.google.com/spreadsheets/d/1GbCI"&amp;"E4D4wk9FUozzqk7SxfDMxDVBwVmI5zcaVUSzKAc/edit?usp=sharing"",""ประจวบคีรีขันธ์!M698"")+IMPORTRANGE(""https://docs.google.com/spreadsheets/d/1vVf6wykvW_lAyu7Yo9L4hUTqHqIeP_qcVuxCtosJEbg/edit?usp=sharing"",""ปราจีนบุรี!M698"")+IMPORTRANGE(""https://docs.googl"&amp;"e.com/spreadsheets/d/1BIDqLLg5jk3v59G8NlR8rk5xfQDKne0sAvZHSj7TI6I/edit?usp=sharing"",""พระนครศรีอยุธยา!M698"")+IMPORTRANGE(""https://docs.google.com/spreadsheets/d/1YXvxf8Yu6_rV4hTBrwMqAcAnv6DfhUxh5emyM3CJp_w/edit?usp=sharing"",""เพชรบุรี!M698"")+IMPORTRA"&amp;"NGE(""https://docs.google.com/spreadsheets/d/19KBlQQs7uwvsao6t2n-KvW3Ax8J8uRRfZPq1zPbXgKc/edit?usp=sharing"",""ระยอง!M698"")+IMPORTRANGE(""https://docs.google.com/spreadsheets/d/1jQ6P4QcrGM89YfqcC_PxOHGCMq5ezhucwJd8ci-NHng/edit?usp=sharing"",""ราชบุรี!M69"&amp;"8"")+IMPORTRANGE(""https://docs.google.com/spreadsheets/d/1lufeA2cfFqM-elVq2hznhDzC6Pr7wkJ9ZG_sYNGCMCU/edit?usp=sharing"",""ลพบุรี!M698"")+IMPORTRANGE(""https://docs.google.com/spreadsheets/d/10oOiF7loTyfsTkbd4MpaIm0HQ9SwB7IYHdIUvt-U1Uc/edit?usp=sharing"""&amp;",""สระแก้ว!M698"")+IMPORTRANGE(""https://docs.google.com/spreadsheets/d/1xmPlrr1QbdSIKvl1dWUl9K4PjAfSL9oeMr_37QVzcxc/edit?usp=sharing"",""สระบุรี!M698"")+IMPORTRANGE(""https://docs.google.com/spreadsheets/d/1j51vR6CYVGhABJpv6tkstgok82RLpXieLzW1yOY5rHw/edi"&amp;"t?usp=sharing"",""สิงห์บุรี!M698"")+IMPORTRANGE(""https://docs.google.com/spreadsheets/d/1H1EalTWKUSzO4Z1-1CwzoDUaVffgrThEBe2sl74kKG0/edit?usp=sharing"",""สุพรรณบุรี!M698"")+IMPORTRANGE(""https://docs.google.com/spreadsheets/d/1BmIruG_sIrJLYao_Pdr7zVArWsf"&amp;"oBt2692TMi6x_854/edit?usp=sharing"",""อ่างทอง!M698"")"),0)</f>
        <v>0</v>
      </c>
      <c r="N698" s="77">
        <f ca="1">IFERROR(__xludf.DUMMYFUNCTION("IMPORTRANGE(""https://docs.google.com/spreadsheets/d/13wPX838HrBrQMCywv1BsuMkt4PEKTChp52zj44s2izQ/edit?usp=sharing"",""กาญจนบุรี!N698"")+IMPORTRANGE(""https://docs.google.com/spreadsheets/d/1ddFKvqj1W1NEiWytbGlB1zMx_ykJDVtmfEQ-6-lIUBA/edit?usp=sharing"","&amp;"""จันทบุรี!N698"")+IMPORTRANGE(""https://docs.google.com/spreadsheets/d/1T1PQvRODqOBZk8BRht_U031fIS1beLA0Ub2CEytj2q0/edit?usp=sharing"",""ฉะเชิงเทรา!N698"")+IMPORTRANGE(""https://docs.google.com/spreadsheets/d/11tr1B-Bhyr79v2bkwVh5h_fR-PStkgjlZtkrZpYurG0/"&amp;"edit?usp=sharing"",""ชลบุรี!N698"")+IMPORTRANGE(""https://docs.google.com/spreadsheets/d/1hh-FVnSX0vozXhGluamEcS54Dw9_zqW0N7qJUWgJ0Sw/edit?usp=sharing"",""ชัยนาท!N698"")+IMPORTRANGE(""https://docs.google.com/spreadsheets/d/1jkqa6GXxSacMcY1eN8AHjMNJ_7dDXMJ"&amp;"VRLDlaFSOdPM/edit?usp=sharing"",""ตราด!N698"")+IMPORTRANGE(""https://docs.google.com/spreadsheets/d/18hSgUJ3VwClqi_qtULmmW3cLr0oe3OKaSYoKzdpTsYQ/edit?usp=sharing"",""นครนายก!N698"")+IMPORTRANGE(""https://docs.google.com/spreadsheets/d/1YTZo6WM2dQ6Ix6FSdnL"&amp;"5P7uVnVKu40sxZu975tgG10E/edit?usp=sharing"",""นครปฐม!N698"")+IMPORTRANGE(""https://docs.google.com/spreadsheets/d/1OYoGg4WDg5RIzwGeB10padOxJF9E_Vljuvvct_M7RDo/edit?usp=sharing"",""ปทุมธานี!N698"")+IMPORTRANGE(""https://docs.google.com/spreadsheets/d/1GbCI"&amp;"E4D4wk9FUozzqk7SxfDMxDVBwVmI5zcaVUSzKAc/edit?usp=sharing"",""ประจวบคีรีขันธ์!N698"")+IMPORTRANGE(""https://docs.google.com/spreadsheets/d/1vVf6wykvW_lAyu7Yo9L4hUTqHqIeP_qcVuxCtosJEbg/edit?usp=sharing"",""ปราจีนบุรี!N698"")+IMPORTRANGE(""https://docs.googl"&amp;"e.com/spreadsheets/d/1BIDqLLg5jk3v59G8NlR8rk5xfQDKne0sAvZHSj7TI6I/edit?usp=sharing"",""พระนครศรีอยุธยา!N698"")+IMPORTRANGE(""https://docs.google.com/spreadsheets/d/1YXvxf8Yu6_rV4hTBrwMqAcAnv6DfhUxh5emyM3CJp_w/edit?usp=sharing"",""เพชรบุรี!N698"")+IMPORTRA"&amp;"NGE(""https://docs.google.com/spreadsheets/d/19KBlQQs7uwvsao6t2n-KvW3Ax8J8uRRfZPq1zPbXgKc/edit?usp=sharing"",""ระยอง!N698"")+IMPORTRANGE(""https://docs.google.com/spreadsheets/d/1jQ6P4QcrGM89YfqcC_PxOHGCMq5ezhucwJd8ci-NHng/edit?usp=sharing"",""ราชบุรี!N69"&amp;"8"")+IMPORTRANGE(""https://docs.google.com/spreadsheets/d/1lufeA2cfFqM-elVq2hznhDzC6Pr7wkJ9ZG_sYNGCMCU/edit?usp=sharing"",""ลพบุรี!N698"")+IMPORTRANGE(""https://docs.google.com/spreadsheets/d/10oOiF7loTyfsTkbd4MpaIm0HQ9SwB7IYHdIUvt-U1Uc/edit?usp=sharing"""&amp;",""สระแก้ว!N698"")+IMPORTRANGE(""https://docs.google.com/spreadsheets/d/1xmPlrr1QbdSIKvl1dWUl9K4PjAfSL9oeMr_37QVzcxc/edit?usp=sharing"",""สระบุรี!N698"")+IMPORTRANGE(""https://docs.google.com/spreadsheets/d/1j51vR6CYVGhABJpv6tkstgok82RLpXieLzW1yOY5rHw/edi"&amp;"t?usp=sharing"",""สิงห์บุรี!N698"")+IMPORTRANGE(""https://docs.google.com/spreadsheets/d/1H1EalTWKUSzO4Z1-1CwzoDUaVffgrThEBe2sl74kKG0/edit?usp=sharing"",""สุพรรณบุรี!N698"")+IMPORTRANGE(""https://docs.google.com/spreadsheets/d/1BmIruG_sIrJLYao_Pdr7zVArWsf"&amp;"oBt2692TMi6x_854/edit?usp=sharing"",""อ่างทอง!N698"")"),0)</f>
        <v>0</v>
      </c>
      <c r="O698" s="77">
        <f t="shared" ca="1" si="465"/>
        <v>0</v>
      </c>
      <c r="P698" s="77">
        <f t="shared" ca="1" si="466"/>
        <v>0</v>
      </c>
      <c r="Q698" s="76">
        <f ca="1">IFERROR(__xludf.DUMMYFUNCTION("IMPORTRANGE(""https://docs.google.com/spreadsheets/d/13wPX838HrBrQMCywv1BsuMkt4PEKTChp52zj44s2izQ/edit?usp=sharing"",""กาญจนบุรี!Q698"")+IMPORTRANGE(""https://docs.google.com/spreadsheets/d/1ddFKvqj1W1NEiWytbGlB1zMx_ykJDVtmfEQ-6-lIUBA/edit?usp=sharing"","&amp;"""จันทบุรี!Q698"")+IMPORTRANGE(""https://docs.google.com/spreadsheets/d/1T1PQvRODqOBZk8BRht_U031fIS1beLA0Ub2CEytj2q0/edit?usp=sharing"",""ฉะเชิงเทรา!Q698"")+IMPORTRANGE(""https://docs.google.com/spreadsheets/d/11tr1B-Bhyr79v2bkwVh5h_fR-PStkgjlZtkrZpYurG0/"&amp;"edit?usp=sharing"",""ชลบุรี!Q698"")+IMPORTRANGE(""https://docs.google.com/spreadsheets/d/1hh-FVnSX0vozXhGluamEcS54Dw9_zqW0N7qJUWgJ0Sw/edit?usp=sharing"",""ชัยนาท!Q698"")+IMPORTRANGE(""https://docs.google.com/spreadsheets/d/1jkqa6GXxSacMcY1eN8AHjMNJ_7dDXMJ"&amp;"VRLDlaFSOdPM/edit?usp=sharing"",""ตราด!Q698"")+IMPORTRANGE(""https://docs.google.com/spreadsheets/d/18hSgUJ3VwClqi_qtULmmW3cLr0oe3OKaSYoKzdpTsYQ/edit?usp=sharing"",""นครนายก!Q698"")+IMPORTRANGE(""https://docs.google.com/spreadsheets/d/1YTZo6WM2dQ6Ix6FSdnL"&amp;"5P7uVnVKu40sxZu975tgG10E/edit?usp=sharing"",""นครปฐม!Q698"")+IMPORTRANGE(""https://docs.google.com/spreadsheets/d/1OYoGg4WDg5RIzwGeB10padOxJF9E_Vljuvvct_M7RDo/edit?usp=sharing"",""ปทุมธานี!Q698"")+IMPORTRANGE(""https://docs.google.com/spreadsheets/d/1GbCI"&amp;"E4D4wk9FUozzqk7SxfDMxDVBwVmI5zcaVUSzKAc/edit?usp=sharing"",""ประจวบคีรีขันธ์!Q698"")+IMPORTRANGE(""https://docs.google.com/spreadsheets/d/1vVf6wykvW_lAyu7Yo9L4hUTqHqIeP_qcVuxCtosJEbg/edit?usp=sharing"",""ปราจีนบุรี!Q698"")+IMPORTRANGE(""https://docs.googl"&amp;"e.com/spreadsheets/d/1BIDqLLg5jk3v59G8NlR8rk5xfQDKne0sAvZHSj7TI6I/edit?usp=sharing"",""พระนครศรีอยุธยา!Q698"")+IMPORTRANGE(""https://docs.google.com/spreadsheets/d/1YXvxf8Yu6_rV4hTBrwMqAcAnv6DfhUxh5emyM3CJp_w/edit?usp=sharing"",""เพชรบุรี!Q698"")+IMPORTRA"&amp;"NGE(""https://docs.google.com/spreadsheets/d/19KBlQQs7uwvsao6t2n-KvW3Ax8J8uRRfZPq1zPbXgKc/edit?usp=sharing"",""ระยอง!Q698"")+IMPORTRANGE(""https://docs.google.com/spreadsheets/d/1jQ6P4QcrGM89YfqcC_PxOHGCMq5ezhucwJd8ci-NHng/edit?usp=sharing"",""ราชบุรี!Q69"&amp;"8"")+IMPORTRANGE(""https://docs.google.com/spreadsheets/d/1lufeA2cfFqM-elVq2hznhDzC6Pr7wkJ9ZG_sYNGCMCU/edit?usp=sharing"",""ลพบุรี!Q698"")+IMPORTRANGE(""https://docs.google.com/spreadsheets/d/10oOiF7loTyfsTkbd4MpaIm0HQ9SwB7IYHdIUvt-U1Uc/edit?usp=sharing"""&amp;",""สระแก้ว!Q698"")+IMPORTRANGE(""https://docs.google.com/spreadsheets/d/1xmPlrr1QbdSIKvl1dWUl9K4PjAfSL9oeMr_37QVzcxc/edit?usp=sharing"",""สระบุรี!Q698"")+IMPORTRANGE(""https://docs.google.com/spreadsheets/d/1j51vR6CYVGhABJpv6tkstgok82RLpXieLzW1yOY5rHw/edi"&amp;"t?usp=sharing"",""สิงห์บุรี!Q698"")+IMPORTRANGE(""https://docs.google.com/spreadsheets/d/1H1EalTWKUSzO4Z1-1CwzoDUaVffgrThEBe2sl74kKG0/edit?usp=sharing"",""สุพรรณบุรี!Q698"")+IMPORTRANGE(""https://docs.google.com/spreadsheets/d/1BmIruG_sIrJLYao_Pdr7zVArWsf"&amp;"oBt2692TMi6x_854/edit?usp=sharing"",""อ่างทอง!Q698"")"),0)</f>
        <v>0</v>
      </c>
      <c r="R698" s="77">
        <f ca="1">IFERROR(__xludf.DUMMYFUNCTION("IMPORTRANGE(""https://docs.google.com/spreadsheets/d/13wPX838HrBrQMCywv1BsuMkt4PEKTChp52zj44s2izQ/edit?usp=sharing"",""กาญจนบุรี!R698"")+IMPORTRANGE(""https://docs.google.com/spreadsheets/d/1ddFKvqj1W1NEiWytbGlB1zMx_ykJDVtmfEQ-6-lIUBA/edit?usp=sharing"","&amp;"""จันทบุรี!R698"")+IMPORTRANGE(""https://docs.google.com/spreadsheets/d/1T1PQvRODqOBZk8BRht_U031fIS1beLA0Ub2CEytj2q0/edit?usp=sharing"",""ฉะเชิงเทรา!R698"")+IMPORTRANGE(""https://docs.google.com/spreadsheets/d/11tr1B-Bhyr79v2bkwVh5h_fR-PStkgjlZtkrZpYurG0/"&amp;"edit?usp=sharing"",""ชลบุรี!R698"")+IMPORTRANGE(""https://docs.google.com/spreadsheets/d/1hh-FVnSX0vozXhGluamEcS54Dw9_zqW0N7qJUWgJ0Sw/edit?usp=sharing"",""ชัยนาท!R698"")+IMPORTRANGE(""https://docs.google.com/spreadsheets/d/1jkqa6GXxSacMcY1eN8AHjMNJ_7dDXMJ"&amp;"VRLDlaFSOdPM/edit?usp=sharing"",""ตราด!R698"")+IMPORTRANGE(""https://docs.google.com/spreadsheets/d/18hSgUJ3VwClqi_qtULmmW3cLr0oe3OKaSYoKzdpTsYQ/edit?usp=sharing"",""นครนายก!R698"")+IMPORTRANGE(""https://docs.google.com/spreadsheets/d/1YTZo6WM2dQ6Ix6FSdnL"&amp;"5P7uVnVKu40sxZu975tgG10E/edit?usp=sharing"",""นครปฐม!R698"")+IMPORTRANGE(""https://docs.google.com/spreadsheets/d/1OYoGg4WDg5RIzwGeB10padOxJF9E_Vljuvvct_M7RDo/edit?usp=sharing"",""ปทุมธานี!R698"")+IMPORTRANGE(""https://docs.google.com/spreadsheets/d/1GbCI"&amp;"E4D4wk9FUozzqk7SxfDMxDVBwVmI5zcaVUSzKAc/edit?usp=sharing"",""ประจวบคีรีขันธ์!R698"")+IMPORTRANGE(""https://docs.google.com/spreadsheets/d/1vVf6wykvW_lAyu7Yo9L4hUTqHqIeP_qcVuxCtosJEbg/edit?usp=sharing"",""ปราจีนบุรี!R698"")+IMPORTRANGE(""https://docs.googl"&amp;"e.com/spreadsheets/d/1BIDqLLg5jk3v59G8NlR8rk5xfQDKne0sAvZHSj7TI6I/edit?usp=sharing"",""พระนครศรีอยุธยา!R698"")+IMPORTRANGE(""https://docs.google.com/spreadsheets/d/1YXvxf8Yu6_rV4hTBrwMqAcAnv6DfhUxh5emyM3CJp_w/edit?usp=sharing"",""เพชรบุรี!R698"")+IMPORTRA"&amp;"NGE(""https://docs.google.com/spreadsheets/d/19KBlQQs7uwvsao6t2n-KvW3Ax8J8uRRfZPq1zPbXgKc/edit?usp=sharing"",""ระยอง!R698"")+IMPORTRANGE(""https://docs.google.com/spreadsheets/d/1jQ6P4QcrGM89YfqcC_PxOHGCMq5ezhucwJd8ci-NHng/edit?usp=sharing"",""ราชบุรี!R69"&amp;"8"")+IMPORTRANGE(""https://docs.google.com/spreadsheets/d/1lufeA2cfFqM-elVq2hznhDzC6Pr7wkJ9ZG_sYNGCMCU/edit?usp=sharing"",""ลพบุรี!R698"")+IMPORTRANGE(""https://docs.google.com/spreadsheets/d/10oOiF7loTyfsTkbd4MpaIm0HQ9SwB7IYHdIUvt-U1Uc/edit?usp=sharing"""&amp;",""สระแก้ว!R698"")+IMPORTRANGE(""https://docs.google.com/spreadsheets/d/1xmPlrr1QbdSIKvl1dWUl9K4PjAfSL9oeMr_37QVzcxc/edit?usp=sharing"",""สระบุรี!R698"")+IMPORTRANGE(""https://docs.google.com/spreadsheets/d/1j51vR6CYVGhABJpv6tkstgok82RLpXieLzW1yOY5rHw/edi"&amp;"t?usp=sharing"",""สิงห์บุรี!R698"")+IMPORTRANGE(""https://docs.google.com/spreadsheets/d/1H1EalTWKUSzO4Z1-1CwzoDUaVffgrThEBe2sl74kKG0/edit?usp=sharing"",""สุพรรณบุรี!R698"")+IMPORTRANGE(""https://docs.google.com/spreadsheets/d/1BmIruG_sIrJLYao_Pdr7zVArWsf"&amp;"oBt2692TMi6x_854/edit?usp=sharing"",""อ่างทอง!R698"")"),0)</f>
        <v>0</v>
      </c>
      <c r="S698" s="77">
        <f ca="1">IFERROR(__xludf.DUMMYFUNCTION("IMPORTRANGE(""https://docs.google.com/spreadsheets/d/13wPX838HrBrQMCywv1BsuMkt4PEKTChp52zj44s2izQ/edit?usp=sharing"",""กาญจนบุรี!S698"")+IMPORTRANGE(""https://docs.google.com/spreadsheets/d/1ddFKvqj1W1NEiWytbGlB1zMx_ykJDVtmfEQ-6-lIUBA/edit?usp=sharing"","&amp;"""จันทบุรี!S698"")+IMPORTRANGE(""https://docs.google.com/spreadsheets/d/1T1PQvRODqOBZk8BRht_U031fIS1beLA0Ub2CEytj2q0/edit?usp=sharing"",""ฉะเชิงเทรา!S698"")+IMPORTRANGE(""https://docs.google.com/spreadsheets/d/11tr1B-Bhyr79v2bkwVh5h_fR-PStkgjlZtkrZpYurG0/"&amp;"edit?usp=sharing"",""ชลบุรี!S698"")+IMPORTRANGE(""https://docs.google.com/spreadsheets/d/1hh-FVnSX0vozXhGluamEcS54Dw9_zqW0N7qJUWgJ0Sw/edit?usp=sharing"",""ชัยนาท!S698"")+IMPORTRANGE(""https://docs.google.com/spreadsheets/d/1jkqa6GXxSacMcY1eN8AHjMNJ_7dDXMJ"&amp;"VRLDlaFSOdPM/edit?usp=sharing"",""ตราด!S698"")+IMPORTRANGE(""https://docs.google.com/spreadsheets/d/18hSgUJ3VwClqi_qtULmmW3cLr0oe3OKaSYoKzdpTsYQ/edit?usp=sharing"",""นครนายก!S698"")+IMPORTRANGE(""https://docs.google.com/spreadsheets/d/1YTZo6WM2dQ6Ix6FSdnL"&amp;"5P7uVnVKu40sxZu975tgG10E/edit?usp=sharing"",""นครปฐม!S698"")+IMPORTRANGE(""https://docs.google.com/spreadsheets/d/1OYoGg4WDg5RIzwGeB10padOxJF9E_Vljuvvct_M7RDo/edit?usp=sharing"",""ปทุมธานี!S698"")+IMPORTRANGE(""https://docs.google.com/spreadsheets/d/1GbCI"&amp;"E4D4wk9FUozzqk7SxfDMxDVBwVmI5zcaVUSzKAc/edit?usp=sharing"",""ประจวบคีรีขันธ์!S698"")+IMPORTRANGE(""https://docs.google.com/spreadsheets/d/1vVf6wykvW_lAyu7Yo9L4hUTqHqIeP_qcVuxCtosJEbg/edit?usp=sharing"",""ปราจีนบุรี!S698"")+IMPORTRANGE(""https://docs.googl"&amp;"e.com/spreadsheets/d/1BIDqLLg5jk3v59G8NlR8rk5xfQDKne0sAvZHSj7TI6I/edit?usp=sharing"",""พระนครศรีอยุธยา!S698"")+IMPORTRANGE(""https://docs.google.com/spreadsheets/d/1YXvxf8Yu6_rV4hTBrwMqAcAnv6DfhUxh5emyM3CJp_w/edit?usp=sharing"",""เพชรบุรี!S698"")+IMPORTRA"&amp;"NGE(""https://docs.google.com/spreadsheets/d/19KBlQQs7uwvsao6t2n-KvW3Ax8J8uRRfZPq1zPbXgKc/edit?usp=sharing"",""ระยอง!S698"")+IMPORTRANGE(""https://docs.google.com/spreadsheets/d/1jQ6P4QcrGM89YfqcC_PxOHGCMq5ezhucwJd8ci-NHng/edit?usp=sharing"",""ราชบุรี!S69"&amp;"8"")+IMPORTRANGE(""https://docs.google.com/spreadsheets/d/1lufeA2cfFqM-elVq2hznhDzC6Pr7wkJ9ZG_sYNGCMCU/edit?usp=sharing"",""ลพบุรี!S698"")+IMPORTRANGE(""https://docs.google.com/spreadsheets/d/10oOiF7loTyfsTkbd4MpaIm0HQ9SwB7IYHdIUvt-U1Uc/edit?usp=sharing"""&amp;",""สระแก้ว!S698"")+IMPORTRANGE(""https://docs.google.com/spreadsheets/d/1xmPlrr1QbdSIKvl1dWUl9K4PjAfSL9oeMr_37QVzcxc/edit?usp=sharing"",""สระบุรี!S698"")+IMPORTRANGE(""https://docs.google.com/spreadsheets/d/1j51vR6CYVGhABJpv6tkstgok82RLpXieLzW1yOY5rHw/edi"&amp;"t?usp=sharing"",""สิงห์บุรี!S698"")+IMPORTRANGE(""https://docs.google.com/spreadsheets/d/1H1EalTWKUSzO4Z1-1CwzoDUaVffgrThEBe2sl74kKG0/edit?usp=sharing"",""สุพรรณบุรี!S698"")+IMPORTRANGE(""https://docs.google.com/spreadsheets/d/1BmIruG_sIrJLYao_Pdr7zVArWsf"&amp;"oBt2692TMi6x_854/edit?usp=sharing"",""อ่างทอง!S698"")"),0)</f>
        <v>0</v>
      </c>
      <c r="T698" s="135">
        <f t="shared" ca="1" si="468"/>
        <v>0</v>
      </c>
      <c r="U698" s="135">
        <f t="shared" ca="1" si="469"/>
        <v>0</v>
      </c>
    </row>
    <row r="699" spans="1:21" ht="19.5" x14ac:dyDescent="0.3">
      <c r="A699" s="278"/>
      <c r="B699" s="279"/>
      <c r="C699" s="308" t="s">
        <v>18</v>
      </c>
      <c r="D699" s="281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13wPX838HrBrQMCywv1BsuMkt4PEKTChp52zj44s2izQ/edit?usp=sharing"",""กาญจนบุรี!I700"")+IMPORTRANGE(""https://docs.google.com/spreadsheets/d/1ddFKvqj1W1NEiWytbGlB1zMx_ykJDVtmfEQ-6-lIUBA/edit?usp=sharing"","&amp;"""จันทบุรี!I700"")+IMPORTRANGE(""https://docs.google.com/spreadsheets/d/1T1PQvRODqOBZk8BRht_U031fIS1beLA0Ub2CEytj2q0/edit?usp=sharing"",""ฉะเชิงเทรา!I700"")+IMPORTRANGE(""https://docs.google.com/spreadsheets/d/11tr1B-Bhyr79v2bkwVh5h_fR-PStkgjlZtkrZpYurG0/"&amp;"edit?usp=sharing"",""ชลบุรี!I700"")+IMPORTRANGE(""https://docs.google.com/spreadsheets/d/1hh-FVnSX0vozXhGluamEcS54Dw9_zqW0N7qJUWgJ0Sw/edit?usp=sharing"",""ชัยนาท!I700"")+IMPORTRANGE(""https://docs.google.com/spreadsheets/d/1jkqa6GXxSacMcY1eN8AHjMNJ_7dDXMJ"&amp;"VRLDlaFSOdPM/edit?usp=sharing"",""ตราด!I700"")+IMPORTRANGE(""https://docs.google.com/spreadsheets/d/18hSgUJ3VwClqi_qtULmmW3cLr0oe3OKaSYoKzdpTsYQ/edit?usp=sharing"",""นครนายก!I700"")+IMPORTRANGE(""https://docs.google.com/spreadsheets/d/1YTZo6WM2dQ6Ix6FSdnL"&amp;"5P7uVnVKu40sxZu975tgG10E/edit?usp=sharing"",""นครปฐม!I700"")+IMPORTRANGE(""https://docs.google.com/spreadsheets/d/1OYoGg4WDg5RIzwGeB10padOxJF9E_Vljuvvct_M7RDo/edit?usp=sharing"",""ปทุมธานี!I700"")+IMPORTRANGE(""https://docs.google.com/spreadsheets/d/1GbCI"&amp;"E4D4wk9FUozzqk7SxfDMxDVBwVmI5zcaVUSzKAc/edit?usp=sharing"",""ประจวบคีรีขันธ์!I700"")+IMPORTRANGE(""https://docs.google.com/spreadsheets/d/1vVf6wykvW_lAyu7Yo9L4hUTqHqIeP_qcVuxCtosJEbg/edit?usp=sharing"",""ปราจีนบุรี!I700"")+IMPORTRANGE(""https://docs.googl"&amp;"e.com/spreadsheets/d/1BIDqLLg5jk3v59G8NlR8rk5xfQDKne0sAvZHSj7TI6I/edit?usp=sharing"",""พระนครศรีอยุธยา!I700"")+IMPORTRANGE(""https://docs.google.com/spreadsheets/d/1YXvxf8Yu6_rV4hTBrwMqAcAnv6DfhUxh5emyM3CJp_w/edit?usp=sharing"",""เพชรบุรี!I700"")+IMPORTRA"&amp;"NGE(""https://docs.google.com/spreadsheets/d/19KBlQQs7uwvsao6t2n-KvW3Ax8J8uRRfZPq1zPbXgKc/edit?usp=sharing"",""ระยอง!I700"")+IMPORTRANGE(""https://docs.google.com/spreadsheets/d/1jQ6P4QcrGM89YfqcC_PxOHGCMq5ezhucwJd8ci-NHng/edit?usp=sharing"",""ราชบุรี!I70"&amp;"0"")+IMPORTRANGE(""https://docs.google.com/spreadsheets/d/1lufeA2cfFqM-elVq2hznhDzC6Pr7wkJ9ZG_sYNGCMCU/edit?usp=sharing"",""ลพบุรี!I700"")+IMPORTRANGE(""https://docs.google.com/spreadsheets/d/10oOiF7loTyfsTkbd4MpaIm0HQ9SwB7IYHdIUvt-U1Uc/edit?usp=sharing"""&amp;",""สระแก้ว!I700"")+IMPORTRANGE(""https://docs.google.com/spreadsheets/d/1xmPlrr1QbdSIKvl1dWUl9K4PjAfSL9oeMr_37QVzcxc/edit?usp=sharing"",""สระบุรี!I700"")+IMPORTRANGE(""https://docs.google.com/spreadsheets/d/1j51vR6CYVGhABJpv6tkstgok82RLpXieLzW1yOY5rHw/edi"&amp;"t?usp=sharing"",""สิงห์บุรี!I700"")+IMPORTRANGE(""https://docs.google.com/spreadsheets/d/1H1EalTWKUSzO4Z1-1CwzoDUaVffgrThEBe2sl74kKG0/edit?usp=sharing"",""สุพรรณบุรี!I700"")+IMPORTRANGE(""https://docs.google.com/spreadsheets/d/1BmIruG_sIrJLYao_Pdr7zVArWsf"&amp;"oBt2692TMi6x_854/edit?usp=sharing"",""อ่างทอง!I700"")"),4)</f>
        <v>4</v>
      </c>
      <c r="J700" s="296">
        <f ca="1">IFERROR(__xludf.DUMMYFUNCTION("IMPORTRANGE(""https://docs.google.com/spreadsheets/d/13wPX838HrBrQMCywv1BsuMkt4PEKTChp52zj44s2izQ/edit?usp=sharing"",""กาญจนบุรี!J700"")+IMPORTRANGE(""https://docs.google.com/spreadsheets/d/1ddFKvqj1W1NEiWytbGlB1zMx_ykJDVtmfEQ-6-lIUBA/edit?usp=sharing"","&amp;"""จันทบุรี!J700"")+IMPORTRANGE(""https://docs.google.com/spreadsheets/d/1T1PQvRODqOBZk8BRht_U031fIS1beLA0Ub2CEytj2q0/edit?usp=sharing"",""ฉะเชิงเทรา!J700"")+IMPORTRANGE(""https://docs.google.com/spreadsheets/d/11tr1B-Bhyr79v2bkwVh5h_fR-PStkgjlZtkrZpYurG0/"&amp;"edit?usp=sharing"",""ชลบุรี!J700"")+IMPORTRANGE(""https://docs.google.com/spreadsheets/d/1hh-FVnSX0vozXhGluamEcS54Dw9_zqW0N7qJUWgJ0Sw/edit?usp=sharing"",""ชัยนาท!J700"")+IMPORTRANGE(""https://docs.google.com/spreadsheets/d/1jkqa6GXxSacMcY1eN8AHjMNJ_7dDXMJ"&amp;"VRLDlaFSOdPM/edit?usp=sharing"",""ตราด!J700"")+IMPORTRANGE(""https://docs.google.com/spreadsheets/d/18hSgUJ3VwClqi_qtULmmW3cLr0oe3OKaSYoKzdpTsYQ/edit?usp=sharing"",""นครนายก!J700"")+IMPORTRANGE(""https://docs.google.com/spreadsheets/d/1YTZo6WM2dQ6Ix6FSdnL"&amp;"5P7uVnVKu40sxZu975tgG10E/edit?usp=sharing"",""นครปฐม!J700"")+IMPORTRANGE(""https://docs.google.com/spreadsheets/d/1OYoGg4WDg5RIzwGeB10padOxJF9E_Vljuvvct_M7RDo/edit?usp=sharing"",""ปทุมธานี!J700"")+IMPORTRANGE(""https://docs.google.com/spreadsheets/d/1GbCI"&amp;"E4D4wk9FUozzqk7SxfDMxDVBwVmI5zcaVUSzKAc/edit?usp=sharing"",""ประจวบคีรีขันธ์!J700"")+IMPORTRANGE(""https://docs.google.com/spreadsheets/d/1vVf6wykvW_lAyu7Yo9L4hUTqHqIeP_qcVuxCtosJEbg/edit?usp=sharing"",""ปราจีนบุรี!J700"")+IMPORTRANGE(""https://docs.googl"&amp;"e.com/spreadsheets/d/1BIDqLLg5jk3v59G8NlR8rk5xfQDKne0sAvZHSj7TI6I/edit?usp=sharing"",""พระนครศรีอยุธยา!J700"")+IMPORTRANGE(""https://docs.google.com/spreadsheets/d/1YXvxf8Yu6_rV4hTBrwMqAcAnv6DfhUxh5emyM3CJp_w/edit?usp=sharing"",""เพชรบุรี!J700"")+IMPORTRA"&amp;"NGE(""https://docs.google.com/spreadsheets/d/19KBlQQs7uwvsao6t2n-KvW3Ax8J8uRRfZPq1zPbXgKc/edit?usp=sharing"",""ระยอง!J700"")+IMPORTRANGE(""https://docs.google.com/spreadsheets/d/1jQ6P4QcrGM89YfqcC_PxOHGCMq5ezhucwJd8ci-NHng/edit?usp=sharing"",""ราชบุรี!J70"&amp;"0"")+IMPORTRANGE(""https://docs.google.com/spreadsheets/d/1lufeA2cfFqM-elVq2hznhDzC6Pr7wkJ9ZG_sYNGCMCU/edit?usp=sharing"",""ลพบุรี!J700"")+IMPORTRANGE(""https://docs.google.com/spreadsheets/d/10oOiF7loTyfsTkbd4MpaIm0HQ9SwB7IYHdIUvt-U1Uc/edit?usp=sharing"""&amp;",""สระแก้ว!J700"")+IMPORTRANGE(""https://docs.google.com/spreadsheets/d/1xmPlrr1QbdSIKvl1dWUl9K4PjAfSL9oeMr_37QVzcxc/edit?usp=sharing"",""สระบุรี!J700"")+IMPORTRANGE(""https://docs.google.com/spreadsheets/d/1j51vR6CYVGhABJpv6tkstgok82RLpXieLzW1yOY5rHw/edi"&amp;"t?usp=sharing"",""สิงห์บุรี!J700"")+IMPORTRANGE(""https://docs.google.com/spreadsheets/d/1H1EalTWKUSzO4Z1-1CwzoDUaVffgrThEBe2sl74kKG0/edit?usp=sharing"",""สุพรรณบุรี!J700"")+IMPORTRANGE(""https://docs.google.com/spreadsheets/d/1BmIruG_sIrJLYao_Pdr7zVArWsf"&amp;"oBt2692TMi6x_854/edit?usp=sharing"",""อ่างทอง!J700"")"),0)</f>
        <v>0</v>
      </c>
      <c r="K700" s="748">
        <f t="shared" ref="K700:K710" ca="1" si="478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t="shared" ref="I701:J701" ca="1" si="479">I703+I705</f>
        <v>717</v>
      </c>
      <c r="J701" s="603">
        <f t="shared" ca="1" si="479"/>
        <v>92.57</v>
      </c>
      <c r="K701" s="266">
        <f t="shared" ca="1" si="478"/>
        <v>12.910739191073919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49.48</v>
      </c>
      <c r="K702" s="266">
        <f t="shared" si="478"/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13wPX838HrBrQMCywv1BsuMkt4PEKTChp52zj44s2izQ/edit?usp=sharing"",""กาญจนบุรี!I703"")+IMPORTRANGE(""https://docs.google.com/spreadsheets/d/1ddFKvqj1W1NEiWytbGlB1zMx_ykJDVtmfEQ-6-lIUBA/edit?usp=sharing"","&amp;"""จันทบุรี!I703"")+IMPORTRANGE(""https://docs.google.com/spreadsheets/d/1T1PQvRODqOBZk8BRht_U031fIS1beLA0Ub2CEytj2q0/edit?usp=sharing"",""ฉะเชิงเทรา!I703"")+IMPORTRANGE(""https://docs.google.com/spreadsheets/d/11tr1B-Bhyr79v2bkwVh5h_fR-PStkgjlZtkrZpYurG0/"&amp;"edit?usp=sharing"",""ชลบุรี!I703"")+IMPORTRANGE(""https://docs.google.com/spreadsheets/d/1hh-FVnSX0vozXhGluamEcS54Dw9_zqW0N7qJUWgJ0Sw/edit?usp=sharing"",""ชัยนาท!I703"")+IMPORTRANGE(""https://docs.google.com/spreadsheets/d/1jkqa6GXxSacMcY1eN8AHjMNJ_7dDXMJ"&amp;"VRLDlaFSOdPM/edit?usp=sharing"",""ตราด!I703"")+IMPORTRANGE(""https://docs.google.com/spreadsheets/d/18hSgUJ3VwClqi_qtULmmW3cLr0oe3OKaSYoKzdpTsYQ/edit?usp=sharing"",""นครนายก!I703"")+IMPORTRANGE(""https://docs.google.com/spreadsheets/d/1YTZo6WM2dQ6Ix6FSdnL"&amp;"5P7uVnVKu40sxZu975tgG10E/edit?usp=sharing"",""นครปฐม!I703"")+IMPORTRANGE(""https://docs.google.com/spreadsheets/d/1OYoGg4WDg5RIzwGeB10padOxJF9E_Vljuvvct_M7RDo/edit?usp=sharing"",""ปทุมธานี!I703"")+IMPORTRANGE(""https://docs.google.com/spreadsheets/d/1GbCI"&amp;"E4D4wk9FUozzqk7SxfDMxDVBwVmI5zcaVUSzKAc/edit?usp=sharing"",""ประจวบคีรีขันธ์!I703"")+IMPORTRANGE(""https://docs.google.com/spreadsheets/d/1vVf6wykvW_lAyu7Yo9L4hUTqHqIeP_qcVuxCtosJEbg/edit?usp=sharing"",""ปราจีนบุรี!I703"")+IMPORTRANGE(""https://docs.googl"&amp;"e.com/spreadsheets/d/1BIDqLLg5jk3v59G8NlR8rk5xfQDKne0sAvZHSj7TI6I/edit?usp=sharing"",""พระนครศรีอยุธยา!I703"")+IMPORTRANGE(""https://docs.google.com/spreadsheets/d/1YXvxf8Yu6_rV4hTBrwMqAcAnv6DfhUxh5emyM3CJp_w/edit?usp=sharing"",""เพชรบุรี!I703"")+IMPORTRA"&amp;"NGE(""https://docs.google.com/spreadsheets/d/19KBlQQs7uwvsao6t2n-KvW3Ax8J8uRRfZPq1zPbXgKc/edit?usp=sharing"",""ระยอง!I703"")+IMPORTRANGE(""https://docs.google.com/spreadsheets/d/1jQ6P4QcrGM89YfqcC_PxOHGCMq5ezhucwJd8ci-NHng/edit?usp=sharing"",""ราชบุรี!I70"&amp;"3"")+IMPORTRANGE(""https://docs.google.com/spreadsheets/d/1lufeA2cfFqM-elVq2hznhDzC6Pr7wkJ9ZG_sYNGCMCU/edit?usp=sharing"",""ลพบุรี!I703"")+IMPORTRANGE(""https://docs.google.com/spreadsheets/d/10oOiF7loTyfsTkbd4MpaIm0HQ9SwB7IYHdIUvt-U1Uc/edit?usp=sharing"""&amp;",""สระแก้ว!I703"")+IMPORTRANGE(""https://docs.google.com/spreadsheets/d/1xmPlrr1QbdSIKvl1dWUl9K4PjAfSL9oeMr_37QVzcxc/edit?usp=sharing"",""สระบุรี!I703"")+IMPORTRANGE(""https://docs.google.com/spreadsheets/d/1j51vR6CYVGhABJpv6tkstgok82RLpXieLzW1yOY5rHw/edi"&amp;"t?usp=sharing"",""สิงห์บุรี!I703"")+IMPORTRANGE(""https://docs.google.com/spreadsheets/d/1H1EalTWKUSzO4Z1-1CwzoDUaVffgrThEBe2sl74kKG0/edit?usp=sharing"",""สุพรรณบุรี!I703"")+IMPORTRANGE(""https://docs.google.com/spreadsheets/d/1BmIruG_sIrJLYao_Pdr7zVArWsf"&amp;"oBt2692TMi6x_854/edit?usp=sharing"",""อ่างทอง!I703"")"),668)</f>
        <v>668</v>
      </c>
      <c r="J703" s="295">
        <f ca="1">IFERROR(__xludf.DUMMYFUNCTION("IMPORTRANGE(""https://docs.google.com/spreadsheets/d/13wPX838HrBrQMCywv1BsuMkt4PEKTChp52zj44s2izQ/edit?usp=sharing"",""กาญจนบุรี!J703"")+IMPORTRANGE(""https://docs.google.com/spreadsheets/d/1ddFKvqj1W1NEiWytbGlB1zMx_ykJDVtmfEQ-6-lIUBA/edit?usp=sharing"","&amp;"""จันทบุรี!J703"")+IMPORTRANGE(""https://docs.google.com/spreadsheets/d/1T1PQvRODqOBZk8BRht_U031fIS1beLA0Ub2CEytj2q0/edit?usp=sharing"",""ฉะเชิงเทรา!J703"")+IMPORTRANGE(""https://docs.google.com/spreadsheets/d/11tr1B-Bhyr79v2bkwVh5h_fR-PStkgjlZtkrZpYurG0/"&amp;"edit?usp=sharing"",""ชลบุรี!J703"")+IMPORTRANGE(""https://docs.google.com/spreadsheets/d/1hh-FVnSX0vozXhGluamEcS54Dw9_zqW0N7qJUWgJ0Sw/edit?usp=sharing"",""ชัยนาท!J703"")+IMPORTRANGE(""https://docs.google.com/spreadsheets/d/1jkqa6GXxSacMcY1eN8AHjMNJ_7dDXMJ"&amp;"VRLDlaFSOdPM/edit?usp=sharing"",""ตราด!J703"")+IMPORTRANGE(""https://docs.google.com/spreadsheets/d/18hSgUJ3VwClqi_qtULmmW3cLr0oe3OKaSYoKzdpTsYQ/edit?usp=sharing"",""นครนายก!J703"")+IMPORTRANGE(""https://docs.google.com/spreadsheets/d/1YTZo6WM2dQ6Ix6FSdnL"&amp;"5P7uVnVKu40sxZu975tgG10E/edit?usp=sharing"",""นครปฐม!J703"")+IMPORTRANGE(""https://docs.google.com/spreadsheets/d/1OYoGg4WDg5RIzwGeB10padOxJF9E_Vljuvvct_M7RDo/edit?usp=sharing"",""ปทุมธานี!J703"")+IMPORTRANGE(""https://docs.google.com/spreadsheets/d/1GbCI"&amp;"E4D4wk9FUozzqk7SxfDMxDVBwVmI5zcaVUSzKAc/edit?usp=sharing"",""ประจวบคีรีขันธ์!J703"")+IMPORTRANGE(""https://docs.google.com/spreadsheets/d/1vVf6wykvW_lAyu7Yo9L4hUTqHqIeP_qcVuxCtosJEbg/edit?usp=sharing"",""ปราจีนบุรี!J703"")+IMPORTRANGE(""https://docs.googl"&amp;"e.com/spreadsheets/d/1BIDqLLg5jk3v59G8NlR8rk5xfQDKne0sAvZHSj7TI6I/edit?usp=sharing"",""พระนครศรีอยุธยา!J703"")+IMPORTRANGE(""https://docs.google.com/spreadsheets/d/1YXvxf8Yu6_rV4hTBrwMqAcAnv6DfhUxh5emyM3CJp_w/edit?usp=sharing"",""เพชรบุรี!J703"")+IMPORTRA"&amp;"NGE(""https://docs.google.com/spreadsheets/d/19KBlQQs7uwvsao6t2n-KvW3Ax8J8uRRfZPq1zPbXgKc/edit?usp=sharing"",""ระยอง!J703"")+IMPORTRANGE(""https://docs.google.com/spreadsheets/d/1jQ6P4QcrGM89YfqcC_PxOHGCMq5ezhucwJd8ci-NHng/edit?usp=sharing"",""ราชบุรี!J70"&amp;"3"")+IMPORTRANGE(""https://docs.google.com/spreadsheets/d/1lufeA2cfFqM-elVq2hznhDzC6Pr7wkJ9ZG_sYNGCMCU/edit?usp=sharing"",""ลพบุรี!J703"")+IMPORTRANGE(""https://docs.google.com/spreadsheets/d/10oOiF7loTyfsTkbd4MpaIm0HQ9SwB7IYHdIUvt-U1Uc/edit?usp=sharing"""&amp;",""สระแก้ว!J703"")+IMPORTRANGE(""https://docs.google.com/spreadsheets/d/1xmPlrr1QbdSIKvl1dWUl9K4PjAfSL9oeMr_37QVzcxc/edit?usp=sharing"",""สระบุรี!J703"")+IMPORTRANGE(""https://docs.google.com/spreadsheets/d/1j51vR6CYVGhABJpv6tkstgok82RLpXieLzW1yOY5rHw/edi"&amp;"t?usp=sharing"",""สิงห์บุรี!J703"")+IMPORTRANGE(""https://docs.google.com/spreadsheets/d/1H1EalTWKUSzO4Z1-1CwzoDUaVffgrThEBe2sl74kKG0/edit?usp=sharing"",""สุพรรณบุรี!J703"")+IMPORTRANGE(""https://docs.google.com/spreadsheets/d/1BmIruG_sIrJLYao_Pdr7zVArWsf"&amp;"oBt2692TMi6x_854/edit?usp=sharing"",""อ่างทอง!J703"")"),85)</f>
        <v>85</v>
      </c>
      <c r="K703" s="77">
        <f t="shared" ca="1" si="478"/>
        <v>12.724550898203592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13wPX838HrBrQMCywv1BsuMkt4PEKTChp52zj44s2izQ/edit?usp=sharing"",""กาญจนบุรี!J704"")+IMPORTRANGE(""https://docs.google.com/spreadsheets/d/1ddFKvqj1W1NEiWytbGlB1zMx_ykJDVtmfEQ-6-lIUBA/edit?usp=sharing"","&amp;"""จันทบุรี!J704"")+IMPORTRANGE(""https://docs.google.com/spreadsheets/d/1T1PQvRODqOBZk8BRht_U031fIS1beLA0Ub2CEytj2q0/edit?usp=sharing"",""ฉะเชิงเทรา!J704"")+IMPORTRANGE(""https://docs.google.com/spreadsheets/d/11tr1B-Bhyr79v2bkwVh5h_fR-PStkgjlZtkrZpYurG0/"&amp;"edit?usp=sharing"",""ชลบุรี!J704"")+IMPORTRANGE(""https://docs.google.com/spreadsheets/d/1hh-FVnSX0vozXhGluamEcS54Dw9_zqW0N7qJUWgJ0Sw/edit?usp=sharing"",""ชัยนาท!J704"")+IMPORTRANGE(""https://docs.google.com/spreadsheets/d/1jkqa6GXxSacMcY1eN8AHjMNJ_7dDXMJ"&amp;"VRLDlaFSOdPM/edit?usp=sharing"",""ตราด!J704"")+IMPORTRANGE(""https://docs.google.com/spreadsheets/d/18hSgUJ3VwClqi_qtULmmW3cLr0oe3OKaSYoKzdpTsYQ/edit?usp=sharing"",""นครนายก!J704"")+IMPORTRANGE(""https://docs.google.com/spreadsheets/d/1YTZo6WM2dQ6Ix6FSdnL"&amp;"5P7uVnVKu40sxZu975tgG10E/edit?usp=sharing"",""นครปฐม!J704"")+IMPORTRANGE(""https://docs.google.com/spreadsheets/d/1OYoGg4WDg5RIzwGeB10padOxJF9E_Vljuvvct_M7RDo/edit?usp=sharing"",""ปทุมธานี!J704"")+IMPORTRANGE(""https://docs.google.com/spreadsheets/d/1GbCI"&amp;"E4D4wk9FUozzqk7SxfDMxDVBwVmI5zcaVUSzKAc/edit?usp=sharing"",""ประจวบคีรีขันธ์!J704"")+IMPORTRANGE(""https://docs.google.com/spreadsheets/d/1vVf6wykvW_lAyu7Yo9L4hUTqHqIeP_qcVuxCtosJEbg/edit?usp=sharing"",""ปราจีนบุรี!J704"")+IMPORTRANGE(""https://docs.googl"&amp;"e.com/spreadsheets/d/1BIDqLLg5jk3v59G8NlR8rk5xfQDKne0sAvZHSj7TI6I/edit?usp=sharing"",""พระนครศรีอยุธยา!J704"")+IMPORTRANGE(""https://docs.google.com/spreadsheets/d/1YXvxf8Yu6_rV4hTBrwMqAcAnv6DfhUxh5emyM3CJp_w/edit?usp=sharing"",""เพชรบุรี!J704"")+IMPORTRA"&amp;"NGE(""https://docs.google.com/spreadsheets/d/19KBlQQs7uwvsao6t2n-KvW3Ax8J8uRRfZPq1zPbXgKc/edit?usp=sharing"",""ระยอง!J704"")+IMPORTRANGE(""https://docs.google.com/spreadsheets/d/1jQ6P4QcrGM89YfqcC_PxOHGCMq5ezhucwJd8ci-NHng/edit?usp=sharing"",""ราชบุรี!J70"&amp;"4"")+IMPORTRANGE(""https://docs.google.com/spreadsheets/d/1lufeA2cfFqM-elVq2hznhDzC6Pr7wkJ9ZG_sYNGCMCU/edit?usp=sharing"",""ลพบุรี!J704"")+IMPORTRANGE(""https://docs.google.com/spreadsheets/d/10oOiF7loTyfsTkbd4MpaIm0HQ9SwB7IYHdIUvt-U1Uc/edit?usp=sharing"""&amp;",""สระแก้ว!J704"")+IMPORTRANGE(""https://docs.google.com/spreadsheets/d/1xmPlrr1QbdSIKvl1dWUl9K4PjAfSL9oeMr_37QVzcxc/edit?usp=sharing"",""สระบุรี!J704"")+IMPORTRANGE(""https://docs.google.com/spreadsheets/d/1j51vR6CYVGhABJpv6tkstgok82RLpXieLzW1yOY5rHw/edi"&amp;"t?usp=sharing"",""สิงห์บุรี!J704"")+IMPORTRANGE(""https://docs.google.com/spreadsheets/d/1H1EalTWKUSzO4Z1-1CwzoDUaVffgrThEBe2sl74kKG0/edit?usp=sharing"",""สุพรรณบุรี!J704"")+IMPORTRANGE(""https://docs.google.com/spreadsheets/d/1BmIruG_sIrJLYao_Pdr7zVArWsf"&amp;"oBt2692TMi6x_854/edit?usp=sharing"",""อ่างทอง!J704"")"),43.48)</f>
        <v>43.48</v>
      </c>
      <c r="K704" s="77">
        <f t="shared" si="478"/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13wPX838HrBrQMCywv1BsuMkt4PEKTChp52zj44s2izQ/edit?usp=sharing"",""กาญจนบุรี!I705"")+IMPORTRANGE(""https://docs.google.com/spreadsheets/d/1ddFKvqj1W1NEiWytbGlB1zMx_ykJDVtmfEQ-6-lIUBA/edit?usp=sharing"","&amp;"""จันทบุรี!I705"")+IMPORTRANGE(""https://docs.google.com/spreadsheets/d/1T1PQvRODqOBZk8BRht_U031fIS1beLA0Ub2CEytj2q0/edit?usp=sharing"",""ฉะเชิงเทรา!I705"")+IMPORTRANGE(""https://docs.google.com/spreadsheets/d/11tr1B-Bhyr79v2bkwVh5h_fR-PStkgjlZtkrZpYurG0/"&amp;"edit?usp=sharing"",""ชลบุรี!I705"")+IMPORTRANGE(""https://docs.google.com/spreadsheets/d/1hh-FVnSX0vozXhGluamEcS54Dw9_zqW0N7qJUWgJ0Sw/edit?usp=sharing"",""ชัยนาท!I705"")+IMPORTRANGE(""https://docs.google.com/spreadsheets/d/1jkqa6GXxSacMcY1eN8AHjMNJ_7dDXMJ"&amp;"VRLDlaFSOdPM/edit?usp=sharing"",""ตราด!I705"")+IMPORTRANGE(""https://docs.google.com/spreadsheets/d/18hSgUJ3VwClqi_qtULmmW3cLr0oe3OKaSYoKzdpTsYQ/edit?usp=sharing"",""นครนายก!I705"")+IMPORTRANGE(""https://docs.google.com/spreadsheets/d/1YTZo6WM2dQ6Ix6FSdnL"&amp;"5P7uVnVKu40sxZu975tgG10E/edit?usp=sharing"",""นครปฐม!I705"")+IMPORTRANGE(""https://docs.google.com/spreadsheets/d/1OYoGg4WDg5RIzwGeB10padOxJF9E_Vljuvvct_M7RDo/edit?usp=sharing"",""ปทุมธานี!I705"")+IMPORTRANGE(""https://docs.google.com/spreadsheets/d/1GbCI"&amp;"E4D4wk9FUozzqk7SxfDMxDVBwVmI5zcaVUSzKAc/edit?usp=sharing"",""ประจวบคีรีขันธ์!I705"")+IMPORTRANGE(""https://docs.google.com/spreadsheets/d/1vVf6wykvW_lAyu7Yo9L4hUTqHqIeP_qcVuxCtosJEbg/edit?usp=sharing"",""ปราจีนบุรี!I705"")+IMPORTRANGE(""https://docs.googl"&amp;"e.com/spreadsheets/d/1BIDqLLg5jk3v59G8NlR8rk5xfQDKne0sAvZHSj7TI6I/edit?usp=sharing"",""พระนครศรีอยุธยา!I705"")+IMPORTRANGE(""https://docs.google.com/spreadsheets/d/1YXvxf8Yu6_rV4hTBrwMqAcAnv6DfhUxh5emyM3CJp_w/edit?usp=sharing"",""เพชรบุรี!I705"")+IMPORTRA"&amp;"NGE(""https://docs.google.com/spreadsheets/d/19KBlQQs7uwvsao6t2n-KvW3Ax8J8uRRfZPq1zPbXgKc/edit?usp=sharing"",""ระยอง!I705"")+IMPORTRANGE(""https://docs.google.com/spreadsheets/d/1jQ6P4QcrGM89YfqcC_PxOHGCMq5ezhucwJd8ci-NHng/edit?usp=sharing"",""ราชบุรี!I70"&amp;"5"")+IMPORTRANGE(""https://docs.google.com/spreadsheets/d/1lufeA2cfFqM-elVq2hznhDzC6Pr7wkJ9ZG_sYNGCMCU/edit?usp=sharing"",""ลพบุรี!I705"")+IMPORTRANGE(""https://docs.google.com/spreadsheets/d/10oOiF7loTyfsTkbd4MpaIm0HQ9SwB7IYHdIUvt-U1Uc/edit?usp=sharing"""&amp;",""สระแก้ว!I705"")+IMPORTRANGE(""https://docs.google.com/spreadsheets/d/1xmPlrr1QbdSIKvl1dWUl9K4PjAfSL9oeMr_37QVzcxc/edit?usp=sharing"",""สระบุรี!I705"")+IMPORTRANGE(""https://docs.google.com/spreadsheets/d/1j51vR6CYVGhABJpv6tkstgok82RLpXieLzW1yOY5rHw/edi"&amp;"t?usp=sharing"",""สิงห์บุรี!I705"")+IMPORTRANGE(""https://docs.google.com/spreadsheets/d/1H1EalTWKUSzO4Z1-1CwzoDUaVffgrThEBe2sl74kKG0/edit?usp=sharing"",""สุพรรณบุรี!I705"")+IMPORTRANGE(""https://docs.google.com/spreadsheets/d/1BmIruG_sIrJLYao_Pdr7zVArWsf"&amp;"oBt2692TMi6x_854/edit?usp=sharing"",""อ่างทอง!I705"")"),49)</f>
        <v>49</v>
      </c>
      <c r="J705" s="295">
        <f ca="1">IFERROR(__xludf.DUMMYFUNCTION("IMPORTRANGE(""https://docs.google.com/spreadsheets/d/13wPX838HrBrQMCywv1BsuMkt4PEKTChp52zj44s2izQ/edit?usp=sharing"",""กาญจนบุรี!J705"")+IMPORTRANGE(""https://docs.google.com/spreadsheets/d/1ddFKvqj1W1NEiWytbGlB1zMx_ykJDVtmfEQ-6-lIUBA/edit?usp=sharing"","&amp;"""จันทบุรี!J705"")+IMPORTRANGE(""https://docs.google.com/spreadsheets/d/1T1PQvRODqOBZk8BRht_U031fIS1beLA0Ub2CEytj2q0/edit?usp=sharing"",""ฉะเชิงเทรา!J705"")+IMPORTRANGE(""https://docs.google.com/spreadsheets/d/11tr1B-Bhyr79v2bkwVh5h_fR-PStkgjlZtkrZpYurG0/"&amp;"edit?usp=sharing"",""ชลบุรี!J705"")+IMPORTRANGE(""https://docs.google.com/spreadsheets/d/1hh-FVnSX0vozXhGluamEcS54Dw9_zqW0N7qJUWgJ0Sw/edit?usp=sharing"",""ชัยนาท!J705"")+IMPORTRANGE(""https://docs.google.com/spreadsheets/d/1jkqa6GXxSacMcY1eN8AHjMNJ_7dDXMJ"&amp;"VRLDlaFSOdPM/edit?usp=sharing"",""ตราด!J705"")+IMPORTRANGE(""https://docs.google.com/spreadsheets/d/18hSgUJ3VwClqi_qtULmmW3cLr0oe3OKaSYoKzdpTsYQ/edit?usp=sharing"",""นครนายก!J705"")+IMPORTRANGE(""https://docs.google.com/spreadsheets/d/1YTZo6WM2dQ6Ix6FSdnL"&amp;"5P7uVnVKu40sxZu975tgG10E/edit?usp=sharing"",""นครปฐม!J705"")+IMPORTRANGE(""https://docs.google.com/spreadsheets/d/1OYoGg4WDg5RIzwGeB10padOxJF9E_Vljuvvct_M7RDo/edit?usp=sharing"",""ปทุมธานี!J705"")+IMPORTRANGE(""https://docs.google.com/spreadsheets/d/1GbCI"&amp;"E4D4wk9FUozzqk7SxfDMxDVBwVmI5zcaVUSzKAc/edit?usp=sharing"",""ประจวบคีรีขันธ์!J705"")+IMPORTRANGE(""https://docs.google.com/spreadsheets/d/1vVf6wykvW_lAyu7Yo9L4hUTqHqIeP_qcVuxCtosJEbg/edit?usp=sharing"",""ปราจีนบุรี!J705"")+IMPORTRANGE(""https://docs.googl"&amp;"e.com/spreadsheets/d/1BIDqLLg5jk3v59G8NlR8rk5xfQDKne0sAvZHSj7TI6I/edit?usp=sharing"",""พระนครศรีอยุธยา!J705"")+IMPORTRANGE(""https://docs.google.com/spreadsheets/d/1YXvxf8Yu6_rV4hTBrwMqAcAnv6DfhUxh5emyM3CJp_w/edit?usp=sharing"",""เพชรบุรี!J705"")+IMPORTRA"&amp;"NGE(""https://docs.google.com/spreadsheets/d/19KBlQQs7uwvsao6t2n-KvW3Ax8J8uRRfZPq1zPbXgKc/edit?usp=sharing"",""ระยอง!J705"")+IMPORTRANGE(""https://docs.google.com/spreadsheets/d/1jQ6P4QcrGM89YfqcC_PxOHGCMq5ezhucwJd8ci-NHng/edit?usp=sharing"",""ราชบุรี!J70"&amp;"5"")+IMPORTRANGE(""https://docs.google.com/spreadsheets/d/1lufeA2cfFqM-elVq2hznhDzC6Pr7wkJ9ZG_sYNGCMCU/edit?usp=sharing"",""ลพบุรี!J705"")+IMPORTRANGE(""https://docs.google.com/spreadsheets/d/10oOiF7loTyfsTkbd4MpaIm0HQ9SwB7IYHdIUvt-U1Uc/edit?usp=sharing"""&amp;",""สระแก้ว!J705"")+IMPORTRANGE(""https://docs.google.com/spreadsheets/d/1xmPlrr1QbdSIKvl1dWUl9K4PjAfSL9oeMr_37QVzcxc/edit?usp=sharing"",""สระบุรี!J705"")+IMPORTRANGE(""https://docs.google.com/spreadsheets/d/1j51vR6CYVGhABJpv6tkstgok82RLpXieLzW1yOY5rHw/edi"&amp;"t?usp=sharing"",""สิงห์บุรี!J705"")+IMPORTRANGE(""https://docs.google.com/spreadsheets/d/1H1EalTWKUSzO4Z1-1CwzoDUaVffgrThEBe2sl74kKG0/edit?usp=sharing"",""สุพรรณบุรี!J705"")+IMPORTRANGE(""https://docs.google.com/spreadsheets/d/1BmIruG_sIrJLYao_Pdr7zVArWsf"&amp;"oBt2692TMi6x_854/edit?usp=sharing"",""อ่างทอง!J705"")"),7.57)</f>
        <v>7.57</v>
      </c>
      <c r="K705" s="748">
        <f t="shared" ca="1" si="478"/>
        <v>15.448979591836734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13wPX838HrBrQMCywv1BsuMkt4PEKTChp52zj44s2izQ/edit?usp=sharing"",""กาญจนบุรี!J706"")+IMPORTRANGE(""https://docs.google.com/spreadsheets/d/1ddFKvqj1W1NEiWytbGlB1zMx_ykJDVtmfEQ-6-lIUBA/edit?usp=sharing"","&amp;"""จันทบุรี!J706"")+IMPORTRANGE(""https://docs.google.com/spreadsheets/d/1T1PQvRODqOBZk8BRht_U031fIS1beLA0Ub2CEytj2q0/edit?usp=sharing"",""ฉะเชิงเทรา!J706"")+IMPORTRANGE(""https://docs.google.com/spreadsheets/d/11tr1B-Bhyr79v2bkwVh5h_fR-PStkgjlZtkrZpYurG0/"&amp;"edit?usp=sharing"",""ชลบุรี!J706"")+IMPORTRANGE(""https://docs.google.com/spreadsheets/d/1hh-FVnSX0vozXhGluamEcS54Dw9_zqW0N7qJUWgJ0Sw/edit?usp=sharing"",""ชัยนาท!J706"")+IMPORTRANGE(""https://docs.google.com/spreadsheets/d/1jkqa6GXxSacMcY1eN8AHjMNJ_7dDXMJ"&amp;"VRLDlaFSOdPM/edit?usp=sharing"",""ตราด!J706"")+IMPORTRANGE(""https://docs.google.com/spreadsheets/d/18hSgUJ3VwClqi_qtULmmW3cLr0oe3OKaSYoKzdpTsYQ/edit?usp=sharing"",""นครนายก!J706"")+IMPORTRANGE(""https://docs.google.com/spreadsheets/d/1YTZo6WM2dQ6Ix6FSdnL"&amp;"5P7uVnVKu40sxZu975tgG10E/edit?usp=sharing"",""นครปฐม!J706"")+IMPORTRANGE(""https://docs.google.com/spreadsheets/d/1OYoGg4WDg5RIzwGeB10padOxJF9E_Vljuvvct_M7RDo/edit?usp=sharing"",""ปทุมธานี!J706"")+IMPORTRANGE(""https://docs.google.com/spreadsheets/d/1GbCI"&amp;"E4D4wk9FUozzqk7SxfDMxDVBwVmI5zcaVUSzKAc/edit?usp=sharing"",""ประจวบคีรีขันธ์!J706"")+IMPORTRANGE(""https://docs.google.com/spreadsheets/d/1vVf6wykvW_lAyu7Yo9L4hUTqHqIeP_qcVuxCtosJEbg/edit?usp=sharing"",""ปราจีนบุรี!J706"")+IMPORTRANGE(""https://docs.googl"&amp;"e.com/spreadsheets/d/1BIDqLLg5jk3v59G8NlR8rk5xfQDKne0sAvZHSj7TI6I/edit?usp=sharing"",""พระนครศรีอยุธยา!J706"")+IMPORTRANGE(""https://docs.google.com/spreadsheets/d/1YXvxf8Yu6_rV4hTBrwMqAcAnv6DfhUxh5emyM3CJp_w/edit?usp=sharing"",""เพชรบุรี!J706"")+IMPORTRA"&amp;"NGE(""https://docs.google.com/spreadsheets/d/19KBlQQs7uwvsao6t2n-KvW3Ax8J8uRRfZPq1zPbXgKc/edit?usp=sharing"",""ระยอง!J706"")+IMPORTRANGE(""https://docs.google.com/spreadsheets/d/1jQ6P4QcrGM89YfqcC_PxOHGCMq5ezhucwJd8ci-NHng/edit?usp=sharing"",""ราชบุรี!J70"&amp;"6"")+IMPORTRANGE(""https://docs.google.com/spreadsheets/d/1lufeA2cfFqM-elVq2hznhDzC6Pr7wkJ9ZG_sYNGCMCU/edit?usp=sharing"",""ลพบุรี!J706"")+IMPORTRANGE(""https://docs.google.com/spreadsheets/d/10oOiF7loTyfsTkbd4MpaIm0HQ9SwB7IYHdIUvt-U1Uc/edit?usp=sharing"""&amp;",""สระแก้ว!J706"")+IMPORTRANGE(""https://docs.google.com/spreadsheets/d/1xmPlrr1QbdSIKvl1dWUl9K4PjAfSL9oeMr_37QVzcxc/edit?usp=sharing"",""สระบุรี!J706"")+IMPORTRANGE(""https://docs.google.com/spreadsheets/d/1j51vR6CYVGhABJpv6tkstgok82RLpXieLzW1yOY5rHw/edi"&amp;"t?usp=sharing"",""สิงห์บุรี!J706"")+IMPORTRANGE(""https://docs.google.com/spreadsheets/d/1H1EalTWKUSzO4Z1-1CwzoDUaVffgrThEBe2sl74kKG0/edit?usp=sharing"",""สุพรรณบุรี!J706"")+IMPORTRANGE(""https://docs.google.com/spreadsheets/d/1BmIruG_sIrJLYao_Pdr7zVArWsf"&amp;"oBt2692TMi6x_854/edit?usp=sharing"",""อ่างทอง!J706"")"),6)</f>
        <v>6</v>
      </c>
      <c r="K706" s="77">
        <f t="shared" si="478"/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13wPX838HrBrQMCywv1BsuMkt4PEKTChp52zj44s2izQ/edit?usp=sharing"",""กาญจนบุรี!I707"")+IMPORTRANGE(""https://docs.google.com/spreadsheets/d/1ddFKvqj1W1NEiWytbGlB1zMx_ykJDVtmfEQ-6-lIUBA/edit?usp=sharing"","&amp;"""จันทบุรี!I707"")+IMPORTRANGE(""https://docs.google.com/spreadsheets/d/1T1PQvRODqOBZk8BRht_U031fIS1beLA0Ub2CEytj2q0/edit?usp=sharing"",""ฉะเชิงเทรา!I707"")+IMPORTRANGE(""https://docs.google.com/spreadsheets/d/11tr1B-Bhyr79v2bkwVh5h_fR-PStkgjlZtkrZpYurG0/"&amp;"edit?usp=sharing"",""ชลบุรี!I707"")+IMPORTRANGE(""https://docs.google.com/spreadsheets/d/1hh-FVnSX0vozXhGluamEcS54Dw9_zqW0N7qJUWgJ0Sw/edit?usp=sharing"",""ชัยนาท!I707"")+IMPORTRANGE(""https://docs.google.com/spreadsheets/d/1jkqa6GXxSacMcY1eN8AHjMNJ_7dDXMJ"&amp;"VRLDlaFSOdPM/edit?usp=sharing"",""ตราด!I707"")+IMPORTRANGE(""https://docs.google.com/spreadsheets/d/18hSgUJ3VwClqi_qtULmmW3cLr0oe3OKaSYoKzdpTsYQ/edit?usp=sharing"",""นครนายก!I707"")+IMPORTRANGE(""https://docs.google.com/spreadsheets/d/1YTZo6WM2dQ6Ix6FSdnL"&amp;"5P7uVnVKu40sxZu975tgG10E/edit?usp=sharing"",""นครปฐม!I707"")+IMPORTRANGE(""https://docs.google.com/spreadsheets/d/1OYoGg4WDg5RIzwGeB10padOxJF9E_Vljuvvct_M7RDo/edit?usp=sharing"",""ปทุมธานี!I707"")+IMPORTRANGE(""https://docs.google.com/spreadsheets/d/1GbCI"&amp;"E4D4wk9FUozzqk7SxfDMxDVBwVmI5zcaVUSzKAc/edit?usp=sharing"",""ประจวบคีรีขันธ์!I707"")+IMPORTRANGE(""https://docs.google.com/spreadsheets/d/1vVf6wykvW_lAyu7Yo9L4hUTqHqIeP_qcVuxCtosJEbg/edit?usp=sharing"",""ปราจีนบุรี!I707"")+IMPORTRANGE(""https://docs.googl"&amp;"e.com/spreadsheets/d/1BIDqLLg5jk3v59G8NlR8rk5xfQDKne0sAvZHSj7TI6I/edit?usp=sharing"",""พระนครศรีอยุธยา!I707"")+IMPORTRANGE(""https://docs.google.com/spreadsheets/d/1YXvxf8Yu6_rV4hTBrwMqAcAnv6DfhUxh5emyM3CJp_w/edit?usp=sharing"",""เพชรบุรี!I707"")+IMPORTRA"&amp;"NGE(""https://docs.google.com/spreadsheets/d/19KBlQQs7uwvsao6t2n-KvW3Ax8J8uRRfZPq1zPbXgKc/edit?usp=sharing"",""ระยอง!I707"")+IMPORTRANGE(""https://docs.google.com/spreadsheets/d/1jQ6P4QcrGM89YfqcC_PxOHGCMq5ezhucwJd8ci-NHng/edit?usp=sharing"",""ราชบุรี!I70"&amp;"7"")+IMPORTRANGE(""https://docs.google.com/spreadsheets/d/1lufeA2cfFqM-elVq2hznhDzC6Pr7wkJ9ZG_sYNGCMCU/edit?usp=sharing"",""ลพบุรี!I707"")+IMPORTRANGE(""https://docs.google.com/spreadsheets/d/10oOiF7loTyfsTkbd4MpaIm0HQ9SwB7IYHdIUvt-U1Uc/edit?usp=sharing"""&amp;",""สระแก้ว!I707"")+IMPORTRANGE(""https://docs.google.com/spreadsheets/d/1xmPlrr1QbdSIKvl1dWUl9K4PjAfSL9oeMr_37QVzcxc/edit?usp=sharing"",""สระบุรี!I707"")+IMPORTRANGE(""https://docs.google.com/spreadsheets/d/1j51vR6CYVGhABJpv6tkstgok82RLpXieLzW1yOY5rHw/edi"&amp;"t?usp=sharing"",""สิงห์บุรี!I707"")+IMPORTRANGE(""https://docs.google.com/spreadsheets/d/1H1EalTWKUSzO4Z1-1CwzoDUaVffgrThEBe2sl74kKG0/edit?usp=sharing"",""สุพรรณบุรี!I707"")+IMPORTRANGE(""https://docs.google.com/spreadsheets/d/1BmIruG_sIrJLYao_Pdr7zVArWsf"&amp;"oBt2692TMi6x_854/edit?usp=sharing"",""อ่างทอง!I707"")"),668)</f>
        <v>668</v>
      </c>
      <c r="J707" s="295">
        <f ca="1">IFERROR(__xludf.DUMMYFUNCTION("IMPORTRANGE(""https://docs.google.com/spreadsheets/d/13wPX838HrBrQMCywv1BsuMkt4PEKTChp52zj44s2izQ/edit?usp=sharing"",""กาญจนบุรี!J707"")+IMPORTRANGE(""https://docs.google.com/spreadsheets/d/1ddFKvqj1W1NEiWytbGlB1zMx_ykJDVtmfEQ-6-lIUBA/edit?usp=sharing"","&amp;"""จันทบุรี!J707"")+IMPORTRANGE(""https://docs.google.com/spreadsheets/d/1T1PQvRODqOBZk8BRht_U031fIS1beLA0Ub2CEytj2q0/edit?usp=sharing"",""ฉะเชิงเทรา!J707"")+IMPORTRANGE(""https://docs.google.com/spreadsheets/d/11tr1B-Bhyr79v2bkwVh5h_fR-PStkgjlZtkrZpYurG0/"&amp;"edit?usp=sharing"",""ชลบุรี!J707"")+IMPORTRANGE(""https://docs.google.com/spreadsheets/d/1hh-FVnSX0vozXhGluamEcS54Dw9_zqW0N7qJUWgJ0Sw/edit?usp=sharing"",""ชัยนาท!J707"")+IMPORTRANGE(""https://docs.google.com/spreadsheets/d/1jkqa6GXxSacMcY1eN8AHjMNJ_7dDXMJ"&amp;"VRLDlaFSOdPM/edit?usp=sharing"",""ตราด!J707"")+IMPORTRANGE(""https://docs.google.com/spreadsheets/d/18hSgUJ3VwClqi_qtULmmW3cLr0oe3OKaSYoKzdpTsYQ/edit?usp=sharing"",""นครนายก!J707"")+IMPORTRANGE(""https://docs.google.com/spreadsheets/d/1YTZo6WM2dQ6Ix6FSdnL"&amp;"5P7uVnVKu40sxZu975tgG10E/edit?usp=sharing"",""นครปฐม!J707"")+IMPORTRANGE(""https://docs.google.com/spreadsheets/d/1OYoGg4WDg5RIzwGeB10padOxJF9E_Vljuvvct_M7RDo/edit?usp=sharing"",""ปทุมธานี!J707"")+IMPORTRANGE(""https://docs.google.com/spreadsheets/d/1GbCI"&amp;"E4D4wk9FUozzqk7SxfDMxDVBwVmI5zcaVUSzKAc/edit?usp=sharing"",""ประจวบคีรีขันธ์!J707"")+IMPORTRANGE(""https://docs.google.com/spreadsheets/d/1vVf6wykvW_lAyu7Yo9L4hUTqHqIeP_qcVuxCtosJEbg/edit?usp=sharing"",""ปราจีนบุรี!J707"")+IMPORTRANGE(""https://docs.googl"&amp;"e.com/spreadsheets/d/1BIDqLLg5jk3v59G8NlR8rk5xfQDKne0sAvZHSj7TI6I/edit?usp=sharing"",""พระนครศรีอยุธยา!J707"")+IMPORTRANGE(""https://docs.google.com/spreadsheets/d/1YXvxf8Yu6_rV4hTBrwMqAcAnv6DfhUxh5emyM3CJp_w/edit?usp=sharing"",""เพชรบุรี!J707"")+IMPORTRA"&amp;"NGE(""https://docs.google.com/spreadsheets/d/19KBlQQs7uwvsao6t2n-KvW3Ax8J8uRRfZPq1zPbXgKc/edit?usp=sharing"",""ระยอง!J707"")+IMPORTRANGE(""https://docs.google.com/spreadsheets/d/1jQ6P4QcrGM89YfqcC_PxOHGCMq5ezhucwJd8ci-NHng/edit?usp=sharing"",""ราชบุรี!J70"&amp;"7"")+IMPORTRANGE(""https://docs.google.com/spreadsheets/d/1lufeA2cfFqM-elVq2hznhDzC6Pr7wkJ9ZG_sYNGCMCU/edit?usp=sharing"",""ลพบุรี!J707"")+IMPORTRANGE(""https://docs.google.com/spreadsheets/d/10oOiF7loTyfsTkbd4MpaIm0HQ9SwB7IYHdIUvt-U1Uc/edit?usp=sharing"""&amp;",""สระแก้ว!J707"")+IMPORTRANGE(""https://docs.google.com/spreadsheets/d/1xmPlrr1QbdSIKvl1dWUl9K4PjAfSL9oeMr_37QVzcxc/edit?usp=sharing"",""สระบุรี!J707"")+IMPORTRANGE(""https://docs.google.com/spreadsheets/d/1j51vR6CYVGhABJpv6tkstgok82RLpXieLzW1yOY5rHw/edi"&amp;"t?usp=sharing"",""สิงห์บุรี!J707"")+IMPORTRANGE(""https://docs.google.com/spreadsheets/d/1H1EalTWKUSzO4Z1-1CwzoDUaVffgrThEBe2sl74kKG0/edit?usp=sharing"",""สุพรรณบุรี!J707"")+IMPORTRANGE(""https://docs.google.com/spreadsheets/d/1BmIruG_sIrJLYao_Pdr7zVArWsf"&amp;"oBt2692TMi6x_854/edit?usp=sharing"",""อ่างทอง!J707"")"),56)</f>
        <v>56</v>
      </c>
      <c r="K707" s="77">
        <f t="shared" ca="1" si="478"/>
        <v>8.3832335329341312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13wPX838HrBrQMCywv1BsuMkt4PEKTChp52zj44s2izQ/edit?usp=sharing"",""กาญจนบุรี!J708"")+IMPORTRANGE(""https://docs.google.com/spreadsheets/d/1ddFKvqj1W1NEiWytbGlB1zMx_ykJDVtmfEQ-6-lIUBA/edit?usp=sharing"","&amp;"""จันทบุรี!J708"")+IMPORTRANGE(""https://docs.google.com/spreadsheets/d/1T1PQvRODqOBZk8BRht_U031fIS1beLA0Ub2CEytj2q0/edit?usp=sharing"",""ฉะเชิงเทรา!J708"")+IMPORTRANGE(""https://docs.google.com/spreadsheets/d/11tr1B-Bhyr79v2bkwVh5h_fR-PStkgjlZtkrZpYurG0/"&amp;"edit?usp=sharing"",""ชลบุรี!J708"")+IMPORTRANGE(""https://docs.google.com/spreadsheets/d/1hh-FVnSX0vozXhGluamEcS54Dw9_zqW0N7qJUWgJ0Sw/edit?usp=sharing"",""ชัยนาท!J708"")+IMPORTRANGE(""https://docs.google.com/spreadsheets/d/1jkqa6GXxSacMcY1eN8AHjMNJ_7dDXMJ"&amp;"VRLDlaFSOdPM/edit?usp=sharing"",""ตราด!J708"")+IMPORTRANGE(""https://docs.google.com/spreadsheets/d/18hSgUJ3VwClqi_qtULmmW3cLr0oe3OKaSYoKzdpTsYQ/edit?usp=sharing"",""นครนายก!J708"")+IMPORTRANGE(""https://docs.google.com/spreadsheets/d/1YTZo6WM2dQ6Ix6FSdnL"&amp;"5P7uVnVKu40sxZu975tgG10E/edit?usp=sharing"",""นครปฐม!J708"")+IMPORTRANGE(""https://docs.google.com/spreadsheets/d/1OYoGg4WDg5RIzwGeB10padOxJF9E_Vljuvvct_M7RDo/edit?usp=sharing"",""ปทุมธานี!J708"")+IMPORTRANGE(""https://docs.google.com/spreadsheets/d/1GbCI"&amp;"E4D4wk9FUozzqk7SxfDMxDVBwVmI5zcaVUSzKAc/edit?usp=sharing"",""ประจวบคีรีขันธ์!J708"")+IMPORTRANGE(""https://docs.google.com/spreadsheets/d/1vVf6wykvW_lAyu7Yo9L4hUTqHqIeP_qcVuxCtosJEbg/edit?usp=sharing"",""ปราจีนบุรี!J708"")+IMPORTRANGE(""https://docs.googl"&amp;"e.com/spreadsheets/d/1BIDqLLg5jk3v59G8NlR8rk5xfQDKne0sAvZHSj7TI6I/edit?usp=sharing"",""พระนครศรีอยุธยา!J708"")+IMPORTRANGE(""https://docs.google.com/spreadsheets/d/1YXvxf8Yu6_rV4hTBrwMqAcAnv6DfhUxh5emyM3CJp_w/edit?usp=sharing"",""เพชรบุรี!J708"")+IMPORTRA"&amp;"NGE(""https://docs.google.com/spreadsheets/d/19KBlQQs7uwvsao6t2n-KvW3Ax8J8uRRfZPq1zPbXgKc/edit?usp=sharing"",""ระยอง!J708"")+IMPORTRANGE(""https://docs.google.com/spreadsheets/d/1jQ6P4QcrGM89YfqcC_PxOHGCMq5ezhucwJd8ci-NHng/edit?usp=sharing"",""ราชบุรี!J70"&amp;"8"")+IMPORTRANGE(""https://docs.google.com/spreadsheets/d/1lufeA2cfFqM-elVq2hznhDzC6Pr7wkJ9ZG_sYNGCMCU/edit?usp=sharing"",""ลพบุรี!J708"")+IMPORTRANGE(""https://docs.google.com/spreadsheets/d/10oOiF7loTyfsTkbd4MpaIm0HQ9SwB7IYHdIUvt-U1Uc/edit?usp=sharing"""&amp;",""สระแก้ว!J708"")+IMPORTRANGE(""https://docs.google.com/spreadsheets/d/1xmPlrr1QbdSIKvl1dWUl9K4PjAfSL9oeMr_37QVzcxc/edit?usp=sharing"",""สระบุรี!J708"")+IMPORTRANGE(""https://docs.google.com/spreadsheets/d/1j51vR6CYVGhABJpv6tkstgok82RLpXieLzW1yOY5rHw/edi"&amp;"t?usp=sharing"",""สิงห์บุรี!J708"")+IMPORTRANGE(""https://docs.google.com/spreadsheets/d/1H1EalTWKUSzO4Z1-1CwzoDUaVffgrThEBe2sl74kKG0/edit?usp=sharing"",""สุพรรณบุรี!J708"")+IMPORTRANGE(""https://docs.google.com/spreadsheets/d/1BmIruG_sIrJLYao_Pdr7zVArWsf"&amp;"oBt2692TMi6x_854/edit?usp=sharing"",""อ่างทอง!J708"")"),16.3)</f>
        <v>16.3</v>
      </c>
      <c r="K708" s="77">
        <f t="shared" si="478"/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13wPX838HrBrQMCywv1BsuMkt4PEKTChp52zj44s2izQ/edit?usp=sharing"",""กาญจนบุรี!I709"")+IMPORTRANGE(""https://docs.google.com/spreadsheets/d/1ddFKvqj1W1NEiWytbGlB1zMx_ykJDVtmfEQ-6-lIUBA/edit?usp=sharing"","&amp;"""จันทบุรี!I709"")+IMPORTRANGE(""https://docs.google.com/spreadsheets/d/1T1PQvRODqOBZk8BRht_U031fIS1beLA0Ub2CEytj2q0/edit?usp=sharing"",""ฉะเชิงเทรา!I709"")+IMPORTRANGE(""https://docs.google.com/spreadsheets/d/11tr1B-Bhyr79v2bkwVh5h_fR-PStkgjlZtkrZpYurG0/"&amp;"edit?usp=sharing"",""ชลบุรี!I709"")+IMPORTRANGE(""https://docs.google.com/spreadsheets/d/1hh-FVnSX0vozXhGluamEcS54Dw9_zqW0N7qJUWgJ0Sw/edit?usp=sharing"",""ชัยนาท!I709"")+IMPORTRANGE(""https://docs.google.com/spreadsheets/d/1jkqa6GXxSacMcY1eN8AHjMNJ_7dDXMJ"&amp;"VRLDlaFSOdPM/edit?usp=sharing"",""ตราด!I709"")+IMPORTRANGE(""https://docs.google.com/spreadsheets/d/18hSgUJ3VwClqi_qtULmmW3cLr0oe3OKaSYoKzdpTsYQ/edit?usp=sharing"",""นครนายก!I709"")+IMPORTRANGE(""https://docs.google.com/spreadsheets/d/1YTZo6WM2dQ6Ix6FSdnL"&amp;"5P7uVnVKu40sxZu975tgG10E/edit?usp=sharing"",""นครปฐม!I709"")+IMPORTRANGE(""https://docs.google.com/spreadsheets/d/1OYoGg4WDg5RIzwGeB10padOxJF9E_Vljuvvct_M7RDo/edit?usp=sharing"",""ปทุมธานี!I709"")+IMPORTRANGE(""https://docs.google.com/spreadsheets/d/1GbCI"&amp;"E4D4wk9FUozzqk7SxfDMxDVBwVmI5zcaVUSzKAc/edit?usp=sharing"",""ประจวบคีรีขันธ์!I709"")+IMPORTRANGE(""https://docs.google.com/spreadsheets/d/1vVf6wykvW_lAyu7Yo9L4hUTqHqIeP_qcVuxCtosJEbg/edit?usp=sharing"",""ปราจีนบุรี!I709"")+IMPORTRANGE(""https://docs.googl"&amp;"e.com/spreadsheets/d/1BIDqLLg5jk3v59G8NlR8rk5xfQDKne0sAvZHSj7TI6I/edit?usp=sharing"",""พระนครศรีอยุธยา!I709"")+IMPORTRANGE(""https://docs.google.com/spreadsheets/d/1YXvxf8Yu6_rV4hTBrwMqAcAnv6DfhUxh5emyM3CJp_w/edit?usp=sharing"",""เพชรบุรี!I709"")+IMPORTRA"&amp;"NGE(""https://docs.google.com/spreadsheets/d/19KBlQQs7uwvsao6t2n-KvW3Ax8J8uRRfZPq1zPbXgKc/edit?usp=sharing"",""ระยอง!I709"")+IMPORTRANGE(""https://docs.google.com/spreadsheets/d/1jQ6P4QcrGM89YfqcC_PxOHGCMq5ezhucwJd8ci-NHng/edit?usp=sharing"",""ราชบุรี!I70"&amp;"9"")+IMPORTRANGE(""https://docs.google.com/spreadsheets/d/1lufeA2cfFqM-elVq2hznhDzC6Pr7wkJ9ZG_sYNGCMCU/edit?usp=sharing"",""ลพบุรี!I709"")+IMPORTRANGE(""https://docs.google.com/spreadsheets/d/10oOiF7loTyfsTkbd4MpaIm0HQ9SwB7IYHdIUvt-U1Uc/edit?usp=sharing"""&amp;",""สระแก้ว!I709"")+IMPORTRANGE(""https://docs.google.com/spreadsheets/d/1xmPlrr1QbdSIKvl1dWUl9K4PjAfSL9oeMr_37QVzcxc/edit?usp=sharing"",""สระบุรี!I709"")+IMPORTRANGE(""https://docs.google.com/spreadsheets/d/1j51vR6CYVGhABJpv6tkstgok82RLpXieLzW1yOY5rHw/edi"&amp;"t?usp=sharing"",""สิงห์บุรี!I709"")+IMPORTRANGE(""https://docs.google.com/spreadsheets/d/1H1EalTWKUSzO4Z1-1CwzoDUaVffgrThEBe2sl74kKG0/edit?usp=sharing"",""สุพรรณบุรี!I709"")+IMPORTRANGE(""https://docs.google.com/spreadsheets/d/1BmIruG_sIrJLYao_Pdr7zVArWsf"&amp;"oBt2692TMi6x_854/edit?usp=sharing"",""อ่างทอง!I709"")"),49)</f>
        <v>49</v>
      </c>
      <c r="J709" s="295">
        <f ca="1">IFERROR(__xludf.DUMMYFUNCTION("IMPORTRANGE(""https://docs.google.com/spreadsheets/d/13wPX838HrBrQMCywv1BsuMkt4PEKTChp52zj44s2izQ/edit?usp=sharing"",""กาญจนบุรี!J709"")+IMPORTRANGE(""https://docs.google.com/spreadsheets/d/1ddFKvqj1W1NEiWytbGlB1zMx_ykJDVtmfEQ-6-lIUBA/edit?usp=sharing"","&amp;"""จันทบุรี!J709"")+IMPORTRANGE(""https://docs.google.com/spreadsheets/d/1T1PQvRODqOBZk8BRht_U031fIS1beLA0Ub2CEytj2q0/edit?usp=sharing"",""ฉะเชิงเทรา!J709"")+IMPORTRANGE(""https://docs.google.com/spreadsheets/d/11tr1B-Bhyr79v2bkwVh5h_fR-PStkgjlZtkrZpYurG0/"&amp;"edit?usp=sharing"",""ชลบุรี!J709"")+IMPORTRANGE(""https://docs.google.com/spreadsheets/d/1hh-FVnSX0vozXhGluamEcS54Dw9_zqW0N7qJUWgJ0Sw/edit?usp=sharing"",""ชัยนาท!J709"")+IMPORTRANGE(""https://docs.google.com/spreadsheets/d/1jkqa6GXxSacMcY1eN8AHjMNJ_7dDXMJ"&amp;"VRLDlaFSOdPM/edit?usp=sharing"",""ตราด!J709"")+IMPORTRANGE(""https://docs.google.com/spreadsheets/d/18hSgUJ3VwClqi_qtULmmW3cLr0oe3OKaSYoKzdpTsYQ/edit?usp=sharing"",""นครนายก!J709"")+IMPORTRANGE(""https://docs.google.com/spreadsheets/d/1YTZo6WM2dQ6Ix6FSdnL"&amp;"5P7uVnVKu40sxZu975tgG10E/edit?usp=sharing"",""นครปฐม!J709"")+IMPORTRANGE(""https://docs.google.com/spreadsheets/d/1OYoGg4WDg5RIzwGeB10padOxJF9E_Vljuvvct_M7RDo/edit?usp=sharing"",""ปทุมธานี!J709"")+IMPORTRANGE(""https://docs.google.com/spreadsheets/d/1GbCI"&amp;"E4D4wk9FUozzqk7SxfDMxDVBwVmI5zcaVUSzKAc/edit?usp=sharing"",""ประจวบคีรีขันธ์!J709"")+IMPORTRANGE(""https://docs.google.com/spreadsheets/d/1vVf6wykvW_lAyu7Yo9L4hUTqHqIeP_qcVuxCtosJEbg/edit?usp=sharing"",""ปราจีนบุรี!J709"")+IMPORTRANGE(""https://docs.googl"&amp;"e.com/spreadsheets/d/1BIDqLLg5jk3v59G8NlR8rk5xfQDKne0sAvZHSj7TI6I/edit?usp=sharing"",""พระนครศรีอยุธยา!J709"")+IMPORTRANGE(""https://docs.google.com/spreadsheets/d/1YXvxf8Yu6_rV4hTBrwMqAcAnv6DfhUxh5emyM3CJp_w/edit?usp=sharing"",""เพชรบุรี!J709"")+IMPORTRA"&amp;"NGE(""https://docs.google.com/spreadsheets/d/19KBlQQs7uwvsao6t2n-KvW3Ax8J8uRRfZPq1zPbXgKc/edit?usp=sharing"",""ระยอง!J709"")+IMPORTRANGE(""https://docs.google.com/spreadsheets/d/1jQ6P4QcrGM89YfqcC_PxOHGCMq5ezhucwJd8ci-NHng/edit?usp=sharing"",""ราชบุรี!J70"&amp;"9"")+IMPORTRANGE(""https://docs.google.com/spreadsheets/d/1lufeA2cfFqM-elVq2hznhDzC6Pr7wkJ9ZG_sYNGCMCU/edit?usp=sharing"",""ลพบุรี!J709"")+IMPORTRANGE(""https://docs.google.com/spreadsheets/d/10oOiF7loTyfsTkbd4MpaIm0HQ9SwB7IYHdIUvt-U1Uc/edit?usp=sharing"""&amp;",""สระแก้ว!J709"")+IMPORTRANGE(""https://docs.google.com/spreadsheets/d/1xmPlrr1QbdSIKvl1dWUl9K4PjAfSL9oeMr_37QVzcxc/edit?usp=sharing"",""สระบุรี!J709"")+IMPORTRANGE(""https://docs.google.com/spreadsheets/d/1j51vR6CYVGhABJpv6tkstgok82RLpXieLzW1yOY5rHw/edi"&amp;"t?usp=sharing"",""สิงห์บุรี!J709"")+IMPORTRANGE(""https://docs.google.com/spreadsheets/d/1H1EalTWKUSzO4Z1-1CwzoDUaVffgrThEBe2sl74kKG0/edit?usp=sharing"",""สุพรรณบุรี!J709"")+IMPORTRANGE(""https://docs.google.com/spreadsheets/d/1BmIruG_sIrJLYao_Pdr7zVArWsf"&amp;"oBt2692TMi6x_854/edit?usp=sharing"",""อ่างทอง!J709"")"),7)</f>
        <v>7</v>
      </c>
      <c r="K709" s="77">
        <f t="shared" ca="1" si="478"/>
        <v>14.285714285714286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13wPX838HrBrQMCywv1BsuMkt4PEKTChp52zj44s2izQ/edit?usp=sharing"",""กาญจนบุรี!J710"")+IMPORTRANGE(""https://docs.google.com/spreadsheets/d/1ddFKvqj1W1NEiWytbGlB1zMx_ykJDVtmfEQ-6-lIUBA/edit?usp=sharing"","&amp;"""จันทบุรี!J710"")+IMPORTRANGE(""https://docs.google.com/spreadsheets/d/1T1PQvRODqOBZk8BRht_U031fIS1beLA0Ub2CEytj2q0/edit?usp=sharing"",""ฉะเชิงเทรา!J710"")+IMPORTRANGE(""https://docs.google.com/spreadsheets/d/11tr1B-Bhyr79v2bkwVh5h_fR-PStkgjlZtkrZpYurG0/"&amp;"edit?usp=sharing"",""ชลบุรี!J710"")+IMPORTRANGE(""https://docs.google.com/spreadsheets/d/1hh-FVnSX0vozXhGluamEcS54Dw9_zqW0N7qJUWgJ0Sw/edit?usp=sharing"",""ชัยนาท!J710"")+IMPORTRANGE(""https://docs.google.com/spreadsheets/d/1jkqa6GXxSacMcY1eN8AHjMNJ_7dDXMJ"&amp;"VRLDlaFSOdPM/edit?usp=sharing"",""ตราด!J710"")+IMPORTRANGE(""https://docs.google.com/spreadsheets/d/18hSgUJ3VwClqi_qtULmmW3cLr0oe3OKaSYoKzdpTsYQ/edit?usp=sharing"",""นครนายก!J710"")+IMPORTRANGE(""https://docs.google.com/spreadsheets/d/1YTZo6WM2dQ6Ix6FSdnL"&amp;"5P7uVnVKu40sxZu975tgG10E/edit?usp=sharing"",""นครปฐม!J710"")+IMPORTRANGE(""https://docs.google.com/spreadsheets/d/1OYoGg4WDg5RIzwGeB10padOxJF9E_Vljuvvct_M7RDo/edit?usp=sharing"",""ปทุมธานี!J710"")+IMPORTRANGE(""https://docs.google.com/spreadsheets/d/1GbCI"&amp;"E4D4wk9FUozzqk7SxfDMxDVBwVmI5zcaVUSzKAc/edit?usp=sharing"",""ประจวบคีรีขันธ์!J710"")+IMPORTRANGE(""https://docs.google.com/spreadsheets/d/1vVf6wykvW_lAyu7Yo9L4hUTqHqIeP_qcVuxCtosJEbg/edit?usp=sharing"",""ปราจีนบุรี!J710"")+IMPORTRANGE(""https://docs.googl"&amp;"e.com/spreadsheets/d/1BIDqLLg5jk3v59G8NlR8rk5xfQDKne0sAvZHSj7TI6I/edit?usp=sharing"",""พระนครศรีอยุธยา!J710"")+IMPORTRANGE(""https://docs.google.com/spreadsheets/d/1YXvxf8Yu6_rV4hTBrwMqAcAnv6DfhUxh5emyM3CJp_w/edit?usp=sharing"",""เพชรบุรี!J710"")+IMPORTRA"&amp;"NGE(""https://docs.google.com/spreadsheets/d/19KBlQQs7uwvsao6t2n-KvW3Ax8J8uRRfZPq1zPbXgKc/edit?usp=sharing"",""ระยอง!J710"")+IMPORTRANGE(""https://docs.google.com/spreadsheets/d/1jQ6P4QcrGM89YfqcC_PxOHGCMq5ezhucwJd8ci-NHng/edit?usp=sharing"",""ราชบุรี!J71"&amp;"0"")+IMPORTRANGE(""https://docs.google.com/spreadsheets/d/1lufeA2cfFqM-elVq2hznhDzC6Pr7wkJ9ZG_sYNGCMCU/edit?usp=sharing"",""ลพบุรี!J710"")+IMPORTRANGE(""https://docs.google.com/spreadsheets/d/10oOiF7loTyfsTkbd4MpaIm0HQ9SwB7IYHdIUvt-U1Uc/edit?usp=sharing"""&amp;",""สระแก้ว!J710"")+IMPORTRANGE(""https://docs.google.com/spreadsheets/d/1xmPlrr1QbdSIKvl1dWUl9K4PjAfSL9oeMr_37QVzcxc/edit?usp=sharing"",""สระบุรี!J710"")+IMPORTRANGE(""https://docs.google.com/spreadsheets/d/1j51vR6CYVGhABJpv6tkstgok82RLpXieLzW1yOY5rHw/edi"&amp;"t?usp=sharing"",""สิงห์บุรี!J710"")+IMPORTRANGE(""https://docs.google.com/spreadsheets/d/1H1EalTWKUSzO4Z1-1CwzoDUaVffgrThEBe2sl74kKG0/edit?usp=sharing"",""สุพรรณบุรี!J710"")+IMPORTRANGE(""https://docs.google.com/spreadsheets/d/1BmIruG_sIrJLYao_Pdr7zVArWsf"&amp;"oBt2692TMi6x_854/edit?usp=sharing"",""อ่างทอง!J710"")"),0)</f>
        <v>0</v>
      </c>
      <c r="K710" s="77">
        <f t="shared" si="478"/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53">
        <f>J724</f>
        <v>0</v>
      </c>
      <c r="K712" s="754">
        <f>IF(I712&gt;0,J712*100/I712,0)</f>
        <v>0</v>
      </c>
      <c r="L712" s="714"/>
      <c r="M712" s="714"/>
      <c r="N712" s="714"/>
      <c r="O712" s="714"/>
      <c r="P712" s="714"/>
      <c r="Q712" s="715"/>
      <c r="R712" s="714"/>
      <c r="S712" s="714"/>
      <c r="T712" s="714"/>
      <c r="U712" s="714"/>
    </row>
    <row r="713" spans="1:21" ht="19.5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4"/>
      <c r="M713" s="714"/>
      <c r="N713" s="714"/>
      <c r="O713" s="714"/>
      <c r="P713" s="714"/>
      <c r="Q713" s="715"/>
      <c r="R713" s="714"/>
      <c r="S713" s="714"/>
      <c r="T713" s="714"/>
      <c r="U713" s="714"/>
    </row>
    <row r="714" spans="1:21" ht="19.5" x14ac:dyDescent="0.3">
      <c r="A714" s="259"/>
      <c r="B714" s="271"/>
      <c r="C714" s="573" t="s">
        <v>18</v>
      </c>
      <c r="D714" s="80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66">
        <f t="shared" ref="L714:N714" ca="1" si="480">L715+L716</f>
        <v>0</v>
      </c>
      <c r="M714" s="266">
        <f t="shared" ca="1" si="480"/>
        <v>0</v>
      </c>
      <c r="N714" s="266">
        <f t="shared" ca="1" si="480"/>
        <v>0</v>
      </c>
      <c r="O714" s="266">
        <f t="shared" ref="O714:O722" ca="1" si="481">IF(L714&gt;0,N714*100/L714,0)</f>
        <v>0</v>
      </c>
      <c r="P714" s="266">
        <f t="shared" ref="P714:P722" ca="1" si="482">IF(M714&gt;0,N714*100/M714,0)</f>
        <v>0</v>
      </c>
      <c r="Q714" s="216">
        <f t="shared" ref="Q714:S714" ca="1" si="483">Q715+Q716</f>
        <v>0</v>
      </c>
      <c r="R714" s="217">
        <f t="shared" ca="1" si="483"/>
        <v>0</v>
      </c>
      <c r="S714" s="217">
        <f t="shared" ca="1" si="483"/>
        <v>0</v>
      </c>
      <c r="T714" s="217">
        <f t="shared" ref="T714:T722" ca="1" si="484">IF(Q714&gt;0,S714*100/Q714,0)</f>
        <v>0</v>
      </c>
      <c r="U714" s="217">
        <f t="shared" ref="U714:U722" ca="1" si="485">IF(R714&gt;0,S714*100/R714,0)</f>
        <v>0</v>
      </c>
    </row>
    <row r="715" spans="1:21" ht="18.75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 t="shared" ref="L715:N715" ca="1" si="486">L718+L721</f>
        <v>0</v>
      </c>
      <c r="M715" s="80">
        <f t="shared" ca="1" si="486"/>
        <v>0</v>
      </c>
      <c r="N715" s="80">
        <f t="shared" ca="1" si="486"/>
        <v>0</v>
      </c>
      <c r="O715" s="80">
        <f t="shared" ca="1" si="481"/>
        <v>0</v>
      </c>
      <c r="P715" s="80">
        <f t="shared" ca="1" si="482"/>
        <v>0</v>
      </c>
      <c r="Q715" s="219">
        <f t="shared" ref="Q715:S715" ca="1" si="487">Q718+Q721</f>
        <v>0</v>
      </c>
      <c r="R715" s="136">
        <f t="shared" ca="1" si="487"/>
        <v>0</v>
      </c>
      <c r="S715" s="136">
        <f t="shared" ca="1" si="487"/>
        <v>0</v>
      </c>
      <c r="T715" s="136">
        <f t="shared" ca="1" si="484"/>
        <v>0</v>
      </c>
      <c r="U715" s="136">
        <f t="shared" ca="1" si="485"/>
        <v>0</v>
      </c>
    </row>
    <row r="716" spans="1:21" ht="18.75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 t="shared" ref="L716:N716" ca="1" si="488">L719+L722</f>
        <v>0</v>
      </c>
      <c r="M716" s="77">
        <f t="shared" ca="1" si="488"/>
        <v>0</v>
      </c>
      <c r="N716" s="77">
        <f t="shared" ca="1" si="488"/>
        <v>0</v>
      </c>
      <c r="O716" s="77">
        <f t="shared" ca="1" si="481"/>
        <v>0</v>
      </c>
      <c r="P716" s="77">
        <f t="shared" ca="1" si="482"/>
        <v>0</v>
      </c>
      <c r="Q716" s="134">
        <f t="shared" ref="Q716:S716" ca="1" si="489">Q719+Q722</f>
        <v>0</v>
      </c>
      <c r="R716" s="135">
        <f t="shared" ca="1" si="489"/>
        <v>0</v>
      </c>
      <c r="S716" s="135">
        <f t="shared" ca="1" si="489"/>
        <v>0</v>
      </c>
      <c r="T716" s="135">
        <f t="shared" ca="1" si="484"/>
        <v>0</v>
      </c>
      <c r="U716" s="135">
        <f t="shared" ca="1" si="485"/>
        <v>0</v>
      </c>
    </row>
    <row r="717" spans="1:21" ht="19.5" x14ac:dyDescent="0.3">
      <c r="A717" s="259"/>
      <c r="B717" s="271"/>
      <c r="C717" s="271"/>
      <c r="D717" s="685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7">
        <f t="shared" ref="L717:N717" ca="1" si="490">L718+L719</f>
        <v>0</v>
      </c>
      <c r="M717" s="77">
        <f t="shared" ca="1" si="490"/>
        <v>0</v>
      </c>
      <c r="N717" s="77">
        <f t="shared" ca="1" si="490"/>
        <v>0</v>
      </c>
      <c r="O717" s="77">
        <f t="shared" ca="1" si="481"/>
        <v>0</v>
      </c>
      <c r="P717" s="77">
        <f t="shared" ca="1" si="482"/>
        <v>0</v>
      </c>
      <c r="Q717" s="134">
        <f t="shared" ref="Q717:S717" ca="1" si="491">Q718+Q719</f>
        <v>0</v>
      </c>
      <c r="R717" s="135">
        <f t="shared" ca="1" si="491"/>
        <v>0</v>
      </c>
      <c r="S717" s="135">
        <f t="shared" ca="1" si="491"/>
        <v>0</v>
      </c>
      <c r="T717" s="135">
        <f t="shared" ca="1" si="484"/>
        <v>0</v>
      </c>
      <c r="U717" s="135">
        <f t="shared" ca="1" si="485"/>
        <v>0</v>
      </c>
    </row>
    <row r="718" spans="1:21" ht="18.75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f ca="1">IFERROR(__xludf.DUMMYFUNCTION("IMPORTRANGE(""https://docs.google.com/spreadsheets/d/13wPX838HrBrQMCywv1BsuMkt4PEKTChp52zj44s2izQ/edit?usp=sharing"",""กาญจนบุรี!L718"")+IMPORTRANGE(""https://docs.google.com/spreadsheets/d/1ddFKvqj1W1NEiWytbGlB1zMx_ykJDVtmfEQ-6-lIUBA/edit?usp=sharing"","&amp;"""จันทบุรี!L718"")+IMPORTRANGE(""https://docs.google.com/spreadsheets/d/1T1PQvRODqOBZk8BRht_U031fIS1beLA0Ub2CEytj2q0/edit?usp=sharing"",""ฉะเชิงเทรา!L718"")+IMPORTRANGE(""https://docs.google.com/spreadsheets/d/11tr1B-Bhyr79v2bkwVh5h_fR-PStkgjlZtkrZpYurG0/"&amp;"edit?usp=sharing"",""ชลบุรี!L718"")+IMPORTRANGE(""https://docs.google.com/spreadsheets/d/1hh-FVnSX0vozXhGluamEcS54Dw9_zqW0N7qJUWgJ0Sw/edit?usp=sharing"",""ชัยนาท!L718"")+IMPORTRANGE(""https://docs.google.com/spreadsheets/d/1jkqa6GXxSacMcY1eN8AHjMNJ_7dDXMJ"&amp;"VRLDlaFSOdPM/edit?usp=sharing"",""ตราด!L718"")+IMPORTRANGE(""https://docs.google.com/spreadsheets/d/18hSgUJ3VwClqi_qtULmmW3cLr0oe3OKaSYoKzdpTsYQ/edit?usp=sharing"",""นครนายก!L718"")+IMPORTRANGE(""https://docs.google.com/spreadsheets/d/1YTZo6WM2dQ6Ix6FSdnL"&amp;"5P7uVnVKu40sxZu975tgG10E/edit?usp=sharing"",""นครปฐม!L718"")+IMPORTRANGE(""https://docs.google.com/spreadsheets/d/1OYoGg4WDg5RIzwGeB10padOxJF9E_Vljuvvct_M7RDo/edit?usp=sharing"",""ปทุมธานี!L718"")+IMPORTRANGE(""https://docs.google.com/spreadsheets/d/1GbCI"&amp;"E4D4wk9FUozzqk7SxfDMxDVBwVmI5zcaVUSzKAc/edit?usp=sharing"",""ประจวบคีรีขันธ์!L718"")+IMPORTRANGE(""https://docs.google.com/spreadsheets/d/1vVf6wykvW_lAyu7Yo9L4hUTqHqIeP_qcVuxCtosJEbg/edit?usp=sharing"",""ปราจีนบุรี!L718"")+IMPORTRANGE(""https://docs.googl"&amp;"e.com/spreadsheets/d/1BIDqLLg5jk3v59G8NlR8rk5xfQDKne0sAvZHSj7TI6I/edit?usp=sharing"",""พระนครศรีอยุธยา!L718"")+IMPORTRANGE(""https://docs.google.com/spreadsheets/d/1YXvxf8Yu6_rV4hTBrwMqAcAnv6DfhUxh5emyM3CJp_w/edit?usp=sharing"",""เพชรบุรี!L718"")+IMPORTRA"&amp;"NGE(""https://docs.google.com/spreadsheets/d/19KBlQQs7uwvsao6t2n-KvW3Ax8J8uRRfZPq1zPbXgKc/edit?usp=sharing"",""ระยอง!L718"")+IMPORTRANGE(""https://docs.google.com/spreadsheets/d/1jQ6P4QcrGM89YfqcC_PxOHGCMq5ezhucwJd8ci-NHng/edit?usp=sharing"",""ราชบุรี!L71"&amp;"8"")+IMPORTRANGE(""https://docs.google.com/spreadsheets/d/1lufeA2cfFqM-elVq2hznhDzC6Pr7wkJ9ZG_sYNGCMCU/edit?usp=sharing"",""ลพบุรี!L718"")+IMPORTRANGE(""https://docs.google.com/spreadsheets/d/10oOiF7loTyfsTkbd4MpaIm0HQ9SwB7IYHdIUvt-U1Uc/edit?usp=sharing"""&amp;",""สระแก้ว!L718"")+IMPORTRANGE(""https://docs.google.com/spreadsheets/d/1xmPlrr1QbdSIKvl1dWUl9K4PjAfSL9oeMr_37QVzcxc/edit?usp=sharing"",""สระบุรี!L718"")+IMPORTRANGE(""https://docs.google.com/spreadsheets/d/1j51vR6CYVGhABJpv6tkstgok82RLpXieLzW1yOY5rHw/edi"&amp;"t?usp=sharing"",""สิงห์บุรี!L718"")+IMPORTRANGE(""https://docs.google.com/spreadsheets/d/1H1EalTWKUSzO4Z1-1CwzoDUaVffgrThEBe2sl74kKG0/edit?usp=sharing"",""สุพรรณบุรี!L718"")+IMPORTRANGE(""https://docs.google.com/spreadsheets/d/1BmIruG_sIrJLYao_Pdr7zVArWsf"&amp;"oBt2692TMi6x_854/edit?usp=sharing"",""อ่างทอง!L718"")"),0)</f>
        <v>0</v>
      </c>
      <c r="M718" s="80">
        <f ca="1">IFERROR(__xludf.DUMMYFUNCTION("IMPORTRANGE(""https://docs.google.com/spreadsheets/d/13wPX838HrBrQMCywv1BsuMkt4PEKTChp52zj44s2izQ/edit?usp=sharing"",""กาญจนบุรี!M718"")+IMPORTRANGE(""https://docs.google.com/spreadsheets/d/1ddFKvqj1W1NEiWytbGlB1zMx_ykJDVtmfEQ-6-lIUBA/edit?usp=sharing"","&amp;"""จันทบุรี!M718"")+IMPORTRANGE(""https://docs.google.com/spreadsheets/d/1T1PQvRODqOBZk8BRht_U031fIS1beLA0Ub2CEytj2q0/edit?usp=sharing"",""ฉะเชิงเทรา!M718"")+IMPORTRANGE(""https://docs.google.com/spreadsheets/d/11tr1B-Bhyr79v2bkwVh5h_fR-PStkgjlZtkrZpYurG0/"&amp;"edit?usp=sharing"",""ชลบุรี!M718"")+IMPORTRANGE(""https://docs.google.com/spreadsheets/d/1hh-FVnSX0vozXhGluamEcS54Dw9_zqW0N7qJUWgJ0Sw/edit?usp=sharing"",""ชัยนาท!M718"")+IMPORTRANGE(""https://docs.google.com/spreadsheets/d/1jkqa6GXxSacMcY1eN8AHjMNJ_7dDXMJ"&amp;"VRLDlaFSOdPM/edit?usp=sharing"",""ตราด!M718"")+IMPORTRANGE(""https://docs.google.com/spreadsheets/d/18hSgUJ3VwClqi_qtULmmW3cLr0oe3OKaSYoKzdpTsYQ/edit?usp=sharing"",""นครนายก!M718"")+IMPORTRANGE(""https://docs.google.com/spreadsheets/d/1YTZo6WM2dQ6Ix6FSdnL"&amp;"5P7uVnVKu40sxZu975tgG10E/edit?usp=sharing"",""นครปฐม!M718"")+IMPORTRANGE(""https://docs.google.com/spreadsheets/d/1OYoGg4WDg5RIzwGeB10padOxJF9E_Vljuvvct_M7RDo/edit?usp=sharing"",""ปทุมธานี!M718"")+IMPORTRANGE(""https://docs.google.com/spreadsheets/d/1GbCI"&amp;"E4D4wk9FUozzqk7SxfDMxDVBwVmI5zcaVUSzKAc/edit?usp=sharing"",""ประจวบคีรีขันธ์!M718"")+IMPORTRANGE(""https://docs.google.com/spreadsheets/d/1vVf6wykvW_lAyu7Yo9L4hUTqHqIeP_qcVuxCtosJEbg/edit?usp=sharing"",""ปราจีนบุรี!M718"")+IMPORTRANGE(""https://docs.googl"&amp;"e.com/spreadsheets/d/1BIDqLLg5jk3v59G8NlR8rk5xfQDKne0sAvZHSj7TI6I/edit?usp=sharing"",""พระนครศรีอยุธยา!M718"")+IMPORTRANGE(""https://docs.google.com/spreadsheets/d/1YXvxf8Yu6_rV4hTBrwMqAcAnv6DfhUxh5emyM3CJp_w/edit?usp=sharing"",""เพชรบุรี!M718"")+IMPORTRA"&amp;"NGE(""https://docs.google.com/spreadsheets/d/19KBlQQs7uwvsao6t2n-KvW3Ax8J8uRRfZPq1zPbXgKc/edit?usp=sharing"",""ระยอง!M718"")+IMPORTRANGE(""https://docs.google.com/spreadsheets/d/1jQ6P4QcrGM89YfqcC_PxOHGCMq5ezhucwJd8ci-NHng/edit?usp=sharing"",""ราชบุรี!M71"&amp;"8"")+IMPORTRANGE(""https://docs.google.com/spreadsheets/d/1lufeA2cfFqM-elVq2hznhDzC6Pr7wkJ9ZG_sYNGCMCU/edit?usp=sharing"",""ลพบุรี!M718"")+IMPORTRANGE(""https://docs.google.com/spreadsheets/d/10oOiF7loTyfsTkbd4MpaIm0HQ9SwB7IYHdIUvt-U1Uc/edit?usp=sharing"""&amp;",""สระแก้ว!M718"")+IMPORTRANGE(""https://docs.google.com/spreadsheets/d/1xmPlrr1QbdSIKvl1dWUl9K4PjAfSL9oeMr_37QVzcxc/edit?usp=sharing"",""สระบุรี!M718"")+IMPORTRANGE(""https://docs.google.com/spreadsheets/d/1j51vR6CYVGhABJpv6tkstgok82RLpXieLzW1yOY5rHw/edi"&amp;"t?usp=sharing"",""สิงห์บุรี!M718"")+IMPORTRANGE(""https://docs.google.com/spreadsheets/d/1H1EalTWKUSzO4Z1-1CwzoDUaVffgrThEBe2sl74kKG0/edit?usp=sharing"",""สุพรรณบุรี!M718"")+IMPORTRANGE(""https://docs.google.com/spreadsheets/d/1BmIruG_sIrJLYao_Pdr7zVArWsf"&amp;"oBt2692TMi6x_854/edit?usp=sharing"",""อ่างทอง!M718"")"),0)</f>
        <v>0</v>
      </c>
      <c r="N718" s="80">
        <f ca="1">IFERROR(__xludf.DUMMYFUNCTION("IMPORTRANGE(""https://docs.google.com/spreadsheets/d/13wPX838HrBrQMCywv1BsuMkt4PEKTChp52zj44s2izQ/edit?usp=sharing"",""กาญจนบุรี!N718"")+IMPORTRANGE(""https://docs.google.com/spreadsheets/d/1ddFKvqj1W1NEiWytbGlB1zMx_ykJDVtmfEQ-6-lIUBA/edit?usp=sharing"","&amp;"""จันทบุรี!N718"")+IMPORTRANGE(""https://docs.google.com/spreadsheets/d/1T1PQvRODqOBZk8BRht_U031fIS1beLA0Ub2CEytj2q0/edit?usp=sharing"",""ฉะเชิงเทรา!N718"")+IMPORTRANGE(""https://docs.google.com/spreadsheets/d/11tr1B-Bhyr79v2bkwVh5h_fR-PStkgjlZtkrZpYurG0/"&amp;"edit?usp=sharing"",""ชลบุรี!N718"")+IMPORTRANGE(""https://docs.google.com/spreadsheets/d/1hh-FVnSX0vozXhGluamEcS54Dw9_zqW0N7qJUWgJ0Sw/edit?usp=sharing"",""ชัยนาท!N718"")+IMPORTRANGE(""https://docs.google.com/spreadsheets/d/1jkqa6GXxSacMcY1eN8AHjMNJ_7dDXMJ"&amp;"VRLDlaFSOdPM/edit?usp=sharing"",""ตราด!N718"")+IMPORTRANGE(""https://docs.google.com/spreadsheets/d/18hSgUJ3VwClqi_qtULmmW3cLr0oe3OKaSYoKzdpTsYQ/edit?usp=sharing"",""นครนายก!N718"")+IMPORTRANGE(""https://docs.google.com/spreadsheets/d/1YTZo6WM2dQ6Ix6FSdnL"&amp;"5P7uVnVKu40sxZu975tgG10E/edit?usp=sharing"",""นครปฐม!N718"")+IMPORTRANGE(""https://docs.google.com/spreadsheets/d/1OYoGg4WDg5RIzwGeB10padOxJF9E_Vljuvvct_M7RDo/edit?usp=sharing"",""ปทุมธานี!N718"")+IMPORTRANGE(""https://docs.google.com/spreadsheets/d/1GbCI"&amp;"E4D4wk9FUozzqk7SxfDMxDVBwVmI5zcaVUSzKAc/edit?usp=sharing"",""ประจวบคีรีขันธ์!N718"")+IMPORTRANGE(""https://docs.google.com/spreadsheets/d/1vVf6wykvW_lAyu7Yo9L4hUTqHqIeP_qcVuxCtosJEbg/edit?usp=sharing"",""ปราจีนบุรี!N718"")+IMPORTRANGE(""https://docs.googl"&amp;"e.com/spreadsheets/d/1BIDqLLg5jk3v59G8NlR8rk5xfQDKne0sAvZHSj7TI6I/edit?usp=sharing"",""พระนครศรีอยุธยา!N718"")+IMPORTRANGE(""https://docs.google.com/spreadsheets/d/1YXvxf8Yu6_rV4hTBrwMqAcAnv6DfhUxh5emyM3CJp_w/edit?usp=sharing"",""เพชรบุรี!N718"")+IMPORTRA"&amp;"NGE(""https://docs.google.com/spreadsheets/d/19KBlQQs7uwvsao6t2n-KvW3Ax8J8uRRfZPq1zPbXgKc/edit?usp=sharing"",""ระยอง!N718"")+IMPORTRANGE(""https://docs.google.com/spreadsheets/d/1jQ6P4QcrGM89YfqcC_PxOHGCMq5ezhucwJd8ci-NHng/edit?usp=sharing"",""ราชบุรี!N71"&amp;"8"")+IMPORTRANGE(""https://docs.google.com/spreadsheets/d/1lufeA2cfFqM-elVq2hznhDzC6Pr7wkJ9ZG_sYNGCMCU/edit?usp=sharing"",""ลพบุรี!N718"")+IMPORTRANGE(""https://docs.google.com/spreadsheets/d/10oOiF7loTyfsTkbd4MpaIm0HQ9SwB7IYHdIUvt-U1Uc/edit?usp=sharing"""&amp;",""สระแก้ว!N718"")+IMPORTRANGE(""https://docs.google.com/spreadsheets/d/1xmPlrr1QbdSIKvl1dWUl9K4PjAfSL9oeMr_37QVzcxc/edit?usp=sharing"",""สระบุรี!N718"")+IMPORTRANGE(""https://docs.google.com/spreadsheets/d/1j51vR6CYVGhABJpv6tkstgok82RLpXieLzW1yOY5rHw/edi"&amp;"t?usp=sharing"",""สิงห์บุรี!N718"")+IMPORTRANGE(""https://docs.google.com/spreadsheets/d/1H1EalTWKUSzO4Z1-1CwzoDUaVffgrThEBe2sl74kKG0/edit?usp=sharing"",""สุพรรณบุรี!N718"")+IMPORTRANGE(""https://docs.google.com/spreadsheets/d/1BmIruG_sIrJLYao_Pdr7zVArWsf"&amp;"oBt2692TMi6x_854/edit?usp=sharing"",""อ่างทอง!N718"")"),0)</f>
        <v>0</v>
      </c>
      <c r="O718" s="80">
        <f t="shared" ca="1" si="481"/>
        <v>0</v>
      </c>
      <c r="P718" s="80">
        <f t="shared" ca="1" si="482"/>
        <v>0</v>
      </c>
      <c r="Q718" s="79">
        <f ca="1">IFERROR(__xludf.DUMMYFUNCTION("IMPORTRANGE(""https://docs.google.com/spreadsheets/d/13wPX838HrBrQMCywv1BsuMkt4PEKTChp52zj44s2izQ/edit?usp=sharing"",""กาญจนบุรี!Q718"")+IMPORTRANGE(""https://docs.google.com/spreadsheets/d/1ddFKvqj1W1NEiWytbGlB1zMx_ykJDVtmfEQ-6-lIUBA/edit?usp=sharing"","&amp;"""จันทบุรี!Q718"")+IMPORTRANGE(""https://docs.google.com/spreadsheets/d/1T1PQvRODqOBZk8BRht_U031fIS1beLA0Ub2CEytj2q0/edit?usp=sharing"",""ฉะเชิงเทรา!Q718"")+IMPORTRANGE(""https://docs.google.com/spreadsheets/d/11tr1B-Bhyr79v2bkwVh5h_fR-PStkgjlZtkrZpYurG0/"&amp;"edit?usp=sharing"",""ชลบุรี!Q718"")+IMPORTRANGE(""https://docs.google.com/spreadsheets/d/1hh-FVnSX0vozXhGluamEcS54Dw9_zqW0N7qJUWgJ0Sw/edit?usp=sharing"",""ชัยนาท!Q718"")+IMPORTRANGE(""https://docs.google.com/spreadsheets/d/1jkqa6GXxSacMcY1eN8AHjMNJ_7dDXMJ"&amp;"VRLDlaFSOdPM/edit?usp=sharing"",""ตราด!Q718"")+IMPORTRANGE(""https://docs.google.com/spreadsheets/d/18hSgUJ3VwClqi_qtULmmW3cLr0oe3OKaSYoKzdpTsYQ/edit?usp=sharing"",""นครนายก!Q718"")+IMPORTRANGE(""https://docs.google.com/spreadsheets/d/1YTZo6WM2dQ6Ix6FSdnL"&amp;"5P7uVnVKu40sxZu975tgG10E/edit?usp=sharing"",""นครปฐม!Q718"")+IMPORTRANGE(""https://docs.google.com/spreadsheets/d/1OYoGg4WDg5RIzwGeB10padOxJF9E_Vljuvvct_M7RDo/edit?usp=sharing"",""ปทุมธานี!Q718"")+IMPORTRANGE(""https://docs.google.com/spreadsheets/d/1GbCI"&amp;"E4D4wk9FUozzqk7SxfDMxDVBwVmI5zcaVUSzKAc/edit?usp=sharing"",""ประจวบคีรีขันธ์!Q718"")+IMPORTRANGE(""https://docs.google.com/spreadsheets/d/1vVf6wykvW_lAyu7Yo9L4hUTqHqIeP_qcVuxCtosJEbg/edit?usp=sharing"",""ปราจีนบุรี!Q718"")+IMPORTRANGE(""https://docs.googl"&amp;"e.com/spreadsheets/d/1BIDqLLg5jk3v59G8NlR8rk5xfQDKne0sAvZHSj7TI6I/edit?usp=sharing"",""พระนครศรีอยุธยา!Q718"")+IMPORTRANGE(""https://docs.google.com/spreadsheets/d/1YXvxf8Yu6_rV4hTBrwMqAcAnv6DfhUxh5emyM3CJp_w/edit?usp=sharing"",""เพชรบุรี!Q718"")+IMPORTRA"&amp;"NGE(""https://docs.google.com/spreadsheets/d/19KBlQQs7uwvsao6t2n-KvW3Ax8J8uRRfZPq1zPbXgKc/edit?usp=sharing"",""ระยอง!Q718"")+IMPORTRANGE(""https://docs.google.com/spreadsheets/d/1jQ6P4QcrGM89YfqcC_PxOHGCMq5ezhucwJd8ci-NHng/edit?usp=sharing"",""ราชบุรี!Q71"&amp;"8"")+IMPORTRANGE(""https://docs.google.com/spreadsheets/d/1lufeA2cfFqM-elVq2hznhDzC6Pr7wkJ9ZG_sYNGCMCU/edit?usp=sharing"",""ลพบุรี!Q718"")+IMPORTRANGE(""https://docs.google.com/spreadsheets/d/10oOiF7loTyfsTkbd4MpaIm0HQ9SwB7IYHdIUvt-U1Uc/edit?usp=sharing"""&amp;",""สระแก้ว!Q718"")+IMPORTRANGE(""https://docs.google.com/spreadsheets/d/1xmPlrr1QbdSIKvl1dWUl9K4PjAfSL9oeMr_37QVzcxc/edit?usp=sharing"",""สระบุรี!Q718"")+IMPORTRANGE(""https://docs.google.com/spreadsheets/d/1j51vR6CYVGhABJpv6tkstgok82RLpXieLzW1yOY5rHw/edi"&amp;"t?usp=sharing"",""สิงห์บุรี!Q718"")+IMPORTRANGE(""https://docs.google.com/spreadsheets/d/1H1EalTWKUSzO4Z1-1CwzoDUaVffgrThEBe2sl74kKG0/edit?usp=sharing"",""สุพรรณบุรี!Q718"")+IMPORTRANGE(""https://docs.google.com/spreadsheets/d/1BmIruG_sIrJLYao_Pdr7zVArWsf"&amp;"oBt2692TMi6x_854/edit?usp=sharing"",""อ่างทอง!Q718"")"),0)</f>
        <v>0</v>
      </c>
      <c r="R718" s="80">
        <f ca="1">IFERROR(__xludf.DUMMYFUNCTION("IMPORTRANGE(""https://docs.google.com/spreadsheets/d/13wPX838HrBrQMCywv1BsuMkt4PEKTChp52zj44s2izQ/edit?usp=sharing"",""กาญจนบุรี!R718"")+IMPORTRANGE(""https://docs.google.com/spreadsheets/d/1ddFKvqj1W1NEiWytbGlB1zMx_ykJDVtmfEQ-6-lIUBA/edit?usp=sharing"","&amp;"""จันทบุรี!R718"")+IMPORTRANGE(""https://docs.google.com/spreadsheets/d/1T1PQvRODqOBZk8BRht_U031fIS1beLA0Ub2CEytj2q0/edit?usp=sharing"",""ฉะเชิงเทรา!R718"")+IMPORTRANGE(""https://docs.google.com/spreadsheets/d/11tr1B-Bhyr79v2bkwVh5h_fR-PStkgjlZtkrZpYurG0/"&amp;"edit?usp=sharing"",""ชลบุรี!R718"")+IMPORTRANGE(""https://docs.google.com/spreadsheets/d/1hh-FVnSX0vozXhGluamEcS54Dw9_zqW0N7qJUWgJ0Sw/edit?usp=sharing"",""ชัยนาท!R718"")+IMPORTRANGE(""https://docs.google.com/spreadsheets/d/1jkqa6GXxSacMcY1eN8AHjMNJ_7dDXMJ"&amp;"VRLDlaFSOdPM/edit?usp=sharing"",""ตราด!R718"")+IMPORTRANGE(""https://docs.google.com/spreadsheets/d/18hSgUJ3VwClqi_qtULmmW3cLr0oe3OKaSYoKzdpTsYQ/edit?usp=sharing"",""นครนายก!R718"")+IMPORTRANGE(""https://docs.google.com/spreadsheets/d/1YTZo6WM2dQ6Ix6FSdnL"&amp;"5P7uVnVKu40sxZu975tgG10E/edit?usp=sharing"",""นครปฐม!R718"")+IMPORTRANGE(""https://docs.google.com/spreadsheets/d/1OYoGg4WDg5RIzwGeB10padOxJF9E_Vljuvvct_M7RDo/edit?usp=sharing"",""ปทุมธานี!R718"")+IMPORTRANGE(""https://docs.google.com/spreadsheets/d/1GbCI"&amp;"E4D4wk9FUozzqk7SxfDMxDVBwVmI5zcaVUSzKAc/edit?usp=sharing"",""ประจวบคีรีขันธ์!R718"")+IMPORTRANGE(""https://docs.google.com/spreadsheets/d/1vVf6wykvW_lAyu7Yo9L4hUTqHqIeP_qcVuxCtosJEbg/edit?usp=sharing"",""ปราจีนบุรี!R718"")+IMPORTRANGE(""https://docs.googl"&amp;"e.com/spreadsheets/d/1BIDqLLg5jk3v59G8NlR8rk5xfQDKne0sAvZHSj7TI6I/edit?usp=sharing"",""พระนครศรีอยุธยา!R718"")+IMPORTRANGE(""https://docs.google.com/spreadsheets/d/1YXvxf8Yu6_rV4hTBrwMqAcAnv6DfhUxh5emyM3CJp_w/edit?usp=sharing"",""เพชรบุรี!R718"")+IMPORTRA"&amp;"NGE(""https://docs.google.com/spreadsheets/d/19KBlQQs7uwvsao6t2n-KvW3Ax8J8uRRfZPq1zPbXgKc/edit?usp=sharing"",""ระยอง!R718"")+IMPORTRANGE(""https://docs.google.com/spreadsheets/d/1jQ6P4QcrGM89YfqcC_PxOHGCMq5ezhucwJd8ci-NHng/edit?usp=sharing"",""ราชบุรี!R71"&amp;"8"")+IMPORTRANGE(""https://docs.google.com/spreadsheets/d/1lufeA2cfFqM-elVq2hznhDzC6Pr7wkJ9ZG_sYNGCMCU/edit?usp=sharing"",""ลพบุรี!R718"")+IMPORTRANGE(""https://docs.google.com/spreadsheets/d/10oOiF7loTyfsTkbd4MpaIm0HQ9SwB7IYHdIUvt-U1Uc/edit?usp=sharing"""&amp;",""สระแก้ว!R718"")+IMPORTRANGE(""https://docs.google.com/spreadsheets/d/1xmPlrr1QbdSIKvl1dWUl9K4PjAfSL9oeMr_37QVzcxc/edit?usp=sharing"",""สระบุรี!R718"")+IMPORTRANGE(""https://docs.google.com/spreadsheets/d/1j51vR6CYVGhABJpv6tkstgok82RLpXieLzW1yOY5rHw/edi"&amp;"t?usp=sharing"",""สิงห์บุรี!R718"")+IMPORTRANGE(""https://docs.google.com/spreadsheets/d/1H1EalTWKUSzO4Z1-1CwzoDUaVffgrThEBe2sl74kKG0/edit?usp=sharing"",""สุพรรณบุรี!R718"")+IMPORTRANGE(""https://docs.google.com/spreadsheets/d/1BmIruG_sIrJLYao_Pdr7zVArWsf"&amp;"oBt2692TMi6x_854/edit?usp=sharing"",""อ่างทอง!R718"")"),0)</f>
        <v>0</v>
      </c>
      <c r="S718" s="80">
        <f ca="1">IFERROR(__xludf.DUMMYFUNCTION("IMPORTRANGE(""https://docs.google.com/spreadsheets/d/13wPX838HrBrQMCywv1BsuMkt4PEKTChp52zj44s2izQ/edit?usp=sharing"",""กาญจนบุรี!S718"")+IMPORTRANGE(""https://docs.google.com/spreadsheets/d/1ddFKvqj1W1NEiWytbGlB1zMx_ykJDVtmfEQ-6-lIUBA/edit?usp=sharing"","&amp;"""จันทบุรี!S718"")+IMPORTRANGE(""https://docs.google.com/spreadsheets/d/1T1PQvRODqOBZk8BRht_U031fIS1beLA0Ub2CEytj2q0/edit?usp=sharing"",""ฉะเชิงเทรา!S718"")+IMPORTRANGE(""https://docs.google.com/spreadsheets/d/11tr1B-Bhyr79v2bkwVh5h_fR-PStkgjlZtkrZpYurG0/"&amp;"edit?usp=sharing"",""ชลบุรี!S718"")+IMPORTRANGE(""https://docs.google.com/spreadsheets/d/1hh-FVnSX0vozXhGluamEcS54Dw9_zqW0N7qJUWgJ0Sw/edit?usp=sharing"",""ชัยนาท!S718"")+IMPORTRANGE(""https://docs.google.com/spreadsheets/d/1jkqa6GXxSacMcY1eN8AHjMNJ_7dDXMJ"&amp;"VRLDlaFSOdPM/edit?usp=sharing"",""ตราด!S718"")+IMPORTRANGE(""https://docs.google.com/spreadsheets/d/18hSgUJ3VwClqi_qtULmmW3cLr0oe3OKaSYoKzdpTsYQ/edit?usp=sharing"",""นครนายก!S718"")+IMPORTRANGE(""https://docs.google.com/spreadsheets/d/1YTZo6WM2dQ6Ix6FSdnL"&amp;"5P7uVnVKu40sxZu975tgG10E/edit?usp=sharing"",""นครปฐม!S718"")+IMPORTRANGE(""https://docs.google.com/spreadsheets/d/1OYoGg4WDg5RIzwGeB10padOxJF9E_Vljuvvct_M7RDo/edit?usp=sharing"",""ปทุมธานี!S718"")+IMPORTRANGE(""https://docs.google.com/spreadsheets/d/1GbCI"&amp;"E4D4wk9FUozzqk7SxfDMxDVBwVmI5zcaVUSzKAc/edit?usp=sharing"",""ประจวบคีรีขันธ์!S718"")+IMPORTRANGE(""https://docs.google.com/spreadsheets/d/1vVf6wykvW_lAyu7Yo9L4hUTqHqIeP_qcVuxCtosJEbg/edit?usp=sharing"",""ปราจีนบุรี!S718"")+IMPORTRANGE(""https://docs.googl"&amp;"e.com/spreadsheets/d/1BIDqLLg5jk3v59G8NlR8rk5xfQDKne0sAvZHSj7TI6I/edit?usp=sharing"",""พระนครศรีอยุธยา!S718"")+IMPORTRANGE(""https://docs.google.com/spreadsheets/d/1YXvxf8Yu6_rV4hTBrwMqAcAnv6DfhUxh5emyM3CJp_w/edit?usp=sharing"",""เพชรบุรี!S718"")+IMPORTRA"&amp;"NGE(""https://docs.google.com/spreadsheets/d/19KBlQQs7uwvsao6t2n-KvW3Ax8J8uRRfZPq1zPbXgKc/edit?usp=sharing"",""ระยอง!S718"")+IMPORTRANGE(""https://docs.google.com/spreadsheets/d/1jQ6P4QcrGM89YfqcC_PxOHGCMq5ezhucwJd8ci-NHng/edit?usp=sharing"",""ราชบุรี!S71"&amp;"8"")+IMPORTRANGE(""https://docs.google.com/spreadsheets/d/1lufeA2cfFqM-elVq2hznhDzC6Pr7wkJ9ZG_sYNGCMCU/edit?usp=sharing"",""ลพบุรี!S718"")+IMPORTRANGE(""https://docs.google.com/spreadsheets/d/10oOiF7loTyfsTkbd4MpaIm0HQ9SwB7IYHdIUvt-U1Uc/edit?usp=sharing"""&amp;",""สระแก้ว!S718"")+IMPORTRANGE(""https://docs.google.com/spreadsheets/d/1xmPlrr1QbdSIKvl1dWUl9K4PjAfSL9oeMr_37QVzcxc/edit?usp=sharing"",""สระบุรี!S718"")+IMPORTRANGE(""https://docs.google.com/spreadsheets/d/1j51vR6CYVGhABJpv6tkstgok82RLpXieLzW1yOY5rHw/edi"&amp;"t?usp=sharing"",""สิงห์บุรี!S718"")+IMPORTRANGE(""https://docs.google.com/spreadsheets/d/1H1EalTWKUSzO4Z1-1CwzoDUaVffgrThEBe2sl74kKG0/edit?usp=sharing"",""สุพรรณบุรี!S718"")+IMPORTRANGE(""https://docs.google.com/spreadsheets/d/1BmIruG_sIrJLYao_Pdr7zVArWsf"&amp;"oBt2692TMi6x_854/edit?usp=sharing"",""อ่างทอง!S718"")"),0)</f>
        <v>0</v>
      </c>
      <c r="T718" s="136">
        <f t="shared" ca="1" si="484"/>
        <v>0</v>
      </c>
      <c r="U718" s="136">
        <f t="shared" ca="1" si="485"/>
        <v>0</v>
      </c>
    </row>
    <row r="719" spans="1:21" ht="18.75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f ca="1">IFERROR(__xludf.DUMMYFUNCTION("IMPORTRANGE(""https://docs.google.com/spreadsheets/d/13wPX838HrBrQMCywv1BsuMkt4PEKTChp52zj44s2izQ/edit?usp=sharing"",""กาญจนบุรี!L719"")+IMPORTRANGE(""https://docs.google.com/spreadsheets/d/1ddFKvqj1W1NEiWytbGlB1zMx_ykJDVtmfEQ-6-lIUBA/edit?usp=sharing"","&amp;"""จันทบุรี!L719"")+IMPORTRANGE(""https://docs.google.com/spreadsheets/d/1T1PQvRODqOBZk8BRht_U031fIS1beLA0Ub2CEytj2q0/edit?usp=sharing"",""ฉะเชิงเทรา!L719"")+IMPORTRANGE(""https://docs.google.com/spreadsheets/d/11tr1B-Bhyr79v2bkwVh5h_fR-PStkgjlZtkrZpYurG0/"&amp;"edit?usp=sharing"",""ชลบุรี!L719"")+IMPORTRANGE(""https://docs.google.com/spreadsheets/d/1hh-FVnSX0vozXhGluamEcS54Dw9_zqW0N7qJUWgJ0Sw/edit?usp=sharing"",""ชัยนาท!L719"")+IMPORTRANGE(""https://docs.google.com/spreadsheets/d/1jkqa6GXxSacMcY1eN8AHjMNJ_7dDXMJ"&amp;"VRLDlaFSOdPM/edit?usp=sharing"",""ตราด!L719"")+IMPORTRANGE(""https://docs.google.com/spreadsheets/d/18hSgUJ3VwClqi_qtULmmW3cLr0oe3OKaSYoKzdpTsYQ/edit?usp=sharing"",""นครนายก!L719"")+IMPORTRANGE(""https://docs.google.com/spreadsheets/d/1YTZo6WM2dQ6Ix6FSdnL"&amp;"5P7uVnVKu40sxZu975tgG10E/edit?usp=sharing"",""นครปฐม!L719"")+IMPORTRANGE(""https://docs.google.com/spreadsheets/d/1OYoGg4WDg5RIzwGeB10padOxJF9E_Vljuvvct_M7RDo/edit?usp=sharing"",""ปทุมธานี!L719"")+IMPORTRANGE(""https://docs.google.com/spreadsheets/d/1GbCI"&amp;"E4D4wk9FUozzqk7SxfDMxDVBwVmI5zcaVUSzKAc/edit?usp=sharing"",""ประจวบคีรีขันธ์!L719"")+IMPORTRANGE(""https://docs.google.com/spreadsheets/d/1vVf6wykvW_lAyu7Yo9L4hUTqHqIeP_qcVuxCtosJEbg/edit?usp=sharing"",""ปราจีนบุรี!L719"")+IMPORTRANGE(""https://docs.googl"&amp;"e.com/spreadsheets/d/1BIDqLLg5jk3v59G8NlR8rk5xfQDKne0sAvZHSj7TI6I/edit?usp=sharing"",""พระนครศรีอยุธยา!L719"")+IMPORTRANGE(""https://docs.google.com/spreadsheets/d/1YXvxf8Yu6_rV4hTBrwMqAcAnv6DfhUxh5emyM3CJp_w/edit?usp=sharing"",""เพชรบุรี!L719"")+IMPORTRA"&amp;"NGE(""https://docs.google.com/spreadsheets/d/19KBlQQs7uwvsao6t2n-KvW3Ax8J8uRRfZPq1zPbXgKc/edit?usp=sharing"",""ระยอง!L719"")+IMPORTRANGE(""https://docs.google.com/spreadsheets/d/1jQ6P4QcrGM89YfqcC_PxOHGCMq5ezhucwJd8ci-NHng/edit?usp=sharing"",""ราชบุรี!L71"&amp;"9"")+IMPORTRANGE(""https://docs.google.com/spreadsheets/d/1lufeA2cfFqM-elVq2hznhDzC6Pr7wkJ9ZG_sYNGCMCU/edit?usp=sharing"",""ลพบุรี!L719"")+IMPORTRANGE(""https://docs.google.com/spreadsheets/d/10oOiF7loTyfsTkbd4MpaIm0HQ9SwB7IYHdIUvt-U1Uc/edit?usp=sharing"""&amp;",""สระแก้ว!L719"")+IMPORTRANGE(""https://docs.google.com/spreadsheets/d/1xmPlrr1QbdSIKvl1dWUl9K4PjAfSL9oeMr_37QVzcxc/edit?usp=sharing"",""สระบุรี!L719"")+IMPORTRANGE(""https://docs.google.com/spreadsheets/d/1j51vR6CYVGhABJpv6tkstgok82RLpXieLzW1yOY5rHw/edi"&amp;"t?usp=sharing"",""สิงห์บุรี!L719"")+IMPORTRANGE(""https://docs.google.com/spreadsheets/d/1H1EalTWKUSzO4Z1-1CwzoDUaVffgrThEBe2sl74kKG0/edit?usp=sharing"",""สุพรรณบุรี!L719"")+IMPORTRANGE(""https://docs.google.com/spreadsheets/d/1BmIruG_sIrJLYao_Pdr7zVArWsf"&amp;"oBt2692TMi6x_854/edit?usp=sharing"",""อ่างทอง!L719"")"),0)</f>
        <v>0</v>
      </c>
      <c r="M719" s="77">
        <f ca="1">IFERROR(__xludf.DUMMYFUNCTION("IMPORTRANGE(""https://docs.google.com/spreadsheets/d/13wPX838HrBrQMCywv1BsuMkt4PEKTChp52zj44s2izQ/edit?usp=sharing"",""กาญจนบุรี!M719"")+IMPORTRANGE(""https://docs.google.com/spreadsheets/d/1ddFKvqj1W1NEiWytbGlB1zMx_ykJDVtmfEQ-6-lIUBA/edit?usp=sharing"","&amp;"""จันทบุรี!M719"")+IMPORTRANGE(""https://docs.google.com/spreadsheets/d/1T1PQvRODqOBZk8BRht_U031fIS1beLA0Ub2CEytj2q0/edit?usp=sharing"",""ฉะเชิงเทรา!M719"")+IMPORTRANGE(""https://docs.google.com/spreadsheets/d/11tr1B-Bhyr79v2bkwVh5h_fR-PStkgjlZtkrZpYurG0/"&amp;"edit?usp=sharing"",""ชลบุรี!M719"")+IMPORTRANGE(""https://docs.google.com/spreadsheets/d/1hh-FVnSX0vozXhGluamEcS54Dw9_zqW0N7qJUWgJ0Sw/edit?usp=sharing"",""ชัยนาท!M719"")+IMPORTRANGE(""https://docs.google.com/spreadsheets/d/1jkqa6GXxSacMcY1eN8AHjMNJ_7dDXMJ"&amp;"VRLDlaFSOdPM/edit?usp=sharing"",""ตราด!M719"")+IMPORTRANGE(""https://docs.google.com/spreadsheets/d/18hSgUJ3VwClqi_qtULmmW3cLr0oe3OKaSYoKzdpTsYQ/edit?usp=sharing"",""นครนายก!M719"")+IMPORTRANGE(""https://docs.google.com/spreadsheets/d/1YTZo6WM2dQ6Ix6FSdnL"&amp;"5P7uVnVKu40sxZu975tgG10E/edit?usp=sharing"",""นครปฐม!M719"")+IMPORTRANGE(""https://docs.google.com/spreadsheets/d/1OYoGg4WDg5RIzwGeB10padOxJF9E_Vljuvvct_M7RDo/edit?usp=sharing"",""ปทุมธานี!M719"")+IMPORTRANGE(""https://docs.google.com/spreadsheets/d/1GbCI"&amp;"E4D4wk9FUozzqk7SxfDMxDVBwVmI5zcaVUSzKAc/edit?usp=sharing"",""ประจวบคีรีขันธ์!M719"")+IMPORTRANGE(""https://docs.google.com/spreadsheets/d/1vVf6wykvW_lAyu7Yo9L4hUTqHqIeP_qcVuxCtosJEbg/edit?usp=sharing"",""ปราจีนบุรี!M719"")+IMPORTRANGE(""https://docs.googl"&amp;"e.com/spreadsheets/d/1BIDqLLg5jk3v59G8NlR8rk5xfQDKne0sAvZHSj7TI6I/edit?usp=sharing"",""พระนครศรีอยุธยา!M719"")+IMPORTRANGE(""https://docs.google.com/spreadsheets/d/1YXvxf8Yu6_rV4hTBrwMqAcAnv6DfhUxh5emyM3CJp_w/edit?usp=sharing"",""เพชรบุรี!M719"")+IMPORTRA"&amp;"NGE(""https://docs.google.com/spreadsheets/d/19KBlQQs7uwvsao6t2n-KvW3Ax8J8uRRfZPq1zPbXgKc/edit?usp=sharing"",""ระยอง!M719"")+IMPORTRANGE(""https://docs.google.com/spreadsheets/d/1jQ6P4QcrGM89YfqcC_PxOHGCMq5ezhucwJd8ci-NHng/edit?usp=sharing"",""ราชบุรี!M71"&amp;"9"")+IMPORTRANGE(""https://docs.google.com/spreadsheets/d/1lufeA2cfFqM-elVq2hznhDzC6Pr7wkJ9ZG_sYNGCMCU/edit?usp=sharing"",""ลพบุรี!M719"")+IMPORTRANGE(""https://docs.google.com/spreadsheets/d/10oOiF7loTyfsTkbd4MpaIm0HQ9SwB7IYHdIUvt-U1Uc/edit?usp=sharing"""&amp;",""สระแก้ว!M719"")+IMPORTRANGE(""https://docs.google.com/spreadsheets/d/1xmPlrr1QbdSIKvl1dWUl9K4PjAfSL9oeMr_37QVzcxc/edit?usp=sharing"",""สระบุรี!M719"")+IMPORTRANGE(""https://docs.google.com/spreadsheets/d/1j51vR6CYVGhABJpv6tkstgok82RLpXieLzW1yOY5rHw/edi"&amp;"t?usp=sharing"",""สิงห์บุรี!M719"")+IMPORTRANGE(""https://docs.google.com/spreadsheets/d/1H1EalTWKUSzO4Z1-1CwzoDUaVffgrThEBe2sl74kKG0/edit?usp=sharing"",""สุพรรณบุรี!M719"")+IMPORTRANGE(""https://docs.google.com/spreadsheets/d/1BmIruG_sIrJLYao_Pdr7zVArWsf"&amp;"oBt2692TMi6x_854/edit?usp=sharing"",""อ่างทอง!M719"")"),0)</f>
        <v>0</v>
      </c>
      <c r="N719" s="77">
        <f ca="1">IFERROR(__xludf.DUMMYFUNCTION("IMPORTRANGE(""https://docs.google.com/spreadsheets/d/13wPX838HrBrQMCywv1BsuMkt4PEKTChp52zj44s2izQ/edit?usp=sharing"",""กาญจนบุรี!N719"")+IMPORTRANGE(""https://docs.google.com/spreadsheets/d/1ddFKvqj1W1NEiWytbGlB1zMx_ykJDVtmfEQ-6-lIUBA/edit?usp=sharing"","&amp;"""จันทบุรี!N719"")+IMPORTRANGE(""https://docs.google.com/spreadsheets/d/1T1PQvRODqOBZk8BRht_U031fIS1beLA0Ub2CEytj2q0/edit?usp=sharing"",""ฉะเชิงเทรา!N719"")+IMPORTRANGE(""https://docs.google.com/spreadsheets/d/11tr1B-Bhyr79v2bkwVh5h_fR-PStkgjlZtkrZpYurG0/"&amp;"edit?usp=sharing"",""ชลบุรี!N719"")+IMPORTRANGE(""https://docs.google.com/spreadsheets/d/1hh-FVnSX0vozXhGluamEcS54Dw9_zqW0N7qJUWgJ0Sw/edit?usp=sharing"",""ชัยนาท!N719"")+IMPORTRANGE(""https://docs.google.com/spreadsheets/d/1jkqa6GXxSacMcY1eN8AHjMNJ_7dDXMJ"&amp;"VRLDlaFSOdPM/edit?usp=sharing"",""ตราด!N719"")+IMPORTRANGE(""https://docs.google.com/spreadsheets/d/18hSgUJ3VwClqi_qtULmmW3cLr0oe3OKaSYoKzdpTsYQ/edit?usp=sharing"",""นครนายก!N719"")+IMPORTRANGE(""https://docs.google.com/spreadsheets/d/1YTZo6WM2dQ6Ix6FSdnL"&amp;"5P7uVnVKu40sxZu975tgG10E/edit?usp=sharing"",""นครปฐม!N719"")+IMPORTRANGE(""https://docs.google.com/spreadsheets/d/1OYoGg4WDg5RIzwGeB10padOxJF9E_Vljuvvct_M7RDo/edit?usp=sharing"",""ปทุมธานี!N719"")+IMPORTRANGE(""https://docs.google.com/spreadsheets/d/1GbCI"&amp;"E4D4wk9FUozzqk7SxfDMxDVBwVmI5zcaVUSzKAc/edit?usp=sharing"",""ประจวบคีรีขันธ์!N719"")+IMPORTRANGE(""https://docs.google.com/spreadsheets/d/1vVf6wykvW_lAyu7Yo9L4hUTqHqIeP_qcVuxCtosJEbg/edit?usp=sharing"",""ปราจีนบุรี!N719"")+IMPORTRANGE(""https://docs.googl"&amp;"e.com/spreadsheets/d/1BIDqLLg5jk3v59G8NlR8rk5xfQDKne0sAvZHSj7TI6I/edit?usp=sharing"",""พระนครศรีอยุธยา!N719"")+IMPORTRANGE(""https://docs.google.com/spreadsheets/d/1YXvxf8Yu6_rV4hTBrwMqAcAnv6DfhUxh5emyM3CJp_w/edit?usp=sharing"",""เพชรบุรี!N719"")+IMPORTRA"&amp;"NGE(""https://docs.google.com/spreadsheets/d/19KBlQQs7uwvsao6t2n-KvW3Ax8J8uRRfZPq1zPbXgKc/edit?usp=sharing"",""ระยอง!N719"")+IMPORTRANGE(""https://docs.google.com/spreadsheets/d/1jQ6P4QcrGM89YfqcC_PxOHGCMq5ezhucwJd8ci-NHng/edit?usp=sharing"",""ราชบุรี!N71"&amp;"9"")+IMPORTRANGE(""https://docs.google.com/spreadsheets/d/1lufeA2cfFqM-elVq2hznhDzC6Pr7wkJ9ZG_sYNGCMCU/edit?usp=sharing"",""ลพบุรี!N719"")+IMPORTRANGE(""https://docs.google.com/spreadsheets/d/10oOiF7loTyfsTkbd4MpaIm0HQ9SwB7IYHdIUvt-U1Uc/edit?usp=sharing"""&amp;",""สระแก้ว!N719"")+IMPORTRANGE(""https://docs.google.com/spreadsheets/d/1xmPlrr1QbdSIKvl1dWUl9K4PjAfSL9oeMr_37QVzcxc/edit?usp=sharing"",""สระบุรี!N719"")+IMPORTRANGE(""https://docs.google.com/spreadsheets/d/1j51vR6CYVGhABJpv6tkstgok82RLpXieLzW1yOY5rHw/edi"&amp;"t?usp=sharing"",""สิงห์บุรี!N719"")+IMPORTRANGE(""https://docs.google.com/spreadsheets/d/1H1EalTWKUSzO4Z1-1CwzoDUaVffgrThEBe2sl74kKG0/edit?usp=sharing"",""สุพรรณบุรี!N719"")+IMPORTRANGE(""https://docs.google.com/spreadsheets/d/1BmIruG_sIrJLYao_Pdr7zVArWsf"&amp;"oBt2692TMi6x_854/edit?usp=sharing"",""อ่างทอง!N719"")"),0)</f>
        <v>0</v>
      </c>
      <c r="O719" s="77">
        <f t="shared" ca="1" si="481"/>
        <v>0</v>
      </c>
      <c r="P719" s="77">
        <f t="shared" ca="1" si="482"/>
        <v>0</v>
      </c>
      <c r="Q719" s="76">
        <f ca="1">IFERROR(__xludf.DUMMYFUNCTION("IMPORTRANGE(""https://docs.google.com/spreadsheets/d/13wPX838HrBrQMCywv1BsuMkt4PEKTChp52zj44s2izQ/edit?usp=sharing"",""กาญจนบุรี!Q719"")+IMPORTRANGE(""https://docs.google.com/spreadsheets/d/1ddFKvqj1W1NEiWytbGlB1zMx_ykJDVtmfEQ-6-lIUBA/edit?usp=sharing"","&amp;"""จันทบุรี!Q719"")+IMPORTRANGE(""https://docs.google.com/spreadsheets/d/1T1PQvRODqOBZk8BRht_U031fIS1beLA0Ub2CEytj2q0/edit?usp=sharing"",""ฉะเชิงเทรา!Q719"")+IMPORTRANGE(""https://docs.google.com/spreadsheets/d/11tr1B-Bhyr79v2bkwVh5h_fR-PStkgjlZtkrZpYurG0/"&amp;"edit?usp=sharing"",""ชลบุรี!Q719"")+IMPORTRANGE(""https://docs.google.com/spreadsheets/d/1hh-FVnSX0vozXhGluamEcS54Dw9_zqW0N7qJUWgJ0Sw/edit?usp=sharing"",""ชัยนาท!Q719"")+IMPORTRANGE(""https://docs.google.com/spreadsheets/d/1jkqa6GXxSacMcY1eN8AHjMNJ_7dDXMJ"&amp;"VRLDlaFSOdPM/edit?usp=sharing"",""ตราด!Q719"")+IMPORTRANGE(""https://docs.google.com/spreadsheets/d/18hSgUJ3VwClqi_qtULmmW3cLr0oe3OKaSYoKzdpTsYQ/edit?usp=sharing"",""นครนายก!Q719"")+IMPORTRANGE(""https://docs.google.com/spreadsheets/d/1YTZo6WM2dQ6Ix6FSdnL"&amp;"5P7uVnVKu40sxZu975tgG10E/edit?usp=sharing"",""นครปฐม!Q719"")+IMPORTRANGE(""https://docs.google.com/spreadsheets/d/1OYoGg4WDg5RIzwGeB10padOxJF9E_Vljuvvct_M7RDo/edit?usp=sharing"",""ปทุมธานี!Q719"")+IMPORTRANGE(""https://docs.google.com/spreadsheets/d/1GbCI"&amp;"E4D4wk9FUozzqk7SxfDMxDVBwVmI5zcaVUSzKAc/edit?usp=sharing"",""ประจวบคีรีขันธ์!Q719"")+IMPORTRANGE(""https://docs.google.com/spreadsheets/d/1vVf6wykvW_lAyu7Yo9L4hUTqHqIeP_qcVuxCtosJEbg/edit?usp=sharing"",""ปราจีนบุรี!Q719"")+IMPORTRANGE(""https://docs.googl"&amp;"e.com/spreadsheets/d/1BIDqLLg5jk3v59G8NlR8rk5xfQDKne0sAvZHSj7TI6I/edit?usp=sharing"",""พระนครศรีอยุธยา!Q719"")+IMPORTRANGE(""https://docs.google.com/spreadsheets/d/1YXvxf8Yu6_rV4hTBrwMqAcAnv6DfhUxh5emyM3CJp_w/edit?usp=sharing"",""เพชรบุรี!Q719"")+IMPORTRA"&amp;"NGE(""https://docs.google.com/spreadsheets/d/19KBlQQs7uwvsao6t2n-KvW3Ax8J8uRRfZPq1zPbXgKc/edit?usp=sharing"",""ระยอง!Q719"")+IMPORTRANGE(""https://docs.google.com/spreadsheets/d/1jQ6P4QcrGM89YfqcC_PxOHGCMq5ezhucwJd8ci-NHng/edit?usp=sharing"",""ราชบุรี!Q71"&amp;"9"")+IMPORTRANGE(""https://docs.google.com/spreadsheets/d/1lufeA2cfFqM-elVq2hznhDzC6Pr7wkJ9ZG_sYNGCMCU/edit?usp=sharing"",""ลพบุรี!Q719"")+IMPORTRANGE(""https://docs.google.com/spreadsheets/d/10oOiF7loTyfsTkbd4MpaIm0HQ9SwB7IYHdIUvt-U1Uc/edit?usp=sharing"""&amp;",""สระแก้ว!Q719"")+IMPORTRANGE(""https://docs.google.com/spreadsheets/d/1xmPlrr1QbdSIKvl1dWUl9K4PjAfSL9oeMr_37QVzcxc/edit?usp=sharing"",""สระบุรี!Q719"")+IMPORTRANGE(""https://docs.google.com/spreadsheets/d/1j51vR6CYVGhABJpv6tkstgok82RLpXieLzW1yOY5rHw/edi"&amp;"t?usp=sharing"",""สิงห์บุรี!Q719"")+IMPORTRANGE(""https://docs.google.com/spreadsheets/d/1H1EalTWKUSzO4Z1-1CwzoDUaVffgrThEBe2sl74kKG0/edit?usp=sharing"",""สุพรรณบุรี!Q719"")+IMPORTRANGE(""https://docs.google.com/spreadsheets/d/1BmIruG_sIrJLYao_Pdr7zVArWsf"&amp;"oBt2692TMi6x_854/edit?usp=sharing"",""อ่างทอง!Q719"")"),0)</f>
        <v>0</v>
      </c>
      <c r="R719" s="77">
        <f ca="1">IFERROR(__xludf.DUMMYFUNCTION("IMPORTRANGE(""https://docs.google.com/spreadsheets/d/13wPX838HrBrQMCywv1BsuMkt4PEKTChp52zj44s2izQ/edit?usp=sharing"",""กาญจนบุรี!R719"")+IMPORTRANGE(""https://docs.google.com/spreadsheets/d/1ddFKvqj1W1NEiWytbGlB1zMx_ykJDVtmfEQ-6-lIUBA/edit?usp=sharing"","&amp;"""จันทบุรี!R719"")+IMPORTRANGE(""https://docs.google.com/spreadsheets/d/1T1PQvRODqOBZk8BRht_U031fIS1beLA0Ub2CEytj2q0/edit?usp=sharing"",""ฉะเชิงเทรา!R719"")+IMPORTRANGE(""https://docs.google.com/spreadsheets/d/11tr1B-Bhyr79v2bkwVh5h_fR-PStkgjlZtkrZpYurG0/"&amp;"edit?usp=sharing"",""ชลบุรี!R719"")+IMPORTRANGE(""https://docs.google.com/spreadsheets/d/1hh-FVnSX0vozXhGluamEcS54Dw9_zqW0N7qJUWgJ0Sw/edit?usp=sharing"",""ชัยนาท!R719"")+IMPORTRANGE(""https://docs.google.com/spreadsheets/d/1jkqa6GXxSacMcY1eN8AHjMNJ_7dDXMJ"&amp;"VRLDlaFSOdPM/edit?usp=sharing"",""ตราด!R719"")+IMPORTRANGE(""https://docs.google.com/spreadsheets/d/18hSgUJ3VwClqi_qtULmmW3cLr0oe3OKaSYoKzdpTsYQ/edit?usp=sharing"",""นครนายก!R719"")+IMPORTRANGE(""https://docs.google.com/spreadsheets/d/1YTZo6WM2dQ6Ix6FSdnL"&amp;"5P7uVnVKu40sxZu975tgG10E/edit?usp=sharing"",""นครปฐม!R719"")+IMPORTRANGE(""https://docs.google.com/spreadsheets/d/1OYoGg4WDg5RIzwGeB10padOxJF9E_Vljuvvct_M7RDo/edit?usp=sharing"",""ปทุมธานี!R719"")+IMPORTRANGE(""https://docs.google.com/spreadsheets/d/1GbCI"&amp;"E4D4wk9FUozzqk7SxfDMxDVBwVmI5zcaVUSzKAc/edit?usp=sharing"",""ประจวบคีรีขันธ์!R719"")+IMPORTRANGE(""https://docs.google.com/spreadsheets/d/1vVf6wykvW_lAyu7Yo9L4hUTqHqIeP_qcVuxCtosJEbg/edit?usp=sharing"",""ปราจีนบุรี!R719"")+IMPORTRANGE(""https://docs.googl"&amp;"e.com/spreadsheets/d/1BIDqLLg5jk3v59G8NlR8rk5xfQDKne0sAvZHSj7TI6I/edit?usp=sharing"",""พระนครศรีอยุธยา!R719"")+IMPORTRANGE(""https://docs.google.com/spreadsheets/d/1YXvxf8Yu6_rV4hTBrwMqAcAnv6DfhUxh5emyM3CJp_w/edit?usp=sharing"",""เพชรบุรี!R719"")+IMPORTRA"&amp;"NGE(""https://docs.google.com/spreadsheets/d/19KBlQQs7uwvsao6t2n-KvW3Ax8J8uRRfZPq1zPbXgKc/edit?usp=sharing"",""ระยอง!R719"")+IMPORTRANGE(""https://docs.google.com/spreadsheets/d/1jQ6P4QcrGM89YfqcC_PxOHGCMq5ezhucwJd8ci-NHng/edit?usp=sharing"",""ราชบุรี!R71"&amp;"9"")+IMPORTRANGE(""https://docs.google.com/spreadsheets/d/1lufeA2cfFqM-elVq2hznhDzC6Pr7wkJ9ZG_sYNGCMCU/edit?usp=sharing"",""ลพบุรี!R719"")+IMPORTRANGE(""https://docs.google.com/spreadsheets/d/10oOiF7loTyfsTkbd4MpaIm0HQ9SwB7IYHdIUvt-U1Uc/edit?usp=sharing"""&amp;",""สระแก้ว!R719"")+IMPORTRANGE(""https://docs.google.com/spreadsheets/d/1xmPlrr1QbdSIKvl1dWUl9K4PjAfSL9oeMr_37QVzcxc/edit?usp=sharing"",""สระบุรี!R719"")+IMPORTRANGE(""https://docs.google.com/spreadsheets/d/1j51vR6CYVGhABJpv6tkstgok82RLpXieLzW1yOY5rHw/edi"&amp;"t?usp=sharing"",""สิงห์บุรี!R719"")+IMPORTRANGE(""https://docs.google.com/spreadsheets/d/1H1EalTWKUSzO4Z1-1CwzoDUaVffgrThEBe2sl74kKG0/edit?usp=sharing"",""สุพรรณบุรี!R719"")+IMPORTRANGE(""https://docs.google.com/spreadsheets/d/1BmIruG_sIrJLYao_Pdr7zVArWsf"&amp;"oBt2692TMi6x_854/edit?usp=sharing"",""อ่างทอง!R719"")"),0)</f>
        <v>0</v>
      </c>
      <c r="S719" s="77">
        <f ca="1">IFERROR(__xludf.DUMMYFUNCTION("IMPORTRANGE(""https://docs.google.com/spreadsheets/d/13wPX838HrBrQMCywv1BsuMkt4PEKTChp52zj44s2izQ/edit?usp=sharing"",""กาญจนบุรี!S719"")+IMPORTRANGE(""https://docs.google.com/spreadsheets/d/1ddFKvqj1W1NEiWytbGlB1zMx_ykJDVtmfEQ-6-lIUBA/edit?usp=sharing"","&amp;"""จันทบุรี!S719"")+IMPORTRANGE(""https://docs.google.com/spreadsheets/d/1T1PQvRODqOBZk8BRht_U031fIS1beLA0Ub2CEytj2q0/edit?usp=sharing"",""ฉะเชิงเทรา!S719"")+IMPORTRANGE(""https://docs.google.com/spreadsheets/d/11tr1B-Bhyr79v2bkwVh5h_fR-PStkgjlZtkrZpYurG0/"&amp;"edit?usp=sharing"",""ชลบุรี!S719"")+IMPORTRANGE(""https://docs.google.com/spreadsheets/d/1hh-FVnSX0vozXhGluamEcS54Dw9_zqW0N7qJUWgJ0Sw/edit?usp=sharing"",""ชัยนาท!S719"")+IMPORTRANGE(""https://docs.google.com/spreadsheets/d/1jkqa6GXxSacMcY1eN8AHjMNJ_7dDXMJ"&amp;"VRLDlaFSOdPM/edit?usp=sharing"",""ตราด!S719"")+IMPORTRANGE(""https://docs.google.com/spreadsheets/d/18hSgUJ3VwClqi_qtULmmW3cLr0oe3OKaSYoKzdpTsYQ/edit?usp=sharing"",""นครนายก!S719"")+IMPORTRANGE(""https://docs.google.com/spreadsheets/d/1YTZo6WM2dQ6Ix6FSdnL"&amp;"5P7uVnVKu40sxZu975tgG10E/edit?usp=sharing"",""นครปฐม!S719"")+IMPORTRANGE(""https://docs.google.com/spreadsheets/d/1OYoGg4WDg5RIzwGeB10padOxJF9E_Vljuvvct_M7RDo/edit?usp=sharing"",""ปทุมธานี!S719"")+IMPORTRANGE(""https://docs.google.com/spreadsheets/d/1GbCI"&amp;"E4D4wk9FUozzqk7SxfDMxDVBwVmI5zcaVUSzKAc/edit?usp=sharing"",""ประจวบคีรีขันธ์!S719"")+IMPORTRANGE(""https://docs.google.com/spreadsheets/d/1vVf6wykvW_lAyu7Yo9L4hUTqHqIeP_qcVuxCtosJEbg/edit?usp=sharing"",""ปราจีนบุรี!S719"")+IMPORTRANGE(""https://docs.googl"&amp;"e.com/spreadsheets/d/1BIDqLLg5jk3v59G8NlR8rk5xfQDKne0sAvZHSj7TI6I/edit?usp=sharing"",""พระนครศรีอยุธยา!S719"")+IMPORTRANGE(""https://docs.google.com/spreadsheets/d/1YXvxf8Yu6_rV4hTBrwMqAcAnv6DfhUxh5emyM3CJp_w/edit?usp=sharing"",""เพชรบุรี!S719"")+IMPORTRA"&amp;"NGE(""https://docs.google.com/spreadsheets/d/19KBlQQs7uwvsao6t2n-KvW3Ax8J8uRRfZPq1zPbXgKc/edit?usp=sharing"",""ระยอง!S719"")+IMPORTRANGE(""https://docs.google.com/spreadsheets/d/1jQ6P4QcrGM89YfqcC_PxOHGCMq5ezhucwJd8ci-NHng/edit?usp=sharing"",""ราชบุรี!S71"&amp;"9"")+IMPORTRANGE(""https://docs.google.com/spreadsheets/d/1lufeA2cfFqM-elVq2hznhDzC6Pr7wkJ9ZG_sYNGCMCU/edit?usp=sharing"",""ลพบุรี!S719"")+IMPORTRANGE(""https://docs.google.com/spreadsheets/d/10oOiF7loTyfsTkbd4MpaIm0HQ9SwB7IYHdIUvt-U1Uc/edit?usp=sharing"""&amp;",""สระแก้ว!S719"")+IMPORTRANGE(""https://docs.google.com/spreadsheets/d/1xmPlrr1QbdSIKvl1dWUl9K4PjAfSL9oeMr_37QVzcxc/edit?usp=sharing"",""สระบุรี!S719"")+IMPORTRANGE(""https://docs.google.com/spreadsheets/d/1j51vR6CYVGhABJpv6tkstgok82RLpXieLzW1yOY5rHw/edi"&amp;"t?usp=sharing"",""สิงห์บุรี!S719"")+IMPORTRANGE(""https://docs.google.com/spreadsheets/d/1H1EalTWKUSzO4Z1-1CwzoDUaVffgrThEBe2sl74kKG0/edit?usp=sharing"",""สุพรรณบุรี!S719"")+IMPORTRANGE(""https://docs.google.com/spreadsheets/d/1BmIruG_sIrJLYao_Pdr7zVArWsf"&amp;"oBt2692TMi6x_854/edit?usp=sharing"",""อ่างทอง!S719"")"),0)</f>
        <v>0</v>
      </c>
      <c r="T719" s="135">
        <f t="shared" ca="1" si="484"/>
        <v>0</v>
      </c>
      <c r="U719" s="135">
        <f t="shared" ca="1" si="485"/>
        <v>0</v>
      </c>
    </row>
    <row r="720" spans="1:21" ht="19.5" x14ac:dyDescent="0.3">
      <c r="A720" s="259"/>
      <c r="B720" s="271"/>
      <c r="C720" s="271"/>
      <c r="D720" s="685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7">
        <f t="shared" ref="L720:N720" ca="1" si="492">L721+L722</f>
        <v>0</v>
      </c>
      <c r="M720" s="77">
        <f t="shared" ca="1" si="492"/>
        <v>0</v>
      </c>
      <c r="N720" s="77">
        <f t="shared" ca="1" si="492"/>
        <v>0</v>
      </c>
      <c r="O720" s="77">
        <f t="shared" ca="1" si="481"/>
        <v>0</v>
      </c>
      <c r="P720" s="77">
        <f t="shared" ca="1" si="482"/>
        <v>0</v>
      </c>
      <c r="Q720" s="134">
        <f t="shared" ref="Q720:S720" ca="1" si="493">Q721+Q722</f>
        <v>0</v>
      </c>
      <c r="R720" s="135">
        <f t="shared" ca="1" si="493"/>
        <v>0</v>
      </c>
      <c r="S720" s="135">
        <f t="shared" ca="1" si="493"/>
        <v>0</v>
      </c>
      <c r="T720" s="135">
        <f t="shared" ca="1" si="484"/>
        <v>0</v>
      </c>
      <c r="U720" s="135">
        <f t="shared" ca="1" si="485"/>
        <v>0</v>
      </c>
    </row>
    <row r="721" spans="1:21" ht="18.75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f ca="1">IFERROR(__xludf.DUMMYFUNCTION("IMPORTRANGE(""https://docs.google.com/spreadsheets/d/13wPX838HrBrQMCywv1BsuMkt4PEKTChp52zj44s2izQ/edit?usp=sharing"",""กาญจนบุรี!L721"")+IMPORTRANGE(""https://docs.google.com/spreadsheets/d/1ddFKvqj1W1NEiWytbGlB1zMx_ykJDVtmfEQ-6-lIUBA/edit?usp=sharing"","&amp;"""จันทบุรี!L721"")+IMPORTRANGE(""https://docs.google.com/spreadsheets/d/1T1PQvRODqOBZk8BRht_U031fIS1beLA0Ub2CEytj2q0/edit?usp=sharing"",""ฉะเชิงเทรา!L721"")+IMPORTRANGE(""https://docs.google.com/spreadsheets/d/11tr1B-Bhyr79v2bkwVh5h_fR-PStkgjlZtkrZpYurG0/"&amp;"edit?usp=sharing"",""ชลบุรี!L721"")+IMPORTRANGE(""https://docs.google.com/spreadsheets/d/1hh-FVnSX0vozXhGluamEcS54Dw9_zqW0N7qJUWgJ0Sw/edit?usp=sharing"",""ชัยนาท!L721"")+IMPORTRANGE(""https://docs.google.com/spreadsheets/d/1jkqa6GXxSacMcY1eN8AHjMNJ_7dDXMJ"&amp;"VRLDlaFSOdPM/edit?usp=sharing"",""ตราด!L721"")+IMPORTRANGE(""https://docs.google.com/spreadsheets/d/18hSgUJ3VwClqi_qtULmmW3cLr0oe3OKaSYoKzdpTsYQ/edit?usp=sharing"",""นครนายก!L721"")+IMPORTRANGE(""https://docs.google.com/spreadsheets/d/1YTZo6WM2dQ6Ix6FSdnL"&amp;"5P7uVnVKu40sxZu975tgG10E/edit?usp=sharing"",""นครปฐม!L721"")+IMPORTRANGE(""https://docs.google.com/spreadsheets/d/1OYoGg4WDg5RIzwGeB10padOxJF9E_Vljuvvct_M7RDo/edit?usp=sharing"",""ปทุมธานี!L721"")+IMPORTRANGE(""https://docs.google.com/spreadsheets/d/1GbCI"&amp;"E4D4wk9FUozzqk7SxfDMxDVBwVmI5zcaVUSzKAc/edit?usp=sharing"",""ประจวบคีรีขันธ์!L721"")+IMPORTRANGE(""https://docs.google.com/spreadsheets/d/1vVf6wykvW_lAyu7Yo9L4hUTqHqIeP_qcVuxCtosJEbg/edit?usp=sharing"",""ปราจีนบุรี!L721"")+IMPORTRANGE(""https://docs.googl"&amp;"e.com/spreadsheets/d/1BIDqLLg5jk3v59G8NlR8rk5xfQDKne0sAvZHSj7TI6I/edit?usp=sharing"",""พระนครศรีอยุธยา!L721"")+IMPORTRANGE(""https://docs.google.com/spreadsheets/d/1YXvxf8Yu6_rV4hTBrwMqAcAnv6DfhUxh5emyM3CJp_w/edit?usp=sharing"",""เพชรบุรี!L721"")+IMPORTRA"&amp;"NGE(""https://docs.google.com/spreadsheets/d/19KBlQQs7uwvsao6t2n-KvW3Ax8J8uRRfZPq1zPbXgKc/edit?usp=sharing"",""ระยอง!L721"")+IMPORTRANGE(""https://docs.google.com/spreadsheets/d/1jQ6P4QcrGM89YfqcC_PxOHGCMq5ezhucwJd8ci-NHng/edit?usp=sharing"",""ราชบุรี!L72"&amp;"1"")+IMPORTRANGE(""https://docs.google.com/spreadsheets/d/1lufeA2cfFqM-elVq2hznhDzC6Pr7wkJ9ZG_sYNGCMCU/edit?usp=sharing"",""ลพบุรี!L721"")+IMPORTRANGE(""https://docs.google.com/spreadsheets/d/10oOiF7loTyfsTkbd4MpaIm0HQ9SwB7IYHdIUvt-U1Uc/edit?usp=sharing"""&amp;",""สระแก้ว!L721"")+IMPORTRANGE(""https://docs.google.com/spreadsheets/d/1xmPlrr1QbdSIKvl1dWUl9K4PjAfSL9oeMr_37QVzcxc/edit?usp=sharing"",""สระบุรี!L721"")+IMPORTRANGE(""https://docs.google.com/spreadsheets/d/1j51vR6CYVGhABJpv6tkstgok82RLpXieLzW1yOY5rHw/edi"&amp;"t?usp=sharing"",""สิงห์บุรี!L721"")+IMPORTRANGE(""https://docs.google.com/spreadsheets/d/1H1EalTWKUSzO4Z1-1CwzoDUaVffgrThEBe2sl74kKG0/edit?usp=sharing"",""สุพรรณบุรี!L721"")+IMPORTRANGE(""https://docs.google.com/spreadsheets/d/1BmIruG_sIrJLYao_Pdr7zVArWsf"&amp;"oBt2692TMi6x_854/edit?usp=sharing"",""อ่างทอง!L721"")"),0)</f>
        <v>0</v>
      </c>
      <c r="M721" s="80">
        <f ca="1">IFERROR(__xludf.DUMMYFUNCTION("IMPORTRANGE(""https://docs.google.com/spreadsheets/d/13wPX838HrBrQMCywv1BsuMkt4PEKTChp52zj44s2izQ/edit?usp=sharing"",""กาญจนบุรี!M721"")+IMPORTRANGE(""https://docs.google.com/spreadsheets/d/1ddFKvqj1W1NEiWytbGlB1zMx_ykJDVtmfEQ-6-lIUBA/edit?usp=sharing"","&amp;"""จันทบุรี!M721"")+IMPORTRANGE(""https://docs.google.com/spreadsheets/d/1T1PQvRODqOBZk8BRht_U031fIS1beLA0Ub2CEytj2q0/edit?usp=sharing"",""ฉะเชิงเทรา!M721"")+IMPORTRANGE(""https://docs.google.com/spreadsheets/d/11tr1B-Bhyr79v2bkwVh5h_fR-PStkgjlZtkrZpYurG0/"&amp;"edit?usp=sharing"",""ชลบุรี!M721"")+IMPORTRANGE(""https://docs.google.com/spreadsheets/d/1hh-FVnSX0vozXhGluamEcS54Dw9_zqW0N7qJUWgJ0Sw/edit?usp=sharing"",""ชัยนาท!M721"")+IMPORTRANGE(""https://docs.google.com/spreadsheets/d/1jkqa6GXxSacMcY1eN8AHjMNJ_7dDXMJ"&amp;"VRLDlaFSOdPM/edit?usp=sharing"",""ตราด!M721"")+IMPORTRANGE(""https://docs.google.com/spreadsheets/d/18hSgUJ3VwClqi_qtULmmW3cLr0oe3OKaSYoKzdpTsYQ/edit?usp=sharing"",""นครนายก!M721"")+IMPORTRANGE(""https://docs.google.com/spreadsheets/d/1YTZo6WM2dQ6Ix6FSdnL"&amp;"5P7uVnVKu40sxZu975tgG10E/edit?usp=sharing"",""นครปฐม!M721"")+IMPORTRANGE(""https://docs.google.com/spreadsheets/d/1OYoGg4WDg5RIzwGeB10padOxJF9E_Vljuvvct_M7RDo/edit?usp=sharing"",""ปทุมธานี!M721"")+IMPORTRANGE(""https://docs.google.com/spreadsheets/d/1GbCI"&amp;"E4D4wk9FUozzqk7SxfDMxDVBwVmI5zcaVUSzKAc/edit?usp=sharing"",""ประจวบคีรีขันธ์!M721"")+IMPORTRANGE(""https://docs.google.com/spreadsheets/d/1vVf6wykvW_lAyu7Yo9L4hUTqHqIeP_qcVuxCtosJEbg/edit?usp=sharing"",""ปราจีนบุรี!M721"")+IMPORTRANGE(""https://docs.googl"&amp;"e.com/spreadsheets/d/1BIDqLLg5jk3v59G8NlR8rk5xfQDKne0sAvZHSj7TI6I/edit?usp=sharing"",""พระนครศรีอยุธยา!M721"")+IMPORTRANGE(""https://docs.google.com/spreadsheets/d/1YXvxf8Yu6_rV4hTBrwMqAcAnv6DfhUxh5emyM3CJp_w/edit?usp=sharing"",""เพชรบุรี!M721"")+IMPORTRA"&amp;"NGE(""https://docs.google.com/spreadsheets/d/19KBlQQs7uwvsao6t2n-KvW3Ax8J8uRRfZPq1zPbXgKc/edit?usp=sharing"",""ระยอง!M721"")+IMPORTRANGE(""https://docs.google.com/spreadsheets/d/1jQ6P4QcrGM89YfqcC_PxOHGCMq5ezhucwJd8ci-NHng/edit?usp=sharing"",""ราชบุรี!M72"&amp;"1"")+IMPORTRANGE(""https://docs.google.com/spreadsheets/d/1lufeA2cfFqM-elVq2hznhDzC6Pr7wkJ9ZG_sYNGCMCU/edit?usp=sharing"",""ลพบุรี!M721"")+IMPORTRANGE(""https://docs.google.com/spreadsheets/d/10oOiF7loTyfsTkbd4MpaIm0HQ9SwB7IYHdIUvt-U1Uc/edit?usp=sharing"""&amp;",""สระแก้ว!M721"")+IMPORTRANGE(""https://docs.google.com/spreadsheets/d/1xmPlrr1QbdSIKvl1dWUl9K4PjAfSL9oeMr_37QVzcxc/edit?usp=sharing"",""สระบุรี!M721"")+IMPORTRANGE(""https://docs.google.com/spreadsheets/d/1j51vR6CYVGhABJpv6tkstgok82RLpXieLzW1yOY5rHw/edi"&amp;"t?usp=sharing"",""สิงห์บุรี!M721"")+IMPORTRANGE(""https://docs.google.com/spreadsheets/d/1H1EalTWKUSzO4Z1-1CwzoDUaVffgrThEBe2sl74kKG0/edit?usp=sharing"",""สุพรรณบุรี!M721"")+IMPORTRANGE(""https://docs.google.com/spreadsheets/d/1BmIruG_sIrJLYao_Pdr7zVArWsf"&amp;"oBt2692TMi6x_854/edit?usp=sharing"",""อ่างทอง!M721"")"),0)</f>
        <v>0</v>
      </c>
      <c r="N721" s="80">
        <f ca="1">IFERROR(__xludf.DUMMYFUNCTION("IMPORTRANGE(""https://docs.google.com/spreadsheets/d/13wPX838HrBrQMCywv1BsuMkt4PEKTChp52zj44s2izQ/edit?usp=sharing"",""กาญจนบุรี!N721"")+IMPORTRANGE(""https://docs.google.com/spreadsheets/d/1ddFKvqj1W1NEiWytbGlB1zMx_ykJDVtmfEQ-6-lIUBA/edit?usp=sharing"","&amp;"""จันทบุรี!N721"")+IMPORTRANGE(""https://docs.google.com/spreadsheets/d/1T1PQvRODqOBZk8BRht_U031fIS1beLA0Ub2CEytj2q0/edit?usp=sharing"",""ฉะเชิงเทรา!N721"")+IMPORTRANGE(""https://docs.google.com/spreadsheets/d/11tr1B-Bhyr79v2bkwVh5h_fR-PStkgjlZtkrZpYurG0/"&amp;"edit?usp=sharing"",""ชลบุรี!N721"")+IMPORTRANGE(""https://docs.google.com/spreadsheets/d/1hh-FVnSX0vozXhGluamEcS54Dw9_zqW0N7qJUWgJ0Sw/edit?usp=sharing"",""ชัยนาท!N721"")+IMPORTRANGE(""https://docs.google.com/spreadsheets/d/1jkqa6GXxSacMcY1eN8AHjMNJ_7dDXMJ"&amp;"VRLDlaFSOdPM/edit?usp=sharing"",""ตราด!N721"")+IMPORTRANGE(""https://docs.google.com/spreadsheets/d/18hSgUJ3VwClqi_qtULmmW3cLr0oe3OKaSYoKzdpTsYQ/edit?usp=sharing"",""นครนายก!N721"")+IMPORTRANGE(""https://docs.google.com/spreadsheets/d/1YTZo6WM2dQ6Ix6FSdnL"&amp;"5P7uVnVKu40sxZu975tgG10E/edit?usp=sharing"",""นครปฐม!N721"")+IMPORTRANGE(""https://docs.google.com/spreadsheets/d/1OYoGg4WDg5RIzwGeB10padOxJF9E_Vljuvvct_M7RDo/edit?usp=sharing"",""ปทุมธานี!N721"")+IMPORTRANGE(""https://docs.google.com/spreadsheets/d/1GbCI"&amp;"E4D4wk9FUozzqk7SxfDMxDVBwVmI5zcaVUSzKAc/edit?usp=sharing"",""ประจวบคีรีขันธ์!N721"")+IMPORTRANGE(""https://docs.google.com/spreadsheets/d/1vVf6wykvW_lAyu7Yo9L4hUTqHqIeP_qcVuxCtosJEbg/edit?usp=sharing"",""ปราจีนบุรี!N721"")+IMPORTRANGE(""https://docs.googl"&amp;"e.com/spreadsheets/d/1BIDqLLg5jk3v59G8NlR8rk5xfQDKne0sAvZHSj7TI6I/edit?usp=sharing"",""พระนครศรีอยุธยา!N721"")+IMPORTRANGE(""https://docs.google.com/spreadsheets/d/1YXvxf8Yu6_rV4hTBrwMqAcAnv6DfhUxh5emyM3CJp_w/edit?usp=sharing"",""เพชรบุรี!N721"")+IMPORTRA"&amp;"NGE(""https://docs.google.com/spreadsheets/d/19KBlQQs7uwvsao6t2n-KvW3Ax8J8uRRfZPq1zPbXgKc/edit?usp=sharing"",""ระยอง!N721"")+IMPORTRANGE(""https://docs.google.com/spreadsheets/d/1jQ6P4QcrGM89YfqcC_PxOHGCMq5ezhucwJd8ci-NHng/edit?usp=sharing"",""ราชบุรี!N72"&amp;"1"")+IMPORTRANGE(""https://docs.google.com/spreadsheets/d/1lufeA2cfFqM-elVq2hznhDzC6Pr7wkJ9ZG_sYNGCMCU/edit?usp=sharing"",""ลพบุรี!N721"")+IMPORTRANGE(""https://docs.google.com/spreadsheets/d/10oOiF7loTyfsTkbd4MpaIm0HQ9SwB7IYHdIUvt-U1Uc/edit?usp=sharing"""&amp;",""สระแก้ว!N721"")+IMPORTRANGE(""https://docs.google.com/spreadsheets/d/1xmPlrr1QbdSIKvl1dWUl9K4PjAfSL9oeMr_37QVzcxc/edit?usp=sharing"",""สระบุรี!N721"")+IMPORTRANGE(""https://docs.google.com/spreadsheets/d/1j51vR6CYVGhABJpv6tkstgok82RLpXieLzW1yOY5rHw/edi"&amp;"t?usp=sharing"",""สิงห์บุรี!N721"")+IMPORTRANGE(""https://docs.google.com/spreadsheets/d/1H1EalTWKUSzO4Z1-1CwzoDUaVffgrThEBe2sl74kKG0/edit?usp=sharing"",""สุพรรณบุรี!N721"")+IMPORTRANGE(""https://docs.google.com/spreadsheets/d/1BmIruG_sIrJLYao_Pdr7zVArWsf"&amp;"oBt2692TMi6x_854/edit?usp=sharing"",""อ่างทอง!N721"")"),0)</f>
        <v>0</v>
      </c>
      <c r="O721" s="80">
        <f t="shared" ca="1" si="481"/>
        <v>0</v>
      </c>
      <c r="P721" s="80">
        <f t="shared" ca="1" si="482"/>
        <v>0</v>
      </c>
      <c r="Q721" s="79">
        <f ca="1">IFERROR(__xludf.DUMMYFUNCTION("IMPORTRANGE(""https://docs.google.com/spreadsheets/d/13wPX838HrBrQMCywv1BsuMkt4PEKTChp52zj44s2izQ/edit?usp=sharing"",""กาญจนบุรี!Q721"")+IMPORTRANGE(""https://docs.google.com/spreadsheets/d/1ddFKvqj1W1NEiWytbGlB1zMx_ykJDVtmfEQ-6-lIUBA/edit?usp=sharing"","&amp;"""จันทบุรี!Q721"")+IMPORTRANGE(""https://docs.google.com/spreadsheets/d/1T1PQvRODqOBZk8BRht_U031fIS1beLA0Ub2CEytj2q0/edit?usp=sharing"",""ฉะเชิงเทรา!Q721"")+IMPORTRANGE(""https://docs.google.com/spreadsheets/d/11tr1B-Bhyr79v2bkwVh5h_fR-PStkgjlZtkrZpYurG0/"&amp;"edit?usp=sharing"",""ชลบุรี!Q721"")+IMPORTRANGE(""https://docs.google.com/spreadsheets/d/1hh-FVnSX0vozXhGluamEcS54Dw9_zqW0N7qJUWgJ0Sw/edit?usp=sharing"",""ชัยนาท!Q721"")+IMPORTRANGE(""https://docs.google.com/spreadsheets/d/1jkqa6GXxSacMcY1eN8AHjMNJ_7dDXMJ"&amp;"VRLDlaFSOdPM/edit?usp=sharing"",""ตราด!Q721"")+IMPORTRANGE(""https://docs.google.com/spreadsheets/d/18hSgUJ3VwClqi_qtULmmW3cLr0oe3OKaSYoKzdpTsYQ/edit?usp=sharing"",""นครนายก!Q721"")+IMPORTRANGE(""https://docs.google.com/spreadsheets/d/1YTZo6WM2dQ6Ix6FSdnL"&amp;"5P7uVnVKu40sxZu975tgG10E/edit?usp=sharing"",""นครปฐม!Q721"")+IMPORTRANGE(""https://docs.google.com/spreadsheets/d/1OYoGg4WDg5RIzwGeB10padOxJF9E_Vljuvvct_M7RDo/edit?usp=sharing"",""ปทุมธานี!Q721"")+IMPORTRANGE(""https://docs.google.com/spreadsheets/d/1GbCI"&amp;"E4D4wk9FUozzqk7SxfDMxDVBwVmI5zcaVUSzKAc/edit?usp=sharing"",""ประจวบคีรีขันธ์!Q721"")+IMPORTRANGE(""https://docs.google.com/spreadsheets/d/1vVf6wykvW_lAyu7Yo9L4hUTqHqIeP_qcVuxCtosJEbg/edit?usp=sharing"",""ปราจีนบุรี!Q721"")+IMPORTRANGE(""https://docs.googl"&amp;"e.com/spreadsheets/d/1BIDqLLg5jk3v59G8NlR8rk5xfQDKne0sAvZHSj7TI6I/edit?usp=sharing"",""พระนครศรีอยุธยา!Q721"")+IMPORTRANGE(""https://docs.google.com/spreadsheets/d/1YXvxf8Yu6_rV4hTBrwMqAcAnv6DfhUxh5emyM3CJp_w/edit?usp=sharing"",""เพชรบุรี!Q721"")+IMPORTRA"&amp;"NGE(""https://docs.google.com/spreadsheets/d/19KBlQQs7uwvsao6t2n-KvW3Ax8J8uRRfZPq1zPbXgKc/edit?usp=sharing"",""ระยอง!Q721"")+IMPORTRANGE(""https://docs.google.com/spreadsheets/d/1jQ6P4QcrGM89YfqcC_PxOHGCMq5ezhucwJd8ci-NHng/edit?usp=sharing"",""ราชบุรี!Q72"&amp;"1"")+IMPORTRANGE(""https://docs.google.com/spreadsheets/d/1lufeA2cfFqM-elVq2hznhDzC6Pr7wkJ9ZG_sYNGCMCU/edit?usp=sharing"",""ลพบุรี!Q721"")+IMPORTRANGE(""https://docs.google.com/spreadsheets/d/10oOiF7loTyfsTkbd4MpaIm0HQ9SwB7IYHdIUvt-U1Uc/edit?usp=sharing"""&amp;",""สระแก้ว!Q721"")+IMPORTRANGE(""https://docs.google.com/spreadsheets/d/1xmPlrr1QbdSIKvl1dWUl9K4PjAfSL9oeMr_37QVzcxc/edit?usp=sharing"",""สระบุรี!Q721"")+IMPORTRANGE(""https://docs.google.com/spreadsheets/d/1j51vR6CYVGhABJpv6tkstgok82RLpXieLzW1yOY5rHw/edi"&amp;"t?usp=sharing"",""สิงห์บุรี!Q721"")+IMPORTRANGE(""https://docs.google.com/spreadsheets/d/1H1EalTWKUSzO4Z1-1CwzoDUaVffgrThEBe2sl74kKG0/edit?usp=sharing"",""สุพรรณบุรี!Q721"")+IMPORTRANGE(""https://docs.google.com/spreadsheets/d/1BmIruG_sIrJLYao_Pdr7zVArWsf"&amp;"oBt2692TMi6x_854/edit?usp=sharing"",""อ่างทอง!Q721"")"),0)</f>
        <v>0</v>
      </c>
      <c r="R721" s="80">
        <f ca="1">IFERROR(__xludf.DUMMYFUNCTION("IMPORTRANGE(""https://docs.google.com/spreadsheets/d/13wPX838HrBrQMCywv1BsuMkt4PEKTChp52zj44s2izQ/edit?usp=sharing"",""กาญจนบุรี!R721"")+IMPORTRANGE(""https://docs.google.com/spreadsheets/d/1ddFKvqj1W1NEiWytbGlB1zMx_ykJDVtmfEQ-6-lIUBA/edit?usp=sharing"","&amp;"""จันทบุรี!R721"")+IMPORTRANGE(""https://docs.google.com/spreadsheets/d/1T1PQvRODqOBZk8BRht_U031fIS1beLA0Ub2CEytj2q0/edit?usp=sharing"",""ฉะเชิงเทรา!R721"")+IMPORTRANGE(""https://docs.google.com/spreadsheets/d/11tr1B-Bhyr79v2bkwVh5h_fR-PStkgjlZtkrZpYurG0/"&amp;"edit?usp=sharing"",""ชลบุรี!R721"")+IMPORTRANGE(""https://docs.google.com/spreadsheets/d/1hh-FVnSX0vozXhGluamEcS54Dw9_zqW0N7qJUWgJ0Sw/edit?usp=sharing"",""ชัยนาท!R721"")+IMPORTRANGE(""https://docs.google.com/spreadsheets/d/1jkqa6GXxSacMcY1eN8AHjMNJ_7dDXMJ"&amp;"VRLDlaFSOdPM/edit?usp=sharing"",""ตราด!R721"")+IMPORTRANGE(""https://docs.google.com/spreadsheets/d/18hSgUJ3VwClqi_qtULmmW3cLr0oe3OKaSYoKzdpTsYQ/edit?usp=sharing"",""นครนายก!R721"")+IMPORTRANGE(""https://docs.google.com/spreadsheets/d/1YTZo6WM2dQ6Ix6FSdnL"&amp;"5P7uVnVKu40sxZu975tgG10E/edit?usp=sharing"",""นครปฐม!R721"")+IMPORTRANGE(""https://docs.google.com/spreadsheets/d/1OYoGg4WDg5RIzwGeB10padOxJF9E_Vljuvvct_M7RDo/edit?usp=sharing"",""ปทุมธานี!R721"")+IMPORTRANGE(""https://docs.google.com/spreadsheets/d/1GbCI"&amp;"E4D4wk9FUozzqk7SxfDMxDVBwVmI5zcaVUSzKAc/edit?usp=sharing"",""ประจวบคีรีขันธ์!R721"")+IMPORTRANGE(""https://docs.google.com/spreadsheets/d/1vVf6wykvW_lAyu7Yo9L4hUTqHqIeP_qcVuxCtosJEbg/edit?usp=sharing"",""ปราจีนบุรี!R721"")+IMPORTRANGE(""https://docs.googl"&amp;"e.com/spreadsheets/d/1BIDqLLg5jk3v59G8NlR8rk5xfQDKne0sAvZHSj7TI6I/edit?usp=sharing"",""พระนครศรีอยุธยา!R721"")+IMPORTRANGE(""https://docs.google.com/spreadsheets/d/1YXvxf8Yu6_rV4hTBrwMqAcAnv6DfhUxh5emyM3CJp_w/edit?usp=sharing"",""เพชรบุรี!R721"")+IMPORTRA"&amp;"NGE(""https://docs.google.com/spreadsheets/d/19KBlQQs7uwvsao6t2n-KvW3Ax8J8uRRfZPq1zPbXgKc/edit?usp=sharing"",""ระยอง!R721"")+IMPORTRANGE(""https://docs.google.com/spreadsheets/d/1jQ6P4QcrGM89YfqcC_PxOHGCMq5ezhucwJd8ci-NHng/edit?usp=sharing"",""ราชบุรี!R72"&amp;"1"")+IMPORTRANGE(""https://docs.google.com/spreadsheets/d/1lufeA2cfFqM-elVq2hznhDzC6Pr7wkJ9ZG_sYNGCMCU/edit?usp=sharing"",""ลพบุรี!R721"")+IMPORTRANGE(""https://docs.google.com/spreadsheets/d/10oOiF7loTyfsTkbd4MpaIm0HQ9SwB7IYHdIUvt-U1Uc/edit?usp=sharing"""&amp;",""สระแก้ว!R721"")+IMPORTRANGE(""https://docs.google.com/spreadsheets/d/1xmPlrr1QbdSIKvl1dWUl9K4PjAfSL9oeMr_37QVzcxc/edit?usp=sharing"",""สระบุรี!R721"")+IMPORTRANGE(""https://docs.google.com/spreadsheets/d/1j51vR6CYVGhABJpv6tkstgok82RLpXieLzW1yOY5rHw/edi"&amp;"t?usp=sharing"",""สิงห์บุรี!R721"")+IMPORTRANGE(""https://docs.google.com/spreadsheets/d/1H1EalTWKUSzO4Z1-1CwzoDUaVffgrThEBe2sl74kKG0/edit?usp=sharing"",""สุพรรณบุรี!R721"")+IMPORTRANGE(""https://docs.google.com/spreadsheets/d/1BmIruG_sIrJLYao_Pdr7zVArWsf"&amp;"oBt2692TMi6x_854/edit?usp=sharing"",""อ่างทอง!R721"")"),0)</f>
        <v>0</v>
      </c>
      <c r="S721" s="80">
        <f ca="1">IFERROR(__xludf.DUMMYFUNCTION("IMPORTRANGE(""https://docs.google.com/spreadsheets/d/13wPX838HrBrQMCywv1BsuMkt4PEKTChp52zj44s2izQ/edit?usp=sharing"",""กาญจนบุรี!S721"")+IMPORTRANGE(""https://docs.google.com/spreadsheets/d/1ddFKvqj1W1NEiWytbGlB1zMx_ykJDVtmfEQ-6-lIUBA/edit?usp=sharing"","&amp;"""จันทบุรี!S721"")+IMPORTRANGE(""https://docs.google.com/spreadsheets/d/1T1PQvRODqOBZk8BRht_U031fIS1beLA0Ub2CEytj2q0/edit?usp=sharing"",""ฉะเชิงเทรา!S721"")+IMPORTRANGE(""https://docs.google.com/spreadsheets/d/11tr1B-Bhyr79v2bkwVh5h_fR-PStkgjlZtkrZpYurG0/"&amp;"edit?usp=sharing"",""ชลบุรี!S721"")+IMPORTRANGE(""https://docs.google.com/spreadsheets/d/1hh-FVnSX0vozXhGluamEcS54Dw9_zqW0N7qJUWgJ0Sw/edit?usp=sharing"",""ชัยนาท!S721"")+IMPORTRANGE(""https://docs.google.com/spreadsheets/d/1jkqa6GXxSacMcY1eN8AHjMNJ_7dDXMJ"&amp;"VRLDlaFSOdPM/edit?usp=sharing"",""ตราด!S721"")+IMPORTRANGE(""https://docs.google.com/spreadsheets/d/18hSgUJ3VwClqi_qtULmmW3cLr0oe3OKaSYoKzdpTsYQ/edit?usp=sharing"",""นครนายก!S721"")+IMPORTRANGE(""https://docs.google.com/spreadsheets/d/1YTZo6WM2dQ6Ix6FSdnL"&amp;"5P7uVnVKu40sxZu975tgG10E/edit?usp=sharing"",""นครปฐม!S721"")+IMPORTRANGE(""https://docs.google.com/spreadsheets/d/1OYoGg4WDg5RIzwGeB10padOxJF9E_Vljuvvct_M7RDo/edit?usp=sharing"",""ปทุมธานี!S721"")+IMPORTRANGE(""https://docs.google.com/spreadsheets/d/1GbCI"&amp;"E4D4wk9FUozzqk7SxfDMxDVBwVmI5zcaVUSzKAc/edit?usp=sharing"",""ประจวบคีรีขันธ์!S721"")+IMPORTRANGE(""https://docs.google.com/spreadsheets/d/1vVf6wykvW_lAyu7Yo9L4hUTqHqIeP_qcVuxCtosJEbg/edit?usp=sharing"",""ปราจีนบุรี!S721"")+IMPORTRANGE(""https://docs.googl"&amp;"e.com/spreadsheets/d/1BIDqLLg5jk3v59G8NlR8rk5xfQDKne0sAvZHSj7TI6I/edit?usp=sharing"",""พระนครศรีอยุธยา!S721"")+IMPORTRANGE(""https://docs.google.com/spreadsheets/d/1YXvxf8Yu6_rV4hTBrwMqAcAnv6DfhUxh5emyM3CJp_w/edit?usp=sharing"",""เพชรบุรี!S721"")+IMPORTRA"&amp;"NGE(""https://docs.google.com/spreadsheets/d/19KBlQQs7uwvsao6t2n-KvW3Ax8J8uRRfZPq1zPbXgKc/edit?usp=sharing"",""ระยอง!S721"")+IMPORTRANGE(""https://docs.google.com/spreadsheets/d/1jQ6P4QcrGM89YfqcC_PxOHGCMq5ezhucwJd8ci-NHng/edit?usp=sharing"",""ราชบุรี!S72"&amp;"1"")+IMPORTRANGE(""https://docs.google.com/spreadsheets/d/1lufeA2cfFqM-elVq2hznhDzC6Pr7wkJ9ZG_sYNGCMCU/edit?usp=sharing"",""ลพบุรี!S721"")+IMPORTRANGE(""https://docs.google.com/spreadsheets/d/10oOiF7loTyfsTkbd4MpaIm0HQ9SwB7IYHdIUvt-U1Uc/edit?usp=sharing"""&amp;",""สระแก้ว!S721"")+IMPORTRANGE(""https://docs.google.com/spreadsheets/d/1xmPlrr1QbdSIKvl1dWUl9K4PjAfSL9oeMr_37QVzcxc/edit?usp=sharing"",""สระบุรี!S721"")+IMPORTRANGE(""https://docs.google.com/spreadsheets/d/1j51vR6CYVGhABJpv6tkstgok82RLpXieLzW1yOY5rHw/edi"&amp;"t?usp=sharing"",""สิงห์บุรี!S721"")+IMPORTRANGE(""https://docs.google.com/spreadsheets/d/1H1EalTWKUSzO4Z1-1CwzoDUaVffgrThEBe2sl74kKG0/edit?usp=sharing"",""สุพรรณบุรี!S721"")+IMPORTRANGE(""https://docs.google.com/spreadsheets/d/1BmIruG_sIrJLYao_Pdr7zVArWsf"&amp;"oBt2692TMi6x_854/edit?usp=sharing"",""อ่างทอง!S721"")"),0)</f>
        <v>0</v>
      </c>
      <c r="T721" s="136">
        <f t="shared" ca="1" si="484"/>
        <v>0</v>
      </c>
      <c r="U721" s="136">
        <f t="shared" ca="1" si="485"/>
        <v>0</v>
      </c>
    </row>
    <row r="722" spans="1:21" ht="18.75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7">
        <f ca="1">IFERROR(__xludf.DUMMYFUNCTION("IMPORTRANGE(""https://docs.google.com/spreadsheets/d/13wPX838HrBrQMCywv1BsuMkt4PEKTChp52zj44s2izQ/edit?usp=sharing"",""กาญจนบุรี!L722"")+IMPORTRANGE(""https://docs.google.com/spreadsheets/d/1ddFKvqj1W1NEiWytbGlB1zMx_ykJDVtmfEQ-6-lIUBA/edit?usp=sharing"","&amp;"""จันทบุรี!L722"")+IMPORTRANGE(""https://docs.google.com/spreadsheets/d/1T1PQvRODqOBZk8BRht_U031fIS1beLA0Ub2CEytj2q0/edit?usp=sharing"",""ฉะเชิงเทรา!L722"")+IMPORTRANGE(""https://docs.google.com/spreadsheets/d/11tr1B-Bhyr79v2bkwVh5h_fR-PStkgjlZtkrZpYurG0/"&amp;"edit?usp=sharing"",""ชลบุรี!L722"")+IMPORTRANGE(""https://docs.google.com/spreadsheets/d/1hh-FVnSX0vozXhGluamEcS54Dw9_zqW0N7qJUWgJ0Sw/edit?usp=sharing"",""ชัยนาท!L722"")+IMPORTRANGE(""https://docs.google.com/spreadsheets/d/1jkqa6GXxSacMcY1eN8AHjMNJ_7dDXMJ"&amp;"VRLDlaFSOdPM/edit?usp=sharing"",""ตราด!L722"")+IMPORTRANGE(""https://docs.google.com/spreadsheets/d/18hSgUJ3VwClqi_qtULmmW3cLr0oe3OKaSYoKzdpTsYQ/edit?usp=sharing"",""นครนายก!L722"")+IMPORTRANGE(""https://docs.google.com/spreadsheets/d/1YTZo6WM2dQ6Ix6FSdnL"&amp;"5P7uVnVKu40sxZu975tgG10E/edit?usp=sharing"",""นครปฐม!L722"")+IMPORTRANGE(""https://docs.google.com/spreadsheets/d/1OYoGg4WDg5RIzwGeB10padOxJF9E_Vljuvvct_M7RDo/edit?usp=sharing"",""ปทุมธานี!L722"")+IMPORTRANGE(""https://docs.google.com/spreadsheets/d/1GbCI"&amp;"E4D4wk9FUozzqk7SxfDMxDVBwVmI5zcaVUSzKAc/edit?usp=sharing"",""ประจวบคีรีขันธ์!L722"")+IMPORTRANGE(""https://docs.google.com/spreadsheets/d/1vVf6wykvW_lAyu7Yo9L4hUTqHqIeP_qcVuxCtosJEbg/edit?usp=sharing"",""ปราจีนบุรี!L722"")+IMPORTRANGE(""https://docs.googl"&amp;"e.com/spreadsheets/d/1BIDqLLg5jk3v59G8NlR8rk5xfQDKne0sAvZHSj7TI6I/edit?usp=sharing"",""พระนครศรีอยุธยา!L722"")+IMPORTRANGE(""https://docs.google.com/spreadsheets/d/1YXvxf8Yu6_rV4hTBrwMqAcAnv6DfhUxh5emyM3CJp_w/edit?usp=sharing"",""เพชรบุรี!L722"")+IMPORTRA"&amp;"NGE(""https://docs.google.com/spreadsheets/d/19KBlQQs7uwvsao6t2n-KvW3Ax8J8uRRfZPq1zPbXgKc/edit?usp=sharing"",""ระยอง!L722"")+IMPORTRANGE(""https://docs.google.com/spreadsheets/d/1jQ6P4QcrGM89YfqcC_PxOHGCMq5ezhucwJd8ci-NHng/edit?usp=sharing"",""ราชบุรี!L72"&amp;"2"")+IMPORTRANGE(""https://docs.google.com/spreadsheets/d/1lufeA2cfFqM-elVq2hznhDzC6Pr7wkJ9ZG_sYNGCMCU/edit?usp=sharing"",""ลพบุรี!L722"")+IMPORTRANGE(""https://docs.google.com/spreadsheets/d/10oOiF7loTyfsTkbd4MpaIm0HQ9SwB7IYHdIUvt-U1Uc/edit?usp=sharing"""&amp;",""สระแก้ว!L722"")+IMPORTRANGE(""https://docs.google.com/spreadsheets/d/1xmPlrr1QbdSIKvl1dWUl9K4PjAfSL9oeMr_37QVzcxc/edit?usp=sharing"",""สระบุรี!L722"")+IMPORTRANGE(""https://docs.google.com/spreadsheets/d/1j51vR6CYVGhABJpv6tkstgok82RLpXieLzW1yOY5rHw/edi"&amp;"t?usp=sharing"",""สิงห์บุรี!L722"")+IMPORTRANGE(""https://docs.google.com/spreadsheets/d/1H1EalTWKUSzO4Z1-1CwzoDUaVffgrThEBe2sl74kKG0/edit?usp=sharing"",""สุพรรณบุรี!L722"")+IMPORTRANGE(""https://docs.google.com/spreadsheets/d/1BmIruG_sIrJLYao_Pdr7zVArWsf"&amp;"oBt2692TMi6x_854/edit?usp=sharing"",""อ่างทอง!L722"")"),0)</f>
        <v>0</v>
      </c>
      <c r="M722" s="77">
        <f ca="1">IFERROR(__xludf.DUMMYFUNCTION("IMPORTRANGE(""https://docs.google.com/spreadsheets/d/13wPX838HrBrQMCywv1BsuMkt4PEKTChp52zj44s2izQ/edit?usp=sharing"",""กาญจนบุรี!M722"")+IMPORTRANGE(""https://docs.google.com/spreadsheets/d/1ddFKvqj1W1NEiWytbGlB1zMx_ykJDVtmfEQ-6-lIUBA/edit?usp=sharing"","&amp;"""จันทบุรี!M722"")+IMPORTRANGE(""https://docs.google.com/spreadsheets/d/1T1PQvRODqOBZk8BRht_U031fIS1beLA0Ub2CEytj2q0/edit?usp=sharing"",""ฉะเชิงเทรา!M722"")+IMPORTRANGE(""https://docs.google.com/spreadsheets/d/11tr1B-Bhyr79v2bkwVh5h_fR-PStkgjlZtkrZpYurG0/"&amp;"edit?usp=sharing"",""ชลบุรี!M722"")+IMPORTRANGE(""https://docs.google.com/spreadsheets/d/1hh-FVnSX0vozXhGluamEcS54Dw9_zqW0N7qJUWgJ0Sw/edit?usp=sharing"",""ชัยนาท!M722"")+IMPORTRANGE(""https://docs.google.com/spreadsheets/d/1jkqa6GXxSacMcY1eN8AHjMNJ_7dDXMJ"&amp;"VRLDlaFSOdPM/edit?usp=sharing"",""ตราด!M722"")+IMPORTRANGE(""https://docs.google.com/spreadsheets/d/18hSgUJ3VwClqi_qtULmmW3cLr0oe3OKaSYoKzdpTsYQ/edit?usp=sharing"",""นครนายก!M722"")+IMPORTRANGE(""https://docs.google.com/spreadsheets/d/1YTZo6WM2dQ6Ix6FSdnL"&amp;"5P7uVnVKu40sxZu975tgG10E/edit?usp=sharing"",""นครปฐม!M722"")+IMPORTRANGE(""https://docs.google.com/spreadsheets/d/1OYoGg4WDg5RIzwGeB10padOxJF9E_Vljuvvct_M7RDo/edit?usp=sharing"",""ปทุมธานี!M722"")+IMPORTRANGE(""https://docs.google.com/spreadsheets/d/1GbCI"&amp;"E4D4wk9FUozzqk7SxfDMxDVBwVmI5zcaVUSzKAc/edit?usp=sharing"",""ประจวบคีรีขันธ์!M722"")+IMPORTRANGE(""https://docs.google.com/spreadsheets/d/1vVf6wykvW_lAyu7Yo9L4hUTqHqIeP_qcVuxCtosJEbg/edit?usp=sharing"",""ปราจีนบุรี!M722"")+IMPORTRANGE(""https://docs.googl"&amp;"e.com/spreadsheets/d/1BIDqLLg5jk3v59G8NlR8rk5xfQDKne0sAvZHSj7TI6I/edit?usp=sharing"",""พระนครศรีอยุธยา!M722"")+IMPORTRANGE(""https://docs.google.com/spreadsheets/d/1YXvxf8Yu6_rV4hTBrwMqAcAnv6DfhUxh5emyM3CJp_w/edit?usp=sharing"",""เพชรบุรี!M722"")+IMPORTRA"&amp;"NGE(""https://docs.google.com/spreadsheets/d/19KBlQQs7uwvsao6t2n-KvW3Ax8J8uRRfZPq1zPbXgKc/edit?usp=sharing"",""ระยอง!M722"")+IMPORTRANGE(""https://docs.google.com/spreadsheets/d/1jQ6P4QcrGM89YfqcC_PxOHGCMq5ezhucwJd8ci-NHng/edit?usp=sharing"",""ราชบุรี!M72"&amp;"2"")+IMPORTRANGE(""https://docs.google.com/spreadsheets/d/1lufeA2cfFqM-elVq2hznhDzC6Pr7wkJ9ZG_sYNGCMCU/edit?usp=sharing"",""ลพบุรี!M722"")+IMPORTRANGE(""https://docs.google.com/spreadsheets/d/10oOiF7loTyfsTkbd4MpaIm0HQ9SwB7IYHdIUvt-U1Uc/edit?usp=sharing"""&amp;",""สระแก้ว!M722"")+IMPORTRANGE(""https://docs.google.com/spreadsheets/d/1xmPlrr1QbdSIKvl1dWUl9K4PjAfSL9oeMr_37QVzcxc/edit?usp=sharing"",""สระบุรี!M722"")+IMPORTRANGE(""https://docs.google.com/spreadsheets/d/1j51vR6CYVGhABJpv6tkstgok82RLpXieLzW1yOY5rHw/edi"&amp;"t?usp=sharing"",""สิงห์บุรี!M722"")+IMPORTRANGE(""https://docs.google.com/spreadsheets/d/1H1EalTWKUSzO4Z1-1CwzoDUaVffgrThEBe2sl74kKG0/edit?usp=sharing"",""สุพรรณบุรี!M722"")+IMPORTRANGE(""https://docs.google.com/spreadsheets/d/1BmIruG_sIrJLYao_Pdr7zVArWsf"&amp;"oBt2692TMi6x_854/edit?usp=sharing"",""อ่างทอง!M722"")"),0)</f>
        <v>0</v>
      </c>
      <c r="N722" s="77">
        <f ca="1">IFERROR(__xludf.DUMMYFUNCTION("IMPORTRANGE(""https://docs.google.com/spreadsheets/d/13wPX838HrBrQMCywv1BsuMkt4PEKTChp52zj44s2izQ/edit?usp=sharing"",""กาญจนบุรี!N722"")+IMPORTRANGE(""https://docs.google.com/spreadsheets/d/1ddFKvqj1W1NEiWytbGlB1zMx_ykJDVtmfEQ-6-lIUBA/edit?usp=sharing"","&amp;"""จันทบุรี!N722"")+IMPORTRANGE(""https://docs.google.com/spreadsheets/d/1T1PQvRODqOBZk8BRht_U031fIS1beLA0Ub2CEytj2q0/edit?usp=sharing"",""ฉะเชิงเทรา!N722"")+IMPORTRANGE(""https://docs.google.com/spreadsheets/d/11tr1B-Bhyr79v2bkwVh5h_fR-PStkgjlZtkrZpYurG0/"&amp;"edit?usp=sharing"",""ชลบุรี!N722"")+IMPORTRANGE(""https://docs.google.com/spreadsheets/d/1hh-FVnSX0vozXhGluamEcS54Dw9_zqW0N7qJUWgJ0Sw/edit?usp=sharing"",""ชัยนาท!N722"")+IMPORTRANGE(""https://docs.google.com/spreadsheets/d/1jkqa6GXxSacMcY1eN8AHjMNJ_7dDXMJ"&amp;"VRLDlaFSOdPM/edit?usp=sharing"",""ตราด!N722"")+IMPORTRANGE(""https://docs.google.com/spreadsheets/d/18hSgUJ3VwClqi_qtULmmW3cLr0oe3OKaSYoKzdpTsYQ/edit?usp=sharing"",""นครนายก!N722"")+IMPORTRANGE(""https://docs.google.com/spreadsheets/d/1YTZo6WM2dQ6Ix6FSdnL"&amp;"5P7uVnVKu40sxZu975tgG10E/edit?usp=sharing"",""นครปฐม!N722"")+IMPORTRANGE(""https://docs.google.com/spreadsheets/d/1OYoGg4WDg5RIzwGeB10padOxJF9E_Vljuvvct_M7RDo/edit?usp=sharing"",""ปทุมธานี!N722"")+IMPORTRANGE(""https://docs.google.com/spreadsheets/d/1GbCI"&amp;"E4D4wk9FUozzqk7SxfDMxDVBwVmI5zcaVUSzKAc/edit?usp=sharing"",""ประจวบคีรีขันธ์!N722"")+IMPORTRANGE(""https://docs.google.com/spreadsheets/d/1vVf6wykvW_lAyu7Yo9L4hUTqHqIeP_qcVuxCtosJEbg/edit?usp=sharing"",""ปราจีนบุรี!N722"")+IMPORTRANGE(""https://docs.googl"&amp;"e.com/spreadsheets/d/1BIDqLLg5jk3v59G8NlR8rk5xfQDKne0sAvZHSj7TI6I/edit?usp=sharing"",""พระนครศรีอยุธยา!N722"")+IMPORTRANGE(""https://docs.google.com/spreadsheets/d/1YXvxf8Yu6_rV4hTBrwMqAcAnv6DfhUxh5emyM3CJp_w/edit?usp=sharing"",""เพชรบุรี!N722"")+IMPORTRA"&amp;"NGE(""https://docs.google.com/spreadsheets/d/19KBlQQs7uwvsao6t2n-KvW3Ax8J8uRRfZPq1zPbXgKc/edit?usp=sharing"",""ระยอง!N722"")+IMPORTRANGE(""https://docs.google.com/spreadsheets/d/1jQ6P4QcrGM89YfqcC_PxOHGCMq5ezhucwJd8ci-NHng/edit?usp=sharing"",""ราชบุรี!N72"&amp;"2"")+IMPORTRANGE(""https://docs.google.com/spreadsheets/d/1lufeA2cfFqM-elVq2hznhDzC6Pr7wkJ9ZG_sYNGCMCU/edit?usp=sharing"",""ลพบุรี!N722"")+IMPORTRANGE(""https://docs.google.com/spreadsheets/d/10oOiF7loTyfsTkbd4MpaIm0HQ9SwB7IYHdIUvt-U1Uc/edit?usp=sharing"""&amp;",""สระแก้ว!N722"")+IMPORTRANGE(""https://docs.google.com/spreadsheets/d/1xmPlrr1QbdSIKvl1dWUl9K4PjAfSL9oeMr_37QVzcxc/edit?usp=sharing"",""สระบุรี!N722"")+IMPORTRANGE(""https://docs.google.com/spreadsheets/d/1j51vR6CYVGhABJpv6tkstgok82RLpXieLzW1yOY5rHw/edi"&amp;"t?usp=sharing"",""สิงห์บุรี!N722"")+IMPORTRANGE(""https://docs.google.com/spreadsheets/d/1H1EalTWKUSzO4Z1-1CwzoDUaVffgrThEBe2sl74kKG0/edit?usp=sharing"",""สุพรรณบุรี!N722"")+IMPORTRANGE(""https://docs.google.com/spreadsheets/d/1BmIruG_sIrJLYao_Pdr7zVArWsf"&amp;"oBt2692TMi6x_854/edit?usp=sharing"",""อ่างทอง!N722"")"),0)</f>
        <v>0</v>
      </c>
      <c r="O722" s="77">
        <f t="shared" ca="1" si="481"/>
        <v>0</v>
      </c>
      <c r="P722" s="77">
        <f t="shared" ca="1" si="482"/>
        <v>0</v>
      </c>
      <c r="Q722" s="76">
        <f ca="1">IFERROR(__xludf.DUMMYFUNCTION("IMPORTRANGE(""https://docs.google.com/spreadsheets/d/13wPX838HrBrQMCywv1BsuMkt4PEKTChp52zj44s2izQ/edit?usp=sharing"",""กาญจนบุรี!Q722"")+IMPORTRANGE(""https://docs.google.com/spreadsheets/d/1ddFKvqj1W1NEiWytbGlB1zMx_ykJDVtmfEQ-6-lIUBA/edit?usp=sharing"","&amp;"""จันทบุรี!Q722"")+IMPORTRANGE(""https://docs.google.com/spreadsheets/d/1T1PQvRODqOBZk8BRht_U031fIS1beLA0Ub2CEytj2q0/edit?usp=sharing"",""ฉะเชิงเทรา!Q722"")+IMPORTRANGE(""https://docs.google.com/spreadsheets/d/11tr1B-Bhyr79v2bkwVh5h_fR-PStkgjlZtkrZpYurG0/"&amp;"edit?usp=sharing"",""ชลบุรี!Q722"")+IMPORTRANGE(""https://docs.google.com/spreadsheets/d/1hh-FVnSX0vozXhGluamEcS54Dw9_zqW0N7qJUWgJ0Sw/edit?usp=sharing"",""ชัยนาท!Q722"")+IMPORTRANGE(""https://docs.google.com/spreadsheets/d/1jkqa6GXxSacMcY1eN8AHjMNJ_7dDXMJ"&amp;"VRLDlaFSOdPM/edit?usp=sharing"",""ตราด!Q722"")+IMPORTRANGE(""https://docs.google.com/spreadsheets/d/18hSgUJ3VwClqi_qtULmmW3cLr0oe3OKaSYoKzdpTsYQ/edit?usp=sharing"",""นครนายก!Q722"")+IMPORTRANGE(""https://docs.google.com/spreadsheets/d/1YTZo6WM2dQ6Ix6FSdnL"&amp;"5P7uVnVKu40sxZu975tgG10E/edit?usp=sharing"",""นครปฐม!Q722"")+IMPORTRANGE(""https://docs.google.com/spreadsheets/d/1OYoGg4WDg5RIzwGeB10padOxJF9E_Vljuvvct_M7RDo/edit?usp=sharing"",""ปทุมธานี!Q722"")+IMPORTRANGE(""https://docs.google.com/spreadsheets/d/1GbCI"&amp;"E4D4wk9FUozzqk7SxfDMxDVBwVmI5zcaVUSzKAc/edit?usp=sharing"",""ประจวบคีรีขันธ์!Q722"")+IMPORTRANGE(""https://docs.google.com/spreadsheets/d/1vVf6wykvW_lAyu7Yo9L4hUTqHqIeP_qcVuxCtosJEbg/edit?usp=sharing"",""ปราจีนบุรี!Q722"")+IMPORTRANGE(""https://docs.googl"&amp;"e.com/spreadsheets/d/1BIDqLLg5jk3v59G8NlR8rk5xfQDKne0sAvZHSj7TI6I/edit?usp=sharing"",""พระนครศรีอยุธยา!Q722"")+IMPORTRANGE(""https://docs.google.com/spreadsheets/d/1YXvxf8Yu6_rV4hTBrwMqAcAnv6DfhUxh5emyM3CJp_w/edit?usp=sharing"",""เพชรบุรี!Q722"")+IMPORTRA"&amp;"NGE(""https://docs.google.com/spreadsheets/d/19KBlQQs7uwvsao6t2n-KvW3Ax8J8uRRfZPq1zPbXgKc/edit?usp=sharing"",""ระยอง!Q722"")+IMPORTRANGE(""https://docs.google.com/spreadsheets/d/1jQ6P4QcrGM89YfqcC_PxOHGCMq5ezhucwJd8ci-NHng/edit?usp=sharing"",""ราชบุรี!Q72"&amp;"2"")+IMPORTRANGE(""https://docs.google.com/spreadsheets/d/1lufeA2cfFqM-elVq2hznhDzC6Pr7wkJ9ZG_sYNGCMCU/edit?usp=sharing"",""ลพบุรี!Q722"")+IMPORTRANGE(""https://docs.google.com/spreadsheets/d/10oOiF7loTyfsTkbd4MpaIm0HQ9SwB7IYHdIUvt-U1Uc/edit?usp=sharing"""&amp;",""สระแก้ว!Q722"")+IMPORTRANGE(""https://docs.google.com/spreadsheets/d/1xmPlrr1QbdSIKvl1dWUl9K4PjAfSL9oeMr_37QVzcxc/edit?usp=sharing"",""สระบุรี!Q722"")+IMPORTRANGE(""https://docs.google.com/spreadsheets/d/1j51vR6CYVGhABJpv6tkstgok82RLpXieLzW1yOY5rHw/edi"&amp;"t?usp=sharing"",""สิงห์บุรี!Q722"")+IMPORTRANGE(""https://docs.google.com/spreadsheets/d/1H1EalTWKUSzO4Z1-1CwzoDUaVffgrThEBe2sl74kKG0/edit?usp=sharing"",""สุพรรณบุรี!Q722"")+IMPORTRANGE(""https://docs.google.com/spreadsheets/d/1BmIruG_sIrJLYao_Pdr7zVArWsf"&amp;"oBt2692TMi6x_854/edit?usp=sharing"",""อ่างทอง!Q722"")"),0)</f>
        <v>0</v>
      </c>
      <c r="R722" s="77">
        <f ca="1">IFERROR(__xludf.DUMMYFUNCTION("IMPORTRANGE(""https://docs.google.com/spreadsheets/d/13wPX838HrBrQMCywv1BsuMkt4PEKTChp52zj44s2izQ/edit?usp=sharing"",""กาญจนบุรี!R722"")+IMPORTRANGE(""https://docs.google.com/spreadsheets/d/1ddFKvqj1W1NEiWytbGlB1zMx_ykJDVtmfEQ-6-lIUBA/edit?usp=sharing"","&amp;"""จันทบุรี!R722"")+IMPORTRANGE(""https://docs.google.com/spreadsheets/d/1T1PQvRODqOBZk8BRht_U031fIS1beLA0Ub2CEytj2q0/edit?usp=sharing"",""ฉะเชิงเทรา!R722"")+IMPORTRANGE(""https://docs.google.com/spreadsheets/d/11tr1B-Bhyr79v2bkwVh5h_fR-PStkgjlZtkrZpYurG0/"&amp;"edit?usp=sharing"",""ชลบุรี!R722"")+IMPORTRANGE(""https://docs.google.com/spreadsheets/d/1hh-FVnSX0vozXhGluamEcS54Dw9_zqW0N7qJUWgJ0Sw/edit?usp=sharing"",""ชัยนาท!R722"")+IMPORTRANGE(""https://docs.google.com/spreadsheets/d/1jkqa6GXxSacMcY1eN8AHjMNJ_7dDXMJ"&amp;"VRLDlaFSOdPM/edit?usp=sharing"",""ตราด!R722"")+IMPORTRANGE(""https://docs.google.com/spreadsheets/d/18hSgUJ3VwClqi_qtULmmW3cLr0oe3OKaSYoKzdpTsYQ/edit?usp=sharing"",""นครนายก!R722"")+IMPORTRANGE(""https://docs.google.com/spreadsheets/d/1YTZo6WM2dQ6Ix6FSdnL"&amp;"5P7uVnVKu40sxZu975tgG10E/edit?usp=sharing"",""นครปฐม!R722"")+IMPORTRANGE(""https://docs.google.com/spreadsheets/d/1OYoGg4WDg5RIzwGeB10padOxJF9E_Vljuvvct_M7RDo/edit?usp=sharing"",""ปทุมธานี!R722"")+IMPORTRANGE(""https://docs.google.com/spreadsheets/d/1GbCI"&amp;"E4D4wk9FUozzqk7SxfDMxDVBwVmI5zcaVUSzKAc/edit?usp=sharing"",""ประจวบคีรีขันธ์!R722"")+IMPORTRANGE(""https://docs.google.com/spreadsheets/d/1vVf6wykvW_lAyu7Yo9L4hUTqHqIeP_qcVuxCtosJEbg/edit?usp=sharing"",""ปราจีนบุรี!R722"")+IMPORTRANGE(""https://docs.googl"&amp;"e.com/spreadsheets/d/1BIDqLLg5jk3v59G8NlR8rk5xfQDKne0sAvZHSj7TI6I/edit?usp=sharing"",""พระนครศรีอยุธยา!R722"")+IMPORTRANGE(""https://docs.google.com/spreadsheets/d/1YXvxf8Yu6_rV4hTBrwMqAcAnv6DfhUxh5emyM3CJp_w/edit?usp=sharing"",""เพชรบุรี!R722"")+IMPORTRA"&amp;"NGE(""https://docs.google.com/spreadsheets/d/19KBlQQs7uwvsao6t2n-KvW3Ax8J8uRRfZPq1zPbXgKc/edit?usp=sharing"",""ระยอง!R722"")+IMPORTRANGE(""https://docs.google.com/spreadsheets/d/1jQ6P4QcrGM89YfqcC_PxOHGCMq5ezhucwJd8ci-NHng/edit?usp=sharing"",""ราชบุรี!R72"&amp;"2"")+IMPORTRANGE(""https://docs.google.com/spreadsheets/d/1lufeA2cfFqM-elVq2hznhDzC6Pr7wkJ9ZG_sYNGCMCU/edit?usp=sharing"",""ลพบุรี!R722"")+IMPORTRANGE(""https://docs.google.com/spreadsheets/d/10oOiF7loTyfsTkbd4MpaIm0HQ9SwB7IYHdIUvt-U1Uc/edit?usp=sharing"""&amp;",""สระแก้ว!R722"")+IMPORTRANGE(""https://docs.google.com/spreadsheets/d/1xmPlrr1QbdSIKvl1dWUl9K4PjAfSL9oeMr_37QVzcxc/edit?usp=sharing"",""สระบุรี!R722"")+IMPORTRANGE(""https://docs.google.com/spreadsheets/d/1j51vR6CYVGhABJpv6tkstgok82RLpXieLzW1yOY5rHw/edi"&amp;"t?usp=sharing"",""สิงห์บุรี!R722"")+IMPORTRANGE(""https://docs.google.com/spreadsheets/d/1H1EalTWKUSzO4Z1-1CwzoDUaVffgrThEBe2sl74kKG0/edit?usp=sharing"",""สุพรรณบุรี!R722"")+IMPORTRANGE(""https://docs.google.com/spreadsheets/d/1BmIruG_sIrJLYao_Pdr7zVArWsf"&amp;"oBt2692TMi6x_854/edit?usp=sharing"",""อ่างทอง!R722"")"),0)</f>
        <v>0</v>
      </c>
      <c r="S722" s="77">
        <f ca="1">IFERROR(__xludf.DUMMYFUNCTION("IMPORTRANGE(""https://docs.google.com/spreadsheets/d/13wPX838HrBrQMCywv1BsuMkt4PEKTChp52zj44s2izQ/edit?usp=sharing"",""กาญจนบุรี!S722"")+IMPORTRANGE(""https://docs.google.com/spreadsheets/d/1ddFKvqj1W1NEiWytbGlB1zMx_ykJDVtmfEQ-6-lIUBA/edit?usp=sharing"","&amp;"""จันทบุรี!S722"")+IMPORTRANGE(""https://docs.google.com/spreadsheets/d/1T1PQvRODqOBZk8BRht_U031fIS1beLA0Ub2CEytj2q0/edit?usp=sharing"",""ฉะเชิงเทรา!S722"")+IMPORTRANGE(""https://docs.google.com/spreadsheets/d/11tr1B-Bhyr79v2bkwVh5h_fR-PStkgjlZtkrZpYurG0/"&amp;"edit?usp=sharing"",""ชลบุรี!S722"")+IMPORTRANGE(""https://docs.google.com/spreadsheets/d/1hh-FVnSX0vozXhGluamEcS54Dw9_zqW0N7qJUWgJ0Sw/edit?usp=sharing"",""ชัยนาท!S722"")+IMPORTRANGE(""https://docs.google.com/spreadsheets/d/1jkqa6GXxSacMcY1eN8AHjMNJ_7dDXMJ"&amp;"VRLDlaFSOdPM/edit?usp=sharing"",""ตราด!S722"")+IMPORTRANGE(""https://docs.google.com/spreadsheets/d/18hSgUJ3VwClqi_qtULmmW3cLr0oe3OKaSYoKzdpTsYQ/edit?usp=sharing"",""นครนายก!S722"")+IMPORTRANGE(""https://docs.google.com/spreadsheets/d/1YTZo6WM2dQ6Ix6FSdnL"&amp;"5P7uVnVKu40sxZu975tgG10E/edit?usp=sharing"",""นครปฐม!S722"")+IMPORTRANGE(""https://docs.google.com/spreadsheets/d/1OYoGg4WDg5RIzwGeB10padOxJF9E_Vljuvvct_M7RDo/edit?usp=sharing"",""ปทุมธานี!S722"")+IMPORTRANGE(""https://docs.google.com/spreadsheets/d/1GbCI"&amp;"E4D4wk9FUozzqk7SxfDMxDVBwVmI5zcaVUSzKAc/edit?usp=sharing"",""ประจวบคีรีขันธ์!S722"")+IMPORTRANGE(""https://docs.google.com/spreadsheets/d/1vVf6wykvW_lAyu7Yo9L4hUTqHqIeP_qcVuxCtosJEbg/edit?usp=sharing"",""ปราจีนบุรี!S722"")+IMPORTRANGE(""https://docs.googl"&amp;"e.com/spreadsheets/d/1BIDqLLg5jk3v59G8NlR8rk5xfQDKne0sAvZHSj7TI6I/edit?usp=sharing"",""พระนครศรีอยุธยา!S722"")+IMPORTRANGE(""https://docs.google.com/spreadsheets/d/1YXvxf8Yu6_rV4hTBrwMqAcAnv6DfhUxh5emyM3CJp_w/edit?usp=sharing"",""เพชรบุรี!S722"")+IMPORTRA"&amp;"NGE(""https://docs.google.com/spreadsheets/d/19KBlQQs7uwvsao6t2n-KvW3Ax8J8uRRfZPq1zPbXgKc/edit?usp=sharing"",""ระยอง!S722"")+IMPORTRANGE(""https://docs.google.com/spreadsheets/d/1jQ6P4QcrGM89YfqcC_PxOHGCMq5ezhucwJd8ci-NHng/edit?usp=sharing"",""ราชบุรี!S72"&amp;"2"")+IMPORTRANGE(""https://docs.google.com/spreadsheets/d/1lufeA2cfFqM-elVq2hznhDzC6Pr7wkJ9ZG_sYNGCMCU/edit?usp=sharing"",""ลพบุรี!S722"")+IMPORTRANGE(""https://docs.google.com/spreadsheets/d/10oOiF7loTyfsTkbd4MpaIm0HQ9SwB7IYHdIUvt-U1Uc/edit?usp=sharing"""&amp;",""สระแก้ว!S722"")+IMPORTRANGE(""https://docs.google.com/spreadsheets/d/1xmPlrr1QbdSIKvl1dWUl9K4PjAfSL9oeMr_37QVzcxc/edit?usp=sharing"",""สระบุรี!S722"")+IMPORTRANGE(""https://docs.google.com/spreadsheets/d/1j51vR6CYVGhABJpv6tkstgok82RLpXieLzW1yOY5rHw/edi"&amp;"t?usp=sharing"",""สิงห์บุรี!S722"")+IMPORTRANGE(""https://docs.google.com/spreadsheets/d/1H1EalTWKUSzO4Z1-1CwzoDUaVffgrThEBe2sl74kKG0/edit?usp=sharing"",""สุพรรณบุรี!S722"")+IMPORTRANGE(""https://docs.google.com/spreadsheets/d/1BmIruG_sIrJLYao_Pdr7zVArWsf"&amp;"oBt2692TMi6x_854/edit?usp=sharing"",""อ่างทอง!S722"")"),0)</f>
        <v>0</v>
      </c>
      <c r="T722" s="135">
        <f t="shared" ca="1" si="484"/>
        <v>0</v>
      </c>
      <c r="U722" s="135">
        <f t="shared" ca="1" si="485"/>
        <v>0</v>
      </c>
    </row>
    <row r="723" spans="1:21" ht="19.5" x14ac:dyDescent="0.3">
      <c r="A723" s="278"/>
      <c r="B723" s="279"/>
      <c r="C723" s="573" t="s">
        <v>18</v>
      </c>
      <c r="D723" s="755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13wPX838HrBrQMCywv1BsuMkt4PEKTChp52zj44s2izQ/edit?usp=sharing"",""กาญจนบุรี!I726"")+IMPORTRANGE(""https://docs.google.com/spreadsheets/d/1ddFKvqj1W1NEiWytbGlB1zMx_ykJDVtmfEQ-6-lIUBA/edit?usp=sharing"","&amp;"""จันทบุรี!I726"")+IMPORTRANGE(""https://docs.google.com/spreadsheets/d/1T1PQvRODqOBZk8BRht_U031fIS1beLA0Ub2CEytj2q0/edit?usp=sharing"",""ฉะเชิงเทรา!I726"")+IMPORTRANGE(""https://docs.google.com/spreadsheets/d/11tr1B-Bhyr79v2bkwVh5h_fR-PStkgjlZtkrZpYurG0/"&amp;"edit?usp=sharing"",""ชลบุรี!I726"")+IMPORTRANGE(""https://docs.google.com/spreadsheets/d/1hh-FVnSX0vozXhGluamEcS54Dw9_zqW0N7qJUWgJ0Sw/edit?usp=sharing"",""ชัยนาท!I726"")+IMPORTRANGE(""https://docs.google.com/spreadsheets/d/1jkqa6GXxSacMcY1eN8AHjMNJ_7dDXMJ"&amp;"VRLDlaFSOdPM/edit?usp=sharing"",""ตราด!I726"")+IMPORTRANGE(""https://docs.google.com/spreadsheets/d/18hSgUJ3VwClqi_qtULmmW3cLr0oe3OKaSYoKzdpTsYQ/edit?usp=sharing"",""นครนายก!I726"")+IMPORTRANGE(""https://docs.google.com/spreadsheets/d/1YTZo6WM2dQ6Ix6FSdnL"&amp;"5P7uVnVKu40sxZu975tgG10E/edit?usp=sharing"",""นครปฐม!I726"")+IMPORTRANGE(""https://docs.google.com/spreadsheets/d/1OYoGg4WDg5RIzwGeB10padOxJF9E_Vljuvvct_M7RDo/edit?usp=sharing"",""ปทุมธานี!I726"")+IMPORTRANGE(""https://docs.google.com/spreadsheets/d/1GbCI"&amp;"E4D4wk9FUozzqk7SxfDMxDVBwVmI5zcaVUSzKAc/edit?usp=sharing"",""ประจวบคีรีขันธ์!I726"")+IMPORTRANGE(""https://docs.google.com/spreadsheets/d/1vVf6wykvW_lAyu7Yo9L4hUTqHqIeP_qcVuxCtosJEbg/edit?usp=sharing"",""ปราจีนบุรี!I726"")+IMPORTRANGE(""https://docs.googl"&amp;"e.com/spreadsheets/d/1BIDqLLg5jk3v59G8NlR8rk5xfQDKne0sAvZHSj7TI6I/edit?usp=sharing"",""พระนครศรีอยุธยา!I726"")+IMPORTRANGE(""https://docs.google.com/spreadsheets/d/1YXvxf8Yu6_rV4hTBrwMqAcAnv6DfhUxh5emyM3CJp_w/edit?usp=sharing"",""เพชรบุรี!I726"")+IMPORTRA"&amp;"NGE(""https://docs.google.com/spreadsheets/d/19KBlQQs7uwvsao6t2n-KvW3Ax8J8uRRfZPq1zPbXgKc/edit?usp=sharing"",""ระยอง!I726"")+IMPORTRANGE(""https://docs.google.com/spreadsheets/d/1jQ6P4QcrGM89YfqcC_PxOHGCMq5ezhucwJd8ci-NHng/edit?usp=sharing"",""ราชบุรี!I72"&amp;"6"")+IMPORTRANGE(""https://docs.google.com/spreadsheets/d/1lufeA2cfFqM-elVq2hznhDzC6Pr7wkJ9ZG_sYNGCMCU/edit?usp=sharing"",""ลพบุรี!I726"")+IMPORTRANGE(""https://docs.google.com/spreadsheets/d/10oOiF7loTyfsTkbd4MpaIm0HQ9SwB7IYHdIUvt-U1Uc/edit?usp=sharing"""&amp;",""สระแก้ว!I726"")+IMPORTRANGE(""https://docs.google.com/spreadsheets/d/1xmPlrr1QbdSIKvl1dWUl9K4PjAfSL9oeMr_37QVzcxc/edit?usp=sharing"",""สระบุรี!I726"")+IMPORTRANGE(""https://docs.google.com/spreadsheets/d/1j51vR6CYVGhABJpv6tkstgok82RLpXieLzW1yOY5rHw/edi"&amp;"t?usp=sharing"",""สิงห์บุรี!I726"")+IMPORTRANGE(""https://docs.google.com/spreadsheets/d/1H1EalTWKUSzO4Z1-1CwzoDUaVffgrThEBe2sl74kKG0/edit?usp=sharing"",""สุพรรณบุรี!I726"")+IMPORTRANGE(""https://docs.google.com/spreadsheets/d/1BmIruG_sIrJLYao_Pdr7zVArWsf"&amp;"oBt2692TMi6x_854/edit?usp=sharing"",""อ่างทอง!I726"")"),703)</f>
        <v>703</v>
      </c>
      <c r="J726" s="760">
        <f ca="1">J742+J746+J749</f>
        <v>368</v>
      </c>
      <c r="K726" s="746">
        <f t="shared" ref="K726:K727" ca="1" si="494">IF(I726&gt;0,J726*100/I726,0)</f>
        <v>52.347083926031296</v>
      </c>
      <c r="L726" s="714"/>
      <c r="M726" s="714"/>
      <c r="N726" s="714"/>
      <c r="O726" s="714"/>
      <c r="P726" s="714"/>
      <c r="Q726" s="715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13wPX838HrBrQMCywv1BsuMkt4PEKTChp52zj44s2izQ/edit?usp=sharing"",""กาญจนบุรี!I727"")+IMPORTRANGE(""https://docs.google.com/spreadsheets/d/1ddFKvqj1W1NEiWytbGlB1zMx_ykJDVtmfEQ-6-lIUBA/edit?usp=sharing"","&amp;"""จันทบุรี!I727"")+IMPORTRANGE(""https://docs.google.com/spreadsheets/d/1T1PQvRODqOBZk8BRht_U031fIS1beLA0Ub2CEytj2q0/edit?usp=sharing"",""ฉะเชิงเทรา!I727"")+IMPORTRANGE(""https://docs.google.com/spreadsheets/d/11tr1B-Bhyr79v2bkwVh5h_fR-PStkgjlZtkrZpYurG0/"&amp;"edit?usp=sharing"",""ชลบุรี!I727"")+IMPORTRANGE(""https://docs.google.com/spreadsheets/d/1hh-FVnSX0vozXhGluamEcS54Dw9_zqW0N7qJUWgJ0Sw/edit?usp=sharing"",""ชัยนาท!I727"")+IMPORTRANGE(""https://docs.google.com/spreadsheets/d/1jkqa6GXxSacMcY1eN8AHjMNJ_7dDXMJ"&amp;"VRLDlaFSOdPM/edit?usp=sharing"",""ตราด!I727"")+IMPORTRANGE(""https://docs.google.com/spreadsheets/d/18hSgUJ3VwClqi_qtULmmW3cLr0oe3OKaSYoKzdpTsYQ/edit?usp=sharing"",""นครนายก!I727"")+IMPORTRANGE(""https://docs.google.com/spreadsheets/d/1YTZo6WM2dQ6Ix6FSdnL"&amp;"5P7uVnVKu40sxZu975tgG10E/edit?usp=sharing"",""นครปฐม!I727"")+IMPORTRANGE(""https://docs.google.com/spreadsheets/d/1OYoGg4WDg5RIzwGeB10padOxJF9E_Vljuvvct_M7RDo/edit?usp=sharing"",""ปทุมธานี!I727"")+IMPORTRANGE(""https://docs.google.com/spreadsheets/d/1GbCI"&amp;"E4D4wk9FUozzqk7SxfDMxDVBwVmI5zcaVUSzKAc/edit?usp=sharing"",""ประจวบคีรีขันธ์!I727"")+IMPORTRANGE(""https://docs.google.com/spreadsheets/d/1vVf6wykvW_lAyu7Yo9L4hUTqHqIeP_qcVuxCtosJEbg/edit?usp=sharing"",""ปราจีนบุรี!I727"")+IMPORTRANGE(""https://docs.googl"&amp;"e.com/spreadsheets/d/1BIDqLLg5jk3v59G8NlR8rk5xfQDKne0sAvZHSj7TI6I/edit?usp=sharing"",""พระนครศรีอยุธยา!I727"")+IMPORTRANGE(""https://docs.google.com/spreadsheets/d/1YXvxf8Yu6_rV4hTBrwMqAcAnv6DfhUxh5emyM3CJp_w/edit?usp=sharing"",""เพชรบุรี!I727"")+IMPORTRA"&amp;"NGE(""https://docs.google.com/spreadsheets/d/19KBlQQs7uwvsao6t2n-KvW3Ax8J8uRRfZPq1zPbXgKc/edit?usp=sharing"",""ระยอง!I727"")+IMPORTRANGE(""https://docs.google.com/spreadsheets/d/1jQ6P4QcrGM89YfqcC_PxOHGCMq5ezhucwJd8ci-NHng/edit?usp=sharing"",""ราชบุรี!I72"&amp;"7"")+IMPORTRANGE(""https://docs.google.com/spreadsheets/d/1lufeA2cfFqM-elVq2hznhDzC6Pr7wkJ9ZG_sYNGCMCU/edit?usp=sharing"",""ลพบุรี!I727"")+IMPORTRANGE(""https://docs.google.com/spreadsheets/d/10oOiF7loTyfsTkbd4MpaIm0HQ9SwB7IYHdIUvt-U1Uc/edit?usp=sharing"""&amp;",""สระแก้ว!I727"")+IMPORTRANGE(""https://docs.google.com/spreadsheets/d/1xmPlrr1QbdSIKvl1dWUl9K4PjAfSL9oeMr_37QVzcxc/edit?usp=sharing"",""สระบุรี!I727"")+IMPORTRANGE(""https://docs.google.com/spreadsheets/d/1j51vR6CYVGhABJpv6tkstgok82RLpXieLzW1yOY5rHw/edi"&amp;"t?usp=sharing"",""สิงห์บุรี!I727"")+IMPORTRANGE(""https://docs.google.com/spreadsheets/d/1H1EalTWKUSzO4Z1-1CwzoDUaVffgrThEBe2sl74kKG0/edit?usp=sharing"",""สุพรรณบุรี!I727"")+IMPORTRANGE(""https://docs.google.com/spreadsheets/d/1BmIruG_sIrJLYao_Pdr7zVArWsf"&amp;"oBt2692TMi6x_854/edit?usp=sharing"",""อ่างทอง!I727"")"),6800)</f>
        <v>6800</v>
      </c>
      <c r="J727" s="760">
        <f ca="1">J752+J755</f>
        <v>1100</v>
      </c>
      <c r="K727" s="746">
        <f t="shared" ca="1" si="494"/>
        <v>16.176470588235293</v>
      </c>
      <c r="L727" s="714"/>
      <c r="M727" s="714"/>
      <c r="N727" s="714"/>
      <c r="O727" s="714"/>
      <c r="P727" s="714"/>
      <c r="Q727" s="715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06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66">
        <f t="shared" ref="L728:N728" ca="1" si="495">L729+L730</f>
        <v>0</v>
      </c>
      <c r="M728" s="266">
        <f t="shared" ca="1" si="495"/>
        <v>0</v>
      </c>
      <c r="N728" s="266">
        <f t="shared" ca="1" si="495"/>
        <v>0</v>
      </c>
      <c r="O728" s="266">
        <f t="shared" ref="O728:O736" ca="1" si="496">IF(L728&gt;0,N728*100/L728,0)</f>
        <v>0</v>
      </c>
      <c r="P728" s="266">
        <f t="shared" ref="P728:P736" ca="1" si="497">IF(M728&gt;0,N728*100/M728,0)</f>
        <v>0</v>
      </c>
      <c r="Q728" s="216">
        <f t="shared" ref="Q728:S728" ca="1" si="498">Q729+Q730</f>
        <v>5615326</v>
      </c>
      <c r="R728" s="217">
        <f t="shared" ca="1" si="498"/>
        <v>5615326</v>
      </c>
      <c r="S728" s="217">
        <f t="shared" ca="1" si="498"/>
        <v>460849</v>
      </c>
      <c r="T728" s="217">
        <f t="shared" ref="T728:T736" ca="1" si="499">IF(Q728&gt;0,S728*100/Q728,0)</f>
        <v>8.206985667439433</v>
      </c>
      <c r="U728" s="217">
        <f t="shared" ref="U728:U736" ca="1" si="500">IF(R728&gt;0,S728*100/R728,0)</f>
        <v>8.206985667439433</v>
      </c>
    </row>
    <row r="729" spans="1:21" ht="18.75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 t="shared" ref="L729:N729" ca="1" si="501">L732+L735</f>
        <v>0</v>
      </c>
      <c r="M729" s="80">
        <f t="shared" ca="1" si="501"/>
        <v>0</v>
      </c>
      <c r="N729" s="80">
        <f t="shared" ca="1" si="501"/>
        <v>0</v>
      </c>
      <c r="O729" s="80">
        <f t="shared" ca="1" si="496"/>
        <v>0</v>
      </c>
      <c r="P729" s="80">
        <f t="shared" ca="1" si="497"/>
        <v>0</v>
      </c>
      <c r="Q729" s="219">
        <f t="shared" ref="Q729:S729" ca="1" si="502">Q732+Q735</f>
        <v>0</v>
      </c>
      <c r="R729" s="136">
        <f t="shared" ca="1" si="502"/>
        <v>0</v>
      </c>
      <c r="S729" s="136">
        <f t="shared" ca="1" si="502"/>
        <v>0</v>
      </c>
      <c r="T729" s="136">
        <f t="shared" ca="1" si="499"/>
        <v>0</v>
      </c>
      <c r="U729" s="136">
        <f t="shared" ca="1" si="500"/>
        <v>0</v>
      </c>
    </row>
    <row r="730" spans="1:21" ht="18.75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 t="shared" ref="L730:N730" ca="1" si="503">L733+L736</f>
        <v>0</v>
      </c>
      <c r="M730" s="77">
        <f t="shared" ca="1" si="503"/>
        <v>0</v>
      </c>
      <c r="N730" s="77">
        <f t="shared" ca="1" si="503"/>
        <v>0</v>
      </c>
      <c r="O730" s="77">
        <f t="shared" ca="1" si="496"/>
        <v>0</v>
      </c>
      <c r="P730" s="77">
        <f t="shared" ca="1" si="497"/>
        <v>0</v>
      </c>
      <c r="Q730" s="134">
        <f t="shared" ref="Q730:S730" ca="1" si="504">Q733+Q736</f>
        <v>5615326</v>
      </c>
      <c r="R730" s="135">
        <f t="shared" ca="1" si="504"/>
        <v>5615326</v>
      </c>
      <c r="S730" s="135">
        <f t="shared" ca="1" si="504"/>
        <v>460849</v>
      </c>
      <c r="T730" s="135">
        <f t="shared" ca="1" si="499"/>
        <v>8.206985667439433</v>
      </c>
      <c r="U730" s="135">
        <f t="shared" ca="1" si="500"/>
        <v>8.206985667439433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 t="shared" ref="L731:N731" ca="1" si="505">L732+L733</f>
        <v>0</v>
      </c>
      <c r="M731" s="77">
        <f t="shared" ca="1" si="505"/>
        <v>0</v>
      </c>
      <c r="N731" s="77">
        <f t="shared" ca="1" si="505"/>
        <v>0</v>
      </c>
      <c r="O731" s="77">
        <f t="shared" ca="1" si="496"/>
        <v>0</v>
      </c>
      <c r="P731" s="77">
        <f t="shared" ca="1" si="497"/>
        <v>0</v>
      </c>
      <c r="Q731" s="134">
        <f t="shared" ref="Q731:S731" ca="1" si="506">Q732+Q733</f>
        <v>5615326</v>
      </c>
      <c r="R731" s="135">
        <f t="shared" ca="1" si="506"/>
        <v>5615326</v>
      </c>
      <c r="S731" s="135">
        <f t="shared" ca="1" si="506"/>
        <v>460849</v>
      </c>
      <c r="T731" s="135">
        <f t="shared" ca="1" si="499"/>
        <v>8.206985667439433</v>
      </c>
      <c r="U731" s="135">
        <f t="shared" ca="1" si="500"/>
        <v>8.206985667439433</v>
      </c>
    </row>
    <row r="732" spans="1:21" ht="18.75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f ca="1">IFERROR(__xludf.DUMMYFUNCTION("IMPORTRANGE(""https://docs.google.com/spreadsheets/d/13wPX838HrBrQMCywv1BsuMkt4PEKTChp52zj44s2izQ/edit?usp=sharing"",""กาญจนบุรี!L732"")+IMPORTRANGE(""https://docs.google.com/spreadsheets/d/1ddFKvqj1W1NEiWytbGlB1zMx_ykJDVtmfEQ-6-lIUBA/edit?usp=sharing"","&amp;"""จันทบุรี!L732"")+IMPORTRANGE(""https://docs.google.com/spreadsheets/d/1T1PQvRODqOBZk8BRht_U031fIS1beLA0Ub2CEytj2q0/edit?usp=sharing"",""ฉะเชิงเทรา!L732"")+IMPORTRANGE(""https://docs.google.com/spreadsheets/d/11tr1B-Bhyr79v2bkwVh5h_fR-PStkgjlZtkrZpYurG0/"&amp;"edit?usp=sharing"",""ชลบุรี!L732"")+IMPORTRANGE(""https://docs.google.com/spreadsheets/d/1hh-FVnSX0vozXhGluamEcS54Dw9_zqW0N7qJUWgJ0Sw/edit?usp=sharing"",""ชัยนาท!L732"")+IMPORTRANGE(""https://docs.google.com/spreadsheets/d/1jkqa6GXxSacMcY1eN8AHjMNJ_7dDXMJ"&amp;"VRLDlaFSOdPM/edit?usp=sharing"",""ตราด!L732"")+IMPORTRANGE(""https://docs.google.com/spreadsheets/d/18hSgUJ3VwClqi_qtULmmW3cLr0oe3OKaSYoKzdpTsYQ/edit?usp=sharing"",""นครนายก!L732"")+IMPORTRANGE(""https://docs.google.com/spreadsheets/d/1YTZo6WM2dQ6Ix6FSdnL"&amp;"5P7uVnVKu40sxZu975tgG10E/edit?usp=sharing"",""นครปฐม!L732"")+IMPORTRANGE(""https://docs.google.com/spreadsheets/d/1OYoGg4WDg5RIzwGeB10padOxJF9E_Vljuvvct_M7RDo/edit?usp=sharing"",""ปทุมธานี!L732"")+IMPORTRANGE(""https://docs.google.com/spreadsheets/d/1GbCI"&amp;"E4D4wk9FUozzqk7SxfDMxDVBwVmI5zcaVUSzKAc/edit?usp=sharing"",""ประจวบคีรีขันธ์!L732"")+IMPORTRANGE(""https://docs.google.com/spreadsheets/d/1vVf6wykvW_lAyu7Yo9L4hUTqHqIeP_qcVuxCtosJEbg/edit?usp=sharing"",""ปราจีนบุรี!L732"")+IMPORTRANGE(""https://docs.googl"&amp;"e.com/spreadsheets/d/1BIDqLLg5jk3v59G8NlR8rk5xfQDKne0sAvZHSj7TI6I/edit?usp=sharing"",""พระนครศรีอยุธยา!L732"")+IMPORTRANGE(""https://docs.google.com/spreadsheets/d/1YXvxf8Yu6_rV4hTBrwMqAcAnv6DfhUxh5emyM3CJp_w/edit?usp=sharing"",""เพชรบุรี!L732"")+IMPORTRA"&amp;"NGE(""https://docs.google.com/spreadsheets/d/19KBlQQs7uwvsao6t2n-KvW3Ax8J8uRRfZPq1zPbXgKc/edit?usp=sharing"",""ระยอง!L732"")+IMPORTRANGE(""https://docs.google.com/spreadsheets/d/1jQ6P4QcrGM89YfqcC_PxOHGCMq5ezhucwJd8ci-NHng/edit?usp=sharing"",""ราชบุรี!L73"&amp;"2"")+IMPORTRANGE(""https://docs.google.com/spreadsheets/d/1lufeA2cfFqM-elVq2hznhDzC6Pr7wkJ9ZG_sYNGCMCU/edit?usp=sharing"",""ลพบุรี!L732"")+IMPORTRANGE(""https://docs.google.com/spreadsheets/d/10oOiF7loTyfsTkbd4MpaIm0HQ9SwB7IYHdIUvt-U1Uc/edit?usp=sharing"""&amp;",""สระแก้ว!L732"")+IMPORTRANGE(""https://docs.google.com/spreadsheets/d/1xmPlrr1QbdSIKvl1dWUl9K4PjAfSL9oeMr_37QVzcxc/edit?usp=sharing"",""สระบุรี!L732"")+IMPORTRANGE(""https://docs.google.com/spreadsheets/d/1j51vR6CYVGhABJpv6tkstgok82RLpXieLzW1yOY5rHw/edi"&amp;"t?usp=sharing"",""สิงห์บุรี!L732"")+IMPORTRANGE(""https://docs.google.com/spreadsheets/d/1H1EalTWKUSzO4Z1-1CwzoDUaVffgrThEBe2sl74kKG0/edit?usp=sharing"",""สุพรรณบุรี!L732"")+IMPORTRANGE(""https://docs.google.com/spreadsheets/d/1BmIruG_sIrJLYao_Pdr7zVArWsf"&amp;"oBt2692TMi6x_854/edit?usp=sharing"",""อ่างทอง!L732"")"),0)</f>
        <v>0</v>
      </c>
      <c r="M732" s="80">
        <f ca="1">IFERROR(__xludf.DUMMYFUNCTION("IMPORTRANGE(""https://docs.google.com/spreadsheets/d/13wPX838HrBrQMCywv1BsuMkt4PEKTChp52zj44s2izQ/edit?usp=sharing"",""กาญจนบุรี!M732"")+IMPORTRANGE(""https://docs.google.com/spreadsheets/d/1ddFKvqj1W1NEiWytbGlB1zMx_ykJDVtmfEQ-6-lIUBA/edit?usp=sharing"","&amp;"""จันทบุรี!M732"")+IMPORTRANGE(""https://docs.google.com/spreadsheets/d/1T1PQvRODqOBZk8BRht_U031fIS1beLA0Ub2CEytj2q0/edit?usp=sharing"",""ฉะเชิงเทรา!M732"")+IMPORTRANGE(""https://docs.google.com/spreadsheets/d/11tr1B-Bhyr79v2bkwVh5h_fR-PStkgjlZtkrZpYurG0/"&amp;"edit?usp=sharing"",""ชลบุรี!M732"")+IMPORTRANGE(""https://docs.google.com/spreadsheets/d/1hh-FVnSX0vozXhGluamEcS54Dw9_zqW0N7qJUWgJ0Sw/edit?usp=sharing"",""ชัยนาท!M732"")+IMPORTRANGE(""https://docs.google.com/spreadsheets/d/1jkqa6GXxSacMcY1eN8AHjMNJ_7dDXMJ"&amp;"VRLDlaFSOdPM/edit?usp=sharing"",""ตราด!M732"")+IMPORTRANGE(""https://docs.google.com/spreadsheets/d/18hSgUJ3VwClqi_qtULmmW3cLr0oe3OKaSYoKzdpTsYQ/edit?usp=sharing"",""นครนายก!M732"")+IMPORTRANGE(""https://docs.google.com/spreadsheets/d/1YTZo6WM2dQ6Ix6FSdnL"&amp;"5P7uVnVKu40sxZu975tgG10E/edit?usp=sharing"",""นครปฐม!M732"")+IMPORTRANGE(""https://docs.google.com/spreadsheets/d/1OYoGg4WDg5RIzwGeB10padOxJF9E_Vljuvvct_M7RDo/edit?usp=sharing"",""ปทุมธานี!M732"")+IMPORTRANGE(""https://docs.google.com/spreadsheets/d/1GbCI"&amp;"E4D4wk9FUozzqk7SxfDMxDVBwVmI5zcaVUSzKAc/edit?usp=sharing"",""ประจวบคีรีขันธ์!M732"")+IMPORTRANGE(""https://docs.google.com/spreadsheets/d/1vVf6wykvW_lAyu7Yo9L4hUTqHqIeP_qcVuxCtosJEbg/edit?usp=sharing"",""ปราจีนบุรี!M732"")+IMPORTRANGE(""https://docs.googl"&amp;"e.com/spreadsheets/d/1BIDqLLg5jk3v59G8NlR8rk5xfQDKne0sAvZHSj7TI6I/edit?usp=sharing"",""พระนครศรีอยุธยา!M732"")+IMPORTRANGE(""https://docs.google.com/spreadsheets/d/1YXvxf8Yu6_rV4hTBrwMqAcAnv6DfhUxh5emyM3CJp_w/edit?usp=sharing"",""เพชรบุรี!M732"")+IMPORTRA"&amp;"NGE(""https://docs.google.com/spreadsheets/d/19KBlQQs7uwvsao6t2n-KvW3Ax8J8uRRfZPq1zPbXgKc/edit?usp=sharing"",""ระยอง!M732"")+IMPORTRANGE(""https://docs.google.com/spreadsheets/d/1jQ6P4QcrGM89YfqcC_PxOHGCMq5ezhucwJd8ci-NHng/edit?usp=sharing"",""ราชบุรี!M73"&amp;"2"")+IMPORTRANGE(""https://docs.google.com/spreadsheets/d/1lufeA2cfFqM-elVq2hznhDzC6Pr7wkJ9ZG_sYNGCMCU/edit?usp=sharing"",""ลพบุรี!M732"")+IMPORTRANGE(""https://docs.google.com/spreadsheets/d/10oOiF7loTyfsTkbd4MpaIm0HQ9SwB7IYHdIUvt-U1Uc/edit?usp=sharing"""&amp;",""สระแก้ว!M732"")+IMPORTRANGE(""https://docs.google.com/spreadsheets/d/1xmPlrr1QbdSIKvl1dWUl9K4PjAfSL9oeMr_37QVzcxc/edit?usp=sharing"",""สระบุรี!M732"")+IMPORTRANGE(""https://docs.google.com/spreadsheets/d/1j51vR6CYVGhABJpv6tkstgok82RLpXieLzW1yOY5rHw/edi"&amp;"t?usp=sharing"",""สิงห์บุรี!M732"")+IMPORTRANGE(""https://docs.google.com/spreadsheets/d/1H1EalTWKUSzO4Z1-1CwzoDUaVffgrThEBe2sl74kKG0/edit?usp=sharing"",""สุพรรณบุรี!M732"")+IMPORTRANGE(""https://docs.google.com/spreadsheets/d/1BmIruG_sIrJLYao_Pdr7zVArWsf"&amp;"oBt2692TMi6x_854/edit?usp=sharing"",""อ่างทอง!M732"")"),0)</f>
        <v>0</v>
      </c>
      <c r="N732" s="80">
        <f ca="1">IFERROR(__xludf.DUMMYFUNCTION("IMPORTRANGE(""https://docs.google.com/spreadsheets/d/13wPX838HrBrQMCywv1BsuMkt4PEKTChp52zj44s2izQ/edit?usp=sharing"",""กาญจนบุรี!N732"")+IMPORTRANGE(""https://docs.google.com/spreadsheets/d/1ddFKvqj1W1NEiWytbGlB1zMx_ykJDVtmfEQ-6-lIUBA/edit?usp=sharing"","&amp;"""จันทบุรี!N732"")+IMPORTRANGE(""https://docs.google.com/spreadsheets/d/1T1PQvRODqOBZk8BRht_U031fIS1beLA0Ub2CEytj2q0/edit?usp=sharing"",""ฉะเชิงเทรา!N732"")+IMPORTRANGE(""https://docs.google.com/spreadsheets/d/11tr1B-Bhyr79v2bkwVh5h_fR-PStkgjlZtkrZpYurG0/"&amp;"edit?usp=sharing"",""ชลบุรี!N732"")+IMPORTRANGE(""https://docs.google.com/spreadsheets/d/1hh-FVnSX0vozXhGluamEcS54Dw9_zqW0N7qJUWgJ0Sw/edit?usp=sharing"",""ชัยนาท!N732"")+IMPORTRANGE(""https://docs.google.com/spreadsheets/d/1jkqa6GXxSacMcY1eN8AHjMNJ_7dDXMJ"&amp;"VRLDlaFSOdPM/edit?usp=sharing"",""ตราด!N732"")+IMPORTRANGE(""https://docs.google.com/spreadsheets/d/18hSgUJ3VwClqi_qtULmmW3cLr0oe3OKaSYoKzdpTsYQ/edit?usp=sharing"",""นครนายก!N732"")+IMPORTRANGE(""https://docs.google.com/spreadsheets/d/1YTZo6WM2dQ6Ix6FSdnL"&amp;"5P7uVnVKu40sxZu975tgG10E/edit?usp=sharing"",""นครปฐม!N732"")+IMPORTRANGE(""https://docs.google.com/spreadsheets/d/1OYoGg4WDg5RIzwGeB10padOxJF9E_Vljuvvct_M7RDo/edit?usp=sharing"",""ปทุมธานี!N732"")+IMPORTRANGE(""https://docs.google.com/spreadsheets/d/1GbCI"&amp;"E4D4wk9FUozzqk7SxfDMxDVBwVmI5zcaVUSzKAc/edit?usp=sharing"",""ประจวบคีรีขันธ์!N732"")+IMPORTRANGE(""https://docs.google.com/spreadsheets/d/1vVf6wykvW_lAyu7Yo9L4hUTqHqIeP_qcVuxCtosJEbg/edit?usp=sharing"",""ปราจีนบุรี!N732"")+IMPORTRANGE(""https://docs.googl"&amp;"e.com/spreadsheets/d/1BIDqLLg5jk3v59G8NlR8rk5xfQDKne0sAvZHSj7TI6I/edit?usp=sharing"",""พระนครศรีอยุธยา!N732"")+IMPORTRANGE(""https://docs.google.com/spreadsheets/d/1YXvxf8Yu6_rV4hTBrwMqAcAnv6DfhUxh5emyM3CJp_w/edit?usp=sharing"",""เพชรบุรี!N732"")+IMPORTRA"&amp;"NGE(""https://docs.google.com/spreadsheets/d/19KBlQQs7uwvsao6t2n-KvW3Ax8J8uRRfZPq1zPbXgKc/edit?usp=sharing"",""ระยอง!N732"")+IMPORTRANGE(""https://docs.google.com/spreadsheets/d/1jQ6P4QcrGM89YfqcC_PxOHGCMq5ezhucwJd8ci-NHng/edit?usp=sharing"",""ราชบุรี!N73"&amp;"2"")+IMPORTRANGE(""https://docs.google.com/spreadsheets/d/1lufeA2cfFqM-elVq2hznhDzC6Pr7wkJ9ZG_sYNGCMCU/edit?usp=sharing"",""ลพบุรี!N732"")+IMPORTRANGE(""https://docs.google.com/spreadsheets/d/10oOiF7loTyfsTkbd4MpaIm0HQ9SwB7IYHdIUvt-U1Uc/edit?usp=sharing"""&amp;",""สระแก้ว!N732"")+IMPORTRANGE(""https://docs.google.com/spreadsheets/d/1xmPlrr1QbdSIKvl1dWUl9K4PjAfSL9oeMr_37QVzcxc/edit?usp=sharing"",""สระบุรี!N732"")+IMPORTRANGE(""https://docs.google.com/spreadsheets/d/1j51vR6CYVGhABJpv6tkstgok82RLpXieLzW1yOY5rHw/edi"&amp;"t?usp=sharing"",""สิงห์บุรี!N732"")+IMPORTRANGE(""https://docs.google.com/spreadsheets/d/1H1EalTWKUSzO4Z1-1CwzoDUaVffgrThEBe2sl74kKG0/edit?usp=sharing"",""สุพรรณบุรี!N732"")+IMPORTRANGE(""https://docs.google.com/spreadsheets/d/1BmIruG_sIrJLYao_Pdr7zVArWsf"&amp;"oBt2692TMi6x_854/edit?usp=sharing"",""อ่างทอง!N732"")"),0)</f>
        <v>0</v>
      </c>
      <c r="O732" s="80">
        <f t="shared" ca="1" si="496"/>
        <v>0</v>
      </c>
      <c r="P732" s="80">
        <f t="shared" ca="1" si="497"/>
        <v>0</v>
      </c>
      <c r="Q732" s="79">
        <f ca="1">IFERROR(__xludf.DUMMYFUNCTION("IMPORTRANGE(""https://docs.google.com/spreadsheets/d/13wPX838HrBrQMCywv1BsuMkt4PEKTChp52zj44s2izQ/edit?usp=sharing"",""กาญจนบุรี!Q732"")+IMPORTRANGE(""https://docs.google.com/spreadsheets/d/1ddFKvqj1W1NEiWytbGlB1zMx_ykJDVtmfEQ-6-lIUBA/edit?usp=sharing"","&amp;"""จันทบุรี!Q732"")+IMPORTRANGE(""https://docs.google.com/spreadsheets/d/1T1PQvRODqOBZk8BRht_U031fIS1beLA0Ub2CEytj2q0/edit?usp=sharing"",""ฉะเชิงเทรา!Q732"")+IMPORTRANGE(""https://docs.google.com/spreadsheets/d/11tr1B-Bhyr79v2bkwVh5h_fR-PStkgjlZtkrZpYurG0/"&amp;"edit?usp=sharing"",""ชลบุรี!Q732"")+IMPORTRANGE(""https://docs.google.com/spreadsheets/d/1hh-FVnSX0vozXhGluamEcS54Dw9_zqW0N7qJUWgJ0Sw/edit?usp=sharing"",""ชัยนาท!Q732"")+IMPORTRANGE(""https://docs.google.com/spreadsheets/d/1jkqa6GXxSacMcY1eN8AHjMNJ_7dDXMJ"&amp;"VRLDlaFSOdPM/edit?usp=sharing"",""ตราด!Q732"")+IMPORTRANGE(""https://docs.google.com/spreadsheets/d/18hSgUJ3VwClqi_qtULmmW3cLr0oe3OKaSYoKzdpTsYQ/edit?usp=sharing"",""นครนายก!Q732"")+IMPORTRANGE(""https://docs.google.com/spreadsheets/d/1YTZo6WM2dQ6Ix6FSdnL"&amp;"5P7uVnVKu40sxZu975tgG10E/edit?usp=sharing"",""นครปฐม!Q732"")+IMPORTRANGE(""https://docs.google.com/spreadsheets/d/1OYoGg4WDg5RIzwGeB10padOxJF9E_Vljuvvct_M7RDo/edit?usp=sharing"",""ปทุมธานี!Q732"")+IMPORTRANGE(""https://docs.google.com/spreadsheets/d/1GbCI"&amp;"E4D4wk9FUozzqk7SxfDMxDVBwVmI5zcaVUSzKAc/edit?usp=sharing"",""ประจวบคีรีขันธ์!Q732"")+IMPORTRANGE(""https://docs.google.com/spreadsheets/d/1vVf6wykvW_lAyu7Yo9L4hUTqHqIeP_qcVuxCtosJEbg/edit?usp=sharing"",""ปราจีนบุรี!Q732"")+IMPORTRANGE(""https://docs.googl"&amp;"e.com/spreadsheets/d/1BIDqLLg5jk3v59G8NlR8rk5xfQDKne0sAvZHSj7TI6I/edit?usp=sharing"",""พระนครศรีอยุธยา!Q732"")+IMPORTRANGE(""https://docs.google.com/spreadsheets/d/1YXvxf8Yu6_rV4hTBrwMqAcAnv6DfhUxh5emyM3CJp_w/edit?usp=sharing"",""เพชรบุรี!Q732"")+IMPORTRA"&amp;"NGE(""https://docs.google.com/spreadsheets/d/19KBlQQs7uwvsao6t2n-KvW3Ax8J8uRRfZPq1zPbXgKc/edit?usp=sharing"",""ระยอง!Q732"")+IMPORTRANGE(""https://docs.google.com/spreadsheets/d/1jQ6P4QcrGM89YfqcC_PxOHGCMq5ezhucwJd8ci-NHng/edit?usp=sharing"",""ราชบุรี!Q73"&amp;"2"")+IMPORTRANGE(""https://docs.google.com/spreadsheets/d/1lufeA2cfFqM-elVq2hznhDzC6Pr7wkJ9ZG_sYNGCMCU/edit?usp=sharing"",""ลพบุรี!Q732"")+IMPORTRANGE(""https://docs.google.com/spreadsheets/d/10oOiF7loTyfsTkbd4MpaIm0HQ9SwB7IYHdIUvt-U1Uc/edit?usp=sharing"""&amp;",""สระแก้ว!Q732"")+IMPORTRANGE(""https://docs.google.com/spreadsheets/d/1xmPlrr1QbdSIKvl1dWUl9K4PjAfSL9oeMr_37QVzcxc/edit?usp=sharing"",""สระบุรี!Q732"")+IMPORTRANGE(""https://docs.google.com/spreadsheets/d/1j51vR6CYVGhABJpv6tkstgok82RLpXieLzW1yOY5rHw/edi"&amp;"t?usp=sharing"",""สิงห์บุรี!Q732"")+IMPORTRANGE(""https://docs.google.com/spreadsheets/d/1H1EalTWKUSzO4Z1-1CwzoDUaVffgrThEBe2sl74kKG0/edit?usp=sharing"",""สุพรรณบุรี!Q732"")+IMPORTRANGE(""https://docs.google.com/spreadsheets/d/1BmIruG_sIrJLYao_Pdr7zVArWsf"&amp;"oBt2692TMi6x_854/edit?usp=sharing"",""อ่างทอง!Q732"")"),0)</f>
        <v>0</v>
      </c>
      <c r="R732" s="80">
        <f ca="1">IFERROR(__xludf.DUMMYFUNCTION("IMPORTRANGE(""https://docs.google.com/spreadsheets/d/13wPX838HrBrQMCywv1BsuMkt4PEKTChp52zj44s2izQ/edit?usp=sharing"",""กาญจนบุรี!R732"")+IMPORTRANGE(""https://docs.google.com/spreadsheets/d/1ddFKvqj1W1NEiWytbGlB1zMx_ykJDVtmfEQ-6-lIUBA/edit?usp=sharing"","&amp;"""จันทบุรี!R732"")+IMPORTRANGE(""https://docs.google.com/spreadsheets/d/1T1PQvRODqOBZk8BRht_U031fIS1beLA0Ub2CEytj2q0/edit?usp=sharing"",""ฉะเชิงเทรา!R732"")+IMPORTRANGE(""https://docs.google.com/spreadsheets/d/11tr1B-Bhyr79v2bkwVh5h_fR-PStkgjlZtkrZpYurG0/"&amp;"edit?usp=sharing"",""ชลบุรี!R732"")+IMPORTRANGE(""https://docs.google.com/spreadsheets/d/1hh-FVnSX0vozXhGluamEcS54Dw9_zqW0N7qJUWgJ0Sw/edit?usp=sharing"",""ชัยนาท!R732"")+IMPORTRANGE(""https://docs.google.com/spreadsheets/d/1jkqa6GXxSacMcY1eN8AHjMNJ_7dDXMJ"&amp;"VRLDlaFSOdPM/edit?usp=sharing"",""ตราด!R732"")+IMPORTRANGE(""https://docs.google.com/spreadsheets/d/18hSgUJ3VwClqi_qtULmmW3cLr0oe3OKaSYoKzdpTsYQ/edit?usp=sharing"",""นครนายก!R732"")+IMPORTRANGE(""https://docs.google.com/spreadsheets/d/1YTZo6WM2dQ6Ix6FSdnL"&amp;"5P7uVnVKu40sxZu975tgG10E/edit?usp=sharing"",""นครปฐม!R732"")+IMPORTRANGE(""https://docs.google.com/spreadsheets/d/1OYoGg4WDg5RIzwGeB10padOxJF9E_Vljuvvct_M7RDo/edit?usp=sharing"",""ปทุมธานี!R732"")+IMPORTRANGE(""https://docs.google.com/spreadsheets/d/1GbCI"&amp;"E4D4wk9FUozzqk7SxfDMxDVBwVmI5zcaVUSzKAc/edit?usp=sharing"",""ประจวบคีรีขันธ์!R732"")+IMPORTRANGE(""https://docs.google.com/spreadsheets/d/1vVf6wykvW_lAyu7Yo9L4hUTqHqIeP_qcVuxCtosJEbg/edit?usp=sharing"",""ปราจีนบุรี!R732"")+IMPORTRANGE(""https://docs.googl"&amp;"e.com/spreadsheets/d/1BIDqLLg5jk3v59G8NlR8rk5xfQDKne0sAvZHSj7TI6I/edit?usp=sharing"",""พระนครศรีอยุธยา!R732"")+IMPORTRANGE(""https://docs.google.com/spreadsheets/d/1YXvxf8Yu6_rV4hTBrwMqAcAnv6DfhUxh5emyM3CJp_w/edit?usp=sharing"",""เพชรบุรี!R732"")+IMPORTRA"&amp;"NGE(""https://docs.google.com/spreadsheets/d/19KBlQQs7uwvsao6t2n-KvW3Ax8J8uRRfZPq1zPbXgKc/edit?usp=sharing"",""ระยอง!R732"")+IMPORTRANGE(""https://docs.google.com/spreadsheets/d/1jQ6P4QcrGM89YfqcC_PxOHGCMq5ezhucwJd8ci-NHng/edit?usp=sharing"",""ราชบุรี!R73"&amp;"2"")+IMPORTRANGE(""https://docs.google.com/spreadsheets/d/1lufeA2cfFqM-elVq2hznhDzC6Pr7wkJ9ZG_sYNGCMCU/edit?usp=sharing"",""ลพบุรี!R732"")+IMPORTRANGE(""https://docs.google.com/spreadsheets/d/10oOiF7loTyfsTkbd4MpaIm0HQ9SwB7IYHdIUvt-U1Uc/edit?usp=sharing"""&amp;",""สระแก้ว!R732"")+IMPORTRANGE(""https://docs.google.com/spreadsheets/d/1xmPlrr1QbdSIKvl1dWUl9K4PjAfSL9oeMr_37QVzcxc/edit?usp=sharing"",""สระบุรี!R732"")+IMPORTRANGE(""https://docs.google.com/spreadsheets/d/1j51vR6CYVGhABJpv6tkstgok82RLpXieLzW1yOY5rHw/edi"&amp;"t?usp=sharing"",""สิงห์บุรี!R732"")+IMPORTRANGE(""https://docs.google.com/spreadsheets/d/1H1EalTWKUSzO4Z1-1CwzoDUaVffgrThEBe2sl74kKG0/edit?usp=sharing"",""สุพรรณบุรี!R732"")+IMPORTRANGE(""https://docs.google.com/spreadsheets/d/1BmIruG_sIrJLYao_Pdr7zVArWsf"&amp;"oBt2692TMi6x_854/edit?usp=sharing"",""อ่างทอง!R732"")"),0)</f>
        <v>0</v>
      </c>
      <c r="S732" s="80">
        <f ca="1">IFERROR(__xludf.DUMMYFUNCTION("IMPORTRANGE(""https://docs.google.com/spreadsheets/d/13wPX838HrBrQMCywv1BsuMkt4PEKTChp52zj44s2izQ/edit?usp=sharing"",""กาญจนบุรี!S732"")+IMPORTRANGE(""https://docs.google.com/spreadsheets/d/1ddFKvqj1W1NEiWytbGlB1zMx_ykJDVtmfEQ-6-lIUBA/edit?usp=sharing"","&amp;"""จันทบุรี!S732"")+IMPORTRANGE(""https://docs.google.com/spreadsheets/d/1T1PQvRODqOBZk8BRht_U031fIS1beLA0Ub2CEytj2q0/edit?usp=sharing"",""ฉะเชิงเทรา!S732"")+IMPORTRANGE(""https://docs.google.com/spreadsheets/d/11tr1B-Bhyr79v2bkwVh5h_fR-PStkgjlZtkrZpYurG0/"&amp;"edit?usp=sharing"",""ชลบุรี!S732"")+IMPORTRANGE(""https://docs.google.com/spreadsheets/d/1hh-FVnSX0vozXhGluamEcS54Dw9_zqW0N7qJUWgJ0Sw/edit?usp=sharing"",""ชัยนาท!S732"")+IMPORTRANGE(""https://docs.google.com/spreadsheets/d/1jkqa6GXxSacMcY1eN8AHjMNJ_7dDXMJ"&amp;"VRLDlaFSOdPM/edit?usp=sharing"",""ตราด!S732"")+IMPORTRANGE(""https://docs.google.com/spreadsheets/d/18hSgUJ3VwClqi_qtULmmW3cLr0oe3OKaSYoKzdpTsYQ/edit?usp=sharing"",""นครนายก!S732"")+IMPORTRANGE(""https://docs.google.com/spreadsheets/d/1YTZo6WM2dQ6Ix6FSdnL"&amp;"5P7uVnVKu40sxZu975tgG10E/edit?usp=sharing"",""นครปฐม!S732"")+IMPORTRANGE(""https://docs.google.com/spreadsheets/d/1OYoGg4WDg5RIzwGeB10padOxJF9E_Vljuvvct_M7RDo/edit?usp=sharing"",""ปทุมธานี!S732"")+IMPORTRANGE(""https://docs.google.com/spreadsheets/d/1GbCI"&amp;"E4D4wk9FUozzqk7SxfDMxDVBwVmI5zcaVUSzKAc/edit?usp=sharing"",""ประจวบคีรีขันธ์!S732"")+IMPORTRANGE(""https://docs.google.com/spreadsheets/d/1vVf6wykvW_lAyu7Yo9L4hUTqHqIeP_qcVuxCtosJEbg/edit?usp=sharing"",""ปราจีนบุรี!S732"")+IMPORTRANGE(""https://docs.googl"&amp;"e.com/spreadsheets/d/1BIDqLLg5jk3v59G8NlR8rk5xfQDKne0sAvZHSj7TI6I/edit?usp=sharing"",""พระนครศรีอยุธยา!S732"")+IMPORTRANGE(""https://docs.google.com/spreadsheets/d/1YXvxf8Yu6_rV4hTBrwMqAcAnv6DfhUxh5emyM3CJp_w/edit?usp=sharing"",""เพชรบุรี!S732"")+IMPORTRA"&amp;"NGE(""https://docs.google.com/spreadsheets/d/19KBlQQs7uwvsao6t2n-KvW3Ax8J8uRRfZPq1zPbXgKc/edit?usp=sharing"",""ระยอง!S732"")+IMPORTRANGE(""https://docs.google.com/spreadsheets/d/1jQ6P4QcrGM89YfqcC_PxOHGCMq5ezhucwJd8ci-NHng/edit?usp=sharing"",""ราชบุรี!S73"&amp;"2"")+IMPORTRANGE(""https://docs.google.com/spreadsheets/d/1lufeA2cfFqM-elVq2hznhDzC6Pr7wkJ9ZG_sYNGCMCU/edit?usp=sharing"",""ลพบุรี!S732"")+IMPORTRANGE(""https://docs.google.com/spreadsheets/d/10oOiF7loTyfsTkbd4MpaIm0HQ9SwB7IYHdIUvt-U1Uc/edit?usp=sharing"""&amp;",""สระแก้ว!S732"")+IMPORTRANGE(""https://docs.google.com/spreadsheets/d/1xmPlrr1QbdSIKvl1dWUl9K4PjAfSL9oeMr_37QVzcxc/edit?usp=sharing"",""สระบุรี!S732"")+IMPORTRANGE(""https://docs.google.com/spreadsheets/d/1j51vR6CYVGhABJpv6tkstgok82RLpXieLzW1yOY5rHw/edi"&amp;"t?usp=sharing"",""สิงห์บุรี!S732"")+IMPORTRANGE(""https://docs.google.com/spreadsheets/d/1H1EalTWKUSzO4Z1-1CwzoDUaVffgrThEBe2sl74kKG0/edit?usp=sharing"",""สุพรรณบุรี!S732"")+IMPORTRANGE(""https://docs.google.com/spreadsheets/d/1BmIruG_sIrJLYao_Pdr7zVArWsf"&amp;"oBt2692TMi6x_854/edit?usp=sharing"",""อ่างทอง!S732"")"),0)</f>
        <v>0</v>
      </c>
      <c r="T732" s="136">
        <f t="shared" ca="1" si="499"/>
        <v>0</v>
      </c>
      <c r="U732" s="136">
        <f t="shared" ca="1" si="500"/>
        <v>0</v>
      </c>
    </row>
    <row r="733" spans="1:21" ht="18.75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f ca="1">IFERROR(__xludf.DUMMYFUNCTION("IMPORTRANGE(""https://docs.google.com/spreadsheets/d/13wPX838HrBrQMCywv1BsuMkt4PEKTChp52zj44s2izQ/edit?usp=sharing"",""กาญจนบุรี!L733"")+IMPORTRANGE(""https://docs.google.com/spreadsheets/d/1ddFKvqj1W1NEiWytbGlB1zMx_ykJDVtmfEQ-6-lIUBA/edit?usp=sharing"","&amp;"""จันทบุรี!L733"")+IMPORTRANGE(""https://docs.google.com/spreadsheets/d/1T1PQvRODqOBZk8BRht_U031fIS1beLA0Ub2CEytj2q0/edit?usp=sharing"",""ฉะเชิงเทรา!L733"")+IMPORTRANGE(""https://docs.google.com/spreadsheets/d/11tr1B-Bhyr79v2bkwVh5h_fR-PStkgjlZtkrZpYurG0/"&amp;"edit?usp=sharing"",""ชลบุรี!L733"")+IMPORTRANGE(""https://docs.google.com/spreadsheets/d/1hh-FVnSX0vozXhGluamEcS54Dw9_zqW0N7qJUWgJ0Sw/edit?usp=sharing"",""ชัยนาท!L733"")+IMPORTRANGE(""https://docs.google.com/spreadsheets/d/1jkqa6GXxSacMcY1eN8AHjMNJ_7dDXMJ"&amp;"VRLDlaFSOdPM/edit?usp=sharing"",""ตราด!L733"")+IMPORTRANGE(""https://docs.google.com/spreadsheets/d/18hSgUJ3VwClqi_qtULmmW3cLr0oe3OKaSYoKzdpTsYQ/edit?usp=sharing"",""นครนายก!L733"")+IMPORTRANGE(""https://docs.google.com/spreadsheets/d/1YTZo6WM2dQ6Ix6FSdnL"&amp;"5P7uVnVKu40sxZu975tgG10E/edit?usp=sharing"",""นครปฐม!L733"")+IMPORTRANGE(""https://docs.google.com/spreadsheets/d/1OYoGg4WDg5RIzwGeB10padOxJF9E_Vljuvvct_M7RDo/edit?usp=sharing"",""ปทุมธานี!L733"")+IMPORTRANGE(""https://docs.google.com/spreadsheets/d/1GbCI"&amp;"E4D4wk9FUozzqk7SxfDMxDVBwVmI5zcaVUSzKAc/edit?usp=sharing"",""ประจวบคีรีขันธ์!L733"")+IMPORTRANGE(""https://docs.google.com/spreadsheets/d/1vVf6wykvW_lAyu7Yo9L4hUTqHqIeP_qcVuxCtosJEbg/edit?usp=sharing"",""ปราจีนบุรี!L733"")+IMPORTRANGE(""https://docs.googl"&amp;"e.com/spreadsheets/d/1BIDqLLg5jk3v59G8NlR8rk5xfQDKne0sAvZHSj7TI6I/edit?usp=sharing"",""พระนครศรีอยุธยา!L733"")+IMPORTRANGE(""https://docs.google.com/spreadsheets/d/1YXvxf8Yu6_rV4hTBrwMqAcAnv6DfhUxh5emyM3CJp_w/edit?usp=sharing"",""เพชรบุรี!L733"")+IMPORTRA"&amp;"NGE(""https://docs.google.com/spreadsheets/d/19KBlQQs7uwvsao6t2n-KvW3Ax8J8uRRfZPq1zPbXgKc/edit?usp=sharing"",""ระยอง!L733"")+IMPORTRANGE(""https://docs.google.com/spreadsheets/d/1jQ6P4QcrGM89YfqcC_PxOHGCMq5ezhucwJd8ci-NHng/edit?usp=sharing"",""ราชบุรี!L73"&amp;"3"")+IMPORTRANGE(""https://docs.google.com/spreadsheets/d/1lufeA2cfFqM-elVq2hznhDzC6Pr7wkJ9ZG_sYNGCMCU/edit?usp=sharing"",""ลพบุรี!L733"")+IMPORTRANGE(""https://docs.google.com/spreadsheets/d/10oOiF7loTyfsTkbd4MpaIm0HQ9SwB7IYHdIUvt-U1Uc/edit?usp=sharing"""&amp;",""สระแก้ว!L733"")+IMPORTRANGE(""https://docs.google.com/spreadsheets/d/1xmPlrr1QbdSIKvl1dWUl9K4PjAfSL9oeMr_37QVzcxc/edit?usp=sharing"",""สระบุรี!L733"")+IMPORTRANGE(""https://docs.google.com/spreadsheets/d/1j51vR6CYVGhABJpv6tkstgok82RLpXieLzW1yOY5rHw/edi"&amp;"t?usp=sharing"",""สิงห์บุรี!L733"")+IMPORTRANGE(""https://docs.google.com/spreadsheets/d/1H1EalTWKUSzO4Z1-1CwzoDUaVffgrThEBe2sl74kKG0/edit?usp=sharing"",""สุพรรณบุรี!L733"")+IMPORTRANGE(""https://docs.google.com/spreadsheets/d/1BmIruG_sIrJLYao_Pdr7zVArWsf"&amp;"oBt2692TMi6x_854/edit?usp=sharing"",""อ่างทอง!L733"")"),0)</f>
        <v>0</v>
      </c>
      <c r="M733" s="77">
        <f ca="1">IFERROR(__xludf.DUMMYFUNCTION("IMPORTRANGE(""https://docs.google.com/spreadsheets/d/13wPX838HrBrQMCywv1BsuMkt4PEKTChp52zj44s2izQ/edit?usp=sharing"",""กาญจนบุรี!M733"")+IMPORTRANGE(""https://docs.google.com/spreadsheets/d/1ddFKvqj1W1NEiWytbGlB1zMx_ykJDVtmfEQ-6-lIUBA/edit?usp=sharing"","&amp;"""จันทบุรี!M733"")+IMPORTRANGE(""https://docs.google.com/spreadsheets/d/1T1PQvRODqOBZk8BRht_U031fIS1beLA0Ub2CEytj2q0/edit?usp=sharing"",""ฉะเชิงเทรา!M733"")+IMPORTRANGE(""https://docs.google.com/spreadsheets/d/11tr1B-Bhyr79v2bkwVh5h_fR-PStkgjlZtkrZpYurG0/"&amp;"edit?usp=sharing"",""ชลบุรี!M733"")+IMPORTRANGE(""https://docs.google.com/spreadsheets/d/1hh-FVnSX0vozXhGluamEcS54Dw9_zqW0N7qJUWgJ0Sw/edit?usp=sharing"",""ชัยนาท!M733"")+IMPORTRANGE(""https://docs.google.com/spreadsheets/d/1jkqa6GXxSacMcY1eN8AHjMNJ_7dDXMJ"&amp;"VRLDlaFSOdPM/edit?usp=sharing"",""ตราด!M733"")+IMPORTRANGE(""https://docs.google.com/spreadsheets/d/18hSgUJ3VwClqi_qtULmmW3cLr0oe3OKaSYoKzdpTsYQ/edit?usp=sharing"",""นครนายก!M733"")+IMPORTRANGE(""https://docs.google.com/spreadsheets/d/1YTZo6WM2dQ6Ix6FSdnL"&amp;"5P7uVnVKu40sxZu975tgG10E/edit?usp=sharing"",""นครปฐม!M733"")+IMPORTRANGE(""https://docs.google.com/spreadsheets/d/1OYoGg4WDg5RIzwGeB10padOxJF9E_Vljuvvct_M7RDo/edit?usp=sharing"",""ปทุมธานี!M733"")+IMPORTRANGE(""https://docs.google.com/spreadsheets/d/1GbCI"&amp;"E4D4wk9FUozzqk7SxfDMxDVBwVmI5zcaVUSzKAc/edit?usp=sharing"",""ประจวบคีรีขันธ์!M733"")+IMPORTRANGE(""https://docs.google.com/spreadsheets/d/1vVf6wykvW_lAyu7Yo9L4hUTqHqIeP_qcVuxCtosJEbg/edit?usp=sharing"",""ปราจีนบุรี!M733"")+IMPORTRANGE(""https://docs.googl"&amp;"e.com/spreadsheets/d/1BIDqLLg5jk3v59G8NlR8rk5xfQDKne0sAvZHSj7TI6I/edit?usp=sharing"",""พระนครศรีอยุธยา!M733"")+IMPORTRANGE(""https://docs.google.com/spreadsheets/d/1YXvxf8Yu6_rV4hTBrwMqAcAnv6DfhUxh5emyM3CJp_w/edit?usp=sharing"",""เพชรบุรี!M733"")+IMPORTRA"&amp;"NGE(""https://docs.google.com/spreadsheets/d/19KBlQQs7uwvsao6t2n-KvW3Ax8J8uRRfZPq1zPbXgKc/edit?usp=sharing"",""ระยอง!M733"")+IMPORTRANGE(""https://docs.google.com/spreadsheets/d/1jQ6P4QcrGM89YfqcC_PxOHGCMq5ezhucwJd8ci-NHng/edit?usp=sharing"",""ราชบุรี!M73"&amp;"3"")+IMPORTRANGE(""https://docs.google.com/spreadsheets/d/1lufeA2cfFqM-elVq2hznhDzC6Pr7wkJ9ZG_sYNGCMCU/edit?usp=sharing"",""ลพบุรี!M733"")+IMPORTRANGE(""https://docs.google.com/spreadsheets/d/10oOiF7loTyfsTkbd4MpaIm0HQ9SwB7IYHdIUvt-U1Uc/edit?usp=sharing"""&amp;",""สระแก้ว!M733"")+IMPORTRANGE(""https://docs.google.com/spreadsheets/d/1xmPlrr1QbdSIKvl1dWUl9K4PjAfSL9oeMr_37QVzcxc/edit?usp=sharing"",""สระบุรี!M733"")+IMPORTRANGE(""https://docs.google.com/spreadsheets/d/1j51vR6CYVGhABJpv6tkstgok82RLpXieLzW1yOY5rHw/edi"&amp;"t?usp=sharing"",""สิงห์บุรี!M733"")+IMPORTRANGE(""https://docs.google.com/spreadsheets/d/1H1EalTWKUSzO4Z1-1CwzoDUaVffgrThEBe2sl74kKG0/edit?usp=sharing"",""สุพรรณบุรี!M733"")+IMPORTRANGE(""https://docs.google.com/spreadsheets/d/1BmIruG_sIrJLYao_Pdr7zVArWsf"&amp;"oBt2692TMi6x_854/edit?usp=sharing"",""อ่างทอง!M733"")"),0)</f>
        <v>0</v>
      </c>
      <c r="N733" s="77">
        <f ca="1">IFERROR(__xludf.DUMMYFUNCTION("IMPORTRANGE(""https://docs.google.com/spreadsheets/d/13wPX838HrBrQMCywv1BsuMkt4PEKTChp52zj44s2izQ/edit?usp=sharing"",""กาญจนบุรี!N733"")+IMPORTRANGE(""https://docs.google.com/spreadsheets/d/1ddFKvqj1W1NEiWytbGlB1zMx_ykJDVtmfEQ-6-lIUBA/edit?usp=sharing"","&amp;"""จันทบุรี!N733"")+IMPORTRANGE(""https://docs.google.com/spreadsheets/d/1T1PQvRODqOBZk8BRht_U031fIS1beLA0Ub2CEytj2q0/edit?usp=sharing"",""ฉะเชิงเทรา!N733"")+IMPORTRANGE(""https://docs.google.com/spreadsheets/d/11tr1B-Bhyr79v2bkwVh5h_fR-PStkgjlZtkrZpYurG0/"&amp;"edit?usp=sharing"",""ชลบุรี!N733"")+IMPORTRANGE(""https://docs.google.com/spreadsheets/d/1hh-FVnSX0vozXhGluamEcS54Dw9_zqW0N7qJUWgJ0Sw/edit?usp=sharing"",""ชัยนาท!N733"")+IMPORTRANGE(""https://docs.google.com/spreadsheets/d/1jkqa6GXxSacMcY1eN8AHjMNJ_7dDXMJ"&amp;"VRLDlaFSOdPM/edit?usp=sharing"",""ตราด!N733"")+IMPORTRANGE(""https://docs.google.com/spreadsheets/d/18hSgUJ3VwClqi_qtULmmW3cLr0oe3OKaSYoKzdpTsYQ/edit?usp=sharing"",""นครนายก!N733"")+IMPORTRANGE(""https://docs.google.com/spreadsheets/d/1YTZo6WM2dQ6Ix6FSdnL"&amp;"5P7uVnVKu40sxZu975tgG10E/edit?usp=sharing"",""นครปฐม!N733"")+IMPORTRANGE(""https://docs.google.com/spreadsheets/d/1OYoGg4WDg5RIzwGeB10padOxJF9E_Vljuvvct_M7RDo/edit?usp=sharing"",""ปทุมธานี!N733"")+IMPORTRANGE(""https://docs.google.com/spreadsheets/d/1GbCI"&amp;"E4D4wk9FUozzqk7SxfDMxDVBwVmI5zcaVUSzKAc/edit?usp=sharing"",""ประจวบคีรีขันธ์!N733"")+IMPORTRANGE(""https://docs.google.com/spreadsheets/d/1vVf6wykvW_lAyu7Yo9L4hUTqHqIeP_qcVuxCtosJEbg/edit?usp=sharing"",""ปราจีนบุรี!N733"")+IMPORTRANGE(""https://docs.googl"&amp;"e.com/spreadsheets/d/1BIDqLLg5jk3v59G8NlR8rk5xfQDKne0sAvZHSj7TI6I/edit?usp=sharing"",""พระนครศรีอยุธยา!N733"")+IMPORTRANGE(""https://docs.google.com/spreadsheets/d/1YXvxf8Yu6_rV4hTBrwMqAcAnv6DfhUxh5emyM3CJp_w/edit?usp=sharing"",""เพชรบุรี!N733"")+IMPORTRA"&amp;"NGE(""https://docs.google.com/spreadsheets/d/19KBlQQs7uwvsao6t2n-KvW3Ax8J8uRRfZPq1zPbXgKc/edit?usp=sharing"",""ระยอง!N733"")+IMPORTRANGE(""https://docs.google.com/spreadsheets/d/1jQ6P4QcrGM89YfqcC_PxOHGCMq5ezhucwJd8ci-NHng/edit?usp=sharing"",""ราชบุรี!N73"&amp;"3"")+IMPORTRANGE(""https://docs.google.com/spreadsheets/d/1lufeA2cfFqM-elVq2hznhDzC6Pr7wkJ9ZG_sYNGCMCU/edit?usp=sharing"",""ลพบุรี!N733"")+IMPORTRANGE(""https://docs.google.com/spreadsheets/d/10oOiF7loTyfsTkbd4MpaIm0HQ9SwB7IYHdIUvt-U1Uc/edit?usp=sharing"""&amp;",""สระแก้ว!N733"")+IMPORTRANGE(""https://docs.google.com/spreadsheets/d/1xmPlrr1QbdSIKvl1dWUl9K4PjAfSL9oeMr_37QVzcxc/edit?usp=sharing"",""สระบุรี!N733"")+IMPORTRANGE(""https://docs.google.com/spreadsheets/d/1j51vR6CYVGhABJpv6tkstgok82RLpXieLzW1yOY5rHw/edi"&amp;"t?usp=sharing"",""สิงห์บุรี!N733"")+IMPORTRANGE(""https://docs.google.com/spreadsheets/d/1H1EalTWKUSzO4Z1-1CwzoDUaVffgrThEBe2sl74kKG0/edit?usp=sharing"",""สุพรรณบุรี!N733"")+IMPORTRANGE(""https://docs.google.com/spreadsheets/d/1BmIruG_sIrJLYao_Pdr7zVArWsf"&amp;"oBt2692TMi6x_854/edit?usp=sharing"",""อ่างทอง!N733"")"),0)</f>
        <v>0</v>
      </c>
      <c r="O733" s="77">
        <f t="shared" ca="1" si="496"/>
        <v>0</v>
      </c>
      <c r="P733" s="77">
        <f t="shared" ca="1" si="497"/>
        <v>0</v>
      </c>
      <c r="Q733" s="134">
        <f ca="1">IFERROR(__xludf.DUMMYFUNCTION("IMPORTRANGE(""https://docs.google.com/spreadsheets/d/13wPX838HrBrQMCywv1BsuMkt4PEKTChp52zj44s2izQ/edit?usp=sharing"",""กาญจนบุรี!Q733"")+IMPORTRANGE(""https://docs.google.com/spreadsheets/d/1ddFKvqj1W1NEiWytbGlB1zMx_ykJDVtmfEQ-6-lIUBA/edit?usp=sharing"","&amp;"""จันทบุรี!Q733"")+IMPORTRANGE(""https://docs.google.com/spreadsheets/d/1T1PQvRODqOBZk8BRht_U031fIS1beLA0Ub2CEytj2q0/edit?usp=sharing"",""ฉะเชิงเทรา!Q733"")+IMPORTRANGE(""https://docs.google.com/spreadsheets/d/11tr1B-Bhyr79v2bkwVh5h_fR-PStkgjlZtkrZpYurG0/"&amp;"edit?usp=sharing"",""ชลบุรี!Q733"")+IMPORTRANGE(""https://docs.google.com/spreadsheets/d/1hh-FVnSX0vozXhGluamEcS54Dw9_zqW0N7qJUWgJ0Sw/edit?usp=sharing"",""ชัยนาท!Q733"")+IMPORTRANGE(""https://docs.google.com/spreadsheets/d/1jkqa6GXxSacMcY1eN8AHjMNJ_7dDXMJ"&amp;"VRLDlaFSOdPM/edit?usp=sharing"",""ตราด!Q733"")+IMPORTRANGE(""https://docs.google.com/spreadsheets/d/18hSgUJ3VwClqi_qtULmmW3cLr0oe3OKaSYoKzdpTsYQ/edit?usp=sharing"",""นครนายก!Q733"")+IMPORTRANGE(""https://docs.google.com/spreadsheets/d/1YTZo6WM2dQ6Ix6FSdnL"&amp;"5P7uVnVKu40sxZu975tgG10E/edit?usp=sharing"",""นครปฐม!Q733"")+IMPORTRANGE(""https://docs.google.com/spreadsheets/d/1OYoGg4WDg5RIzwGeB10padOxJF9E_Vljuvvct_M7RDo/edit?usp=sharing"",""ปทุมธานี!Q733"")+IMPORTRANGE(""https://docs.google.com/spreadsheets/d/1GbCI"&amp;"E4D4wk9FUozzqk7SxfDMxDVBwVmI5zcaVUSzKAc/edit?usp=sharing"",""ประจวบคีรีขันธ์!Q733"")+IMPORTRANGE(""https://docs.google.com/spreadsheets/d/1vVf6wykvW_lAyu7Yo9L4hUTqHqIeP_qcVuxCtosJEbg/edit?usp=sharing"",""ปราจีนบุรี!Q733"")+IMPORTRANGE(""https://docs.googl"&amp;"e.com/spreadsheets/d/1BIDqLLg5jk3v59G8NlR8rk5xfQDKne0sAvZHSj7TI6I/edit?usp=sharing"",""พระนครศรีอยุธยา!Q733"")+IMPORTRANGE(""https://docs.google.com/spreadsheets/d/1YXvxf8Yu6_rV4hTBrwMqAcAnv6DfhUxh5emyM3CJp_w/edit?usp=sharing"",""เพชรบุรี!Q733"")+IMPORTRA"&amp;"NGE(""https://docs.google.com/spreadsheets/d/19KBlQQs7uwvsao6t2n-KvW3Ax8J8uRRfZPq1zPbXgKc/edit?usp=sharing"",""ระยอง!Q733"")+IMPORTRANGE(""https://docs.google.com/spreadsheets/d/1jQ6P4QcrGM89YfqcC_PxOHGCMq5ezhucwJd8ci-NHng/edit?usp=sharing"",""ราชบุรี!Q73"&amp;"3"")+IMPORTRANGE(""https://docs.google.com/spreadsheets/d/1lufeA2cfFqM-elVq2hznhDzC6Pr7wkJ9ZG_sYNGCMCU/edit?usp=sharing"",""ลพบุรี!Q733"")+IMPORTRANGE(""https://docs.google.com/spreadsheets/d/10oOiF7loTyfsTkbd4MpaIm0HQ9SwB7IYHdIUvt-U1Uc/edit?usp=sharing"""&amp;",""สระแก้ว!Q733"")+IMPORTRANGE(""https://docs.google.com/spreadsheets/d/1xmPlrr1QbdSIKvl1dWUl9K4PjAfSL9oeMr_37QVzcxc/edit?usp=sharing"",""สระบุรี!Q733"")+IMPORTRANGE(""https://docs.google.com/spreadsheets/d/1j51vR6CYVGhABJpv6tkstgok82RLpXieLzW1yOY5rHw/edi"&amp;"t?usp=sharing"",""สิงห์บุรี!Q733"")+IMPORTRANGE(""https://docs.google.com/spreadsheets/d/1H1EalTWKUSzO4Z1-1CwzoDUaVffgrThEBe2sl74kKG0/edit?usp=sharing"",""สุพรรณบุรี!Q733"")+IMPORTRANGE(""https://docs.google.com/spreadsheets/d/1BmIruG_sIrJLYao_Pdr7zVArWsf"&amp;"oBt2692TMi6x_854/edit?usp=sharing"",""อ่างทอง!Q733"")"),5615326)</f>
        <v>5615326</v>
      </c>
      <c r="R733" s="135">
        <f ca="1">IFERROR(__xludf.DUMMYFUNCTION("IMPORTRANGE(""https://docs.google.com/spreadsheets/d/13wPX838HrBrQMCywv1BsuMkt4PEKTChp52zj44s2izQ/edit?usp=sharing"",""กาญจนบุรี!R733"")+IMPORTRANGE(""https://docs.google.com/spreadsheets/d/1ddFKvqj1W1NEiWytbGlB1zMx_ykJDVtmfEQ-6-lIUBA/edit?usp=sharing"","&amp;"""จันทบุรี!R733"")+IMPORTRANGE(""https://docs.google.com/spreadsheets/d/1T1PQvRODqOBZk8BRht_U031fIS1beLA0Ub2CEytj2q0/edit?usp=sharing"",""ฉะเชิงเทรา!R733"")+IMPORTRANGE(""https://docs.google.com/spreadsheets/d/11tr1B-Bhyr79v2bkwVh5h_fR-PStkgjlZtkrZpYurG0/"&amp;"edit?usp=sharing"",""ชลบุรี!R733"")+IMPORTRANGE(""https://docs.google.com/spreadsheets/d/1hh-FVnSX0vozXhGluamEcS54Dw9_zqW0N7qJUWgJ0Sw/edit?usp=sharing"",""ชัยนาท!R733"")+IMPORTRANGE(""https://docs.google.com/spreadsheets/d/1jkqa6GXxSacMcY1eN8AHjMNJ_7dDXMJ"&amp;"VRLDlaFSOdPM/edit?usp=sharing"",""ตราด!R733"")+IMPORTRANGE(""https://docs.google.com/spreadsheets/d/18hSgUJ3VwClqi_qtULmmW3cLr0oe3OKaSYoKzdpTsYQ/edit?usp=sharing"",""นครนายก!R733"")+IMPORTRANGE(""https://docs.google.com/spreadsheets/d/1YTZo6WM2dQ6Ix6FSdnL"&amp;"5P7uVnVKu40sxZu975tgG10E/edit?usp=sharing"",""นครปฐม!R733"")+IMPORTRANGE(""https://docs.google.com/spreadsheets/d/1OYoGg4WDg5RIzwGeB10padOxJF9E_Vljuvvct_M7RDo/edit?usp=sharing"",""ปทุมธานี!R733"")+IMPORTRANGE(""https://docs.google.com/spreadsheets/d/1GbCI"&amp;"E4D4wk9FUozzqk7SxfDMxDVBwVmI5zcaVUSzKAc/edit?usp=sharing"",""ประจวบคีรีขันธ์!R733"")+IMPORTRANGE(""https://docs.google.com/spreadsheets/d/1vVf6wykvW_lAyu7Yo9L4hUTqHqIeP_qcVuxCtosJEbg/edit?usp=sharing"",""ปราจีนบุรี!R733"")+IMPORTRANGE(""https://docs.googl"&amp;"e.com/spreadsheets/d/1BIDqLLg5jk3v59G8NlR8rk5xfQDKne0sAvZHSj7TI6I/edit?usp=sharing"",""พระนครศรีอยุธยา!R733"")+IMPORTRANGE(""https://docs.google.com/spreadsheets/d/1YXvxf8Yu6_rV4hTBrwMqAcAnv6DfhUxh5emyM3CJp_w/edit?usp=sharing"",""เพชรบุรี!R733"")+IMPORTRA"&amp;"NGE(""https://docs.google.com/spreadsheets/d/19KBlQQs7uwvsao6t2n-KvW3Ax8J8uRRfZPq1zPbXgKc/edit?usp=sharing"",""ระยอง!R733"")+IMPORTRANGE(""https://docs.google.com/spreadsheets/d/1jQ6P4QcrGM89YfqcC_PxOHGCMq5ezhucwJd8ci-NHng/edit?usp=sharing"",""ราชบุรี!R73"&amp;"3"")+IMPORTRANGE(""https://docs.google.com/spreadsheets/d/1lufeA2cfFqM-elVq2hznhDzC6Pr7wkJ9ZG_sYNGCMCU/edit?usp=sharing"",""ลพบุรี!R733"")+IMPORTRANGE(""https://docs.google.com/spreadsheets/d/10oOiF7loTyfsTkbd4MpaIm0HQ9SwB7IYHdIUvt-U1Uc/edit?usp=sharing"""&amp;",""สระแก้ว!R733"")+IMPORTRANGE(""https://docs.google.com/spreadsheets/d/1xmPlrr1QbdSIKvl1dWUl9K4PjAfSL9oeMr_37QVzcxc/edit?usp=sharing"",""สระบุรี!R733"")+IMPORTRANGE(""https://docs.google.com/spreadsheets/d/1j51vR6CYVGhABJpv6tkstgok82RLpXieLzW1yOY5rHw/edi"&amp;"t?usp=sharing"",""สิงห์บุรี!R733"")+IMPORTRANGE(""https://docs.google.com/spreadsheets/d/1H1EalTWKUSzO4Z1-1CwzoDUaVffgrThEBe2sl74kKG0/edit?usp=sharing"",""สุพรรณบุรี!R733"")+IMPORTRANGE(""https://docs.google.com/spreadsheets/d/1BmIruG_sIrJLYao_Pdr7zVArWsf"&amp;"oBt2692TMi6x_854/edit?usp=sharing"",""อ่างทอง!R733"")"),5615326)</f>
        <v>5615326</v>
      </c>
      <c r="S733" s="135">
        <f ca="1">IFERROR(__xludf.DUMMYFUNCTION("IMPORTRANGE(""https://docs.google.com/spreadsheets/d/13wPX838HrBrQMCywv1BsuMkt4PEKTChp52zj44s2izQ/edit?usp=sharing"",""กาญจนบุรี!S733"")+IMPORTRANGE(""https://docs.google.com/spreadsheets/d/1ddFKvqj1W1NEiWytbGlB1zMx_ykJDVtmfEQ-6-lIUBA/edit?usp=sharing"","&amp;"""จันทบุรี!S733"")+IMPORTRANGE(""https://docs.google.com/spreadsheets/d/1T1PQvRODqOBZk8BRht_U031fIS1beLA0Ub2CEytj2q0/edit?usp=sharing"",""ฉะเชิงเทรา!S733"")+IMPORTRANGE(""https://docs.google.com/spreadsheets/d/11tr1B-Bhyr79v2bkwVh5h_fR-PStkgjlZtkrZpYurG0/"&amp;"edit?usp=sharing"",""ชลบุรี!S733"")+IMPORTRANGE(""https://docs.google.com/spreadsheets/d/1hh-FVnSX0vozXhGluamEcS54Dw9_zqW0N7qJUWgJ0Sw/edit?usp=sharing"",""ชัยนาท!S733"")+IMPORTRANGE(""https://docs.google.com/spreadsheets/d/1jkqa6GXxSacMcY1eN8AHjMNJ_7dDXMJ"&amp;"VRLDlaFSOdPM/edit?usp=sharing"",""ตราด!S733"")+IMPORTRANGE(""https://docs.google.com/spreadsheets/d/18hSgUJ3VwClqi_qtULmmW3cLr0oe3OKaSYoKzdpTsYQ/edit?usp=sharing"",""นครนายก!S733"")+IMPORTRANGE(""https://docs.google.com/spreadsheets/d/1YTZo6WM2dQ6Ix6FSdnL"&amp;"5P7uVnVKu40sxZu975tgG10E/edit?usp=sharing"",""นครปฐม!S733"")+IMPORTRANGE(""https://docs.google.com/spreadsheets/d/1OYoGg4WDg5RIzwGeB10padOxJF9E_Vljuvvct_M7RDo/edit?usp=sharing"",""ปทุมธานี!S733"")+IMPORTRANGE(""https://docs.google.com/spreadsheets/d/1GbCI"&amp;"E4D4wk9FUozzqk7SxfDMxDVBwVmI5zcaVUSzKAc/edit?usp=sharing"",""ประจวบคีรีขันธ์!S733"")+IMPORTRANGE(""https://docs.google.com/spreadsheets/d/1vVf6wykvW_lAyu7Yo9L4hUTqHqIeP_qcVuxCtosJEbg/edit?usp=sharing"",""ปราจีนบุรี!S733"")+IMPORTRANGE(""https://docs.googl"&amp;"e.com/spreadsheets/d/1BIDqLLg5jk3v59G8NlR8rk5xfQDKne0sAvZHSj7TI6I/edit?usp=sharing"",""พระนครศรีอยุธยา!S733"")+IMPORTRANGE(""https://docs.google.com/spreadsheets/d/1YXvxf8Yu6_rV4hTBrwMqAcAnv6DfhUxh5emyM3CJp_w/edit?usp=sharing"",""เพชรบุรี!S733"")+IMPORTRA"&amp;"NGE(""https://docs.google.com/spreadsheets/d/19KBlQQs7uwvsao6t2n-KvW3Ax8J8uRRfZPq1zPbXgKc/edit?usp=sharing"",""ระยอง!S733"")+IMPORTRANGE(""https://docs.google.com/spreadsheets/d/1jQ6P4QcrGM89YfqcC_PxOHGCMq5ezhucwJd8ci-NHng/edit?usp=sharing"",""ราชบุรี!S73"&amp;"3"")+IMPORTRANGE(""https://docs.google.com/spreadsheets/d/1lufeA2cfFqM-elVq2hznhDzC6Pr7wkJ9ZG_sYNGCMCU/edit?usp=sharing"",""ลพบุรี!S733"")+IMPORTRANGE(""https://docs.google.com/spreadsheets/d/10oOiF7loTyfsTkbd4MpaIm0HQ9SwB7IYHdIUvt-U1Uc/edit?usp=sharing"""&amp;",""สระแก้ว!S733"")+IMPORTRANGE(""https://docs.google.com/spreadsheets/d/1xmPlrr1QbdSIKvl1dWUl9K4PjAfSL9oeMr_37QVzcxc/edit?usp=sharing"",""สระบุรี!S733"")+IMPORTRANGE(""https://docs.google.com/spreadsheets/d/1j51vR6CYVGhABJpv6tkstgok82RLpXieLzW1yOY5rHw/edi"&amp;"t?usp=sharing"",""สิงห์บุรี!S733"")+IMPORTRANGE(""https://docs.google.com/spreadsheets/d/1H1EalTWKUSzO4Z1-1CwzoDUaVffgrThEBe2sl74kKG0/edit?usp=sharing"",""สุพรรณบุรี!S733"")+IMPORTRANGE(""https://docs.google.com/spreadsheets/d/1BmIruG_sIrJLYao_Pdr7zVArWsf"&amp;"oBt2692TMi6x_854/edit?usp=sharing"",""อ่างทอง!S733"")"),460849)</f>
        <v>460849</v>
      </c>
      <c r="T733" s="135">
        <f t="shared" ca="1" si="499"/>
        <v>8.206985667439433</v>
      </c>
      <c r="U733" s="135">
        <f t="shared" ca="1" si="500"/>
        <v>8.206985667439433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 t="shared" ref="L734:N734" ca="1" si="507">L735+L736</f>
        <v>0</v>
      </c>
      <c r="M734" s="77">
        <f t="shared" ca="1" si="507"/>
        <v>0</v>
      </c>
      <c r="N734" s="77">
        <f t="shared" ca="1" si="507"/>
        <v>0</v>
      </c>
      <c r="O734" s="77">
        <f t="shared" ca="1" si="496"/>
        <v>0</v>
      </c>
      <c r="P734" s="77">
        <f t="shared" ca="1" si="497"/>
        <v>0</v>
      </c>
      <c r="Q734" s="134">
        <f t="shared" ref="Q734:S734" ca="1" si="508">Q735+Q736</f>
        <v>0</v>
      </c>
      <c r="R734" s="135">
        <f t="shared" ca="1" si="508"/>
        <v>0</v>
      </c>
      <c r="S734" s="135">
        <f t="shared" ca="1" si="508"/>
        <v>0</v>
      </c>
      <c r="T734" s="135">
        <f t="shared" ca="1" si="499"/>
        <v>0</v>
      </c>
      <c r="U734" s="135">
        <f t="shared" ca="1" si="500"/>
        <v>0</v>
      </c>
    </row>
    <row r="735" spans="1:21" ht="18.75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f ca="1">IFERROR(__xludf.DUMMYFUNCTION("IMPORTRANGE(""https://docs.google.com/spreadsheets/d/13wPX838HrBrQMCywv1BsuMkt4PEKTChp52zj44s2izQ/edit?usp=sharing"",""กาญจนบุรี!L735"")+IMPORTRANGE(""https://docs.google.com/spreadsheets/d/1ddFKvqj1W1NEiWytbGlB1zMx_ykJDVtmfEQ-6-lIUBA/edit?usp=sharing"","&amp;"""จันทบุรี!L735"")+IMPORTRANGE(""https://docs.google.com/spreadsheets/d/1T1PQvRODqOBZk8BRht_U031fIS1beLA0Ub2CEytj2q0/edit?usp=sharing"",""ฉะเชิงเทรา!L735"")+IMPORTRANGE(""https://docs.google.com/spreadsheets/d/11tr1B-Bhyr79v2bkwVh5h_fR-PStkgjlZtkrZpYurG0/"&amp;"edit?usp=sharing"",""ชลบุรี!L735"")+IMPORTRANGE(""https://docs.google.com/spreadsheets/d/1hh-FVnSX0vozXhGluamEcS54Dw9_zqW0N7qJUWgJ0Sw/edit?usp=sharing"",""ชัยนาท!L735"")+IMPORTRANGE(""https://docs.google.com/spreadsheets/d/1jkqa6GXxSacMcY1eN8AHjMNJ_7dDXMJ"&amp;"VRLDlaFSOdPM/edit?usp=sharing"",""ตราด!L735"")+IMPORTRANGE(""https://docs.google.com/spreadsheets/d/18hSgUJ3VwClqi_qtULmmW3cLr0oe3OKaSYoKzdpTsYQ/edit?usp=sharing"",""นครนายก!L735"")+IMPORTRANGE(""https://docs.google.com/spreadsheets/d/1YTZo6WM2dQ6Ix6FSdnL"&amp;"5P7uVnVKu40sxZu975tgG10E/edit?usp=sharing"",""นครปฐม!L735"")+IMPORTRANGE(""https://docs.google.com/spreadsheets/d/1OYoGg4WDg5RIzwGeB10padOxJF9E_Vljuvvct_M7RDo/edit?usp=sharing"",""ปทุมธานี!L735"")+IMPORTRANGE(""https://docs.google.com/spreadsheets/d/1GbCI"&amp;"E4D4wk9FUozzqk7SxfDMxDVBwVmI5zcaVUSzKAc/edit?usp=sharing"",""ประจวบคีรีขันธ์!L735"")+IMPORTRANGE(""https://docs.google.com/spreadsheets/d/1vVf6wykvW_lAyu7Yo9L4hUTqHqIeP_qcVuxCtosJEbg/edit?usp=sharing"",""ปราจีนบุรี!L735"")+IMPORTRANGE(""https://docs.googl"&amp;"e.com/spreadsheets/d/1BIDqLLg5jk3v59G8NlR8rk5xfQDKne0sAvZHSj7TI6I/edit?usp=sharing"",""พระนครศรีอยุธยา!L735"")+IMPORTRANGE(""https://docs.google.com/spreadsheets/d/1YXvxf8Yu6_rV4hTBrwMqAcAnv6DfhUxh5emyM3CJp_w/edit?usp=sharing"",""เพชรบุรี!L735"")+IMPORTRA"&amp;"NGE(""https://docs.google.com/spreadsheets/d/19KBlQQs7uwvsao6t2n-KvW3Ax8J8uRRfZPq1zPbXgKc/edit?usp=sharing"",""ระยอง!L735"")+IMPORTRANGE(""https://docs.google.com/spreadsheets/d/1jQ6P4QcrGM89YfqcC_PxOHGCMq5ezhucwJd8ci-NHng/edit?usp=sharing"",""ราชบุรี!L73"&amp;"5"")+IMPORTRANGE(""https://docs.google.com/spreadsheets/d/1lufeA2cfFqM-elVq2hznhDzC6Pr7wkJ9ZG_sYNGCMCU/edit?usp=sharing"",""ลพบุรี!L735"")+IMPORTRANGE(""https://docs.google.com/spreadsheets/d/10oOiF7loTyfsTkbd4MpaIm0HQ9SwB7IYHdIUvt-U1Uc/edit?usp=sharing"""&amp;",""สระแก้ว!L735"")+IMPORTRANGE(""https://docs.google.com/spreadsheets/d/1xmPlrr1QbdSIKvl1dWUl9K4PjAfSL9oeMr_37QVzcxc/edit?usp=sharing"",""สระบุรี!L735"")+IMPORTRANGE(""https://docs.google.com/spreadsheets/d/1j51vR6CYVGhABJpv6tkstgok82RLpXieLzW1yOY5rHw/edi"&amp;"t?usp=sharing"",""สิงห์บุรี!L735"")+IMPORTRANGE(""https://docs.google.com/spreadsheets/d/1H1EalTWKUSzO4Z1-1CwzoDUaVffgrThEBe2sl74kKG0/edit?usp=sharing"",""สุพรรณบุรี!L735"")+IMPORTRANGE(""https://docs.google.com/spreadsheets/d/1BmIruG_sIrJLYao_Pdr7zVArWsf"&amp;"oBt2692TMi6x_854/edit?usp=sharing"",""อ่างทอง!L735"")"),0)</f>
        <v>0</v>
      </c>
      <c r="M735" s="80">
        <f ca="1">IFERROR(__xludf.DUMMYFUNCTION("IMPORTRANGE(""https://docs.google.com/spreadsheets/d/13wPX838HrBrQMCywv1BsuMkt4PEKTChp52zj44s2izQ/edit?usp=sharing"",""กาญจนบุรี!M735"")+IMPORTRANGE(""https://docs.google.com/spreadsheets/d/1ddFKvqj1W1NEiWytbGlB1zMx_ykJDVtmfEQ-6-lIUBA/edit?usp=sharing"","&amp;"""จันทบุรี!M735"")+IMPORTRANGE(""https://docs.google.com/spreadsheets/d/1T1PQvRODqOBZk8BRht_U031fIS1beLA0Ub2CEytj2q0/edit?usp=sharing"",""ฉะเชิงเทรา!M735"")+IMPORTRANGE(""https://docs.google.com/spreadsheets/d/11tr1B-Bhyr79v2bkwVh5h_fR-PStkgjlZtkrZpYurG0/"&amp;"edit?usp=sharing"",""ชลบุรี!M735"")+IMPORTRANGE(""https://docs.google.com/spreadsheets/d/1hh-FVnSX0vozXhGluamEcS54Dw9_zqW0N7qJUWgJ0Sw/edit?usp=sharing"",""ชัยนาท!M735"")+IMPORTRANGE(""https://docs.google.com/spreadsheets/d/1jkqa6GXxSacMcY1eN8AHjMNJ_7dDXMJ"&amp;"VRLDlaFSOdPM/edit?usp=sharing"",""ตราด!M735"")+IMPORTRANGE(""https://docs.google.com/spreadsheets/d/18hSgUJ3VwClqi_qtULmmW3cLr0oe3OKaSYoKzdpTsYQ/edit?usp=sharing"",""นครนายก!M735"")+IMPORTRANGE(""https://docs.google.com/spreadsheets/d/1YTZo6WM2dQ6Ix6FSdnL"&amp;"5P7uVnVKu40sxZu975tgG10E/edit?usp=sharing"",""นครปฐม!M735"")+IMPORTRANGE(""https://docs.google.com/spreadsheets/d/1OYoGg4WDg5RIzwGeB10padOxJF9E_Vljuvvct_M7RDo/edit?usp=sharing"",""ปทุมธานี!M735"")+IMPORTRANGE(""https://docs.google.com/spreadsheets/d/1GbCI"&amp;"E4D4wk9FUozzqk7SxfDMxDVBwVmI5zcaVUSzKAc/edit?usp=sharing"",""ประจวบคีรีขันธ์!M735"")+IMPORTRANGE(""https://docs.google.com/spreadsheets/d/1vVf6wykvW_lAyu7Yo9L4hUTqHqIeP_qcVuxCtosJEbg/edit?usp=sharing"",""ปราจีนบุรี!M735"")+IMPORTRANGE(""https://docs.googl"&amp;"e.com/spreadsheets/d/1BIDqLLg5jk3v59G8NlR8rk5xfQDKne0sAvZHSj7TI6I/edit?usp=sharing"",""พระนครศรีอยุธยา!M735"")+IMPORTRANGE(""https://docs.google.com/spreadsheets/d/1YXvxf8Yu6_rV4hTBrwMqAcAnv6DfhUxh5emyM3CJp_w/edit?usp=sharing"",""เพชรบุรี!M735"")+IMPORTRA"&amp;"NGE(""https://docs.google.com/spreadsheets/d/19KBlQQs7uwvsao6t2n-KvW3Ax8J8uRRfZPq1zPbXgKc/edit?usp=sharing"",""ระยอง!M735"")+IMPORTRANGE(""https://docs.google.com/spreadsheets/d/1jQ6P4QcrGM89YfqcC_PxOHGCMq5ezhucwJd8ci-NHng/edit?usp=sharing"",""ราชบุรี!M73"&amp;"5"")+IMPORTRANGE(""https://docs.google.com/spreadsheets/d/1lufeA2cfFqM-elVq2hznhDzC6Pr7wkJ9ZG_sYNGCMCU/edit?usp=sharing"",""ลพบุรี!M735"")+IMPORTRANGE(""https://docs.google.com/spreadsheets/d/10oOiF7loTyfsTkbd4MpaIm0HQ9SwB7IYHdIUvt-U1Uc/edit?usp=sharing"""&amp;",""สระแก้ว!M735"")+IMPORTRANGE(""https://docs.google.com/spreadsheets/d/1xmPlrr1QbdSIKvl1dWUl9K4PjAfSL9oeMr_37QVzcxc/edit?usp=sharing"",""สระบุรี!M735"")+IMPORTRANGE(""https://docs.google.com/spreadsheets/d/1j51vR6CYVGhABJpv6tkstgok82RLpXieLzW1yOY5rHw/edi"&amp;"t?usp=sharing"",""สิงห์บุรี!M735"")+IMPORTRANGE(""https://docs.google.com/spreadsheets/d/1H1EalTWKUSzO4Z1-1CwzoDUaVffgrThEBe2sl74kKG0/edit?usp=sharing"",""สุพรรณบุรี!M735"")+IMPORTRANGE(""https://docs.google.com/spreadsheets/d/1BmIruG_sIrJLYao_Pdr7zVArWsf"&amp;"oBt2692TMi6x_854/edit?usp=sharing"",""อ่างทอง!M735"")"),0)</f>
        <v>0</v>
      </c>
      <c r="N735" s="80">
        <f ca="1">IFERROR(__xludf.DUMMYFUNCTION("IMPORTRANGE(""https://docs.google.com/spreadsheets/d/13wPX838HrBrQMCywv1BsuMkt4PEKTChp52zj44s2izQ/edit?usp=sharing"",""กาญจนบุรี!N735"")+IMPORTRANGE(""https://docs.google.com/spreadsheets/d/1ddFKvqj1W1NEiWytbGlB1zMx_ykJDVtmfEQ-6-lIUBA/edit?usp=sharing"","&amp;"""จันทบุรี!N735"")+IMPORTRANGE(""https://docs.google.com/spreadsheets/d/1T1PQvRODqOBZk8BRht_U031fIS1beLA0Ub2CEytj2q0/edit?usp=sharing"",""ฉะเชิงเทรา!N735"")+IMPORTRANGE(""https://docs.google.com/spreadsheets/d/11tr1B-Bhyr79v2bkwVh5h_fR-PStkgjlZtkrZpYurG0/"&amp;"edit?usp=sharing"",""ชลบุรี!N735"")+IMPORTRANGE(""https://docs.google.com/spreadsheets/d/1hh-FVnSX0vozXhGluamEcS54Dw9_zqW0N7qJUWgJ0Sw/edit?usp=sharing"",""ชัยนาท!N735"")+IMPORTRANGE(""https://docs.google.com/spreadsheets/d/1jkqa6GXxSacMcY1eN8AHjMNJ_7dDXMJ"&amp;"VRLDlaFSOdPM/edit?usp=sharing"",""ตราด!N735"")+IMPORTRANGE(""https://docs.google.com/spreadsheets/d/18hSgUJ3VwClqi_qtULmmW3cLr0oe3OKaSYoKzdpTsYQ/edit?usp=sharing"",""นครนายก!N735"")+IMPORTRANGE(""https://docs.google.com/spreadsheets/d/1YTZo6WM2dQ6Ix6FSdnL"&amp;"5P7uVnVKu40sxZu975tgG10E/edit?usp=sharing"",""นครปฐม!N735"")+IMPORTRANGE(""https://docs.google.com/spreadsheets/d/1OYoGg4WDg5RIzwGeB10padOxJF9E_Vljuvvct_M7RDo/edit?usp=sharing"",""ปทุมธานี!N735"")+IMPORTRANGE(""https://docs.google.com/spreadsheets/d/1GbCI"&amp;"E4D4wk9FUozzqk7SxfDMxDVBwVmI5zcaVUSzKAc/edit?usp=sharing"",""ประจวบคีรีขันธ์!N735"")+IMPORTRANGE(""https://docs.google.com/spreadsheets/d/1vVf6wykvW_lAyu7Yo9L4hUTqHqIeP_qcVuxCtosJEbg/edit?usp=sharing"",""ปราจีนบุรี!N735"")+IMPORTRANGE(""https://docs.googl"&amp;"e.com/spreadsheets/d/1BIDqLLg5jk3v59G8NlR8rk5xfQDKne0sAvZHSj7TI6I/edit?usp=sharing"",""พระนครศรีอยุธยา!N735"")+IMPORTRANGE(""https://docs.google.com/spreadsheets/d/1YXvxf8Yu6_rV4hTBrwMqAcAnv6DfhUxh5emyM3CJp_w/edit?usp=sharing"",""เพชรบุรี!N735"")+IMPORTRA"&amp;"NGE(""https://docs.google.com/spreadsheets/d/19KBlQQs7uwvsao6t2n-KvW3Ax8J8uRRfZPq1zPbXgKc/edit?usp=sharing"",""ระยอง!N735"")+IMPORTRANGE(""https://docs.google.com/spreadsheets/d/1jQ6P4QcrGM89YfqcC_PxOHGCMq5ezhucwJd8ci-NHng/edit?usp=sharing"",""ราชบุรี!N73"&amp;"5"")+IMPORTRANGE(""https://docs.google.com/spreadsheets/d/1lufeA2cfFqM-elVq2hznhDzC6Pr7wkJ9ZG_sYNGCMCU/edit?usp=sharing"",""ลพบุรี!N735"")+IMPORTRANGE(""https://docs.google.com/spreadsheets/d/10oOiF7loTyfsTkbd4MpaIm0HQ9SwB7IYHdIUvt-U1Uc/edit?usp=sharing"""&amp;",""สระแก้ว!N735"")+IMPORTRANGE(""https://docs.google.com/spreadsheets/d/1xmPlrr1QbdSIKvl1dWUl9K4PjAfSL9oeMr_37QVzcxc/edit?usp=sharing"",""สระบุรี!N735"")+IMPORTRANGE(""https://docs.google.com/spreadsheets/d/1j51vR6CYVGhABJpv6tkstgok82RLpXieLzW1yOY5rHw/edi"&amp;"t?usp=sharing"",""สิงห์บุรี!N735"")+IMPORTRANGE(""https://docs.google.com/spreadsheets/d/1H1EalTWKUSzO4Z1-1CwzoDUaVffgrThEBe2sl74kKG0/edit?usp=sharing"",""สุพรรณบุรี!N735"")+IMPORTRANGE(""https://docs.google.com/spreadsheets/d/1BmIruG_sIrJLYao_Pdr7zVArWsf"&amp;"oBt2692TMi6x_854/edit?usp=sharing"",""อ่างทอง!N735"")"),0)</f>
        <v>0</v>
      </c>
      <c r="O735" s="80">
        <f t="shared" ca="1" si="496"/>
        <v>0</v>
      </c>
      <c r="P735" s="80">
        <f t="shared" ca="1" si="497"/>
        <v>0</v>
      </c>
      <c r="Q735" s="79">
        <f ca="1">IFERROR(__xludf.DUMMYFUNCTION("IMPORTRANGE(""https://docs.google.com/spreadsheets/d/13wPX838HrBrQMCywv1BsuMkt4PEKTChp52zj44s2izQ/edit?usp=sharing"",""กาญจนบุรี!Q735"")+IMPORTRANGE(""https://docs.google.com/spreadsheets/d/1ddFKvqj1W1NEiWytbGlB1zMx_ykJDVtmfEQ-6-lIUBA/edit?usp=sharing"","&amp;"""จันทบุรี!Q735"")+IMPORTRANGE(""https://docs.google.com/spreadsheets/d/1T1PQvRODqOBZk8BRht_U031fIS1beLA0Ub2CEytj2q0/edit?usp=sharing"",""ฉะเชิงเทรา!Q735"")+IMPORTRANGE(""https://docs.google.com/spreadsheets/d/11tr1B-Bhyr79v2bkwVh5h_fR-PStkgjlZtkrZpYurG0/"&amp;"edit?usp=sharing"",""ชลบุรี!Q735"")+IMPORTRANGE(""https://docs.google.com/spreadsheets/d/1hh-FVnSX0vozXhGluamEcS54Dw9_zqW0N7qJUWgJ0Sw/edit?usp=sharing"",""ชัยนาท!Q735"")+IMPORTRANGE(""https://docs.google.com/spreadsheets/d/1jkqa6GXxSacMcY1eN8AHjMNJ_7dDXMJ"&amp;"VRLDlaFSOdPM/edit?usp=sharing"",""ตราด!Q735"")+IMPORTRANGE(""https://docs.google.com/spreadsheets/d/18hSgUJ3VwClqi_qtULmmW3cLr0oe3OKaSYoKzdpTsYQ/edit?usp=sharing"",""นครนายก!Q735"")+IMPORTRANGE(""https://docs.google.com/spreadsheets/d/1YTZo6WM2dQ6Ix6FSdnL"&amp;"5P7uVnVKu40sxZu975tgG10E/edit?usp=sharing"",""นครปฐม!Q735"")+IMPORTRANGE(""https://docs.google.com/spreadsheets/d/1OYoGg4WDg5RIzwGeB10padOxJF9E_Vljuvvct_M7RDo/edit?usp=sharing"",""ปทุมธานี!Q735"")+IMPORTRANGE(""https://docs.google.com/spreadsheets/d/1GbCI"&amp;"E4D4wk9FUozzqk7SxfDMxDVBwVmI5zcaVUSzKAc/edit?usp=sharing"",""ประจวบคีรีขันธ์!Q735"")+IMPORTRANGE(""https://docs.google.com/spreadsheets/d/1vVf6wykvW_lAyu7Yo9L4hUTqHqIeP_qcVuxCtosJEbg/edit?usp=sharing"",""ปราจีนบุรี!Q735"")+IMPORTRANGE(""https://docs.googl"&amp;"e.com/spreadsheets/d/1BIDqLLg5jk3v59G8NlR8rk5xfQDKne0sAvZHSj7TI6I/edit?usp=sharing"",""พระนครศรีอยุธยา!Q735"")+IMPORTRANGE(""https://docs.google.com/spreadsheets/d/1YXvxf8Yu6_rV4hTBrwMqAcAnv6DfhUxh5emyM3CJp_w/edit?usp=sharing"",""เพชรบุรี!Q735"")+IMPORTRA"&amp;"NGE(""https://docs.google.com/spreadsheets/d/19KBlQQs7uwvsao6t2n-KvW3Ax8J8uRRfZPq1zPbXgKc/edit?usp=sharing"",""ระยอง!Q735"")+IMPORTRANGE(""https://docs.google.com/spreadsheets/d/1jQ6P4QcrGM89YfqcC_PxOHGCMq5ezhucwJd8ci-NHng/edit?usp=sharing"",""ราชบุรี!Q73"&amp;"5"")+IMPORTRANGE(""https://docs.google.com/spreadsheets/d/1lufeA2cfFqM-elVq2hznhDzC6Pr7wkJ9ZG_sYNGCMCU/edit?usp=sharing"",""ลพบุรี!Q735"")+IMPORTRANGE(""https://docs.google.com/spreadsheets/d/10oOiF7loTyfsTkbd4MpaIm0HQ9SwB7IYHdIUvt-U1Uc/edit?usp=sharing"""&amp;",""สระแก้ว!Q735"")+IMPORTRANGE(""https://docs.google.com/spreadsheets/d/1xmPlrr1QbdSIKvl1dWUl9K4PjAfSL9oeMr_37QVzcxc/edit?usp=sharing"",""สระบุรี!Q735"")+IMPORTRANGE(""https://docs.google.com/spreadsheets/d/1j51vR6CYVGhABJpv6tkstgok82RLpXieLzW1yOY5rHw/edi"&amp;"t?usp=sharing"",""สิงห์บุรี!Q735"")+IMPORTRANGE(""https://docs.google.com/spreadsheets/d/1H1EalTWKUSzO4Z1-1CwzoDUaVffgrThEBe2sl74kKG0/edit?usp=sharing"",""สุพรรณบุรี!Q735"")+IMPORTRANGE(""https://docs.google.com/spreadsheets/d/1BmIruG_sIrJLYao_Pdr7zVArWsf"&amp;"oBt2692TMi6x_854/edit?usp=sharing"",""อ่างทอง!Q735"")"),0)</f>
        <v>0</v>
      </c>
      <c r="R735" s="80">
        <f ca="1">IFERROR(__xludf.DUMMYFUNCTION("IMPORTRANGE(""https://docs.google.com/spreadsheets/d/13wPX838HrBrQMCywv1BsuMkt4PEKTChp52zj44s2izQ/edit?usp=sharing"",""กาญจนบุรี!R735"")+IMPORTRANGE(""https://docs.google.com/spreadsheets/d/1ddFKvqj1W1NEiWytbGlB1zMx_ykJDVtmfEQ-6-lIUBA/edit?usp=sharing"","&amp;"""จันทบุรี!R735"")+IMPORTRANGE(""https://docs.google.com/spreadsheets/d/1T1PQvRODqOBZk8BRht_U031fIS1beLA0Ub2CEytj2q0/edit?usp=sharing"",""ฉะเชิงเทรา!R735"")+IMPORTRANGE(""https://docs.google.com/spreadsheets/d/11tr1B-Bhyr79v2bkwVh5h_fR-PStkgjlZtkrZpYurG0/"&amp;"edit?usp=sharing"",""ชลบุรี!R735"")+IMPORTRANGE(""https://docs.google.com/spreadsheets/d/1hh-FVnSX0vozXhGluamEcS54Dw9_zqW0N7qJUWgJ0Sw/edit?usp=sharing"",""ชัยนาท!R735"")+IMPORTRANGE(""https://docs.google.com/spreadsheets/d/1jkqa6GXxSacMcY1eN8AHjMNJ_7dDXMJ"&amp;"VRLDlaFSOdPM/edit?usp=sharing"",""ตราด!R735"")+IMPORTRANGE(""https://docs.google.com/spreadsheets/d/18hSgUJ3VwClqi_qtULmmW3cLr0oe3OKaSYoKzdpTsYQ/edit?usp=sharing"",""นครนายก!R735"")+IMPORTRANGE(""https://docs.google.com/spreadsheets/d/1YTZo6WM2dQ6Ix6FSdnL"&amp;"5P7uVnVKu40sxZu975tgG10E/edit?usp=sharing"",""นครปฐม!R735"")+IMPORTRANGE(""https://docs.google.com/spreadsheets/d/1OYoGg4WDg5RIzwGeB10padOxJF9E_Vljuvvct_M7RDo/edit?usp=sharing"",""ปทุมธานี!R735"")+IMPORTRANGE(""https://docs.google.com/spreadsheets/d/1GbCI"&amp;"E4D4wk9FUozzqk7SxfDMxDVBwVmI5zcaVUSzKAc/edit?usp=sharing"",""ประจวบคีรีขันธ์!R735"")+IMPORTRANGE(""https://docs.google.com/spreadsheets/d/1vVf6wykvW_lAyu7Yo9L4hUTqHqIeP_qcVuxCtosJEbg/edit?usp=sharing"",""ปราจีนบุรี!R735"")+IMPORTRANGE(""https://docs.googl"&amp;"e.com/spreadsheets/d/1BIDqLLg5jk3v59G8NlR8rk5xfQDKne0sAvZHSj7TI6I/edit?usp=sharing"",""พระนครศรีอยุธยา!R735"")+IMPORTRANGE(""https://docs.google.com/spreadsheets/d/1YXvxf8Yu6_rV4hTBrwMqAcAnv6DfhUxh5emyM3CJp_w/edit?usp=sharing"",""เพชรบุรี!R735"")+IMPORTRA"&amp;"NGE(""https://docs.google.com/spreadsheets/d/19KBlQQs7uwvsao6t2n-KvW3Ax8J8uRRfZPq1zPbXgKc/edit?usp=sharing"",""ระยอง!R735"")+IMPORTRANGE(""https://docs.google.com/spreadsheets/d/1jQ6P4QcrGM89YfqcC_PxOHGCMq5ezhucwJd8ci-NHng/edit?usp=sharing"",""ราชบุรี!R73"&amp;"5"")+IMPORTRANGE(""https://docs.google.com/spreadsheets/d/1lufeA2cfFqM-elVq2hznhDzC6Pr7wkJ9ZG_sYNGCMCU/edit?usp=sharing"",""ลพบุรี!R735"")+IMPORTRANGE(""https://docs.google.com/spreadsheets/d/10oOiF7loTyfsTkbd4MpaIm0HQ9SwB7IYHdIUvt-U1Uc/edit?usp=sharing"""&amp;",""สระแก้ว!R735"")+IMPORTRANGE(""https://docs.google.com/spreadsheets/d/1xmPlrr1QbdSIKvl1dWUl9K4PjAfSL9oeMr_37QVzcxc/edit?usp=sharing"",""สระบุรี!R735"")+IMPORTRANGE(""https://docs.google.com/spreadsheets/d/1j51vR6CYVGhABJpv6tkstgok82RLpXieLzW1yOY5rHw/edi"&amp;"t?usp=sharing"",""สิงห์บุรี!R735"")+IMPORTRANGE(""https://docs.google.com/spreadsheets/d/1H1EalTWKUSzO4Z1-1CwzoDUaVffgrThEBe2sl74kKG0/edit?usp=sharing"",""สุพรรณบุรี!R735"")+IMPORTRANGE(""https://docs.google.com/spreadsheets/d/1BmIruG_sIrJLYao_Pdr7zVArWsf"&amp;"oBt2692TMi6x_854/edit?usp=sharing"",""อ่างทอง!R735"")"),0)</f>
        <v>0</v>
      </c>
      <c r="S735" s="80">
        <f ca="1">IFERROR(__xludf.DUMMYFUNCTION("IMPORTRANGE(""https://docs.google.com/spreadsheets/d/13wPX838HrBrQMCywv1BsuMkt4PEKTChp52zj44s2izQ/edit?usp=sharing"",""กาญจนบุรี!S735"")+IMPORTRANGE(""https://docs.google.com/spreadsheets/d/1ddFKvqj1W1NEiWytbGlB1zMx_ykJDVtmfEQ-6-lIUBA/edit?usp=sharing"","&amp;"""จันทบุรี!S735"")+IMPORTRANGE(""https://docs.google.com/spreadsheets/d/1T1PQvRODqOBZk8BRht_U031fIS1beLA0Ub2CEytj2q0/edit?usp=sharing"",""ฉะเชิงเทรา!S735"")+IMPORTRANGE(""https://docs.google.com/spreadsheets/d/11tr1B-Bhyr79v2bkwVh5h_fR-PStkgjlZtkrZpYurG0/"&amp;"edit?usp=sharing"",""ชลบุรี!S735"")+IMPORTRANGE(""https://docs.google.com/spreadsheets/d/1hh-FVnSX0vozXhGluamEcS54Dw9_zqW0N7qJUWgJ0Sw/edit?usp=sharing"",""ชัยนาท!S735"")+IMPORTRANGE(""https://docs.google.com/spreadsheets/d/1jkqa6GXxSacMcY1eN8AHjMNJ_7dDXMJ"&amp;"VRLDlaFSOdPM/edit?usp=sharing"",""ตราด!S735"")+IMPORTRANGE(""https://docs.google.com/spreadsheets/d/18hSgUJ3VwClqi_qtULmmW3cLr0oe3OKaSYoKzdpTsYQ/edit?usp=sharing"",""นครนายก!S735"")+IMPORTRANGE(""https://docs.google.com/spreadsheets/d/1YTZo6WM2dQ6Ix6FSdnL"&amp;"5P7uVnVKu40sxZu975tgG10E/edit?usp=sharing"",""นครปฐม!S735"")+IMPORTRANGE(""https://docs.google.com/spreadsheets/d/1OYoGg4WDg5RIzwGeB10padOxJF9E_Vljuvvct_M7RDo/edit?usp=sharing"",""ปทุมธานี!S735"")+IMPORTRANGE(""https://docs.google.com/spreadsheets/d/1GbCI"&amp;"E4D4wk9FUozzqk7SxfDMxDVBwVmI5zcaVUSzKAc/edit?usp=sharing"",""ประจวบคีรีขันธ์!S735"")+IMPORTRANGE(""https://docs.google.com/spreadsheets/d/1vVf6wykvW_lAyu7Yo9L4hUTqHqIeP_qcVuxCtosJEbg/edit?usp=sharing"",""ปราจีนบุรี!S735"")+IMPORTRANGE(""https://docs.googl"&amp;"e.com/spreadsheets/d/1BIDqLLg5jk3v59G8NlR8rk5xfQDKne0sAvZHSj7TI6I/edit?usp=sharing"",""พระนครศรีอยุธยา!S735"")+IMPORTRANGE(""https://docs.google.com/spreadsheets/d/1YXvxf8Yu6_rV4hTBrwMqAcAnv6DfhUxh5emyM3CJp_w/edit?usp=sharing"",""เพชรบุรี!S735"")+IMPORTRA"&amp;"NGE(""https://docs.google.com/spreadsheets/d/19KBlQQs7uwvsao6t2n-KvW3Ax8J8uRRfZPq1zPbXgKc/edit?usp=sharing"",""ระยอง!S735"")+IMPORTRANGE(""https://docs.google.com/spreadsheets/d/1jQ6P4QcrGM89YfqcC_PxOHGCMq5ezhucwJd8ci-NHng/edit?usp=sharing"",""ราชบุรี!S73"&amp;"5"")+IMPORTRANGE(""https://docs.google.com/spreadsheets/d/1lufeA2cfFqM-elVq2hznhDzC6Pr7wkJ9ZG_sYNGCMCU/edit?usp=sharing"",""ลพบุรี!S735"")+IMPORTRANGE(""https://docs.google.com/spreadsheets/d/10oOiF7loTyfsTkbd4MpaIm0HQ9SwB7IYHdIUvt-U1Uc/edit?usp=sharing"""&amp;",""สระแก้ว!S735"")+IMPORTRANGE(""https://docs.google.com/spreadsheets/d/1xmPlrr1QbdSIKvl1dWUl9K4PjAfSL9oeMr_37QVzcxc/edit?usp=sharing"",""สระบุรี!S735"")+IMPORTRANGE(""https://docs.google.com/spreadsheets/d/1j51vR6CYVGhABJpv6tkstgok82RLpXieLzW1yOY5rHw/edi"&amp;"t?usp=sharing"",""สิงห์บุรี!S735"")+IMPORTRANGE(""https://docs.google.com/spreadsheets/d/1H1EalTWKUSzO4Z1-1CwzoDUaVffgrThEBe2sl74kKG0/edit?usp=sharing"",""สุพรรณบุรี!S735"")+IMPORTRANGE(""https://docs.google.com/spreadsheets/d/1BmIruG_sIrJLYao_Pdr7zVArWsf"&amp;"oBt2692TMi6x_854/edit?usp=sharing"",""อ่างทอง!S735"")"),0)</f>
        <v>0</v>
      </c>
      <c r="T735" s="136">
        <f t="shared" ca="1" si="499"/>
        <v>0</v>
      </c>
      <c r="U735" s="136">
        <f t="shared" ca="1" si="500"/>
        <v>0</v>
      </c>
    </row>
    <row r="736" spans="1:21" ht="18.75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f ca="1">IFERROR(__xludf.DUMMYFUNCTION("IMPORTRANGE(""https://docs.google.com/spreadsheets/d/13wPX838HrBrQMCywv1BsuMkt4PEKTChp52zj44s2izQ/edit?usp=sharing"",""กาญจนบุรี!L736"")+IMPORTRANGE(""https://docs.google.com/spreadsheets/d/1ddFKvqj1W1NEiWytbGlB1zMx_ykJDVtmfEQ-6-lIUBA/edit?usp=sharing"","&amp;"""จันทบุรี!L736"")+IMPORTRANGE(""https://docs.google.com/spreadsheets/d/1T1PQvRODqOBZk8BRht_U031fIS1beLA0Ub2CEytj2q0/edit?usp=sharing"",""ฉะเชิงเทรา!L736"")+IMPORTRANGE(""https://docs.google.com/spreadsheets/d/11tr1B-Bhyr79v2bkwVh5h_fR-PStkgjlZtkrZpYurG0/"&amp;"edit?usp=sharing"",""ชลบุรี!L736"")+IMPORTRANGE(""https://docs.google.com/spreadsheets/d/1hh-FVnSX0vozXhGluamEcS54Dw9_zqW0N7qJUWgJ0Sw/edit?usp=sharing"",""ชัยนาท!L736"")+IMPORTRANGE(""https://docs.google.com/spreadsheets/d/1jkqa6GXxSacMcY1eN8AHjMNJ_7dDXMJ"&amp;"VRLDlaFSOdPM/edit?usp=sharing"",""ตราด!L736"")+IMPORTRANGE(""https://docs.google.com/spreadsheets/d/18hSgUJ3VwClqi_qtULmmW3cLr0oe3OKaSYoKzdpTsYQ/edit?usp=sharing"",""นครนายก!L736"")+IMPORTRANGE(""https://docs.google.com/spreadsheets/d/1YTZo6WM2dQ6Ix6FSdnL"&amp;"5P7uVnVKu40sxZu975tgG10E/edit?usp=sharing"",""นครปฐม!L736"")+IMPORTRANGE(""https://docs.google.com/spreadsheets/d/1OYoGg4WDg5RIzwGeB10padOxJF9E_Vljuvvct_M7RDo/edit?usp=sharing"",""ปทุมธานี!L736"")+IMPORTRANGE(""https://docs.google.com/spreadsheets/d/1GbCI"&amp;"E4D4wk9FUozzqk7SxfDMxDVBwVmI5zcaVUSzKAc/edit?usp=sharing"",""ประจวบคีรีขันธ์!L736"")+IMPORTRANGE(""https://docs.google.com/spreadsheets/d/1vVf6wykvW_lAyu7Yo9L4hUTqHqIeP_qcVuxCtosJEbg/edit?usp=sharing"",""ปราจีนบุรี!L736"")+IMPORTRANGE(""https://docs.googl"&amp;"e.com/spreadsheets/d/1BIDqLLg5jk3v59G8NlR8rk5xfQDKne0sAvZHSj7TI6I/edit?usp=sharing"",""พระนครศรีอยุธยา!L736"")+IMPORTRANGE(""https://docs.google.com/spreadsheets/d/1YXvxf8Yu6_rV4hTBrwMqAcAnv6DfhUxh5emyM3CJp_w/edit?usp=sharing"",""เพชรบุรี!L736"")+IMPORTRA"&amp;"NGE(""https://docs.google.com/spreadsheets/d/19KBlQQs7uwvsao6t2n-KvW3Ax8J8uRRfZPq1zPbXgKc/edit?usp=sharing"",""ระยอง!L736"")+IMPORTRANGE(""https://docs.google.com/spreadsheets/d/1jQ6P4QcrGM89YfqcC_PxOHGCMq5ezhucwJd8ci-NHng/edit?usp=sharing"",""ราชบุรี!L73"&amp;"6"")+IMPORTRANGE(""https://docs.google.com/spreadsheets/d/1lufeA2cfFqM-elVq2hznhDzC6Pr7wkJ9ZG_sYNGCMCU/edit?usp=sharing"",""ลพบุรี!L736"")+IMPORTRANGE(""https://docs.google.com/spreadsheets/d/10oOiF7loTyfsTkbd4MpaIm0HQ9SwB7IYHdIUvt-U1Uc/edit?usp=sharing"""&amp;",""สระแก้ว!L736"")+IMPORTRANGE(""https://docs.google.com/spreadsheets/d/1xmPlrr1QbdSIKvl1dWUl9K4PjAfSL9oeMr_37QVzcxc/edit?usp=sharing"",""สระบุรี!L736"")+IMPORTRANGE(""https://docs.google.com/spreadsheets/d/1j51vR6CYVGhABJpv6tkstgok82RLpXieLzW1yOY5rHw/edi"&amp;"t?usp=sharing"",""สิงห์บุรี!L736"")+IMPORTRANGE(""https://docs.google.com/spreadsheets/d/1H1EalTWKUSzO4Z1-1CwzoDUaVffgrThEBe2sl74kKG0/edit?usp=sharing"",""สุพรรณบุรี!L736"")+IMPORTRANGE(""https://docs.google.com/spreadsheets/d/1BmIruG_sIrJLYao_Pdr7zVArWsf"&amp;"oBt2692TMi6x_854/edit?usp=sharing"",""อ่างทอง!L736"")"),0)</f>
        <v>0</v>
      </c>
      <c r="M736" s="77">
        <f ca="1">IFERROR(__xludf.DUMMYFUNCTION("IMPORTRANGE(""https://docs.google.com/spreadsheets/d/13wPX838HrBrQMCywv1BsuMkt4PEKTChp52zj44s2izQ/edit?usp=sharing"",""กาญจนบุรี!M736"")+IMPORTRANGE(""https://docs.google.com/spreadsheets/d/1ddFKvqj1W1NEiWytbGlB1zMx_ykJDVtmfEQ-6-lIUBA/edit?usp=sharing"","&amp;"""จันทบุรี!M736"")+IMPORTRANGE(""https://docs.google.com/spreadsheets/d/1T1PQvRODqOBZk8BRht_U031fIS1beLA0Ub2CEytj2q0/edit?usp=sharing"",""ฉะเชิงเทรา!M736"")+IMPORTRANGE(""https://docs.google.com/spreadsheets/d/11tr1B-Bhyr79v2bkwVh5h_fR-PStkgjlZtkrZpYurG0/"&amp;"edit?usp=sharing"",""ชลบุรี!M736"")+IMPORTRANGE(""https://docs.google.com/spreadsheets/d/1hh-FVnSX0vozXhGluamEcS54Dw9_zqW0N7qJUWgJ0Sw/edit?usp=sharing"",""ชัยนาท!M736"")+IMPORTRANGE(""https://docs.google.com/spreadsheets/d/1jkqa6GXxSacMcY1eN8AHjMNJ_7dDXMJ"&amp;"VRLDlaFSOdPM/edit?usp=sharing"",""ตราด!M736"")+IMPORTRANGE(""https://docs.google.com/spreadsheets/d/18hSgUJ3VwClqi_qtULmmW3cLr0oe3OKaSYoKzdpTsYQ/edit?usp=sharing"",""นครนายก!M736"")+IMPORTRANGE(""https://docs.google.com/spreadsheets/d/1YTZo6WM2dQ6Ix6FSdnL"&amp;"5P7uVnVKu40sxZu975tgG10E/edit?usp=sharing"",""นครปฐม!M736"")+IMPORTRANGE(""https://docs.google.com/spreadsheets/d/1OYoGg4WDg5RIzwGeB10padOxJF9E_Vljuvvct_M7RDo/edit?usp=sharing"",""ปทุมธานี!M736"")+IMPORTRANGE(""https://docs.google.com/spreadsheets/d/1GbCI"&amp;"E4D4wk9FUozzqk7SxfDMxDVBwVmI5zcaVUSzKAc/edit?usp=sharing"",""ประจวบคีรีขันธ์!M736"")+IMPORTRANGE(""https://docs.google.com/spreadsheets/d/1vVf6wykvW_lAyu7Yo9L4hUTqHqIeP_qcVuxCtosJEbg/edit?usp=sharing"",""ปราจีนบุรี!M736"")+IMPORTRANGE(""https://docs.googl"&amp;"e.com/spreadsheets/d/1BIDqLLg5jk3v59G8NlR8rk5xfQDKne0sAvZHSj7TI6I/edit?usp=sharing"",""พระนครศรีอยุธยา!M736"")+IMPORTRANGE(""https://docs.google.com/spreadsheets/d/1YXvxf8Yu6_rV4hTBrwMqAcAnv6DfhUxh5emyM3CJp_w/edit?usp=sharing"",""เพชรบุรี!M736"")+IMPORTRA"&amp;"NGE(""https://docs.google.com/spreadsheets/d/19KBlQQs7uwvsao6t2n-KvW3Ax8J8uRRfZPq1zPbXgKc/edit?usp=sharing"",""ระยอง!M736"")+IMPORTRANGE(""https://docs.google.com/spreadsheets/d/1jQ6P4QcrGM89YfqcC_PxOHGCMq5ezhucwJd8ci-NHng/edit?usp=sharing"",""ราชบุรี!M73"&amp;"6"")+IMPORTRANGE(""https://docs.google.com/spreadsheets/d/1lufeA2cfFqM-elVq2hznhDzC6Pr7wkJ9ZG_sYNGCMCU/edit?usp=sharing"",""ลพบุรี!M736"")+IMPORTRANGE(""https://docs.google.com/spreadsheets/d/10oOiF7loTyfsTkbd4MpaIm0HQ9SwB7IYHdIUvt-U1Uc/edit?usp=sharing"""&amp;",""สระแก้ว!M736"")+IMPORTRANGE(""https://docs.google.com/spreadsheets/d/1xmPlrr1QbdSIKvl1dWUl9K4PjAfSL9oeMr_37QVzcxc/edit?usp=sharing"",""สระบุรี!M736"")+IMPORTRANGE(""https://docs.google.com/spreadsheets/d/1j51vR6CYVGhABJpv6tkstgok82RLpXieLzW1yOY5rHw/edi"&amp;"t?usp=sharing"",""สิงห์บุรี!M736"")+IMPORTRANGE(""https://docs.google.com/spreadsheets/d/1H1EalTWKUSzO4Z1-1CwzoDUaVffgrThEBe2sl74kKG0/edit?usp=sharing"",""สุพรรณบุรี!M736"")+IMPORTRANGE(""https://docs.google.com/spreadsheets/d/1BmIruG_sIrJLYao_Pdr7zVArWsf"&amp;"oBt2692TMi6x_854/edit?usp=sharing"",""อ่างทอง!M736"")"),0)</f>
        <v>0</v>
      </c>
      <c r="N736" s="77">
        <f ca="1">IFERROR(__xludf.DUMMYFUNCTION("IMPORTRANGE(""https://docs.google.com/spreadsheets/d/13wPX838HrBrQMCywv1BsuMkt4PEKTChp52zj44s2izQ/edit?usp=sharing"",""กาญจนบุรี!N736"")+IMPORTRANGE(""https://docs.google.com/spreadsheets/d/1ddFKvqj1W1NEiWytbGlB1zMx_ykJDVtmfEQ-6-lIUBA/edit?usp=sharing"","&amp;"""จันทบุรี!N736"")+IMPORTRANGE(""https://docs.google.com/spreadsheets/d/1T1PQvRODqOBZk8BRht_U031fIS1beLA0Ub2CEytj2q0/edit?usp=sharing"",""ฉะเชิงเทรา!N736"")+IMPORTRANGE(""https://docs.google.com/spreadsheets/d/11tr1B-Bhyr79v2bkwVh5h_fR-PStkgjlZtkrZpYurG0/"&amp;"edit?usp=sharing"",""ชลบุรี!N736"")+IMPORTRANGE(""https://docs.google.com/spreadsheets/d/1hh-FVnSX0vozXhGluamEcS54Dw9_zqW0N7qJUWgJ0Sw/edit?usp=sharing"",""ชัยนาท!N736"")+IMPORTRANGE(""https://docs.google.com/spreadsheets/d/1jkqa6GXxSacMcY1eN8AHjMNJ_7dDXMJ"&amp;"VRLDlaFSOdPM/edit?usp=sharing"",""ตราด!N736"")+IMPORTRANGE(""https://docs.google.com/spreadsheets/d/18hSgUJ3VwClqi_qtULmmW3cLr0oe3OKaSYoKzdpTsYQ/edit?usp=sharing"",""นครนายก!N736"")+IMPORTRANGE(""https://docs.google.com/spreadsheets/d/1YTZo6WM2dQ6Ix6FSdnL"&amp;"5P7uVnVKu40sxZu975tgG10E/edit?usp=sharing"",""นครปฐม!N736"")+IMPORTRANGE(""https://docs.google.com/spreadsheets/d/1OYoGg4WDg5RIzwGeB10padOxJF9E_Vljuvvct_M7RDo/edit?usp=sharing"",""ปทุมธานี!N736"")+IMPORTRANGE(""https://docs.google.com/spreadsheets/d/1GbCI"&amp;"E4D4wk9FUozzqk7SxfDMxDVBwVmI5zcaVUSzKAc/edit?usp=sharing"",""ประจวบคีรีขันธ์!N736"")+IMPORTRANGE(""https://docs.google.com/spreadsheets/d/1vVf6wykvW_lAyu7Yo9L4hUTqHqIeP_qcVuxCtosJEbg/edit?usp=sharing"",""ปราจีนบุรี!N736"")+IMPORTRANGE(""https://docs.googl"&amp;"e.com/spreadsheets/d/1BIDqLLg5jk3v59G8NlR8rk5xfQDKne0sAvZHSj7TI6I/edit?usp=sharing"",""พระนครศรีอยุธยา!N736"")+IMPORTRANGE(""https://docs.google.com/spreadsheets/d/1YXvxf8Yu6_rV4hTBrwMqAcAnv6DfhUxh5emyM3CJp_w/edit?usp=sharing"",""เพชรบุรี!N736"")+IMPORTRA"&amp;"NGE(""https://docs.google.com/spreadsheets/d/19KBlQQs7uwvsao6t2n-KvW3Ax8J8uRRfZPq1zPbXgKc/edit?usp=sharing"",""ระยอง!N736"")+IMPORTRANGE(""https://docs.google.com/spreadsheets/d/1jQ6P4QcrGM89YfqcC_PxOHGCMq5ezhucwJd8ci-NHng/edit?usp=sharing"",""ราชบุรี!N73"&amp;"6"")+IMPORTRANGE(""https://docs.google.com/spreadsheets/d/1lufeA2cfFqM-elVq2hznhDzC6Pr7wkJ9ZG_sYNGCMCU/edit?usp=sharing"",""ลพบุรี!N736"")+IMPORTRANGE(""https://docs.google.com/spreadsheets/d/10oOiF7loTyfsTkbd4MpaIm0HQ9SwB7IYHdIUvt-U1Uc/edit?usp=sharing"""&amp;",""สระแก้ว!N736"")+IMPORTRANGE(""https://docs.google.com/spreadsheets/d/1xmPlrr1QbdSIKvl1dWUl9K4PjAfSL9oeMr_37QVzcxc/edit?usp=sharing"",""สระบุรี!N736"")+IMPORTRANGE(""https://docs.google.com/spreadsheets/d/1j51vR6CYVGhABJpv6tkstgok82RLpXieLzW1yOY5rHw/edi"&amp;"t?usp=sharing"",""สิงห์บุรี!N736"")+IMPORTRANGE(""https://docs.google.com/spreadsheets/d/1H1EalTWKUSzO4Z1-1CwzoDUaVffgrThEBe2sl74kKG0/edit?usp=sharing"",""สุพรรณบุรี!N736"")+IMPORTRANGE(""https://docs.google.com/spreadsheets/d/1BmIruG_sIrJLYao_Pdr7zVArWsf"&amp;"oBt2692TMi6x_854/edit?usp=sharing"",""อ่างทอง!N736"")"),0)</f>
        <v>0</v>
      </c>
      <c r="O736" s="77">
        <f t="shared" ca="1" si="496"/>
        <v>0</v>
      </c>
      <c r="P736" s="77">
        <f t="shared" ca="1" si="497"/>
        <v>0</v>
      </c>
      <c r="Q736" s="76">
        <f ca="1">IFERROR(__xludf.DUMMYFUNCTION("IMPORTRANGE(""https://docs.google.com/spreadsheets/d/13wPX838HrBrQMCywv1BsuMkt4PEKTChp52zj44s2izQ/edit?usp=sharing"",""กาญจนบุรี!Q736"")+IMPORTRANGE(""https://docs.google.com/spreadsheets/d/1ddFKvqj1W1NEiWytbGlB1zMx_ykJDVtmfEQ-6-lIUBA/edit?usp=sharing"","&amp;"""จันทบุรี!Q736"")+IMPORTRANGE(""https://docs.google.com/spreadsheets/d/1T1PQvRODqOBZk8BRht_U031fIS1beLA0Ub2CEytj2q0/edit?usp=sharing"",""ฉะเชิงเทรา!Q736"")+IMPORTRANGE(""https://docs.google.com/spreadsheets/d/11tr1B-Bhyr79v2bkwVh5h_fR-PStkgjlZtkrZpYurG0/"&amp;"edit?usp=sharing"",""ชลบุรี!Q736"")+IMPORTRANGE(""https://docs.google.com/spreadsheets/d/1hh-FVnSX0vozXhGluamEcS54Dw9_zqW0N7qJUWgJ0Sw/edit?usp=sharing"",""ชัยนาท!Q736"")+IMPORTRANGE(""https://docs.google.com/spreadsheets/d/1jkqa6GXxSacMcY1eN8AHjMNJ_7dDXMJ"&amp;"VRLDlaFSOdPM/edit?usp=sharing"",""ตราด!Q736"")+IMPORTRANGE(""https://docs.google.com/spreadsheets/d/18hSgUJ3VwClqi_qtULmmW3cLr0oe3OKaSYoKzdpTsYQ/edit?usp=sharing"",""นครนายก!Q736"")+IMPORTRANGE(""https://docs.google.com/spreadsheets/d/1YTZo6WM2dQ6Ix6FSdnL"&amp;"5P7uVnVKu40sxZu975tgG10E/edit?usp=sharing"",""นครปฐม!Q736"")+IMPORTRANGE(""https://docs.google.com/spreadsheets/d/1OYoGg4WDg5RIzwGeB10padOxJF9E_Vljuvvct_M7RDo/edit?usp=sharing"",""ปทุมธานี!Q736"")+IMPORTRANGE(""https://docs.google.com/spreadsheets/d/1GbCI"&amp;"E4D4wk9FUozzqk7SxfDMxDVBwVmI5zcaVUSzKAc/edit?usp=sharing"",""ประจวบคีรีขันธ์!Q736"")+IMPORTRANGE(""https://docs.google.com/spreadsheets/d/1vVf6wykvW_lAyu7Yo9L4hUTqHqIeP_qcVuxCtosJEbg/edit?usp=sharing"",""ปราจีนบุรี!Q736"")+IMPORTRANGE(""https://docs.googl"&amp;"e.com/spreadsheets/d/1BIDqLLg5jk3v59G8NlR8rk5xfQDKne0sAvZHSj7TI6I/edit?usp=sharing"",""พระนครศรีอยุธยา!Q736"")+IMPORTRANGE(""https://docs.google.com/spreadsheets/d/1YXvxf8Yu6_rV4hTBrwMqAcAnv6DfhUxh5emyM3CJp_w/edit?usp=sharing"",""เพชรบุรี!Q736"")+IMPORTRA"&amp;"NGE(""https://docs.google.com/spreadsheets/d/19KBlQQs7uwvsao6t2n-KvW3Ax8J8uRRfZPq1zPbXgKc/edit?usp=sharing"",""ระยอง!Q736"")+IMPORTRANGE(""https://docs.google.com/spreadsheets/d/1jQ6P4QcrGM89YfqcC_PxOHGCMq5ezhucwJd8ci-NHng/edit?usp=sharing"",""ราชบุรี!Q73"&amp;"6"")+IMPORTRANGE(""https://docs.google.com/spreadsheets/d/1lufeA2cfFqM-elVq2hznhDzC6Pr7wkJ9ZG_sYNGCMCU/edit?usp=sharing"",""ลพบุรี!Q736"")+IMPORTRANGE(""https://docs.google.com/spreadsheets/d/10oOiF7loTyfsTkbd4MpaIm0HQ9SwB7IYHdIUvt-U1Uc/edit?usp=sharing"""&amp;",""สระแก้ว!Q736"")+IMPORTRANGE(""https://docs.google.com/spreadsheets/d/1xmPlrr1QbdSIKvl1dWUl9K4PjAfSL9oeMr_37QVzcxc/edit?usp=sharing"",""สระบุรี!Q736"")+IMPORTRANGE(""https://docs.google.com/spreadsheets/d/1j51vR6CYVGhABJpv6tkstgok82RLpXieLzW1yOY5rHw/edi"&amp;"t?usp=sharing"",""สิงห์บุรี!Q736"")+IMPORTRANGE(""https://docs.google.com/spreadsheets/d/1H1EalTWKUSzO4Z1-1CwzoDUaVffgrThEBe2sl74kKG0/edit?usp=sharing"",""สุพรรณบุรี!Q736"")+IMPORTRANGE(""https://docs.google.com/spreadsheets/d/1BmIruG_sIrJLYao_Pdr7zVArWsf"&amp;"oBt2692TMi6x_854/edit?usp=sharing"",""อ่างทอง!Q736"")"),0)</f>
        <v>0</v>
      </c>
      <c r="R736" s="77">
        <f ca="1">IFERROR(__xludf.DUMMYFUNCTION("IMPORTRANGE(""https://docs.google.com/spreadsheets/d/13wPX838HrBrQMCywv1BsuMkt4PEKTChp52zj44s2izQ/edit?usp=sharing"",""กาญจนบุรี!R736"")+IMPORTRANGE(""https://docs.google.com/spreadsheets/d/1ddFKvqj1W1NEiWytbGlB1zMx_ykJDVtmfEQ-6-lIUBA/edit?usp=sharing"","&amp;"""จันทบุรี!R736"")+IMPORTRANGE(""https://docs.google.com/spreadsheets/d/1T1PQvRODqOBZk8BRht_U031fIS1beLA0Ub2CEytj2q0/edit?usp=sharing"",""ฉะเชิงเทรา!R736"")+IMPORTRANGE(""https://docs.google.com/spreadsheets/d/11tr1B-Bhyr79v2bkwVh5h_fR-PStkgjlZtkrZpYurG0/"&amp;"edit?usp=sharing"",""ชลบุรี!R736"")+IMPORTRANGE(""https://docs.google.com/spreadsheets/d/1hh-FVnSX0vozXhGluamEcS54Dw9_zqW0N7qJUWgJ0Sw/edit?usp=sharing"",""ชัยนาท!R736"")+IMPORTRANGE(""https://docs.google.com/spreadsheets/d/1jkqa6GXxSacMcY1eN8AHjMNJ_7dDXMJ"&amp;"VRLDlaFSOdPM/edit?usp=sharing"",""ตราด!R736"")+IMPORTRANGE(""https://docs.google.com/spreadsheets/d/18hSgUJ3VwClqi_qtULmmW3cLr0oe3OKaSYoKzdpTsYQ/edit?usp=sharing"",""นครนายก!R736"")+IMPORTRANGE(""https://docs.google.com/spreadsheets/d/1YTZo6WM2dQ6Ix6FSdnL"&amp;"5P7uVnVKu40sxZu975tgG10E/edit?usp=sharing"",""นครปฐม!R736"")+IMPORTRANGE(""https://docs.google.com/spreadsheets/d/1OYoGg4WDg5RIzwGeB10padOxJF9E_Vljuvvct_M7RDo/edit?usp=sharing"",""ปทุมธานี!R736"")+IMPORTRANGE(""https://docs.google.com/spreadsheets/d/1GbCI"&amp;"E4D4wk9FUozzqk7SxfDMxDVBwVmI5zcaVUSzKAc/edit?usp=sharing"",""ประจวบคีรีขันธ์!R736"")+IMPORTRANGE(""https://docs.google.com/spreadsheets/d/1vVf6wykvW_lAyu7Yo9L4hUTqHqIeP_qcVuxCtosJEbg/edit?usp=sharing"",""ปราจีนบุรี!R736"")+IMPORTRANGE(""https://docs.googl"&amp;"e.com/spreadsheets/d/1BIDqLLg5jk3v59G8NlR8rk5xfQDKne0sAvZHSj7TI6I/edit?usp=sharing"",""พระนครศรีอยุธยา!R736"")+IMPORTRANGE(""https://docs.google.com/spreadsheets/d/1YXvxf8Yu6_rV4hTBrwMqAcAnv6DfhUxh5emyM3CJp_w/edit?usp=sharing"",""เพชรบุรี!R736"")+IMPORTRA"&amp;"NGE(""https://docs.google.com/spreadsheets/d/19KBlQQs7uwvsao6t2n-KvW3Ax8J8uRRfZPq1zPbXgKc/edit?usp=sharing"",""ระยอง!R736"")+IMPORTRANGE(""https://docs.google.com/spreadsheets/d/1jQ6P4QcrGM89YfqcC_PxOHGCMq5ezhucwJd8ci-NHng/edit?usp=sharing"",""ราชบุรี!R73"&amp;"6"")+IMPORTRANGE(""https://docs.google.com/spreadsheets/d/1lufeA2cfFqM-elVq2hznhDzC6Pr7wkJ9ZG_sYNGCMCU/edit?usp=sharing"",""ลพบุรี!R736"")+IMPORTRANGE(""https://docs.google.com/spreadsheets/d/10oOiF7loTyfsTkbd4MpaIm0HQ9SwB7IYHdIUvt-U1Uc/edit?usp=sharing"""&amp;",""สระแก้ว!R736"")+IMPORTRANGE(""https://docs.google.com/spreadsheets/d/1xmPlrr1QbdSIKvl1dWUl9K4PjAfSL9oeMr_37QVzcxc/edit?usp=sharing"",""สระบุรี!R736"")+IMPORTRANGE(""https://docs.google.com/spreadsheets/d/1j51vR6CYVGhABJpv6tkstgok82RLpXieLzW1yOY5rHw/edi"&amp;"t?usp=sharing"",""สิงห์บุรี!R736"")+IMPORTRANGE(""https://docs.google.com/spreadsheets/d/1H1EalTWKUSzO4Z1-1CwzoDUaVffgrThEBe2sl74kKG0/edit?usp=sharing"",""สุพรรณบุรี!R736"")+IMPORTRANGE(""https://docs.google.com/spreadsheets/d/1BmIruG_sIrJLYao_Pdr7zVArWsf"&amp;"oBt2692TMi6x_854/edit?usp=sharing"",""อ่างทอง!R736"")"),0)</f>
        <v>0</v>
      </c>
      <c r="S736" s="77">
        <f ca="1">IFERROR(__xludf.DUMMYFUNCTION("IMPORTRANGE(""https://docs.google.com/spreadsheets/d/13wPX838HrBrQMCywv1BsuMkt4PEKTChp52zj44s2izQ/edit?usp=sharing"",""กาญจนบุรี!S736"")+IMPORTRANGE(""https://docs.google.com/spreadsheets/d/1ddFKvqj1W1NEiWytbGlB1zMx_ykJDVtmfEQ-6-lIUBA/edit?usp=sharing"","&amp;"""จันทบุรี!S736"")+IMPORTRANGE(""https://docs.google.com/spreadsheets/d/1T1PQvRODqOBZk8BRht_U031fIS1beLA0Ub2CEytj2q0/edit?usp=sharing"",""ฉะเชิงเทรา!S736"")+IMPORTRANGE(""https://docs.google.com/spreadsheets/d/11tr1B-Bhyr79v2bkwVh5h_fR-PStkgjlZtkrZpYurG0/"&amp;"edit?usp=sharing"",""ชลบุรี!S736"")+IMPORTRANGE(""https://docs.google.com/spreadsheets/d/1hh-FVnSX0vozXhGluamEcS54Dw9_zqW0N7qJUWgJ0Sw/edit?usp=sharing"",""ชัยนาท!S736"")+IMPORTRANGE(""https://docs.google.com/spreadsheets/d/1jkqa6GXxSacMcY1eN8AHjMNJ_7dDXMJ"&amp;"VRLDlaFSOdPM/edit?usp=sharing"",""ตราด!S736"")+IMPORTRANGE(""https://docs.google.com/spreadsheets/d/18hSgUJ3VwClqi_qtULmmW3cLr0oe3OKaSYoKzdpTsYQ/edit?usp=sharing"",""นครนายก!S736"")+IMPORTRANGE(""https://docs.google.com/spreadsheets/d/1YTZo6WM2dQ6Ix6FSdnL"&amp;"5P7uVnVKu40sxZu975tgG10E/edit?usp=sharing"",""นครปฐม!S736"")+IMPORTRANGE(""https://docs.google.com/spreadsheets/d/1OYoGg4WDg5RIzwGeB10padOxJF9E_Vljuvvct_M7RDo/edit?usp=sharing"",""ปทุมธานี!S736"")+IMPORTRANGE(""https://docs.google.com/spreadsheets/d/1GbCI"&amp;"E4D4wk9FUozzqk7SxfDMxDVBwVmI5zcaVUSzKAc/edit?usp=sharing"",""ประจวบคีรีขันธ์!S736"")+IMPORTRANGE(""https://docs.google.com/spreadsheets/d/1vVf6wykvW_lAyu7Yo9L4hUTqHqIeP_qcVuxCtosJEbg/edit?usp=sharing"",""ปราจีนบุรี!S736"")+IMPORTRANGE(""https://docs.googl"&amp;"e.com/spreadsheets/d/1BIDqLLg5jk3v59G8NlR8rk5xfQDKne0sAvZHSj7TI6I/edit?usp=sharing"",""พระนครศรีอยุธยา!S736"")+IMPORTRANGE(""https://docs.google.com/spreadsheets/d/1YXvxf8Yu6_rV4hTBrwMqAcAnv6DfhUxh5emyM3CJp_w/edit?usp=sharing"",""เพชรบุรี!S736"")+IMPORTRA"&amp;"NGE(""https://docs.google.com/spreadsheets/d/19KBlQQs7uwvsao6t2n-KvW3Ax8J8uRRfZPq1zPbXgKc/edit?usp=sharing"",""ระยอง!S736"")+IMPORTRANGE(""https://docs.google.com/spreadsheets/d/1jQ6P4QcrGM89YfqcC_PxOHGCMq5ezhucwJd8ci-NHng/edit?usp=sharing"",""ราชบุรี!S73"&amp;"6"")+IMPORTRANGE(""https://docs.google.com/spreadsheets/d/1lufeA2cfFqM-elVq2hznhDzC6Pr7wkJ9ZG_sYNGCMCU/edit?usp=sharing"",""ลพบุรี!S736"")+IMPORTRANGE(""https://docs.google.com/spreadsheets/d/10oOiF7loTyfsTkbd4MpaIm0HQ9SwB7IYHdIUvt-U1Uc/edit?usp=sharing"""&amp;",""สระแก้ว!S736"")+IMPORTRANGE(""https://docs.google.com/spreadsheets/d/1xmPlrr1QbdSIKvl1dWUl9K4PjAfSL9oeMr_37QVzcxc/edit?usp=sharing"",""สระบุรี!S736"")+IMPORTRANGE(""https://docs.google.com/spreadsheets/d/1j51vR6CYVGhABJpv6tkstgok82RLpXieLzW1yOY5rHw/edi"&amp;"t?usp=sharing"",""สิงห์บุรี!S736"")+IMPORTRANGE(""https://docs.google.com/spreadsheets/d/1H1EalTWKUSzO4Z1-1CwzoDUaVffgrThEBe2sl74kKG0/edit?usp=sharing"",""สุพรรณบุรี!S736"")+IMPORTRANGE(""https://docs.google.com/spreadsheets/d/1BmIruG_sIrJLYao_Pdr7zVArWsf"&amp;"oBt2692TMi6x_854/edit?usp=sharing"",""อ่างทอง!S736"")"),0)</f>
        <v>0</v>
      </c>
      <c r="T736" s="135">
        <f t="shared" ca="1" si="499"/>
        <v>0</v>
      </c>
      <c r="U736" s="135">
        <f t="shared" ca="1" si="500"/>
        <v>0</v>
      </c>
    </row>
    <row r="737" spans="1:21" ht="19.5" x14ac:dyDescent="0.3">
      <c r="A737" s="278"/>
      <c r="B737" s="279"/>
      <c r="C737" s="308" t="s">
        <v>18</v>
      </c>
      <c r="D737" s="572" t="s">
        <v>38</v>
      </c>
      <c r="E737" s="762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13wPX838HrBrQMCywv1BsuMkt4PEKTChp52zj44s2izQ/edit?usp=sharing"",""กาญจนบุรี!I740"")+IMPORTRANGE(""https://docs.google.com/spreadsheets/d/1ddFKvqj1W1NEiWytbGlB1zMx_ykJDVtmfEQ-6-lIUBA/edit?usp=sharing"","&amp;"""จันทบุรี!I740"")+IMPORTRANGE(""https://docs.google.com/spreadsheets/d/1T1PQvRODqOBZk8BRht_U031fIS1beLA0Ub2CEytj2q0/edit?usp=sharing"",""ฉะเชิงเทรา!I740"")+IMPORTRANGE(""https://docs.google.com/spreadsheets/d/11tr1B-Bhyr79v2bkwVh5h_fR-PStkgjlZtkrZpYurG0/"&amp;"edit?usp=sharing"",""ชลบุรี!I740"")+IMPORTRANGE(""https://docs.google.com/spreadsheets/d/1hh-FVnSX0vozXhGluamEcS54Dw9_zqW0N7qJUWgJ0Sw/edit?usp=sharing"",""ชัยนาท!I740"")+IMPORTRANGE(""https://docs.google.com/spreadsheets/d/1jkqa6GXxSacMcY1eN8AHjMNJ_7dDXMJ"&amp;"VRLDlaFSOdPM/edit?usp=sharing"",""ตราด!I740"")+IMPORTRANGE(""https://docs.google.com/spreadsheets/d/18hSgUJ3VwClqi_qtULmmW3cLr0oe3OKaSYoKzdpTsYQ/edit?usp=sharing"",""นครนายก!I740"")+IMPORTRANGE(""https://docs.google.com/spreadsheets/d/1YTZo6WM2dQ6Ix6FSdnL"&amp;"5P7uVnVKu40sxZu975tgG10E/edit?usp=sharing"",""นครปฐม!I740"")+IMPORTRANGE(""https://docs.google.com/spreadsheets/d/1OYoGg4WDg5RIzwGeB10padOxJF9E_Vljuvvct_M7RDo/edit?usp=sharing"",""ปทุมธานี!I740"")+IMPORTRANGE(""https://docs.google.com/spreadsheets/d/1GbCI"&amp;"E4D4wk9FUozzqk7SxfDMxDVBwVmI5zcaVUSzKAc/edit?usp=sharing"",""ประจวบคีรีขันธ์!I740"")+IMPORTRANGE(""https://docs.google.com/spreadsheets/d/1vVf6wykvW_lAyu7Yo9L4hUTqHqIeP_qcVuxCtosJEbg/edit?usp=sharing"",""ปราจีนบุรี!I740"")+IMPORTRANGE(""https://docs.googl"&amp;"e.com/spreadsheets/d/1BIDqLLg5jk3v59G8NlR8rk5xfQDKne0sAvZHSj7TI6I/edit?usp=sharing"",""พระนครศรีอยุธยา!I740"")+IMPORTRANGE(""https://docs.google.com/spreadsheets/d/1YXvxf8Yu6_rV4hTBrwMqAcAnv6DfhUxh5emyM3CJp_w/edit?usp=sharing"",""เพชรบุรี!I740"")+IMPORTRA"&amp;"NGE(""https://docs.google.com/spreadsheets/d/19KBlQQs7uwvsao6t2n-KvW3Ax8J8uRRfZPq1zPbXgKc/edit?usp=sharing"",""ระยอง!I740"")+IMPORTRANGE(""https://docs.google.com/spreadsheets/d/1jQ6P4QcrGM89YfqcC_PxOHGCMq5ezhucwJd8ci-NHng/edit?usp=sharing"",""ราชบุรี!I74"&amp;"0"")+IMPORTRANGE(""https://docs.google.com/spreadsheets/d/1lufeA2cfFqM-elVq2hznhDzC6Pr7wkJ9ZG_sYNGCMCU/edit?usp=sharing"",""ลพบุรี!I740"")+IMPORTRANGE(""https://docs.google.com/spreadsheets/d/10oOiF7loTyfsTkbd4MpaIm0HQ9SwB7IYHdIUvt-U1Uc/edit?usp=sharing"""&amp;",""สระแก้ว!I740"")+IMPORTRANGE(""https://docs.google.com/spreadsheets/d/1xmPlrr1QbdSIKvl1dWUl9K4PjAfSL9oeMr_37QVzcxc/edit?usp=sharing"",""สระบุรี!I740"")+IMPORTRANGE(""https://docs.google.com/spreadsheets/d/1j51vR6CYVGhABJpv6tkstgok82RLpXieLzW1yOY5rHw/edi"&amp;"t?usp=sharing"",""สิงห์บุรี!I740"")+IMPORTRANGE(""https://docs.google.com/spreadsheets/d/1H1EalTWKUSzO4Z1-1CwzoDUaVffgrThEBe2sl74kKG0/edit?usp=sharing"",""สุพรรณบุรี!I740"")+IMPORTRANGE(""https://docs.google.com/spreadsheets/d/1BmIruG_sIrJLYao_Pdr7zVArWsf"&amp;"oBt2692TMi6x_854/edit?usp=sharing"",""อ่างทอง!I740"")"),5440)</f>
        <v>5440</v>
      </c>
      <c r="J740" s="296">
        <f ca="1">IFERROR(__xludf.DUMMYFUNCTION("IMPORTRANGE(""https://docs.google.com/spreadsheets/d/13wPX838HrBrQMCywv1BsuMkt4PEKTChp52zj44s2izQ/edit?usp=sharing"",""กาญจนบุรี!J740"")+IMPORTRANGE(""https://docs.google.com/spreadsheets/d/1ddFKvqj1W1NEiWytbGlB1zMx_ykJDVtmfEQ-6-lIUBA/edit?usp=sharing"","&amp;"""จันทบุรี!J740"")+IMPORTRANGE(""https://docs.google.com/spreadsheets/d/1T1PQvRODqOBZk8BRht_U031fIS1beLA0Ub2CEytj2q0/edit?usp=sharing"",""ฉะเชิงเทรา!J740"")+IMPORTRANGE(""https://docs.google.com/spreadsheets/d/11tr1B-Bhyr79v2bkwVh5h_fR-PStkgjlZtkrZpYurG0/"&amp;"edit?usp=sharing"",""ชลบุรี!J740"")+IMPORTRANGE(""https://docs.google.com/spreadsheets/d/1hh-FVnSX0vozXhGluamEcS54Dw9_zqW0N7qJUWgJ0Sw/edit?usp=sharing"",""ชัยนาท!J740"")+IMPORTRANGE(""https://docs.google.com/spreadsheets/d/1jkqa6GXxSacMcY1eN8AHjMNJ_7dDXMJ"&amp;"VRLDlaFSOdPM/edit?usp=sharing"",""ตราด!J740"")+IMPORTRANGE(""https://docs.google.com/spreadsheets/d/18hSgUJ3VwClqi_qtULmmW3cLr0oe3OKaSYoKzdpTsYQ/edit?usp=sharing"",""นครนายก!J740"")+IMPORTRANGE(""https://docs.google.com/spreadsheets/d/1YTZo6WM2dQ6Ix6FSdnL"&amp;"5P7uVnVKu40sxZu975tgG10E/edit?usp=sharing"",""นครปฐม!J740"")+IMPORTRANGE(""https://docs.google.com/spreadsheets/d/1OYoGg4WDg5RIzwGeB10padOxJF9E_Vljuvvct_M7RDo/edit?usp=sharing"",""ปทุมธานี!J740"")+IMPORTRANGE(""https://docs.google.com/spreadsheets/d/1GbCI"&amp;"E4D4wk9FUozzqk7SxfDMxDVBwVmI5zcaVUSzKAc/edit?usp=sharing"",""ประจวบคีรีขันธ์!J740"")+IMPORTRANGE(""https://docs.google.com/spreadsheets/d/1vVf6wykvW_lAyu7Yo9L4hUTqHqIeP_qcVuxCtosJEbg/edit?usp=sharing"",""ปราจีนบุรี!J740"")+IMPORTRANGE(""https://docs.googl"&amp;"e.com/spreadsheets/d/1BIDqLLg5jk3v59G8NlR8rk5xfQDKne0sAvZHSj7TI6I/edit?usp=sharing"",""พระนครศรีอยุธยา!J740"")+IMPORTRANGE(""https://docs.google.com/spreadsheets/d/1YXvxf8Yu6_rV4hTBrwMqAcAnv6DfhUxh5emyM3CJp_w/edit?usp=sharing"",""เพชรบุรี!J740"")+IMPORTRA"&amp;"NGE(""https://docs.google.com/spreadsheets/d/19KBlQQs7uwvsao6t2n-KvW3Ax8J8uRRfZPq1zPbXgKc/edit?usp=sharing"",""ระยอง!J740"")+IMPORTRANGE(""https://docs.google.com/spreadsheets/d/1jQ6P4QcrGM89YfqcC_PxOHGCMq5ezhucwJd8ci-NHng/edit?usp=sharing"",""ราชบุรี!J74"&amp;"0"")+IMPORTRANGE(""https://docs.google.com/spreadsheets/d/1lufeA2cfFqM-elVq2hznhDzC6Pr7wkJ9ZG_sYNGCMCU/edit?usp=sharing"",""ลพบุรี!J740"")+IMPORTRANGE(""https://docs.google.com/spreadsheets/d/10oOiF7loTyfsTkbd4MpaIm0HQ9SwB7IYHdIUvt-U1Uc/edit?usp=sharing"""&amp;",""สระแก้ว!J740"")+IMPORTRANGE(""https://docs.google.com/spreadsheets/d/1xmPlrr1QbdSIKvl1dWUl9K4PjAfSL9oeMr_37QVzcxc/edit?usp=sharing"",""สระบุรี!J740"")+IMPORTRANGE(""https://docs.google.com/spreadsheets/d/1j51vR6CYVGhABJpv6tkstgok82RLpXieLzW1yOY5rHw/edi"&amp;"t?usp=sharing"",""สิงห์บุรี!J740"")+IMPORTRANGE(""https://docs.google.com/spreadsheets/d/1H1EalTWKUSzO4Z1-1CwzoDUaVffgrThEBe2sl74kKG0/edit?usp=sharing"",""สุพรรณบุรี!J740"")+IMPORTRANGE(""https://docs.google.com/spreadsheets/d/1BmIruG_sIrJLYao_Pdr7zVArWsf"&amp;"oBt2692TMi6x_854/edit?usp=sharing"",""อ่างทอง!J740"")"),2240)</f>
        <v>2240</v>
      </c>
      <c r="K740" s="77">
        <f ca="1">IF(I740&gt;0,J740*100/I740,0)</f>
        <v>41.176470588235297</v>
      </c>
      <c r="L740" s="90"/>
      <c r="M740" s="90"/>
      <c r="N740" s="90"/>
      <c r="O740" s="90"/>
      <c r="P740" s="90"/>
      <c r="Q740" s="89"/>
      <c r="R740" s="90"/>
      <c r="S740" s="90"/>
      <c r="T740" s="90"/>
      <c r="U740" s="90"/>
    </row>
    <row r="741" spans="1:21" ht="18.75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f ca="1">IFERROR(__xludf.DUMMYFUNCTION("IMPORTRANGE(""https://docs.google.com/spreadsheets/d/13wPX838HrBrQMCywv1BsuMkt4PEKTChp52zj44s2izQ/edit?usp=sharing"",""กาญจนบุรี!J741"")+IMPORTRANGE(""https://docs.google.com/spreadsheets/d/1ddFKvqj1W1NEiWytbGlB1zMx_ykJDVtmfEQ-6-lIUBA/edit?usp=sharing"","&amp;"""จันทบุรี!J741"")+IMPORTRANGE(""https://docs.google.com/spreadsheets/d/1T1PQvRODqOBZk8BRht_U031fIS1beLA0Ub2CEytj2q0/edit?usp=sharing"",""ฉะเชิงเทรา!J741"")+IMPORTRANGE(""https://docs.google.com/spreadsheets/d/11tr1B-Bhyr79v2bkwVh5h_fR-PStkgjlZtkrZpYurG0/"&amp;"edit?usp=sharing"",""ชลบุรี!J741"")+IMPORTRANGE(""https://docs.google.com/spreadsheets/d/1hh-FVnSX0vozXhGluamEcS54Dw9_zqW0N7qJUWgJ0Sw/edit?usp=sharing"",""ชัยนาท!J741"")+IMPORTRANGE(""https://docs.google.com/spreadsheets/d/1jkqa6GXxSacMcY1eN8AHjMNJ_7dDXMJ"&amp;"VRLDlaFSOdPM/edit?usp=sharing"",""ตราด!J741"")+IMPORTRANGE(""https://docs.google.com/spreadsheets/d/18hSgUJ3VwClqi_qtULmmW3cLr0oe3OKaSYoKzdpTsYQ/edit?usp=sharing"",""นครนายก!J741"")+IMPORTRANGE(""https://docs.google.com/spreadsheets/d/1YTZo6WM2dQ6Ix6FSdnL"&amp;"5P7uVnVKu40sxZu975tgG10E/edit?usp=sharing"",""นครปฐม!J741"")+IMPORTRANGE(""https://docs.google.com/spreadsheets/d/1OYoGg4WDg5RIzwGeB10padOxJF9E_Vljuvvct_M7RDo/edit?usp=sharing"",""ปทุมธานี!J741"")+IMPORTRANGE(""https://docs.google.com/spreadsheets/d/1GbCI"&amp;"E4D4wk9FUozzqk7SxfDMxDVBwVmI5zcaVUSzKAc/edit?usp=sharing"",""ประจวบคีรีขันธ์!J741"")+IMPORTRANGE(""https://docs.google.com/spreadsheets/d/1vVf6wykvW_lAyu7Yo9L4hUTqHqIeP_qcVuxCtosJEbg/edit?usp=sharing"",""ปราจีนบุรี!J741"")+IMPORTRANGE(""https://docs.googl"&amp;"e.com/spreadsheets/d/1BIDqLLg5jk3v59G8NlR8rk5xfQDKne0sAvZHSj7TI6I/edit?usp=sharing"",""พระนครศรีอยุธยา!J741"")+IMPORTRANGE(""https://docs.google.com/spreadsheets/d/1YXvxf8Yu6_rV4hTBrwMqAcAnv6DfhUxh5emyM3CJp_w/edit?usp=sharing"",""เพชรบุรี!J741"")+IMPORTRA"&amp;"NGE(""https://docs.google.com/spreadsheets/d/19KBlQQs7uwvsao6t2n-KvW3Ax8J8uRRfZPq1zPbXgKc/edit?usp=sharing"",""ระยอง!J741"")+IMPORTRANGE(""https://docs.google.com/spreadsheets/d/1jQ6P4QcrGM89YfqcC_PxOHGCMq5ezhucwJd8ci-NHng/edit?usp=sharing"",""ราชบุรี!J74"&amp;"1"")+IMPORTRANGE(""https://docs.google.com/spreadsheets/d/1lufeA2cfFqM-elVq2hznhDzC6Pr7wkJ9ZG_sYNGCMCU/edit?usp=sharing"",""ลพบุรี!J741"")+IMPORTRANGE(""https://docs.google.com/spreadsheets/d/10oOiF7loTyfsTkbd4MpaIm0HQ9SwB7IYHdIUvt-U1Uc/edit?usp=sharing"""&amp;",""สระแก้ว!J741"")+IMPORTRANGE(""https://docs.google.com/spreadsheets/d/1xmPlrr1QbdSIKvl1dWUl9K4PjAfSL9oeMr_37QVzcxc/edit?usp=sharing"",""สระบุรี!J741"")+IMPORTRANGE(""https://docs.google.com/spreadsheets/d/1j51vR6CYVGhABJpv6tkstgok82RLpXieLzW1yOY5rHw/edi"&amp;"t?usp=sharing"",""สิงห์บุรี!J741"")+IMPORTRANGE(""https://docs.google.com/spreadsheets/d/1H1EalTWKUSzO4Z1-1CwzoDUaVffgrThEBe2sl74kKG0/edit?usp=sharing"",""สุพรรณบุรี!J741"")+IMPORTRANGE(""https://docs.google.com/spreadsheets/d/1BmIruG_sIrJLYao_Pdr7zVArWsf"&amp;"oBt2692TMi6x_854/edit?usp=sharing"",""อ่างทอง!J741"")"),48)</f>
        <v>48</v>
      </c>
      <c r="K741" s="90"/>
      <c r="L741" s="90"/>
      <c r="M741" s="90"/>
      <c r="N741" s="90"/>
      <c r="O741" s="90"/>
      <c r="P741" s="90"/>
      <c r="Q741" s="89"/>
      <c r="R741" s="90"/>
      <c r="S741" s="90"/>
      <c r="T741" s="90"/>
      <c r="U741" s="90"/>
    </row>
    <row r="742" spans="1:21" ht="18.75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13wPX838HrBrQMCywv1BsuMkt4PEKTChp52zj44s2izQ/edit?usp=sharing"",""กาญจนบุรี!I742"")+IMPORTRANGE(""https://docs.google.com/spreadsheets/d/1ddFKvqj1W1NEiWytbGlB1zMx_ykJDVtmfEQ-6-lIUBA/edit?usp=sharing"","&amp;"""จันทบุรี!I742"")+IMPORTRANGE(""https://docs.google.com/spreadsheets/d/1T1PQvRODqOBZk8BRht_U031fIS1beLA0Ub2CEytj2q0/edit?usp=sharing"",""ฉะเชิงเทรา!I742"")+IMPORTRANGE(""https://docs.google.com/spreadsheets/d/11tr1B-Bhyr79v2bkwVh5h_fR-PStkgjlZtkrZpYurG0/"&amp;"edit?usp=sharing"",""ชลบุรี!I742"")+IMPORTRANGE(""https://docs.google.com/spreadsheets/d/1hh-FVnSX0vozXhGluamEcS54Dw9_zqW0N7qJUWgJ0Sw/edit?usp=sharing"",""ชัยนาท!I742"")+IMPORTRANGE(""https://docs.google.com/spreadsheets/d/1jkqa6GXxSacMcY1eN8AHjMNJ_7dDXMJ"&amp;"VRLDlaFSOdPM/edit?usp=sharing"",""ตราด!I742"")+IMPORTRANGE(""https://docs.google.com/spreadsheets/d/18hSgUJ3VwClqi_qtULmmW3cLr0oe3OKaSYoKzdpTsYQ/edit?usp=sharing"",""นครนายก!I742"")+IMPORTRANGE(""https://docs.google.com/spreadsheets/d/1YTZo6WM2dQ6Ix6FSdnL"&amp;"5P7uVnVKu40sxZu975tgG10E/edit?usp=sharing"",""นครปฐม!I742"")+IMPORTRANGE(""https://docs.google.com/spreadsheets/d/1OYoGg4WDg5RIzwGeB10padOxJF9E_Vljuvvct_M7RDo/edit?usp=sharing"",""ปทุมธานี!I742"")+IMPORTRANGE(""https://docs.google.com/spreadsheets/d/1GbCI"&amp;"E4D4wk9FUozzqk7SxfDMxDVBwVmI5zcaVUSzKAc/edit?usp=sharing"",""ประจวบคีรีขันธ์!I742"")+IMPORTRANGE(""https://docs.google.com/spreadsheets/d/1vVf6wykvW_lAyu7Yo9L4hUTqHqIeP_qcVuxCtosJEbg/edit?usp=sharing"",""ปราจีนบุรี!I742"")+IMPORTRANGE(""https://docs.googl"&amp;"e.com/spreadsheets/d/1BIDqLLg5jk3v59G8NlR8rk5xfQDKne0sAvZHSj7TI6I/edit?usp=sharing"",""พระนครศรีอยุธยา!I742"")+IMPORTRANGE(""https://docs.google.com/spreadsheets/d/1YXvxf8Yu6_rV4hTBrwMqAcAnv6DfhUxh5emyM3CJp_w/edit?usp=sharing"",""เพชรบุรี!I742"")+IMPORTRA"&amp;"NGE(""https://docs.google.com/spreadsheets/d/19KBlQQs7uwvsao6t2n-KvW3Ax8J8uRRfZPq1zPbXgKc/edit?usp=sharing"",""ระยอง!I742"")+IMPORTRANGE(""https://docs.google.com/spreadsheets/d/1jQ6P4QcrGM89YfqcC_PxOHGCMq5ezhucwJd8ci-NHng/edit?usp=sharing"",""ราชบุรี!I74"&amp;"2"")+IMPORTRANGE(""https://docs.google.com/spreadsheets/d/1lufeA2cfFqM-elVq2hznhDzC6Pr7wkJ9ZG_sYNGCMCU/edit?usp=sharing"",""ลพบุรี!I742"")+IMPORTRANGE(""https://docs.google.com/spreadsheets/d/10oOiF7loTyfsTkbd4MpaIm0HQ9SwB7IYHdIUvt-U1Uc/edit?usp=sharing"""&amp;",""สระแก้ว!I742"")+IMPORTRANGE(""https://docs.google.com/spreadsheets/d/1xmPlrr1QbdSIKvl1dWUl9K4PjAfSL9oeMr_37QVzcxc/edit?usp=sharing"",""สระบุรี!I742"")+IMPORTRANGE(""https://docs.google.com/spreadsheets/d/1j51vR6CYVGhABJpv6tkstgok82RLpXieLzW1yOY5rHw/edi"&amp;"t?usp=sharing"",""สิงห์บุรี!I742"")+IMPORTRANGE(""https://docs.google.com/spreadsheets/d/1H1EalTWKUSzO4Z1-1CwzoDUaVffgrThEBe2sl74kKG0/edit?usp=sharing"",""สุพรรณบุรี!I742"")+IMPORTRANGE(""https://docs.google.com/spreadsheets/d/1BmIruG_sIrJLYao_Pdr7zVArWsf"&amp;"oBt2692TMi6x_854/edit?usp=sharing"",""อ่างทอง!I742"")"),544)</f>
        <v>544</v>
      </c>
      <c r="J742" s="296">
        <f ca="1">IFERROR(__xludf.DUMMYFUNCTION("IMPORTRANGE(""https://docs.google.com/spreadsheets/d/13wPX838HrBrQMCywv1BsuMkt4PEKTChp52zj44s2izQ/edit?usp=sharing"",""กาญจนบุรี!J742"")+IMPORTRANGE(""https://docs.google.com/spreadsheets/d/1ddFKvqj1W1NEiWytbGlB1zMx_ykJDVtmfEQ-6-lIUBA/edit?usp=sharing"","&amp;"""จันทบุรี!J742"")+IMPORTRANGE(""https://docs.google.com/spreadsheets/d/1T1PQvRODqOBZk8BRht_U031fIS1beLA0Ub2CEytj2q0/edit?usp=sharing"",""ฉะเชิงเทรา!J742"")+IMPORTRANGE(""https://docs.google.com/spreadsheets/d/11tr1B-Bhyr79v2bkwVh5h_fR-PStkgjlZtkrZpYurG0/"&amp;"edit?usp=sharing"",""ชลบุรี!J742"")+IMPORTRANGE(""https://docs.google.com/spreadsheets/d/1hh-FVnSX0vozXhGluamEcS54Dw9_zqW0N7qJUWgJ0Sw/edit?usp=sharing"",""ชัยนาท!J742"")+IMPORTRANGE(""https://docs.google.com/spreadsheets/d/1jkqa6GXxSacMcY1eN8AHjMNJ_7dDXMJ"&amp;"VRLDlaFSOdPM/edit?usp=sharing"",""ตราด!J742"")+IMPORTRANGE(""https://docs.google.com/spreadsheets/d/18hSgUJ3VwClqi_qtULmmW3cLr0oe3OKaSYoKzdpTsYQ/edit?usp=sharing"",""นครนายก!J742"")+IMPORTRANGE(""https://docs.google.com/spreadsheets/d/1YTZo6WM2dQ6Ix6FSdnL"&amp;"5P7uVnVKu40sxZu975tgG10E/edit?usp=sharing"",""นครปฐม!J742"")+IMPORTRANGE(""https://docs.google.com/spreadsheets/d/1OYoGg4WDg5RIzwGeB10padOxJF9E_Vljuvvct_M7RDo/edit?usp=sharing"",""ปทุมธานี!J742"")+IMPORTRANGE(""https://docs.google.com/spreadsheets/d/1GbCI"&amp;"E4D4wk9FUozzqk7SxfDMxDVBwVmI5zcaVUSzKAc/edit?usp=sharing"",""ประจวบคีรีขันธ์!J742"")+IMPORTRANGE(""https://docs.google.com/spreadsheets/d/1vVf6wykvW_lAyu7Yo9L4hUTqHqIeP_qcVuxCtosJEbg/edit?usp=sharing"",""ปราจีนบุรี!J742"")+IMPORTRANGE(""https://docs.googl"&amp;"e.com/spreadsheets/d/1BIDqLLg5jk3v59G8NlR8rk5xfQDKne0sAvZHSj7TI6I/edit?usp=sharing"",""พระนครศรีอยุธยา!J742"")+IMPORTRANGE(""https://docs.google.com/spreadsheets/d/1YXvxf8Yu6_rV4hTBrwMqAcAnv6DfhUxh5emyM3CJp_w/edit?usp=sharing"",""เพชรบุรี!J742"")+IMPORTRA"&amp;"NGE(""https://docs.google.com/spreadsheets/d/19KBlQQs7uwvsao6t2n-KvW3Ax8J8uRRfZPq1zPbXgKc/edit?usp=sharing"",""ระยอง!J742"")+IMPORTRANGE(""https://docs.google.com/spreadsheets/d/1jQ6P4QcrGM89YfqcC_PxOHGCMq5ezhucwJd8ci-NHng/edit?usp=sharing"",""ราชบุรี!J74"&amp;"2"")+IMPORTRANGE(""https://docs.google.com/spreadsheets/d/1lufeA2cfFqM-elVq2hznhDzC6Pr7wkJ9ZG_sYNGCMCU/edit?usp=sharing"",""ลพบุรี!J742"")+IMPORTRANGE(""https://docs.google.com/spreadsheets/d/10oOiF7loTyfsTkbd4MpaIm0HQ9SwB7IYHdIUvt-U1Uc/edit?usp=sharing"""&amp;",""สระแก้ว!J742"")+IMPORTRANGE(""https://docs.google.com/spreadsheets/d/1xmPlrr1QbdSIKvl1dWUl9K4PjAfSL9oeMr_37QVzcxc/edit?usp=sharing"",""สระบุรี!J742"")+IMPORTRANGE(""https://docs.google.com/spreadsheets/d/1j51vR6CYVGhABJpv6tkstgok82RLpXieLzW1yOY5rHw/edi"&amp;"t?usp=sharing"",""สิงห์บุรี!J742"")+IMPORTRANGE(""https://docs.google.com/spreadsheets/d/1H1EalTWKUSzO4Z1-1CwzoDUaVffgrThEBe2sl74kKG0/edit?usp=sharing"",""สุพรรณบุรี!J742"")+IMPORTRANGE(""https://docs.google.com/spreadsheets/d/1BmIruG_sIrJLYao_Pdr7zVArWsf"&amp;"oBt2692TMi6x_854/edit?usp=sharing"",""อ่างทอง!J742"")"),301)</f>
        <v>301</v>
      </c>
      <c r="K742" s="77">
        <f ca="1">IF(I742&gt;0,J742*100/I742,0)</f>
        <v>55.330882352941174</v>
      </c>
      <c r="L742" s="90"/>
      <c r="M742" s="90"/>
      <c r="N742" s="90"/>
      <c r="O742" s="90"/>
      <c r="P742" s="90"/>
      <c r="Q742" s="89"/>
      <c r="R742" s="90"/>
      <c r="S742" s="90"/>
      <c r="T742" s="90"/>
      <c r="U742" s="90"/>
    </row>
    <row r="743" spans="1:21" ht="18.75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90"/>
      <c r="M743" s="90"/>
      <c r="N743" s="90"/>
      <c r="O743" s="90"/>
      <c r="P743" s="90"/>
      <c r="Q743" s="89"/>
      <c r="R743" s="90"/>
      <c r="S743" s="90"/>
      <c r="T743" s="90"/>
      <c r="U743" s="90"/>
    </row>
    <row r="744" spans="1:21" ht="18.75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13wPX838HrBrQMCywv1BsuMkt4PEKTChp52zj44s2izQ/edit?usp=sharing"",""กาญจนบุรี!I744"")+IMPORTRANGE(""https://docs.google.com/spreadsheets/d/1ddFKvqj1W1NEiWytbGlB1zMx_ykJDVtmfEQ-6-lIUBA/edit?usp=sharing"","&amp;"""จันทบุรี!I744"")+IMPORTRANGE(""https://docs.google.com/spreadsheets/d/1T1PQvRODqOBZk8BRht_U031fIS1beLA0Ub2CEytj2q0/edit?usp=sharing"",""ฉะเชิงเทรา!I744"")+IMPORTRANGE(""https://docs.google.com/spreadsheets/d/11tr1B-Bhyr79v2bkwVh5h_fR-PStkgjlZtkrZpYurG0/"&amp;"edit?usp=sharing"",""ชลบุรี!I744"")+IMPORTRANGE(""https://docs.google.com/spreadsheets/d/1hh-FVnSX0vozXhGluamEcS54Dw9_zqW0N7qJUWgJ0Sw/edit?usp=sharing"",""ชัยนาท!I744"")+IMPORTRANGE(""https://docs.google.com/spreadsheets/d/1jkqa6GXxSacMcY1eN8AHjMNJ_7dDXMJ"&amp;"VRLDlaFSOdPM/edit?usp=sharing"",""ตราด!I744"")+IMPORTRANGE(""https://docs.google.com/spreadsheets/d/18hSgUJ3VwClqi_qtULmmW3cLr0oe3OKaSYoKzdpTsYQ/edit?usp=sharing"",""นครนายก!I744"")+IMPORTRANGE(""https://docs.google.com/spreadsheets/d/1YTZo6WM2dQ6Ix6FSdnL"&amp;"5P7uVnVKu40sxZu975tgG10E/edit?usp=sharing"",""นครปฐม!I744"")+IMPORTRANGE(""https://docs.google.com/spreadsheets/d/1OYoGg4WDg5RIzwGeB10padOxJF9E_Vljuvvct_M7RDo/edit?usp=sharing"",""ปทุมธานี!I744"")+IMPORTRANGE(""https://docs.google.com/spreadsheets/d/1GbCI"&amp;"E4D4wk9FUozzqk7SxfDMxDVBwVmI5zcaVUSzKAc/edit?usp=sharing"",""ประจวบคีรีขันธ์!I744"")+IMPORTRANGE(""https://docs.google.com/spreadsheets/d/1vVf6wykvW_lAyu7Yo9L4hUTqHqIeP_qcVuxCtosJEbg/edit?usp=sharing"",""ปราจีนบุรี!I744"")+IMPORTRANGE(""https://docs.googl"&amp;"e.com/spreadsheets/d/1BIDqLLg5jk3v59G8NlR8rk5xfQDKne0sAvZHSj7TI6I/edit?usp=sharing"",""พระนครศรีอยุธยา!I744"")+IMPORTRANGE(""https://docs.google.com/spreadsheets/d/1YXvxf8Yu6_rV4hTBrwMqAcAnv6DfhUxh5emyM3CJp_w/edit?usp=sharing"",""เพชรบุรี!I744"")+IMPORTRA"&amp;"NGE(""https://docs.google.com/spreadsheets/d/19KBlQQs7uwvsao6t2n-KvW3Ax8J8uRRfZPq1zPbXgKc/edit?usp=sharing"",""ระยอง!I744"")+IMPORTRANGE(""https://docs.google.com/spreadsheets/d/1jQ6P4QcrGM89YfqcC_PxOHGCMq5ezhucwJd8ci-NHng/edit?usp=sharing"",""ราชบุรี!I74"&amp;"4"")+IMPORTRANGE(""https://docs.google.com/spreadsheets/d/1lufeA2cfFqM-elVq2hznhDzC6Pr7wkJ9ZG_sYNGCMCU/edit?usp=sharing"",""ลพบุรี!I744"")+IMPORTRANGE(""https://docs.google.com/spreadsheets/d/10oOiF7loTyfsTkbd4MpaIm0HQ9SwB7IYHdIUvt-U1Uc/edit?usp=sharing"""&amp;",""สระแก้ว!I744"")+IMPORTRANGE(""https://docs.google.com/spreadsheets/d/1xmPlrr1QbdSIKvl1dWUl9K4PjAfSL9oeMr_37QVzcxc/edit?usp=sharing"",""สระบุรี!I744"")+IMPORTRANGE(""https://docs.google.com/spreadsheets/d/1j51vR6CYVGhABJpv6tkstgok82RLpXieLzW1yOY5rHw/edi"&amp;"t?usp=sharing"",""สิงห์บุรี!I744"")+IMPORTRANGE(""https://docs.google.com/spreadsheets/d/1H1EalTWKUSzO4Z1-1CwzoDUaVffgrThEBe2sl74kKG0/edit?usp=sharing"",""สุพรรณบุรี!I744"")+IMPORTRANGE(""https://docs.google.com/spreadsheets/d/1BmIruG_sIrJLYao_Pdr7zVArWsf"&amp;"oBt2692TMi6x_854/edit?usp=sharing"",""อ่างทอง!I744"")"),1360)</f>
        <v>1360</v>
      </c>
      <c r="J744" s="296">
        <f ca="1">IFERROR(__xludf.DUMMYFUNCTION("IMPORTRANGE(""https://docs.google.com/spreadsheets/d/13wPX838HrBrQMCywv1BsuMkt4PEKTChp52zj44s2izQ/edit?usp=sharing"",""กาญจนบุรี!J744"")+IMPORTRANGE(""https://docs.google.com/spreadsheets/d/1ddFKvqj1W1NEiWytbGlB1zMx_ykJDVtmfEQ-6-lIUBA/edit?usp=sharing"","&amp;"""จันทบุรี!J744"")+IMPORTRANGE(""https://docs.google.com/spreadsheets/d/1T1PQvRODqOBZk8BRht_U031fIS1beLA0Ub2CEytj2q0/edit?usp=sharing"",""ฉะเชิงเทรา!J744"")+IMPORTRANGE(""https://docs.google.com/spreadsheets/d/11tr1B-Bhyr79v2bkwVh5h_fR-PStkgjlZtkrZpYurG0/"&amp;"edit?usp=sharing"",""ชลบุรี!J744"")+IMPORTRANGE(""https://docs.google.com/spreadsheets/d/1hh-FVnSX0vozXhGluamEcS54Dw9_zqW0N7qJUWgJ0Sw/edit?usp=sharing"",""ชัยนาท!J744"")+IMPORTRANGE(""https://docs.google.com/spreadsheets/d/1jkqa6GXxSacMcY1eN8AHjMNJ_7dDXMJ"&amp;"VRLDlaFSOdPM/edit?usp=sharing"",""ตราด!J744"")+IMPORTRANGE(""https://docs.google.com/spreadsheets/d/18hSgUJ3VwClqi_qtULmmW3cLr0oe3OKaSYoKzdpTsYQ/edit?usp=sharing"",""นครนายก!J744"")+IMPORTRANGE(""https://docs.google.com/spreadsheets/d/1YTZo6WM2dQ6Ix6FSdnL"&amp;"5P7uVnVKu40sxZu975tgG10E/edit?usp=sharing"",""นครปฐม!J744"")+IMPORTRANGE(""https://docs.google.com/spreadsheets/d/1OYoGg4WDg5RIzwGeB10padOxJF9E_Vljuvvct_M7RDo/edit?usp=sharing"",""ปทุมธานี!J744"")+IMPORTRANGE(""https://docs.google.com/spreadsheets/d/1GbCI"&amp;"E4D4wk9FUozzqk7SxfDMxDVBwVmI5zcaVUSzKAc/edit?usp=sharing"",""ประจวบคีรีขันธ์!J744"")+IMPORTRANGE(""https://docs.google.com/spreadsheets/d/1vVf6wykvW_lAyu7Yo9L4hUTqHqIeP_qcVuxCtosJEbg/edit?usp=sharing"",""ปราจีนบุรี!J744"")+IMPORTRANGE(""https://docs.googl"&amp;"e.com/spreadsheets/d/1BIDqLLg5jk3v59G8NlR8rk5xfQDKne0sAvZHSj7TI6I/edit?usp=sharing"",""พระนครศรีอยุธยา!J744"")+IMPORTRANGE(""https://docs.google.com/spreadsheets/d/1YXvxf8Yu6_rV4hTBrwMqAcAnv6DfhUxh5emyM3CJp_w/edit?usp=sharing"",""เพชรบุรี!J744"")+IMPORTRA"&amp;"NGE(""https://docs.google.com/spreadsheets/d/19KBlQQs7uwvsao6t2n-KvW3Ax8J8uRRfZPq1zPbXgKc/edit?usp=sharing"",""ระยอง!J744"")+IMPORTRANGE(""https://docs.google.com/spreadsheets/d/1jQ6P4QcrGM89YfqcC_PxOHGCMq5ezhucwJd8ci-NHng/edit?usp=sharing"",""ราชบุรี!J74"&amp;"4"")+IMPORTRANGE(""https://docs.google.com/spreadsheets/d/1lufeA2cfFqM-elVq2hznhDzC6Pr7wkJ9ZG_sYNGCMCU/edit?usp=sharing"",""ลพบุรี!J744"")+IMPORTRANGE(""https://docs.google.com/spreadsheets/d/10oOiF7loTyfsTkbd4MpaIm0HQ9SwB7IYHdIUvt-U1Uc/edit?usp=sharing"""&amp;",""สระแก้ว!J744"")+IMPORTRANGE(""https://docs.google.com/spreadsheets/d/1xmPlrr1QbdSIKvl1dWUl9K4PjAfSL9oeMr_37QVzcxc/edit?usp=sharing"",""สระบุรี!J744"")+IMPORTRANGE(""https://docs.google.com/spreadsheets/d/1j51vR6CYVGhABJpv6tkstgok82RLpXieLzW1yOY5rHw/edi"&amp;"t?usp=sharing"",""สิงห์บุรี!J744"")+IMPORTRANGE(""https://docs.google.com/spreadsheets/d/1H1EalTWKUSzO4Z1-1CwzoDUaVffgrThEBe2sl74kKG0/edit?usp=sharing"",""สุพรรณบุรี!J744"")+IMPORTRANGE(""https://docs.google.com/spreadsheets/d/1BmIruG_sIrJLYao_Pdr7zVArWsf"&amp;"oBt2692TMi6x_854/edit?usp=sharing"",""อ่างทอง!J744"")"),560)</f>
        <v>560</v>
      </c>
      <c r="K744" s="77">
        <f ca="1">IF(I744&gt;0,J744*100/I744,0)</f>
        <v>41.176470588235297</v>
      </c>
      <c r="L744" s="90"/>
      <c r="M744" s="90"/>
      <c r="N744" s="90"/>
      <c r="O744" s="90"/>
      <c r="P744" s="90"/>
      <c r="Q744" s="89"/>
      <c r="R744" s="90"/>
      <c r="S744" s="90"/>
      <c r="T744" s="90"/>
      <c r="U744" s="90"/>
    </row>
    <row r="745" spans="1:21" ht="18.75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f ca="1">IFERROR(__xludf.DUMMYFUNCTION("IMPORTRANGE(""https://docs.google.com/spreadsheets/d/13wPX838HrBrQMCywv1BsuMkt4PEKTChp52zj44s2izQ/edit?usp=sharing"",""กาญจนบุรี!J745"")+IMPORTRANGE(""https://docs.google.com/spreadsheets/d/1ddFKvqj1W1NEiWytbGlB1zMx_ykJDVtmfEQ-6-lIUBA/edit?usp=sharing"","&amp;"""จันทบุรี!J745"")+IMPORTRANGE(""https://docs.google.com/spreadsheets/d/1T1PQvRODqOBZk8BRht_U031fIS1beLA0Ub2CEytj2q0/edit?usp=sharing"",""ฉะเชิงเทรา!J745"")+IMPORTRANGE(""https://docs.google.com/spreadsheets/d/11tr1B-Bhyr79v2bkwVh5h_fR-PStkgjlZtkrZpYurG0/"&amp;"edit?usp=sharing"",""ชลบุรี!J745"")+IMPORTRANGE(""https://docs.google.com/spreadsheets/d/1hh-FVnSX0vozXhGluamEcS54Dw9_zqW0N7qJUWgJ0Sw/edit?usp=sharing"",""ชัยนาท!J745"")+IMPORTRANGE(""https://docs.google.com/spreadsheets/d/1jkqa6GXxSacMcY1eN8AHjMNJ_7dDXMJ"&amp;"VRLDlaFSOdPM/edit?usp=sharing"",""ตราด!J745"")+IMPORTRANGE(""https://docs.google.com/spreadsheets/d/18hSgUJ3VwClqi_qtULmmW3cLr0oe3OKaSYoKzdpTsYQ/edit?usp=sharing"",""นครนายก!J745"")+IMPORTRANGE(""https://docs.google.com/spreadsheets/d/1YTZo6WM2dQ6Ix6FSdnL"&amp;"5P7uVnVKu40sxZu975tgG10E/edit?usp=sharing"",""นครปฐม!J745"")+IMPORTRANGE(""https://docs.google.com/spreadsheets/d/1OYoGg4WDg5RIzwGeB10padOxJF9E_Vljuvvct_M7RDo/edit?usp=sharing"",""ปทุมธานี!J745"")+IMPORTRANGE(""https://docs.google.com/spreadsheets/d/1GbCI"&amp;"E4D4wk9FUozzqk7SxfDMxDVBwVmI5zcaVUSzKAc/edit?usp=sharing"",""ประจวบคีรีขันธ์!J745"")+IMPORTRANGE(""https://docs.google.com/spreadsheets/d/1vVf6wykvW_lAyu7Yo9L4hUTqHqIeP_qcVuxCtosJEbg/edit?usp=sharing"",""ปราจีนบุรี!J745"")+IMPORTRANGE(""https://docs.googl"&amp;"e.com/spreadsheets/d/1BIDqLLg5jk3v59G8NlR8rk5xfQDKne0sAvZHSj7TI6I/edit?usp=sharing"",""พระนครศรีอยุธยา!J745"")+IMPORTRANGE(""https://docs.google.com/spreadsheets/d/1YXvxf8Yu6_rV4hTBrwMqAcAnv6DfhUxh5emyM3CJp_w/edit?usp=sharing"",""เพชรบุรี!J745"")+IMPORTRA"&amp;"NGE(""https://docs.google.com/spreadsheets/d/19KBlQQs7uwvsao6t2n-KvW3Ax8J8uRRfZPq1zPbXgKc/edit?usp=sharing"",""ระยอง!J745"")+IMPORTRANGE(""https://docs.google.com/spreadsheets/d/1jQ6P4QcrGM89YfqcC_PxOHGCMq5ezhucwJd8ci-NHng/edit?usp=sharing"",""ราชบุรี!J74"&amp;"5"")+IMPORTRANGE(""https://docs.google.com/spreadsheets/d/1lufeA2cfFqM-elVq2hznhDzC6Pr7wkJ9ZG_sYNGCMCU/edit?usp=sharing"",""ลพบุรี!J745"")+IMPORTRANGE(""https://docs.google.com/spreadsheets/d/10oOiF7loTyfsTkbd4MpaIm0HQ9SwB7IYHdIUvt-U1Uc/edit?usp=sharing"""&amp;",""สระแก้ว!J745"")+IMPORTRANGE(""https://docs.google.com/spreadsheets/d/1xmPlrr1QbdSIKvl1dWUl9K4PjAfSL9oeMr_37QVzcxc/edit?usp=sharing"",""สระบุรี!J745"")+IMPORTRANGE(""https://docs.google.com/spreadsheets/d/1j51vR6CYVGhABJpv6tkstgok82RLpXieLzW1yOY5rHw/edi"&amp;"t?usp=sharing"",""สิงห์บุรี!J745"")+IMPORTRANGE(""https://docs.google.com/spreadsheets/d/1H1EalTWKUSzO4Z1-1CwzoDUaVffgrThEBe2sl74kKG0/edit?usp=sharing"",""สุพรรณบุรี!J745"")+IMPORTRANGE(""https://docs.google.com/spreadsheets/d/1BmIruG_sIrJLYao_Pdr7zVArWsf"&amp;"oBt2692TMi6x_854/edit?usp=sharing"",""อ่างทอง!J745"")"),12)</f>
        <v>12</v>
      </c>
      <c r="K745" s="90"/>
      <c r="L745" s="90"/>
      <c r="M745" s="90"/>
      <c r="N745" s="90"/>
      <c r="O745" s="90"/>
      <c r="P745" s="90"/>
      <c r="Q745" s="89"/>
      <c r="R745" s="90"/>
      <c r="S745" s="90"/>
      <c r="T745" s="90"/>
      <c r="U745" s="90"/>
    </row>
    <row r="746" spans="1:21" ht="18.75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13wPX838HrBrQMCywv1BsuMkt4PEKTChp52zj44s2izQ/edit?usp=sharing"",""กาญจนบุรี!I746"")+IMPORTRANGE(""https://docs.google.com/spreadsheets/d/1ddFKvqj1W1NEiWytbGlB1zMx_ykJDVtmfEQ-6-lIUBA/edit?usp=sharing"","&amp;"""จันทบุรี!I746"")+IMPORTRANGE(""https://docs.google.com/spreadsheets/d/1T1PQvRODqOBZk8BRht_U031fIS1beLA0Ub2CEytj2q0/edit?usp=sharing"",""ฉะเชิงเทรา!I746"")+IMPORTRANGE(""https://docs.google.com/spreadsheets/d/11tr1B-Bhyr79v2bkwVh5h_fR-PStkgjlZtkrZpYurG0/"&amp;"edit?usp=sharing"",""ชลบุรี!I746"")+IMPORTRANGE(""https://docs.google.com/spreadsheets/d/1hh-FVnSX0vozXhGluamEcS54Dw9_zqW0N7qJUWgJ0Sw/edit?usp=sharing"",""ชัยนาท!I746"")+IMPORTRANGE(""https://docs.google.com/spreadsheets/d/1jkqa6GXxSacMcY1eN8AHjMNJ_7dDXMJ"&amp;"VRLDlaFSOdPM/edit?usp=sharing"",""ตราด!I746"")+IMPORTRANGE(""https://docs.google.com/spreadsheets/d/18hSgUJ3VwClqi_qtULmmW3cLr0oe3OKaSYoKzdpTsYQ/edit?usp=sharing"",""นครนายก!I746"")+IMPORTRANGE(""https://docs.google.com/spreadsheets/d/1YTZo6WM2dQ6Ix6FSdnL"&amp;"5P7uVnVKu40sxZu975tgG10E/edit?usp=sharing"",""นครปฐม!I746"")+IMPORTRANGE(""https://docs.google.com/spreadsheets/d/1OYoGg4WDg5RIzwGeB10padOxJF9E_Vljuvvct_M7RDo/edit?usp=sharing"",""ปทุมธานี!I746"")+IMPORTRANGE(""https://docs.google.com/spreadsheets/d/1GbCI"&amp;"E4D4wk9FUozzqk7SxfDMxDVBwVmI5zcaVUSzKAc/edit?usp=sharing"",""ประจวบคีรีขันธ์!I746"")+IMPORTRANGE(""https://docs.google.com/spreadsheets/d/1vVf6wykvW_lAyu7Yo9L4hUTqHqIeP_qcVuxCtosJEbg/edit?usp=sharing"",""ปราจีนบุรี!I746"")+IMPORTRANGE(""https://docs.googl"&amp;"e.com/spreadsheets/d/1BIDqLLg5jk3v59G8NlR8rk5xfQDKne0sAvZHSj7TI6I/edit?usp=sharing"",""พระนครศรีอยุธยา!I746"")+IMPORTRANGE(""https://docs.google.com/spreadsheets/d/1YXvxf8Yu6_rV4hTBrwMqAcAnv6DfhUxh5emyM3CJp_w/edit?usp=sharing"",""เพชรบุรี!I746"")+IMPORTRA"&amp;"NGE(""https://docs.google.com/spreadsheets/d/19KBlQQs7uwvsao6t2n-KvW3Ax8J8uRRfZPq1zPbXgKc/edit?usp=sharing"",""ระยอง!I746"")+IMPORTRANGE(""https://docs.google.com/spreadsheets/d/1jQ6P4QcrGM89YfqcC_PxOHGCMq5ezhucwJd8ci-NHng/edit?usp=sharing"",""ราชบุรี!I74"&amp;"6"")+IMPORTRANGE(""https://docs.google.com/spreadsheets/d/1lufeA2cfFqM-elVq2hznhDzC6Pr7wkJ9ZG_sYNGCMCU/edit?usp=sharing"",""ลพบุรี!I746"")+IMPORTRANGE(""https://docs.google.com/spreadsheets/d/10oOiF7loTyfsTkbd4MpaIm0HQ9SwB7IYHdIUvt-U1Uc/edit?usp=sharing"""&amp;",""สระแก้ว!I746"")+IMPORTRANGE(""https://docs.google.com/spreadsheets/d/1xmPlrr1QbdSIKvl1dWUl9K4PjAfSL9oeMr_37QVzcxc/edit?usp=sharing"",""สระบุรี!I746"")+IMPORTRANGE(""https://docs.google.com/spreadsheets/d/1j51vR6CYVGhABJpv6tkstgok82RLpXieLzW1yOY5rHw/edi"&amp;"t?usp=sharing"",""สิงห์บุรี!I746"")+IMPORTRANGE(""https://docs.google.com/spreadsheets/d/1H1EalTWKUSzO4Z1-1CwzoDUaVffgrThEBe2sl74kKG0/edit?usp=sharing"",""สุพรรณบุรี!I746"")+IMPORTRANGE(""https://docs.google.com/spreadsheets/d/1BmIruG_sIrJLYao_Pdr7zVArWsf"&amp;"oBt2692TMi6x_854/edit?usp=sharing"",""อ่างทอง!I746"")"),136)</f>
        <v>136</v>
      </c>
      <c r="J746" s="296">
        <f ca="1">IFERROR(__xludf.DUMMYFUNCTION("IMPORTRANGE(""https://docs.google.com/spreadsheets/d/13wPX838HrBrQMCywv1BsuMkt4PEKTChp52zj44s2izQ/edit?usp=sharing"",""กาญจนบุรี!J746"")+IMPORTRANGE(""https://docs.google.com/spreadsheets/d/1ddFKvqj1W1NEiWytbGlB1zMx_ykJDVtmfEQ-6-lIUBA/edit?usp=sharing"","&amp;"""จันทบุรี!J746"")+IMPORTRANGE(""https://docs.google.com/spreadsheets/d/1T1PQvRODqOBZk8BRht_U031fIS1beLA0Ub2CEytj2q0/edit?usp=sharing"",""ฉะเชิงเทรา!J746"")+IMPORTRANGE(""https://docs.google.com/spreadsheets/d/11tr1B-Bhyr79v2bkwVh5h_fR-PStkgjlZtkrZpYurG0/"&amp;"edit?usp=sharing"",""ชลบุรี!J746"")+IMPORTRANGE(""https://docs.google.com/spreadsheets/d/1hh-FVnSX0vozXhGluamEcS54Dw9_zqW0N7qJUWgJ0Sw/edit?usp=sharing"",""ชัยนาท!J746"")+IMPORTRANGE(""https://docs.google.com/spreadsheets/d/1jkqa6GXxSacMcY1eN8AHjMNJ_7dDXMJ"&amp;"VRLDlaFSOdPM/edit?usp=sharing"",""ตราด!J746"")+IMPORTRANGE(""https://docs.google.com/spreadsheets/d/18hSgUJ3VwClqi_qtULmmW3cLr0oe3OKaSYoKzdpTsYQ/edit?usp=sharing"",""นครนายก!J746"")+IMPORTRANGE(""https://docs.google.com/spreadsheets/d/1YTZo6WM2dQ6Ix6FSdnL"&amp;"5P7uVnVKu40sxZu975tgG10E/edit?usp=sharing"",""นครปฐม!J746"")+IMPORTRANGE(""https://docs.google.com/spreadsheets/d/1OYoGg4WDg5RIzwGeB10padOxJF9E_Vljuvvct_M7RDo/edit?usp=sharing"",""ปทุมธานี!J746"")+IMPORTRANGE(""https://docs.google.com/spreadsheets/d/1GbCI"&amp;"E4D4wk9FUozzqk7SxfDMxDVBwVmI5zcaVUSzKAc/edit?usp=sharing"",""ประจวบคีรีขันธ์!J746"")+IMPORTRANGE(""https://docs.google.com/spreadsheets/d/1vVf6wykvW_lAyu7Yo9L4hUTqHqIeP_qcVuxCtosJEbg/edit?usp=sharing"",""ปราจีนบุรี!J746"")+IMPORTRANGE(""https://docs.googl"&amp;"e.com/spreadsheets/d/1BIDqLLg5jk3v59G8NlR8rk5xfQDKne0sAvZHSj7TI6I/edit?usp=sharing"",""พระนครศรีอยุธยา!J746"")+IMPORTRANGE(""https://docs.google.com/spreadsheets/d/1YXvxf8Yu6_rV4hTBrwMqAcAnv6DfhUxh5emyM3CJp_w/edit?usp=sharing"",""เพชรบุรี!J746"")+IMPORTRA"&amp;"NGE(""https://docs.google.com/spreadsheets/d/19KBlQQs7uwvsao6t2n-KvW3Ax8J8uRRfZPq1zPbXgKc/edit?usp=sharing"",""ระยอง!J746"")+IMPORTRANGE(""https://docs.google.com/spreadsheets/d/1jQ6P4QcrGM89YfqcC_PxOHGCMq5ezhucwJd8ci-NHng/edit?usp=sharing"",""ราชบุรี!J74"&amp;"6"")+IMPORTRANGE(""https://docs.google.com/spreadsheets/d/1lufeA2cfFqM-elVq2hznhDzC6Pr7wkJ9ZG_sYNGCMCU/edit?usp=sharing"",""ลพบุรี!J746"")+IMPORTRANGE(""https://docs.google.com/spreadsheets/d/10oOiF7loTyfsTkbd4MpaIm0HQ9SwB7IYHdIUvt-U1Uc/edit?usp=sharing"""&amp;",""สระแก้ว!J746"")+IMPORTRANGE(""https://docs.google.com/spreadsheets/d/1xmPlrr1QbdSIKvl1dWUl9K4PjAfSL9oeMr_37QVzcxc/edit?usp=sharing"",""สระบุรี!J746"")+IMPORTRANGE(""https://docs.google.com/spreadsheets/d/1j51vR6CYVGhABJpv6tkstgok82RLpXieLzW1yOY5rHw/edi"&amp;"t?usp=sharing"",""สิงห์บุรี!J746"")+IMPORTRANGE(""https://docs.google.com/spreadsheets/d/1H1EalTWKUSzO4Z1-1CwzoDUaVffgrThEBe2sl74kKG0/edit?usp=sharing"",""สุพรรณบุรี!J746"")+IMPORTRANGE(""https://docs.google.com/spreadsheets/d/1BmIruG_sIrJLYao_Pdr7zVArWsf"&amp;"oBt2692TMi6x_854/edit?usp=sharing"",""อ่างทอง!J746"")"),60)</f>
        <v>60</v>
      </c>
      <c r="K746" s="77">
        <f ca="1">IF(I746&gt;0,J746*100/I746,0)</f>
        <v>44.117647058823529</v>
      </c>
      <c r="L746" s="90"/>
      <c r="M746" s="90"/>
      <c r="N746" s="90"/>
      <c r="O746" s="90"/>
      <c r="P746" s="90"/>
      <c r="Q746" s="89"/>
      <c r="R746" s="90"/>
      <c r="S746" s="90"/>
      <c r="T746" s="90"/>
      <c r="U746" s="90"/>
    </row>
    <row r="747" spans="1:21" ht="18.75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90"/>
      <c r="M747" s="90"/>
      <c r="N747" s="90"/>
      <c r="O747" s="90"/>
      <c r="P747" s="90"/>
      <c r="Q747" s="89"/>
      <c r="R747" s="90"/>
      <c r="S747" s="90"/>
      <c r="T747" s="90"/>
      <c r="U747" s="90"/>
    </row>
    <row r="748" spans="1:21" ht="18.75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f ca="1">IFERROR(__xludf.DUMMYFUNCTION("IMPORTRANGE(""https://docs.google.com/spreadsheets/d/13wPX838HrBrQMCywv1BsuMkt4PEKTChp52zj44s2izQ/edit?usp=sharing"",""กาญจนบุรี!J748"")+IMPORTRANGE(""https://docs.google.com/spreadsheets/d/1ddFKvqj1W1NEiWytbGlB1zMx_ykJDVtmfEQ-6-lIUBA/edit?usp=sharing"","&amp;"""จันทบุรี!J748"")+IMPORTRANGE(""https://docs.google.com/spreadsheets/d/1T1PQvRODqOBZk8BRht_U031fIS1beLA0Ub2CEytj2q0/edit?usp=sharing"",""ฉะเชิงเทรา!J748"")+IMPORTRANGE(""https://docs.google.com/spreadsheets/d/11tr1B-Bhyr79v2bkwVh5h_fR-PStkgjlZtkrZpYurG0/"&amp;"edit?usp=sharing"",""ชลบุรี!J748"")+IMPORTRANGE(""https://docs.google.com/spreadsheets/d/1hh-FVnSX0vozXhGluamEcS54Dw9_zqW0N7qJUWgJ0Sw/edit?usp=sharing"",""ชัยนาท!J748"")+IMPORTRANGE(""https://docs.google.com/spreadsheets/d/1jkqa6GXxSacMcY1eN8AHjMNJ_7dDXMJ"&amp;"VRLDlaFSOdPM/edit?usp=sharing"",""ตราด!J748"")+IMPORTRANGE(""https://docs.google.com/spreadsheets/d/18hSgUJ3VwClqi_qtULmmW3cLr0oe3OKaSYoKzdpTsYQ/edit?usp=sharing"",""นครนายก!J748"")+IMPORTRANGE(""https://docs.google.com/spreadsheets/d/1YTZo6WM2dQ6Ix6FSdnL"&amp;"5P7uVnVKu40sxZu975tgG10E/edit?usp=sharing"",""นครปฐม!J748"")+IMPORTRANGE(""https://docs.google.com/spreadsheets/d/1OYoGg4WDg5RIzwGeB10padOxJF9E_Vljuvvct_M7RDo/edit?usp=sharing"",""ปทุมธานี!J748"")+IMPORTRANGE(""https://docs.google.com/spreadsheets/d/1GbCI"&amp;"E4D4wk9FUozzqk7SxfDMxDVBwVmI5zcaVUSzKAc/edit?usp=sharing"",""ประจวบคีรีขันธ์!J748"")+IMPORTRANGE(""https://docs.google.com/spreadsheets/d/1vVf6wykvW_lAyu7Yo9L4hUTqHqIeP_qcVuxCtosJEbg/edit?usp=sharing"",""ปราจีนบุรี!J748"")+IMPORTRANGE(""https://docs.googl"&amp;"e.com/spreadsheets/d/1BIDqLLg5jk3v59G8NlR8rk5xfQDKne0sAvZHSj7TI6I/edit?usp=sharing"",""พระนครศรีอยุธยา!J748"")+IMPORTRANGE(""https://docs.google.com/spreadsheets/d/1YXvxf8Yu6_rV4hTBrwMqAcAnv6DfhUxh5emyM3CJp_w/edit?usp=sharing"",""เพชรบุรี!J748"")+IMPORTRA"&amp;"NGE(""https://docs.google.com/spreadsheets/d/19KBlQQs7uwvsao6t2n-KvW3Ax8J8uRRfZPq1zPbXgKc/edit?usp=sharing"",""ระยอง!J748"")+IMPORTRANGE(""https://docs.google.com/spreadsheets/d/1jQ6P4QcrGM89YfqcC_PxOHGCMq5ezhucwJd8ci-NHng/edit?usp=sharing"",""ราชบุรี!J74"&amp;"8"")+IMPORTRANGE(""https://docs.google.com/spreadsheets/d/1lufeA2cfFqM-elVq2hznhDzC6Pr7wkJ9ZG_sYNGCMCU/edit?usp=sharing"",""ลพบุรี!J748"")+IMPORTRANGE(""https://docs.google.com/spreadsheets/d/10oOiF7loTyfsTkbd4MpaIm0HQ9SwB7IYHdIUvt-U1Uc/edit?usp=sharing"""&amp;",""สระแก้ว!J748"")+IMPORTRANGE(""https://docs.google.com/spreadsheets/d/1xmPlrr1QbdSIKvl1dWUl9K4PjAfSL9oeMr_37QVzcxc/edit?usp=sharing"",""สระบุรี!J748"")+IMPORTRANGE(""https://docs.google.com/spreadsheets/d/1j51vR6CYVGhABJpv6tkstgok82RLpXieLzW1yOY5rHw/edi"&amp;"t?usp=sharing"",""สิงห์บุรี!J748"")+IMPORTRANGE(""https://docs.google.com/spreadsheets/d/1H1EalTWKUSzO4Z1-1CwzoDUaVffgrThEBe2sl74kKG0/edit?usp=sharing"",""สุพรรณบุรี!J748"")+IMPORTRANGE(""https://docs.google.com/spreadsheets/d/1BmIruG_sIrJLYao_Pdr7zVArWsf"&amp;"oBt2692TMi6x_854/edit?usp=sharing"",""อ่างทอง!J748"")"),8)</f>
        <v>8</v>
      </c>
      <c r="K748" s="90"/>
      <c r="L748" s="90"/>
      <c r="M748" s="90"/>
      <c r="N748" s="90"/>
      <c r="O748" s="90"/>
      <c r="P748" s="90"/>
      <c r="Q748" s="89"/>
      <c r="R748" s="90"/>
      <c r="S748" s="90"/>
      <c r="T748" s="90"/>
      <c r="U748" s="90"/>
    </row>
    <row r="749" spans="1:21" ht="18.75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13wPX838HrBrQMCywv1BsuMkt4PEKTChp52zj44s2izQ/edit?usp=sharing"",""กาญจนบุรี!I749"")+IMPORTRANGE(""https://docs.google.com/spreadsheets/d/1ddFKvqj1W1NEiWytbGlB1zMx_ykJDVtmfEQ-6-lIUBA/edit?usp=sharing"","&amp;"""จันทบุรี!I749"")+IMPORTRANGE(""https://docs.google.com/spreadsheets/d/1T1PQvRODqOBZk8BRht_U031fIS1beLA0Ub2CEytj2q0/edit?usp=sharing"",""ฉะเชิงเทรา!I749"")+IMPORTRANGE(""https://docs.google.com/spreadsheets/d/11tr1B-Bhyr79v2bkwVh5h_fR-PStkgjlZtkrZpYurG0/"&amp;"edit?usp=sharing"",""ชลบุรี!I749"")+IMPORTRANGE(""https://docs.google.com/spreadsheets/d/1hh-FVnSX0vozXhGluamEcS54Dw9_zqW0N7qJUWgJ0Sw/edit?usp=sharing"",""ชัยนาท!I749"")+IMPORTRANGE(""https://docs.google.com/spreadsheets/d/1jkqa6GXxSacMcY1eN8AHjMNJ_7dDXMJ"&amp;"VRLDlaFSOdPM/edit?usp=sharing"",""ตราด!I749"")+IMPORTRANGE(""https://docs.google.com/spreadsheets/d/18hSgUJ3VwClqi_qtULmmW3cLr0oe3OKaSYoKzdpTsYQ/edit?usp=sharing"",""นครนายก!I749"")+IMPORTRANGE(""https://docs.google.com/spreadsheets/d/1YTZo6WM2dQ6Ix6FSdnL"&amp;"5P7uVnVKu40sxZu975tgG10E/edit?usp=sharing"",""นครปฐม!I749"")+IMPORTRANGE(""https://docs.google.com/spreadsheets/d/1OYoGg4WDg5RIzwGeB10padOxJF9E_Vljuvvct_M7RDo/edit?usp=sharing"",""ปทุมธานี!I749"")+IMPORTRANGE(""https://docs.google.com/spreadsheets/d/1GbCI"&amp;"E4D4wk9FUozzqk7SxfDMxDVBwVmI5zcaVUSzKAc/edit?usp=sharing"",""ประจวบคีรีขันธ์!I749"")+IMPORTRANGE(""https://docs.google.com/spreadsheets/d/1vVf6wykvW_lAyu7Yo9L4hUTqHqIeP_qcVuxCtosJEbg/edit?usp=sharing"",""ปราจีนบุรี!I749"")+IMPORTRANGE(""https://docs.googl"&amp;"e.com/spreadsheets/d/1BIDqLLg5jk3v59G8NlR8rk5xfQDKne0sAvZHSj7TI6I/edit?usp=sharing"",""พระนครศรีอยุธยา!I749"")+IMPORTRANGE(""https://docs.google.com/spreadsheets/d/1YXvxf8Yu6_rV4hTBrwMqAcAnv6DfhUxh5emyM3CJp_w/edit?usp=sharing"",""เพชรบุรี!I749"")+IMPORTRA"&amp;"NGE(""https://docs.google.com/spreadsheets/d/19KBlQQs7uwvsao6t2n-KvW3Ax8J8uRRfZPq1zPbXgKc/edit?usp=sharing"",""ระยอง!I749"")+IMPORTRANGE(""https://docs.google.com/spreadsheets/d/1jQ6P4QcrGM89YfqcC_PxOHGCMq5ezhucwJd8ci-NHng/edit?usp=sharing"",""ราชบุรี!I74"&amp;"9"")+IMPORTRANGE(""https://docs.google.com/spreadsheets/d/1lufeA2cfFqM-elVq2hznhDzC6Pr7wkJ9ZG_sYNGCMCU/edit?usp=sharing"",""ลพบุรี!I749"")+IMPORTRANGE(""https://docs.google.com/spreadsheets/d/10oOiF7loTyfsTkbd4MpaIm0HQ9SwB7IYHdIUvt-U1Uc/edit?usp=sharing"""&amp;",""สระแก้ว!I749"")+IMPORTRANGE(""https://docs.google.com/spreadsheets/d/1xmPlrr1QbdSIKvl1dWUl9K4PjAfSL9oeMr_37QVzcxc/edit?usp=sharing"",""สระบุรี!I749"")+IMPORTRANGE(""https://docs.google.com/spreadsheets/d/1j51vR6CYVGhABJpv6tkstgok82RLpXieLzW1yOY5rHw/edi"&amp;"t?usp=sharing"",""สิงห์บุรี!I749"")+IMPORTRANGE(""https://docs.google.com/spreadsheets/d/1H1EalTWKUSzO4Z1-1CwzoDUaVffgrThEBe2sl74kKG0/edit?usp=sharing"",""สุพรรณบุรี!I749"")+IMPORTRANGE(""https://docs.google.com/spreadsheets/d/1BmIruG_sIrJLYao_Pdr7zVArWsf"&amp;"oBt2692TMi6x_854/edit?usp=sharing"",""อ่างทอง!I749"")"),23)</f>
        <v>23</v>
      </c>
      <c r="J749" s="296">
        <f ca="1">IFERROR(__xludf.DUMMYFUNCTION("IMPORTRANGE(""https://docs.google.com/spreadsheets/d/13wPX838HrBrQMCywv1BsuMkt4PEKTChp52zj44s2izQ/edit?usp=sharing"",""กาญจนบุรี!J749"")+IMPORTRANGE(""https://docs.google.com/spreadsheets/d/1ddFKvqj1W1NEiWytbGlB1zMx_ykJDVtmfEQ-6-lIUBA/edit?usp=sharing"","&amp;"""จันทบุรี!J749"")+IMPORTRANGE(""https://docs.google.com/spreadsheets/d/1T1PQvRODqOBZk8BRht_U031fIS1beLA0Ub2CEytj2q0/edit?usp=sharing"",""ฉะเชิงเทรา!J749"")+IMPORTRANGE(""https://docs.google.com/spreadsheets/d/11tr1B-Bhyr79v2bkwVh5h_fR-PStkgjlZtkrZpYurG0/"&amp;"edit?usp=sharing"",""ชลบุรี!J749"")+IMPORTRANGE(""https://docs.google.com/spreadsheets/d/1hh-FVnSX0vozXhGluamEcS54Dw9_zqW0N7qJUWgJ0Sw/edit?usp=sharing"",""ชัยนาท!J749"")+IMPORTRANGE(""https://docs.google.com/spreadsheets/d/1jkqa6GXxSacMcY1eN8AHjMNJ_7dDXMJ"&amp;"VRLDlaFSOdPM/edit?usp=sharing"",""ตราด!J749"")+IMPORTRANGE(""https://docs.google.com/spreadsheets/d/18hSgUJ3VwClqi_qtULmmW3cLr0oe3OKaSYoKzdpTsYQ/edit?usp=sharing"",""นครนายก!J749"")+IMPORTRANGE(""https://docs.google.com/spreadsheets/d/1YTZo6WM2dQ6Ix6FSdnL"&amp;"5P7uVnVKu40sxZu975tgG10E/edit?usp=sharing"",""นครปฐม!J749"")+IMPORTRANGE(""https://docs.google.com/spreadsheets/d/1OYoGg4WDg5RIzwGeB10padOxJF9E_Vljuvvct_M7RDo/edit?usp=sharing"",""ปทุมธานี!J749"")+IMPORTRANGE(""https://docs.google.com/spreadsheets/d/1GbCI"&amp;"E4D4wk9FUozzqk7SxfDMxDVBwVmI5zcaVUSzKAc/edit?usp=sharing"",""ประจวบคีรีขันธ์!J749"")+IMPORTRANGE(""https://docs.google.com/spreadsheets/d/1vVf6wykvW_lAyu7Yo9L4hUTqHqIeP_qcVuxCtosJEbg/edit?usp=sharing"",""ปราจีนบุรี!J749"")+IMPORTRANGE(""https://docs.googl"&amp;"e.com/spreadsheets/d/1BIDqLLg5jk3v59G8NlR8rk5xfQDKne0sAvZHSj7TI6I/edit?usp=sharing"",""พระนครศรีอยุธยา!J749"")+IMPORTRANGE(""https://docs.google.com/spreadsheets/d/1YXvxf8Yu6_rV4hTBrwMqAcAnv6DfhUxh5emyM3CJp_w/edit?usp=sharing"",""เพชรบุรี!J749"")+IMPORTRA"&amp;"NGE(""https://docs.google.com/spreadsheets/d/19KBlQQs7uwvsao6t2n-KvW3Ax8J8uRRfZPq1zPbXgKc/edit?usp=sharing"",""ระยอง!J749"")+IMPORTRANGE(""https://docs.google.com/spreadsheets/d/1jQ6P4QcrGM89YfqcC_PxOHGCMq5ezhucwJd8ci-NHng/edit?usp=sharing"",""ราชบุรี!J74"&amp;"9"")+IMPORTRANGE(""https://docs.google.com/spreadsheets/d/1lufeA2cfFqM-elVq2hznhDzC6Pr7wkJ9ZG_sYNGCMCU/edit?usp=sharing"",""ลพบุรี!J749"")+IMPORTRANGE(""https://docs.google.com/spreadsheets/d/10oOiF7loTyfsTkbd4MpaIm0HQ9SwB7IYHdIUvt-U1Uc/edit?usp=sharing"""&amp;",""สระแก้ว!J749"")+IMPORTRANGE(""https://docs.google.com/spreadsheets/d/1xmPlrr1QbdSIKvl1dWUl9K4PjAfSL9oeMr_37QVzcxc/edit?usp=sharing"",""สระบุรี!J749"")+IMPORTRANGE(""https://docs.google.com/spreadsheets/d/1j51vR6CYVGhABJpv6tkstgok82RLpXieLzW1yOY5rHw/edi"&amp;"t?usp=sharing"",""สิงห์บุรี!J749"")+IMPORTRANGE(""https://docs.google.com/spreadsheets/d/1H1EalTWKUSzO4Z1-1CwzoDUaVffgrThEBe2sl74kKG0/edit?usp=sharing"",""สุพรรณบุรี!J749"")+IMPORTRANGE(""https://docs.google.com/spreadsheets/d/1BmIruG_sIrJLYao_Pdr7zVArWsf"&amp;"oBt2692TMi6x_854/edit?usp=sharing"",""อ่างทอง!J749"")"),7)</f>
        <v>7</v>
      </c>
      <c r="K749" s="77">
        <f ca="1">IF(I749&gt;0,J749*100/I749,0)</f>
        <v>30.434782608695652</v>
      </c>
      <c r="L749" s="90"/>
      <c r="M749" s="90"/>
      <c r="N749" s="90"/>
      <c r="O749" s="90"/>
      <c r="P749" s="90"/>
      <c r="Q749" s="89"/>
      <c r="R749" s="90"/>
      <c r="S749" s="90"/>
      <c r="T749" s="90"/>
      <c r="U749" s="90"/>
    </row>
    <row r="750" spans="1:21" ht="19.5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90"/>
      <c r="M750" s="90"/>
      <c r="N750" s="90"/>
      <c r="O750" s="90"/>
      <c r="P750" s="90"/>
      <c r="Q750" s="89"/>
      <c r="R750" s="90"/>
      <c r="S750" s="90"/>
      <c r="T750" s="90"/>
      <c r="U750" s="90"/>
    </row>
    <row r="751" spans="1:21" ht="18.75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90"/>
      <c r="M751" s="90"/>
      <c r="N751" s="90"/>
      <c r="O751" s="90"/>
      <c r="P751" s="90"/>
      <c r="Q751" s="89"/>
      <c r="R751" s="90"/>
      <c r="S751" s="90"/>
      <c r="T751" s="90"/>
      <c r="U751" s="90"/>
    </row>
    <row r="752" spans="1:21" ht="18.75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13wPX838HrBrQMCywv1BsuMkt4PEKTChp52zj44s2izQ/edit?usp=sharing"",""กาญจนบุรี!I752"")+IMPORTRANGE(""https://docs.google.com/spreadsheets/d/1ddFKvqj1W1NEiWytbGlB1zMx_ykJDVtmfEQ-6-lIUBA/edit?usp=sharing"","&amp;"""จันทบุรี!I752"")+IMPORTRANGE(""https://docs.google.com/spreadsheets/d/1T1PQvRODqOBZk8BRht_U031fIS1beLA0Ub2CEytj2q0/edit?usp=sharing"",""ฉะเชิงเทรา!I752"")+IMPORTRANGE(""https://docs.google.com/spreadsheets/d/11tr1B-Bhyr79v2bkwVh5h_fR-PStkgjlZtkrZpYurG0/"&amp;"edit?usp=sharing"",""ชลบุรี!I752"")+IMPORTRANGE(""https://docs.google.com/spreadsheets/d/1hh-FVnSX0vozXhGluamEcS54Dw9_zqW0N7qJUWgJ0Sw/edit?usp=sharing"",""ชัยนาท!I752"")+IMPORTRANGE(""https://docs.google.com/spreadsheets/d/1jkqa6GXxSacMcY1eN8AHjMNJ_7dDXMJ"&amp;"VRLDlaFSOdPM/edit?usp=sharing"",""ตราด!I752"")+IMPORTRANGE(""https://docs.google.com/spreadsheets/d/18hSgUJ3VwClqi_qtULmmW3cLr0oe3OKaSYoKzdpTsYQ/edit?usp=sharing"",""นครนายก!I752"")+IMPORTRANGE(""https://docs.google.com/spreadsheets/d/1YTZo6WM2dQ6Ix6FSdnL"&amp;"5P7uVnVKu40sxZu975tgG10E/edit?usp=sharing"",""นครปฐม!I752"")+IMPORTRANGE(""https://docs.google.com/spreadsheets/d/1OYoGg4WDg5RIzwGeB10padOxJF9E_Vljuvvct_M7RDo/edit?usp=sharing"",""ปทุมธานี!I752"")+IMPORTRANGE(""https://docs.google.com/spreadsheets/d/1GbCI"&amp;"E4D4wk9FUozzqk7SxfDMxDVBwVmI5zcaVUSzKAc/edit?usp=sharing"",""ประจวบคีรีขันธ์!I752"")+IMPORTRANGE(""https://docs.google.com/spreadsheets/d/1vVf6wykvW_lAyu7Yo9L4hUTqHqIeP_qcVuxCtosJEbg/edit?usp=sharing"",""ปราจีนบุรี!I752"")+IMPORTRANGE(""https://docs.googl"&amp;"e.com/spreadsheets/d/1BIDqLLg5jk3v59G8NlR8rk5xfQDKne0sAvZHSj7TI6I/edit?usp=sharing"",""พระนครศรีอยุธยา!I752"")+IMPORTRANGE(""https://docs.google.com/spreadsheets/d/1YXvxf8Yu6_rV4hTBrwMqAcAnv6DfhUxh5emyM3CJp_w/edit?usp=sharing"",""เพชรบุรี!I752"")+IMPORTRA"&amp;"NGE(""https://docs.google.com/spreadsheets/d/19KBlQQs7uwvsao6t2n-KvW3Ax8J8uRRfZPq1zPbXgKc/edit?usp=sharing"",""ระยอง!I752"")+IMPORTRANGE(""https://docs.google.com/spreadsheets/d/1jQ6P4QcrGM89YfqcC_PxOHGCMq5ezhucwJd8ci-NHng/edit?usp=sharing"",""ราชบุรี!I75"&amp;"2"")+IMPORTRANGE(""https://docs.google.com/spreadsheets/d/1lufeA2cfFqM-elVq2hznhDzC6Pr7wkJ9ZG_sYNGCMCU/edit?usp=sharing"",""ลพบุรี!I752"")+IMPORTRANGE(""https://docs.google.com/spreadsheets/d/10oOiF7loTyfsTkbd4MpaIm0HQ9SwB7IYHdIUvt-U1Uc/edit?usp=sharing"""&amp;",""สระแก้ว!I752"")+IMPORTRANGE(""https://docs.google.com/spreadsheets/d/1xmPlrr1QbdSIKvl1dWUl9K4PjAfSL9oeMr_37QVzcxc/edit?usp=sharing"",""สระบุรี!I752"")+IMPORTRANGE(""https://docs.google.com/spreadsheets/d/1j51vR6CYVGhABJpv6tkstgok82RLpXieLzW1yOY5rHw/edi"&amp;"t?usp=sharing"",""สิงห์บุรี!I752"")+IMPORTRANGE(""https://docs.google.com/spreadsheets/d/1H1EalTWKUSzO4Z1-1CwzoDUaVffgrThEBe2sl74kKG0/edit?usp=sharing"",""สุพรรณบุรี!I752"")+IMPORTRANGE(""https://docs.google.com/spreadsheets/d/1BmIruG_sIrJLYao_Pdr7zVArWsf"&amp;"oBt2692TMi6x_854/edit?usp=sharing"",""อ่างทอง!I752"")"),5440)</f>
        <v>5440</v>
      </c>
      <c r="J752" s="296">
        <f ca="1">IFERROR(__xludf.DUMMYFUNCTION("IMPORTRANGE(""https://docs.google.com/spreadsheets/d/13wPX838HrBrQMCywv1BsuMkt4PEKTChp52zj44s2izQ/edit?usp=sharing"",""กาญจนบุรี!J752"")+IMPORTRANGE(""https://docs.google.com/spreadsheets/d/1ddFKvqj1W1NEiWytbGlB1zMx_ykJDVtmfEQ-6-lIUBA/edit?usp=sharing"","&amp;"""จันทบุรี!J752"")+IMPORTRANGE(""https://docs.google.com/spreadsheets/d/1T1PQvRODqOBZk8BRht_U031fIS1beLA0Ub2CEytj2q0/edit?usp=sharing"",""ฉะเชิงเทรา!J752"")+IMPORTRANGE(""https://docs.google.com/spreadsheets/d/11tr1B-Bhyr79v2bkwVh5h_fR-PStkgjlZtkrZpYurG0/"&amp;"edit?usp=sharing"",""ชลบุรี!J752"")+IMPORTRANGE(""https://docs.google.com/spreadsheets/d/1hh-FVnSX0vozXhGluamEcS54Dw9_zqW0N7qJUWgJ0Sw/edit?usp=sharing"",""ชัยนาท!J752"")+IMPORTRANGE(""https://docs.google.com/spreadsheets/d/1jkqa6GXxSacMcY1eN8AHjMNJ_7dDXMJ"&amp;"VRLDlaFSOdPM/edit?usp=sharing"",""ตราด!J752"")+IMPORTRANGE(""https://docs.google.com/spreadsheets/d/18hSgUJ3VwClqi_qtULmmW3cLr0oe3OKaSYoKzdpTsYQ/edit?usp=sharing"",""นครนายก!J752"")+IMPORTRANGE(""https://docs.google.com/spreadsheets/d/1YTZo6WM2dQ6Ix6FSdnL"&amp;"5P7uVnVKu40sxZu975tgG10E/edit?usp=sharing"",""นครปฐม!J752"")+IMPORTRANGE(""https://docs.google.com/spreadsheets/d/1OYoGg4WDg5RIzwGeB10padOxJF9E_Vljuvvct_M7RDo/edit?usp=sharing"",""ปทุมธานี!J752"")+IMPORTRANGE(""https://docs.google.com/spreadsheets/d/1GbCI"&amp;"E4D4wk9FUozzqk7SxfDMxDVBwVmI5zcaVUSzKAc/edit?usp=sharing"",""ประจวบคีรีขันธ์!J752"")+IMPORTRANGE(""https://docs.google.com/spreadsheets/d/1vVf6wykvW_lAyu7Yo9L4hUTqHqIeP_qcVuxCtosJEbg/edit?usp=sharing"",""ปราจีนบุรี!J752"")+IMPORTRANGE(""https://docs.googl"&amp;"e.com/spreadsheets/d/1BIDqLLg5jk3v59G8NlR8rk5xfQDKne0sAvZHSj7TI6I/edit?usp=sharing"",""พระนครศรีอยุธยา!J752"")+IMPORTRANGE(""https://docs.google.com/spreadsheets/d/1YXvxf8Yu6_rV4hTBrwMqAcAnv6DfhUxh5emyM3CJp_w/edit?usp=sharing"",""เพชรบุรี!J752"")+IMPORTRA"&amp;"NGE(""https://docs.google.com/spreadsheets/d/19KBlQQs7uwvsao6t2n-KvW3Ax8J8uRRfZPq1zPbXgKc/edit?usp=sharing"",""ระยอง!J752"")+IMPORTRANGE(""https://docs.google.com/spreadsheets/d/1jQ6P4QcrGM89YfqcC_PxOHGCMq5ezhucwJd8ci-NHng/edit?usp=sharing"",""ราชบุรี!J75"&amp;"2"")+IMPORTRANGE(""https://docs.google.com/spreadsheets/d/1lufeA2cfFqM-elVq2hznhDzC6Pr7wkJ9ZG_sYNGCMCU/edit?usp=sharing"",""ลพบุรี!J752"")+IMPORTRANGE(""https://docs.google.com/spreadsheets/d/10oOiF7loTyfsTkbd4MpaIm0HQ9SwB7IYHdIUvt-U1Uc/edit?usp=sharing"""&amp;",""สระแก้ว!J752"")+IMPORTRANGE(""https://docs.google.com/spreadsheets/d/1xmPlrr1QbdSIKvl1dWUl9K4PjAfSL9oeMr_37QVzcxc/edit?usp=sharing"",""สระบุรี!J752"")+IMPORTRANGE(""https://docs.google.com/spreadsheets/d/1j51vR6CYVGhABJpv6tkstgok82RLpXieLzW1yOY5rHw/edi"&amp;"t?usp=sharing"",""สิงห์บุรี!J752"")+IMPORTRANGE(""https://docs.google.com/spreadsheets/d/1H1EalTWKUSzO4Z1-1CwzoDUaVffgrThEBe2sl74kKG0/edit?usp=sharing"",""สุพรรณบุรี!J752"")+IMPORTRANGE(""https://docs.google.com/spreadsheets/d/1BmIruG_sIrJLYao_Pdr7zVArWsf"&amp;"oBt2692TMi6x_854/edit?usp=sharing"",""อ่างทอง!J752"")"),1000)</f>
        <v>1000</v>
      </c>
      <c r="K752" s="77">
        <f ca="1">IF(I752&gt;0,J752*100/I752,0)</f>
        <v>18.382352941176471</v>
      </c>
      <c r="L752" s="90"/>
      <c r="M752" s="90"/>
      <c r="N752" s="90"/>
      <c r="O752" s="90"/>
      <c r="P752" s="90"/>
      <c r="Q752" s="89"/>
      <c r="R752" s="90"/>
      <c r="S752" s="90"/>
      <c r="T752" s="90"/>
      <c r="U752" s="90"/>
    </row>
    <row r="753" spans="1:21" ht="18.75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f ca="1">IFERROR(__xludf.DUMMYFUNCTION("IMPORTRANGE(""https://docs.google.com/spreadsheets/d/13wPX838HrBrQMCywv1BsuMkt4PEKTChp52zj44s2izQ/edit?usp=sharing"",""กาญจนบุรี!J753"")+IMPORTRANGE(""https://docs.google.com/spreadsheets/d/1ddFKvqj1W1NEiWytbGlB1zMx_ykJDVtmfEQ-6-lIUBA/edit?usp=sharing"","&amp;"""จันทบุรี!J753"")+IMPORTRANGE(""https://docs.google.com/spreadsheets/d/1T1PQvRODqOBZk8BRht_U031fIS1beLA0Ub2CEytj2q0/edit?usp=sharing"",""ฉะเชิงเทรา!J753"")+IMPORTRANGE(""https://docs.google.com/spreadsheets/d/11tr1B-Bhyr79v2bkwVh5h_fR-PStkgjlZtkrZpYurG0/"&amp;"edit?usp=sharing"",""ชลบุรี!J753"")+IMPORTRANGE(""https://docs.google.com/spreadsheets/d/1hh-FVnSX0vozXhGluamEcS54Dw9_zqW0N7qJUWgJ0Sw/edit?usp=sharing"",""ชัยนาท!J753"")+IMPORTRANGE(""https://docs.google.com/spreadsheets/d/1jkqa6GXxSacMcY1eN8AHjMNJ_7dDXMJ"&amp;"VRLDlaFSOdPM/edit?usp=sharing"",""ตราด!J753"")+IMPORTRANGE(""https://docs.google.com/spreadsheets/d/18hSgUJ3VwClqi_qtULmmW3cLr0oe3OKaSYoKzdpTsYQ/edit?usp=sharing"",""นครนายก!J753"")+IMPORTRANGE(""https://docs.google.com/spreadsheets/d/1YTZo6WM2dQ6Ix6FSdnL"&amp;"5P7uVnVKu40sxZu975tgG10E/edit?usp=sharing"",""นครปฐม!J753"")+IMPORTRANGE(""https://docs.google.com/spreadsheets/d/1OYoGg4WDg5RIzwGeB10padOxJF9E_Vljuvvct_M7RDo/edit?usp=sharing"",""ปทุมธานี!J753"")+IMPORTRANGE(""https://docs.google.com/spreadsheets/d/1GbCI"&amp;"E4D4wk9FUozzqk7SxfDMxDVBwVmI5zcaVUSzKAc/edit?usp=sharing"",""ประจวบคีรีขันธ์!J753"")+IMPORTRANGE(""https://docs.google.com/spreadsheets/d/1vVf6wykvW_lAyu7Yo9L4hUTqHqIeP_qcVuxCtosJEbg/edit?usp=sharing"",""ปราจีนบุรี!J753"")+IMPORTRANGE(""https://docs.googl"&amp;"e.com/spreadsheets/d/1BIDqLLg5jk3v59G8NlR8rk5xfQDKne0sAvZHSj7TI6I/edit?usp=sharing"",""พระนครศรีอยุธยา!J753"")+IMPORTRANGE(""https://docs.google.com/spreadsheets/d/1YXvxf8Yu6_rV4hTBrwMqAcAnv6DfhUxh5emyM3CJp_w/edit?usp=sharing"",""เพชรบุรี!J753"")+IMPORTRA"&amp;"NGE(""https://docs.google.com/spreadsheets/d/19KBlQQs7uwvsao6t2n-KvW3Ax8J8uRRfZPq1zPbXgKc/edit?usp=sharing"",""ระยอง!J753"")+IMPORTRANGE(""https://docs.google.com/spreadsheets/d/1jQ6P4QcrGM89YfqcC_PxOHGCMq5ezhucwJd8ci-NHng/edit?usp=sharing"",""ราชบุรี!J75"&amp;"3"")+IMPORTRANGE(""https://docs.google.com/spreadsheets/d/1lufeA2cfFqM-elVq2hznhDzC6Pr7wkJ9ZG_sYNGCMCU/edit?usp=sharing"",""ลพบุรี!J753"")+IMPORTRANGE(""https://docs.google.com/spreadsheets/d/10oOiF7loTyfsTkbd4MpaIm0HQ9SwB7IYHdIUvt-U1Uc/edit?usp=sharing"""&amp;",""สระแก้ว!J753"")+IMPORTRANGE(""https://docs.google.com/spreadsheets/d/1xmPlrr1QbdSIKvl1dWUl9K4PjAfSL9oeMr_37QVzcxc/edit?usp=sharing"",""สระบุรี!J753"")+IMPORTRANGE(""https://docs.google.com/spreadsheets/d/1j51vR6CYVGhABJpv6tkstgok82RLpXieLzW1yOY5rHw/edi"&amp;"t?usp=sharing"",""สิงห์บุรี!J753"")+IMPORTRANGE(""https://docs.google.com/spreadsheets/d/1H1EalTWKUSzO4Z1-1CwzoDUaVffgrThEBe2sl74kKG0/edit?usp=sharing"",""สุพรรณบุรี!J753"")+IMPORTRANGE(""https://docs.google.com/spreadsheets/d/1BmIruG_sIrJLYao_Pdr7zVArWsf"&amp;"oBt2692TMi6x_854/edit?usp=sharing"",""อ่างทอง!J753"")"),0)</f>
        <v>0</v>
      </c>
      <c r="K753" s="90"/>
      <c r="L753" s="90"/>
      <c r="M753" s="90"/>
      <c r="N753" s="90"/>
      <c r="O753" s="90"/>
      <c r="P753" s="90"/>
      <c r="Q753" s="89"/>
      <c r="R753" s="90"/>
      <c r="S753" s="90"/>
      <c r="T753" s="90"/>
      <c r="U753" s="90"/>
    </row>
    <row r="754" spans="1:21" ht="18.75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90"/>
      <c r="M754" s="90"/>
      <c r="N754" s="90"/>
      <c r="O754" s="90"/>
      <c r="P754" s="90"/>
      <c r="Q754" s="89"/>
      <c r="R754" s="90"/>
      <c r="S754" s="90"/>
      <c r="T754" s="90"/>
      <c r="U754" s="90"/>
    </row>
    <row r="755" spans="1:21" ht="18.75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13wPX838HrBrQMCywv1BsuMkt4PEKTChp52zj44s2izQ/edit?usp=sharing"",""กาญจนบุรี!I755"")+IMPORTRANGE(""https://docs.google.com/spreadsheets/d/1ddFKvqj1W1NEiWytbGlB1zMx_ykJDVtmfEQ-6-lIUBA/edit?usp=sharing"","&amp;"""จันทบุรี!I755"")+IMPORTRANGE(""https://docs.google.com/spreadsheets/d/1T1PQvRODqOBZk8BRht_U031fIS1beLA0Ub2CEytj2q0/edit?usp=sharing"",""ฉะเชิงเทรา!I755"")+IMPORTRANGE(""https://docs.google.com/spreadsheets/d/11tr1B-Bhyr79v2bkwVh5h_fR-PStkgjlZtkrZpYurG0/"&amp;"edit?usp=sharing"",""ชลบุรี!I755"")+IMPORTRANGE(""https://docs.google.com/spreadsheets/d/1hh-FVnSX0vozXhGluamEcS54Dw9_zqW0N7qJUWgJ0Sw/edit?usp=sharing"",""ชัยนาท!I755"")+IMPORTRANGE(""https://docs.google.com/spreadsheets/d/1jkqa6GXxSacMcY1eN8AHjMNJ_7dDXMJ"&amp;"VRLDlaFSOdPM/edit?usp=sharing"",""ตราด!I755"")+IMPORTRANGE(""https://docs.google.com/spreadsheets/d/18hSgUJ3VwClqi_qtULmmW3cLr0oe3OKaSYoKzdpTsYQ/edit?usp=sharing"",""นครนายก!I755"")+IMPORTRANGE(""https://docs.google.com/spreadsheets/d/1YTZo6WM2dQ6Ix6FSdnL"&amp;"5P7uVnVKu40sxZu975tgG10E/edit?usp=sharing"",""นครปฐม!I755"")+IMPORTRANGE(""https://docs.google.com/spreadsheets/d/1OYoGg4WDg5RIzwGeB10padOxJF9E_Vljuvvct_M7RDo/edit?usp=sharing"",""ปทุมธานี!I755"")+IMPORTRANGE(""https://docs.google.com/spreadsheets/d/1GbCI"&amp;"E4D4wk9FUozzqk7SxfDMxDVBwVmI5zcaVUSzKAc/edit?usp=sharing"",""ประจวบคีรีขันธ์!I755"")+IMPORTRANGE(""https://docs.google.com/spreadsheets/d/1vVf6wykvW_lAyu7Yo9L4hUTqHqIeP_qcVuxCtosJEbg/edit?usp=sharing"",""ปราจีนบุรี!I755"")+IMPORTRANGE(""https://docs.googl"&amp;"e.com/spreadsheets/d/1BIDqLLg5jk3v59G8NlR8rk5xfQDKne0sAvZHSj7TI6I/edit?usp=sharing"",""พระนครศรีอยุธยา!I755"")+IMPORTRANGE(""https://docs.google.com/spreadsheets/d/1YXvxf8Yu6_rV4hTBrwMqAcAnv6DfhUxh5emyM3CJp_w/edit?usp=sharing"",""เพชรบุรี!I755"")+IMPORTRA"&amp;"NGE(""https://docs.google.com/spreadsheets/d/19KBlQQs7uwvsao6t2n-KvW3Ax8J8uRRfZPq1zPbXgKc/edit?usp=sharing"",""ระยอง!I755"")+IMPORTRANGE(""https://docs.google.com/spreadsheets/d/1jQ6P4QcrGM89YfqcC_PxOHGCMq5ezhucwJd8ci-NHng/edit?usp=sharing"",""ราชบุรี!I75"&amp;"5"")+IMPORTRANGE(""https://docs.google.com/spreadsheets/d/1lufeA2cfFqM-elVq2hznhDzC6Pr7wkJ9ZG_sYNGCMCU/edit?usp=sharing"",""ลพบุรี!I755"")+IMPORTRANGE(""https://docs.google.com/spreadsheets/d/10oOiF7loTyfsTkbd4MpaIm0HQ9SwB7IYHdIUvt-U1Uc/edit?usp=sharing"""&amp;",""สระแก้ว!I755"")+IMPORTRANGE(""https://docs.google.com/spreadsheets/d/1xmPlrr1QbdSIKvl1dWUl9K4PjAfSL9oeMr_37QVzcxc/edit?usp=sharing"",""สระบุรี!I755"")+IMPORTRANGE(""https://docs.google.com/spreadsheets/d/1j51vR6CYVGhABJpv6tkstgok82RLpXieLzW1yOY5rHw/edi"&amp;"t?usp=sharing"",""สิงห์บุรี!I755"")+IMPORTRANGE(""https://docs.google.com/spreadsheets/d/1H1EalTWKUSzO4Z1-1CwzoDUaVffgrThEBe2sl74kKG0/edit?usp=sharing"",""สุพรรณบุรี!I755"")+IMPORTRANGE(""https://docs.google.com/spreadsheets/d/1BmIruG_sIrJLYao_Pdr7zVArWsf"&amp;"oBt2692TMi6x_854/edit?usp=sharing"",""อ่างทอง!I755"")"),1360)</f>
        <v>1360</v>
      </c>
      <c r="J755" s="296">
        <f ca="1">IFERROR(__xludf.DUMMYFUNCTION("IMPORTRANGE(""https://docs.google.com/spreadsheets/d/13wPX838HrBrQMCywv1BsuMkt4PEKTChp52zj44s2izQ/edit?usp=sharing"",""กาญจนบุรี!J755"")+IMPORTRANGE(""https://docs.google.com/spreadsheets/d/1ddFKvqj1W1NEiWytbGlB1zMx_ykJDVtmfEQ-6-lIUBA/edit?usp=sharing"","&amp;"""จันทบุรี!J755"")+IMPORTRANGE(""https://docs.google.com/spreadsheets/d/1T1PQvRODqOBZk8BRht_U031fIS1beLA0Ub2CEytj2q0/edit?usp=sharing"",""ฉะเชิงเทรา!J755"")+IMPORTRANGE(""https://docs.google.com/spreadsheets/d/11tr1B-Bhyr79v2bkwVh5h_fR-PStkgjlZtkrZpYurG0/"&amp;"edit?usp=sharing"",""ชลบุรี!J755"")+IMPORTRANGE(""https://docs.google.com/spreadsheets/d/1hh-FVnSX0vozXhGluamEcS54Dw9_zqW0N7qJUWgJ0Sw/edit?usp=sharing"",""ชัยนาท!J755"")+IMPORTRANGE(""https://docs.google.com/spreadsheets/d/1jkqa6GXxSacMcY1eN8AHjMNJ_7dDXMJ"&amp;"VRLDlaFSOdPM/edit?usp=sharing"",""ตราด!J755"")+IMPORTRANGE(""https://docs.google.com/spreadsheets/d/18hSgUJ3VwClqi_qtULmmW3cLr0oe3OKaSYoKzdpTsYQ/edit?usp=sharing"",""นครนายก!J755"")+IMPORTRANGE(""https://docs.google.com/spreadsheets/d/1YTZo6WM2dQ6Ix6FSdnL"&amp;"5P7uVnVKu40sxZu975tgG10E/edit?usp=sharing"",""นครปฐม!J755"")+IMPORTRANGE(""https://docs.google.com/spreadsheets/d/1OYoGg4WDg5RIzwGeB10padOxJF9E_Vljuvvct_M7RDo/edit?usp=sharing"",""ปทุมธานี!J755"")+IMPORTRANGE(""https://docs.google.com/spreadsheets/d/1GbCI"&amp;"E4D4wk9FUozzqk7SxfDMxDVBwVmI5zcaVUSzKAc/edit?usp=sharing"",""ประจวบคีรีขันธ์!J755"")+IMPORTRANGE(""https://docs.google.com/spreadsheets/d/1vVf6wykvW_lAyu7Yo9L4hUTqHqIeP_qcVuxCtosJEbg/edit?usp=sharing"",""ปราจีนบุรี!J755"")+IMPORTRANGE(""https://docs.googl"&amp;"e.com/spreadsheets/d/1BIDqLLg5jk3v59G8NlR8rk5xfQDKne0sAvZHSj7TI6I/edit?usp=sharing"",""พระนครศรีอยุธยา!J755"")+IMPORTRANGE(""https://docs.google.com/spreadsheets/d/1YXvxf8Yu6_rV4hTBrwMqAcAnv6DfhUxh5emyM3CJp_w/edit?usp=sharing"",""เพชรบุรี!J755"")+IMPORTRA"&amp;"NGE(""https://docs.google.com/spreadsheets/d/19KBlQQs7uwvsao6t2n-KvW3Ax8J8uRRfZPq1zPbXgKc/edit?usp=sharing"",""ระยอง!J755"")+IMPORTRANGE(""https://docs.google.com/spreadsheets/d/1jQ6P4QcrGM89YfqcC_PxOHGCMq5ezhucwJd8ci-NHng/edit?usp=sharing"",""ราชบุรี!J75"&amp;"5"")+IMPORTRANGE(""https://docs.google.com/spreadsheets/d/1lufeA2cfFqM-elVq2hznhDzC6Pr7wkJ9ZG_sYNGCMCU/edit?usp=sharing"",""ลพบุรี!J755"")+IMPORTRANGE(""https://docs.google.com/spreadsheets/d/10oOiF7loTyfsTkbd4MpaIm0HQ9SwB7IYHdIUvt-U1Uc/edit?usp=sharing"""&amp;",""สระแก้ว!J755"")+IMPORTRANGE(""https://docs.google.com/spreadsheets/d/1xmPlrr1QbdSIKvl1dWUl9K4PjAfSL9oeMr_37QVzcxc/edit?usp=sharing"",""สระบุรี!J755"")+IMPORTRANGE(""https://docs.google.com/spreadsheets/d/1j51vR6CYVGhABJpv6tkstgok82RLpXieLzW1yOY5rHw/edi"&amp;"t?usp=sharing"",""สิงห์บุรี!J755"")+IMPORTRANGE(""https://docs.google.com/spreadsheets/d/1H1EalTWKUSzO4Z1-1CwzoDUaVffgrThEBe2sl74kKG0/edit?usp=sharing"",""สุพรรณบุรี!J755"")+IMPORTRANGE(""https://docs.google.com/spreadsheets/d/1BmIruG_sIrJLYao_Pdr7zVArWsf"&amp;"oBt2692TMi6x_854/edit?usp=sharing"",""อ่างทอง!J755"")"),100)</f>
        <v>100</v>
      </c>
      <c r="K755" s="77">
        <f ca="1">IF(I755&gt;0,J755*100/I755,0)</f>
        <v>7.3529411764705879</v>
      </c>
      <c r="L755" s="90"/>
      <c r="M755" s="90"/>
      <c r="N755" s="90"/>
      <c r="O755" s="90"/>
      <c r="P755" s="90"/>
      <c r="Q755" s="89"/>
      <c r="R755" s="90"/>
      <c r="S755" s="90"/>
      <c r="T755" s="90"/>
      <c r="U755" s="90"/>
    </row>
    <row r="756" spans="1:21" ht="18.75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f ca="1">IFERROR(__xludf.DUMMYFUNCTION("IMPORTRANGE(""https://docs.google.com/spreadsheets/d/13wPX838HrBrQMCywv1BsuMkt4PEKTChp52zj44s2izQ/edit?usp=sharing"",""กาญจนบุรี!J756"")+IMPORTRANGE(""https://docs.google.com/spreadsheets/d/1ddFKvqj1W1NEiWytbGlB1zMx_ykJDVtmfEQ-6-lIUBA/edit?usp=sharing"","&amp;"""จันทบุรี!J756"")+IMPORTRANGE(""https://docs.google.com/spreadsheets/d/1T1PQvRODqOBZk8BRht_U031fIS1beLA0Ub2CEytj2q0/edit?usp=sharing"",""ฉะเชิงเทรา!J756"")+IMPORTRANGE(""https://docs.google.com/spreadsheets/d/11tr1B-Bhyr79v2bkwVh5h_fR-PStkgjlZtkrZpYurG0/"&amp;"edit?usp=sharing"",""ชลบุรี!J756"")+IMPORTRANGE(""https://docs.google.com/spreadsheets/d/1hh-FVnSX0vozXhGluamEcS54Dw9_zqW0N7qJUWgJ0Sw/edit?usp=sharing"",""ชัยนาท!J756"")+IMPORTRANGE(""https://docs.google.com/spreadsheets/d/1jkqa6GXxSacMcY1eN8AHjMNJ_7dDXMJ"&amp;"VRLDlaFSOdPM/edit?usp=sharing"",""ตราด!J756"")+IMPORTRANGE(""https://docs.google.com/spreadsheets/d/18hSgUJ3VwClqi_qtULmmW3cLr0oe3OKaSYoKzdpTsYQ/edit?usp=sharing"",""นครนายก!J756"")+IMPORTRANGE(""https://docs.google.com/spreadsheets/d/1YTZo6WM2dQ6Ix6FSdnL"&amp;"5P7uVnVKu40sxZu975tgG10E/edit?usp=sharing"",""นครปฐม!J756"")+IMPORTRANGE(""https://docs.google.com/spreadsheets/d/1OYoGg4WDg5RIzwGeB10padOxJF9E_Vljuvvct_M7RDo/edit?usp=sharing"",""ปทุมธานี!J756"")+IMPORTRANGE(""https://docs.google.com/spreadsheets/d/1GbCI"&amp;"E4D4wk9FUozzqk7SxfDMxDVBwVmI5zcaVUSzKAc/edit?usp=sharing"",""ประจวบคีรีขันธ์!J756"")+IMPORTRANGE(""https://docs.google.com/spreadsheets/d/1vVf6wykvW_lAyu7Yo9L4hUTqHqIeP_qcVuxCtosJEbg/edit?usp=sharing"",""ปราจีนบุรี!J756"")+IMPORTRANGE(""https://docs.googl"&amp;"e.com/spreadsheets/d/1BIDqLLg5jk3v59G8NlR8rk5xfQDKne0sAvZHSj7TI6I/edit?usp=sharing"",""พระนครศรีอยุธยา!J756"")+IMPORTRANGE(""https://docs.google.com/spreadsheets/d/1YXvxf8Yu6_rV4hTBrwMqAcAnv6DfhUxh5emyM3CJp_w/edit?usp=sharing"",""เพชรบุรี!J756"")+IMPORTRA"&amp;"NGE(""https://docs.google.com/spreadsheets/d/19KBlQQs7uwvsao6t2n-KvW3Ax8J8uRRfZPq1zPbXgKc/edit?usp=sharing"",""ระยอง!J756"")+IMPORTRANGE(""https://docs.google.com/spreadsheets/d/1jQ6P4QcrGM89YfqcC_PxOHGCMq5ezhucwJd8ci-NHng/edit?usp=sharing"",""ราชบุรี!J75"&amp;"6"")+IMPORTRANGE(""https://docs.google.com/spreadsheets/d/1lufeA2cfFqM-elVq2hznhDzC6Pr7wkJ9ZG_sYNGCMCU/edit?usp=sharing"",""ลพบุรี!J756"")+IMPORTRANGE(""https://docs.google.com/spreadsheets/d/10oOiF7loTyfsTkbd4MpaIm0HQ9SwB7IYHdIUvt-U1Uc/edit?usp=sharing"""&amp;",""สระแก้ว!J756"")+IMPORTRANGE(""https://docs.google.com/spreadsheets/d/1xmPlrr1QbdSIKvl1dWUl9K4PjAfSL9oeMr_37QVzcxc/edit?usp=sharing"",""สระบุรี!J756"")+IMPORTRANGE(""https://docs.google.com/spreadsheets/d/1j51vR6CYVGhABJpv6tkstgok82RLpXieLzW1yOY5rHw/edi"&amp;"t?usp=sharing"",""สิงห์บุรี!J756"")+IMPORTRANGE(""https://docs.google.com/spreadsheets/d/1H1EalTWKUSzO4Z1-1CwzoDUaVffgrThEBe2sl74kKG0/edit?usp=sharing"",""สุพรรณบุรี!J756"")+IMPORTRANGE(""https://docs.google.com/spreadsheets/d/1BmIruG_sIrJLYao_Pdr7zVArWsf"&amp;"oBt2692TMi6x_854/edit?usp=sharing"",""อ่างทอง!J756"")"),25)</f>
        <v>25</v>
      </c>
      <c r="K756" s="90"/>
      <c r="L756" s="90"/>
      <c r="M756" s="90"/>
      <c r="N756" s="90"/>
      <c r="O756" s="90"/>
      <c r="P756" s="90"/>
      <c r="Q756" s="89"/>
      <c r="R756" s="90"/>
      <c r="S756" s="90"/>
      <c r="T756" s="90"/>
      <c r="U756" s="90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f ca="1">IFERROR(__xludf.DUMMYFUNCTION("IMPORTRANGE(""https://docs.google.com/spreadsheets/d/13wPX838HrBrQMCywv1BsuMkt4PEKTChp52zj44s2izQ/edit?usp=sharing"",""กาญจนบุรี!J757"")+IMPORTRANGE(""https://docs.google.com/spreadsheets/d/1ddFKvqj1W1NEiWytbGlB1zMx_ykJDVtmfEQ-6-lIUBA/edit?usp=sharing"","&amp;"""จันทบุรี!J757"")+IMPORTRANGE(""https://docs.google.com/spreadsheets/d/1T1PQvRODqOBZk8BRht_U031fIS1beLA0Ub2CEytj2q0/edit?usp=sharing"",""ฉะเชิงเทรา!J757"")+IMPORTRANGE(""https://docs.google.com/spreadsheets/d/11tr1B-Bhyr79v2bkwVh5h_fR-PStkgjlZtkrZpYurG0/"&amp;"edit?usp=sharing"",""ชลบุรี!J757"")+IMPORTRANGE(""https://docs.google.com/spreadsheets/d/1hh-FVnSX0vozXhGluamEcS54Dw9_zqW0N7qJUWgJ0Sw/edit?usp=sharing"",""ชัยนาท!J757"")+IMPORTRANGE(""https://docs.google.com/spreadsheets/d/1jkqa6GXxSacMcY1eN8AHjMNJ_7dDXMJ"&amp;"VRLDlaFSOdPM/edit?usp=sharing"",""ตราด!J757"")+IMPORTRANGE(""https://docs.google.com/spreadsheets/d/18hSgUJ3VwClqi_qtULmmW3cLr0oe3OKaSYoKzdpTsYQ/edit?usp=sharing"",""นครนายก!J757"")+IMPORTRANGE(""https://docs.google.com/spreadsheets/d/1YTZo6WM2dQ6Ix6FSdnL"&amp;"5P7uVnVKu40sxZu975tgG10E/edit?usp=sharing"",""นครปฐม!J757"")+IMPORTRANGE(""https://docs.google.com/spreadsheets/d/1OYoGg4WDg5RIzwGeB10padOxJF9E_Vljuvvct_M7RDo/edit?usp=sharing"",""ปทุมธานี!J757"")+IMPORTRANGE(""https://docs.google.com/spreadsheets/d/1GbCI"&amp;"E4D4wk9FUozzqk7SxfDMxDVBwVmI5zcaVUSzKAc/edit?usp=sharing"",""ประจวบคีรีขันธ์!J757"")+IMPORTRANGE(""https://docs.google.com/spreadsheets/d/1vVf6wykvW_lAyu7Yo9L4hUTqHqIeP_qcVuxCtosJEbg/edit?usp=sharing"",""ปราจีนบุรี!J757"")+IMPORTRANGE(""https://docs.googl"&amp;"e.com/spreadsheets/d/1BIDqLLg5jk3v59G8NlR8rk5xfQDKne0sAvZHSj7TI6I/edit?usp=sharing"",""พระนครศรีอยุธยา!J757"")+IMPORTRANGE(""https://docs.google.com/spreadsheets/d/1YXvxf8Yu6_rV4hTBrwMqAcAnv6DfhUxh5emyM3CJp_w/edit?usp=sharing"",""เพชรบุรี!J757"")+IMPORTRA"&amp;"NGE(""https://docs.google.com/spreadsheets/d/19KBlQQs7uwvsao6t2n-KvW3Ax8J8uRRfZPq1zPbXgKc/edit?usp=sharing"",""ระยอง!J757"")+IMPORTRANGE(""https://docs.google.com/spreadsheets/d/1jQ6P4QcrGM89YfqcC_PxOHGCMq5ezhucwJd8ci-NHng/edit?usp=sharing"",""ราชบุรี!J75"&amp;"7"")+IMPORTRANGE(""https://docs.google.com/spreadsheets/d/1lufeA2cfFqM-elVq2hznhDzC6Pr7wkJ9ZG_sYNGCMCU/edit?usp=sharing"",""ลพบุรี!J757"")+IMPORTRANGE(""https://docs.google.com/spreadsheets/d/10oOiF7loTyfsTkbd4MpaIm0HQ9SwB7IYHdIUvt-U1Uc/edit?usp=sharing"""&amp;",""สระแก้ว!J757"")+IMPORTRANGE(""https://docs.google.com/spreadsheets/d/1xmPlrr1QbdSIKvl1dWUl9K4PjAfSL9oeMr_37QVzcxc/edit?usp=sharing"",""สระบุรี!J757"")+IMPORTRANGE(""https://docs.google.com/spreadsheets/d/1j51vR6CYVGhABJpv6tkstgok82RLpXieLzW1yOY5rHw/edi"&amp;"t?usp=sharing"",""สิงห์บุรี!J757"")+IMPORTRANGE(""https://docs.google.com/spreadsheets/d/1H1EalTWKUSzO4Z1-1CwzoDUaVffgrThEBe2sl74kKG0/edit?usp=sharing"",""สุพรรณบุรี!J757"")+IMPORTRANGE(""https://docs.google.com/spreadsheets/d/1BmIruG_sIrJLYao_Pdr7zVArWsf"&amp;"oBt2692TMi6x_854/edit?usp=sharing"",""อ่างทอง!J757"")"),3)</f>
        <v>3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t="shared" ref="I758:J758" ca="1" si="509">I772</f>
        <v>425</v>
      </c>
      <c r="J758" s="760">
        <f t="shared" ca="1" si="509"/>
        <v>230</v>
      </c>
      <c r="K758" s="746">
        <f t="shared" ref="K758:K759" ca="1" si="510">IF(I758&gt;0,J758*100/I758,0)</f>
        <v>54.117647058823529</v>
      </c>
      <c r="L758" s="714"/>
      <c r="M758" s="714"/>
      <c r="N758" s="714"/>
      <c r="O758" s="714"/>
      <c r="P758" s="714"/>
      <c r="Q758" s="715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t="shared" ref="I759:J759" ca="1" si="511">I774</f>
        <v>885</v>
      </c>
      <c r="J759" s="760">
        <f t="shared" ca="1" si="511"/>
        <v>465</v>
      </c>
      <c r="K759" s="746">
        <f t="shared" ca="1" si="510"/>
        <v>52.542372881355931</v>
      </c>
      <c r="L759" s="714"/>
      <c r="M759" s="714"/>
      <c r="N759" s="714"/>
      <c r="O759" s="714"/>
      <c r="P759" s="714"/>
      <c r="Q759" s="715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06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66">
        <f t="shared" ref="L760:N760" ca="1" si="512">L761+L762</f>
        <v>0</v>
      </c>
      <c r="M760" s="266">
        <f t="shared" ca="1" si="512"/>
        <v>0</v>
      </c>
      <c r="N760" s="266">
        <f t="shared" ca="1" si="512"/>
        <v>0</v>
      </c>
      <c r="O760" s="266">
        <f t="shared" ref="O760:O768" ca="1" si="513">IF(L760&gt;0,N760*100/L760,0)</f>
        <v>0</v>
      </c>
      <c r="P760" s="266">
        <f t="shared" ref="P760:P768" ca="1" si="514">IF(M760&gt;0,N760*100/M760,0)</f>
        <v>0</v>
      </c>
      <c r="Q760" s="216">
        <f t="shared" ref="Q760:S760" ca="1" si="515">Q761+Q762</f>
        <v>3121330</v>
      </c>
      <c r="R760" s="217">
        <f t="shared" ca="1" si="515"/>
        <v>3121330</v>
      </c>
      <c r="S760" s="217">
        <f t="shared" ca="1" si="515"/>
        <v>1151917</v>
      </c>
      <c r="T760" s="217">
        <f t="shared" ref="T760:T768" ca="1" si="516">IF(Q760&gt;0,S760*100/Q760,0)</f>
        <v>36.904684861901821</v>
      </c>
      <c r="U760" s="217">
        <f t="shared" ref="U760:U768" ca="1" si="517">IF(R760&gt;0,S760*100/R760,0)</f>
        <v>36.904684861901821</v>
      </c>
    </row>
    <row r="761" spans="1:21" ht="18.75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 t="shared" ref="L761:N761" ca="1" si="518">L764+L767</f>
        <v>0</v>
      </c>
      <c r="M761" s="80">
        <f t="shared" ca="1" si="518"/>
        <v>0</v>
      </c>
      <c r="N761" s="80">
        <f t="shared" ca="1" si="518"/>
        <v>0</v>
      </c>
      <c r="O761" s="80">
        <f t="shared" ca="1" si="513"/>
        <v>0</v>
      </c>
      <c r="P761" s="80">
        <f t="shared" ca="1" si="514"/>
        <v>0</v>
      </c>
      <c r="Q761" s="219">
        <f t="shared" ref="Q761:S761" ca="1" si="519">Q764+Q767</f>
        <v>0</v>
      </c>
      <c r="R761" s="136">
        <f t="shared" ca="1" si="519"/>
        <v>0</v>
      </c>
      <c r="S761" s="136">
        <f t="shared" ca="1" si="519"/>
        <v>0</v>
      </c>
      <c r="T761" s="136">
        <f t="shared" ca="1" si="516"/>
        <v>0</v>
      </c>
      <c r="U761" s="136">
        <f t="shared" ca="1" si="517"/>
        <v>0</v>
      </c>
    </row>
    <row r="762" spans="1:21" ht="18.75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 t="shared" ref="L762:N762" ca="1" si="520">L765+L768</f>
        <v>0</v>
      </c>
      <c r="M762" s="77">
        <f t="shared" ca="1" si="520"/>
        <v>0</v>
      </c>
      <c r="N762" s="77">
        <f t="shared" ca="1" si="520"/>
        <v>0</v>
      </c>
      <c r="O762" s="77">
        <f t="shared" ca="1" si="513"/>
        <v>0</v>
      </c>
      <c r="P762" s="77">
        <f t="shared" ca="1" si="514"/>
        <v>0</v>
      </c>
      <c r="Q762" s="134">
        <f t="shared" ref="Q762:S762" ca="1" si="521">Q765+Q768</f>
        <v>3121330</v>
      </c>
      <c r="R762" s="135">
        <f t="shared" ca="1" si="521"/>
        <v>3121330</v>
      </c>
      <c r="S762" s="135">
        <f t="shared" ca="1" si="521"/>
        <v>1151917</v>
      </c>
      <c r="T762" s="135">
        <f t="shared" ca="1" si="516"/>
        <v>36.904684861901821</v>
      </c>
      <c r="U762" s="135">
        <f t="shared" ca="1" si="517"/>
        <v>36.904684861901821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 t="shared" ref="L763:N763" ca="1" si="522">L764+L765</f>
        <v>0</v>
      </c>
      <c r="M763" s="77">
        <f t="shared" ca="1" si="522"/>
        <v>0</v>
      </c>
      <c r="N763" s="77">
        <f t="shared" ca="1" si="522"/>
        <v>0</v>
      </c>
      <c r="O763" s="77">
        <f t="shared" ca="1" si="513"/>
        <v>0</v>
      </c>
      <c r="P763" s="77">
        <f t="shared" ca="1" si="514"/>
        <v>0</v>
      </c>
      <c r="Q763" s="134">
        <f t="shared" ref="Q763:S763" ca="1" si="523">Q764+Q765</f>
        <v>3121330</v>
      </c>
      <c r="R763" s="135">
        <f t="shared" ca="1" si="523"/>
        <v>3121330</v>
      </c>
      <c r="S763" s="135">
        <f t="shared" ca="1" si="523"/>
        <v>1151917</v>
      </c>
      <c r="T763" s="135">
        <f t="shared" ca="1" si="516"/>
        <v>36.904684861901821</v>
      </c>
      <c r="U763" s="135">
        <f t="shared" ca="1" si="517"/>
        <v>36.904684861901821</v>
      </c>
    </row>
    <row r="764" spans="1:21" ht="18.75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f ca="1">IFERROR(__xludf.DUMMYFUNCTION("IMPORTRANGE(""https://docs.google.com/spreadsheets/d/13wPX838HrBrQMCywv1BsuMkt4PEKTChp52zj44s2izQ/edit?usp=sharing"",""กาญจนบุรี!L764"")+IMPORTRANGE(""https://docs.google.com/spreadsheets/d/1ddFKvqj1W1NEiWytbGlB1zMx_ykJDVtmfEQ-6-lIUBA/edit?usp=sharing"","&amp;"""จันทบุรี!L764"")+IMPORTRANGE(""https://docs.google.com/spreadsheets/d/1T1PQvRODqOBZk8BRht_U031fIS1beLA0Ub2CEytj2q0/edit?usp=sharing"",""ฉะเชิงเทรา!L764"")+IMPORTRANGE(""https://docs.google.com/spreadsheets/d/11tr1B-Bhyr79v2bkwVh5h_fR-PStkgjlZtkrZpYurG0/"&amp;"edit?usp=sharing"",""ชลบุรี!L764"")+IMPORTRANGE(""https://docs.google.com/spreadsheets/d/1hh-FVnSX0vozXhGluamEcS54Dw9_zqW0N7qJUWgJ0Sw/edit?usp=sharing"",""ชัยนาท!L764"")+IMPORTRANGE(""https://docs.google.com/spreadsheets/d/1jkqa6GXxSacMcY1eN8AHjMNJ_7dDXMJ"&amp;"VRLDlaFSOdPM/edit?usp=sharing"",""ตราด!L764"")+IMPORTRANGE(""https://docs.google.com/spreadsheets/d/18hSgUJ3VwClqi_qtULmmW3cLr0oe3OKaSYoKzdpTsYQ/edit?usp=sharing"",""นครนายก!L764"")+IMPORTRANGE(""https://docs.google.com/spreadsheets/d/1YTZo6WM2dQ6Ix6FSdnL"&amp;"5P7uVnVKu40sxZu975tgG10E/edit?usp=sharing"",""นครปฐม!L764"")+IMPORTRANGE(""https://docs.google.com/spreadsheets/d/1OYoGg4WDg5RIzwGeB10padOxJF9E_Vljuvvct_M7RDo/edit?usp=sharing"",""ปทุมธานี!L764"")+IMPORTRANGE(""https://docs.google.com/spreadsheets/d/1GbCI"&amp;"E4D4wk9FUozzqk7SxfDMxDVBwVmI5zcaVUSzKAc/edit?usp=sharing"",""ประจวบคีรีขันธ์!L764"")+IMPORTRANGE(""https://docs.google.com/spreadsheets/d/1vVf6wykvW_lAyu7Yo9L4hUTqHqIeP_qcVuxCtosJEbg/edit?usp=sharing"",""ปราจีนบุรี!L764"")+IMPORTRANGE(""https://docs.googl"&amp;"e.com/spreadsheets/d/1BIDqLLg5jk3v59G8NlR8rk5xfQDKne0sAvZHSj7TI6I/edit?usp=sharing"",""พระนครศรีอยุธยา!L764"")+IMPORTRANGE(""https://docs.google.com/spreadsheets/d/1YXvxf8Yu6_rV4hTBrwMqAcAnv6DfhUxh5emyM3CJp_w/edit?usp=sharing"",""เพชรบุรี!L764"")+IMPORTRA"&amp;"NGE(""https://docs.google.com/spreadsheets/d/19KBlQQs7uwvsao6t2n-KvW3Ax8J8uRRfZPq1zPbXgKc/edit?usp=sharing"",""ระยอง!L764"")+IMPORTRANGE(""https://docs.google.com/spreadsheets/d/1jQ6P4QcrGM89YfqcC_PxOHGCMq5ezhucwJd8ci-NHng/edit?usp=sharing"",""ราชบุรี!L76"&amp;"4"")+IMPORTRANGE(""https://docs.google.com/spreadsheets/d/1lufeA2cfFqM-elVq2hznhDzC6Pr7wkJ9ZG_sYNGCMCU/edit?usp=sharing"",""ลพบุรี!L764"")+IMPORTRANGE(""https://docs.google.com/spreadsheets/d/10oOiF7loTyfsTkbd4MpaIm0HQ9SwB7IYHdIUvt-U1Uc/edit?usp=sharing"""&amp;",""สระแก้ว!L764"")+IMPORTRANGE(""https://docs.google.com/spreadsheets/d/1xmPlrr1QbdSIKvl1dWUl9K4PjAfSL9oeMr_37QVzcxc/edit?usp=sharing"",""สระบุรี!L764"")+IMPORTRANGE(""https://docs.google.com/spreadsheets/d/1j51vR6CYVGhABJpv6tkstgok82RLpXieLzW1yOY5rHw/edi"&amp;"t?usp=sharing"",""สิงห์บุรี!L764"")+IMPORTRANGE(""https://docs.google.com/spreadsheets/d/1H1EalTWKUSzO4Z1-1CwzoDUaVffgrThEBe2sl74kKG0/edit?usp=sharing"",""สุพรรณบุรี!L764"")+IMPORTRANGE(""https://docs.google.com/spreadsheets/d/1BmIruG_sIrJLYao_Pdr7zVArWsf"&amp;"oBt2692TMi6x_854/edit?usp=sharing"",""อ่างทอง!L764"")"),0)</f>
        <v>0</v>
      </c>
      <c r="M764" s="80">
        <f ca="1">IFERROR(__xludf.DUMMYFUNCTION("IMPORTRANGE(""https://docs.google.com/spreadsheets/d/13wPX838HrBrQMCywv1BsuMkt4PEKTChp52zj44s2izQ/edit?usp=sharing"",""กาญจนบุรี!M764"")+IMPORTRANGE(""https://docs.google.com/spreadsheets/d/1ddFKvqj1W1NEiWytbGlB1zMx_ykJDVtmfEQ-6-lIUBA/edit?usp=sharing"","&amp;"""จันทบุรี!M764"")+IMPORTRANGE(""https://docs.google.com/spreadsheets/d/1T1PQvRODqOBZk8BRht_U031fIS1beLA0Ub2CEytj2q0/edit?usp=sharing"",""ฉะเชิงเทรา!M764"")+IMPORTRANGE(""https://docs.google.com/spreadsheets/d/11tr1B-Bhyr79v2bkwVh5h_fR-PStkgjlZtkrZpYurG0/"&amp;"edit?usp=sharing"",""ชลบุรี!M764"")+IMPORTRANGE(""https://docs.google.com/spreadsheets/d/1hh-FVnSX0vozXhGluamEcS54Dw9_zqW0N7qJUWgJ0Sw/edit?usp=sharing"",""ชัยนาท!M764"")+IMPORTRANGE(""https://docs.google.com/spreadsheets/d/1jkqa6GXxSacMcY1eN8AHjMNJ_7dDXMJ"&amp;"VRLDlaFSOdPM/edit?usp=sharing"",""ตราด!M764"")+IMPORTRANGE(""https://docs.google.com/spreadsheets/d/18hSgUJ3VwClqi_qtULmmW3cLr0oe3OKaSYoKzdpTsYQ/edit?usp=sharing"",""นครนายก!M764"")+IMPORTRANGE(""https://docs.google.com/spreadsheets/d/1YTZo6WM2dQ6Ix6FSdnL"&amp;"5P7uVnVKu40sxZu975tgG10E/edit?usp=sharing"",""นครปฐม!M764"")+IMPORTRANGE(""https://docs.google.com/spreadsheets/d/1OYoGg4WDg5RIzwGeB10padOxJF9E_Vljuvvct_M7RDo/edit?usp=sharing"",""ปทุมธานี!M764"")+IMPORTRANGE(""https://docs.google.com/spreadsheets/d/1GbCI"&amp;"E4D4wk9FUozzqk7SxfDMxDVBwVmI5zcaVUSzKAc/edit?usp=sharing"",""ประจวบคีรีขันธ์!M764"")+IMPORTRANGE(""https://docs.google.com/spreadsheets/d/1vVf6wykvW_lAyu7Yo9L4hUTqHqIeP_qcVuxCtosJEbg/edit?usp=sharing"",""ปราจีนบุรี!M764"")+IMPORTRANGE(""https://docs.googl"&amp;"e.com/spreadsheets/d/1BIDqLLg5jk3v59G8NlR8rk5xfQDKne0sAvZHSj7TI6I/edit?usp=sharing"",""พระนครศรีอยุธยา!M764"")+IMPORTRANGE(""https://docs.google.com/spreadsheets/d/1YXvxf8Yu6_rV4hTBrwMqAcAnv6DfhUxh5emyM3CJp_w/edit?usp=sharing"",""เพชรบุรี!M764"")+IMPORTRA"&amp;"NGE(""https://docs.google.com/spreadsheets/d/19KBlQQs7uwvsao6t2n-KvW3Ax8J8uRRfZPq1zPbXgKc/edit?usp=sharing"",""ระยอง!M764"")+IMPORTRANGE(""https://docs.google.com/spreadsheets/d/1jQ6P4QcrGM89YfqcC_PxOHGCMq5ezhucwJd8ci-NHng/edit?usp=sharing"",""ราชบุรี!M76"&amp;"4"")+IMPORTRANGE(""https://docs.google.com/spreadsheets/d/1lufeA2cfFqM-elVq2hznhDzC6Pr7wkJ9ZG_sYNGCMCU/edit?usp=sharing"",""ลพบุรี!M764"")+IMPORTRANGE(""https://docs.google.com/spreadsheets/d/10oOiF7loTyfsTkbd4MpaIm0HQ9SwB7IYHdIUvt-U1Uc/edit?usp=sharing"""&amp;",""สระแก้ว!M764"")+IMPORTRANGE(""https://docs.google.com/spreadsheets/d/1xmPlrr1QbdSIKvl1dWUl9K4PjAfSL9oeMr_37QVzcxc/edit?usp=sharing"",""สระบุรี!M764"")+IMPORTRANGE(""https://docs.google.com/spreadsheets/d/1j51vR6CYVGhABJpv6tkstgok82RLpXieLzW1yOY5rHw/edi"&amp;"t?usp=sharing"",""สิงห์บุรี!M764"")+IMPORTRANGE(""https://docs.google.com/spreadsheets/d/1H1EalTWKUSzO4Z1-1CwzoDUaVffgrThEBe2sl74kKG0/edit?usp=sharing"",""สุพรรณบุรี!M764"")+IMPORTRANGE(""https://docs.google.com/spreadsheets/d/1BmIruG_sIrJLYao_Pdr7zVArWsf"&amp;"oBt2692TMi6x_854/edit?usp=sharing"",""อ่างทอง!M764"")"),0)</f>
        <v>0</v>
      </c>
      <c r="N764" s="80">
        <f ca="1">IFERROR(__xludf.DUMMYFUNCTION("IMPORTRANGE(""https://docs.google.com/spreadsheets/d/13wPX838HrBrQMCywv1BsuMkt4PEKTChp52zj44s2izQ/edit?usp=sharing"",""กาญจนบุรี!N764"")+IMPORTRANGE(""https://docs.google.com/spreadsheets/d/1ddFKvqj1W1NEiWytbGlB1zMx_ykJDVtmfEQ-6-lIUBA/edit?usp=sharing"","&amp;"""จันทบุรี!N764"")+IMPORTRANGE(""https://docs.google.com/spreadsheets/d/1T1PQvRODqOBZk8BRht_U031fIS1beLA0Ub2CEytj2q0/edit?usp=sharing"",""ฉะเชิงเทรา!N764"")+IMPORTRANGE(""https://docs.google.com/spreadsheets/d/11tr1B-Bhyr79v2bkwVh5h_fR-PStkgjlZtkrZpYurG0/"&amp;"edit?usp=sharing"",""ชลบุรี!N764"")+IMPORTRANGE(""https://docs.google.com/spreadsheets/d/1hh-FVnSX0vozXhGluamEcS54Dw9_zqW0N7qJUWgJ0Sw/edit?usp=sharing"",""ชัยนาท!N764"")+IMPORTRANGE(""https://docs.google.com/spreadsheets/d/1jkqa6GXxSacMcY1eN8AHjMNJ_7dDXMJ"&amp;"VRLDlaFSOdPM/edit?usp=sharing"",""ตราด!N764"")+IMPORTRANGE(""https://docs.google.com/spreadsheets/d/18hSgUJ3VwClqi_qtULmmW3cLr0oe3OKaSYoKzdpTsYQ/edit?usp=sharing"",""นครนายก!N764"")+IMPORTRANGE(""https://docs.google.com/spreadsheets/d/1YTZo6WM2dQ6Ix6FSdnL"&amp;"5P7uVnVKu40sxZu975tgG10E/edit?usp=sharing"",""นครปฐม!N764"")+IMPORTRANGE(""https://docs.google.com/spreadsheets/d/1OYoGg4WDg5RIzwGeB10padOxJF9E_Vljuvvct_M7RDo/edit?usp=sharing"",""ปทุมธานี!N764"")+IMPORTRANGE(""https://docs.google.com/spreadsheets/d/1GbCI"&amp;"E4D4wk9FUozzqk7SxfDMxDVBwVmI5zcaVUSzKAc/edit?usp=sharing"",""ประจวบคีรีขันธ์!N764"")+IMPORTRANGE(""https://docs.google.com/spreadsheets/d/1vVf6wykvW_lAyu7Yo9L4hUTqHqIeP_qcVuxCtosJEbg/edit?usp=sharing"",""ปราจีนบุรี!N764"")+IMPORTRANGE(""https://docs.googl"&amp;"e.com/spreadsheets/d/1BIDqLLg5jk3v59G8NlR8rk5xfQDKne0sAvZHSj7TI6I/edit?usp=sharing"",""พระนครศรีอยุธยา!N764"")+IMPORTRANGE(""https://docs.google.com/spreadsheets/d/1YXvxf8Yu6_rV4hTBrwMqAcAnv6DfhUxh5emyM3CJp_w/edit?usp=sharing"",""เพชรบุรี!N764"")+IMPORTRA"&amp;"NGE(""https://docs.google.com/spreadsheets/d/19KBlQQs7uwvsao6t2n-KvW3Ax8J8uRRfZPq1zPbXgKc/edit?usp=sharing"",""ระยอง!N764"")+IMPORTRANGE(""https://docs.google.com/spreadsheets/d/1jQ6P4QcrGM89YfqcC_PxOHGCMq5ezhucwJd8ci-NHng/edit?usp=sharing"",""ราชบุรี!N76"&amp;"4"")+IMPORTRANGE(""https://docs.google.com/spreadsheets/d/1lufeA2cfFqM-elVq2hznhDzC6Pr7wkJ9ZG_sYNGCMCU/edit?usp=sharing"",""ลพบุรี!N764"")+IMPORTRANGE(""https://docs.google.com/spreadsheets/d/10oOiF7loTyfsTkbd4MpaIm0HQ9SwB7IYHdIUvt-U1Uc/edit?usp=sharing"""&amp;",""สระแก้ว!N764"")+IMPORTRANGE(""https://docs.google.com/spreadsheets/d/1xmPlrr1QbdSIKvl1dWUl9K4PjAfSL9oeMr_37QVzcxc/edit?usp=sharing"",""สระบุรี!N764"")+IMPORTRANGE(""https://docs.google.com/spreadsheets/d/1j51vR6CYVGhABJpv6tkstgok82RLpXieLzW1yOY5rHw/edi"&amp;"t?usp=sharing"",""สิงห์บุรี!N764"")+IMPORTRANGE(""https://docs.google.com/spreadsheets/d/1H1EalTWKUSzO4Z1-1CwzoDUaVffgrThEBe2sl74kKG0/edit?usp=sharing"",""สุพรรณบุรี!N764"")+IMPORTRANGE(""https://docs.google.com/spreadsheets/d/1BmIruG_sIrJLYao_Pdr7zVArWsf"&amp;"oBt2692TMi6x_854/edit?usp=sharing"",""อ่างทอง!N764"")"),0)</f>
        <v>0</v>
      </c>
      <c r="O764" s="80">
        <f t="shared" ca="1" si="513"/>
        <v>0</v>
      </c>
      <c r="P764" s="80">
        <f t="shared" ca="1" si="514"/>
        <v>0</v>
      </c>
      <c r="Q764" s="79">
        <f ca="1">IFERROR(__xludf.DUMMYFUNCTION("IMPORTRANGE(""https://docs.google.com/spreadsheets/d/13wPX838HrBrQMCywv1BsuMkt4PEKTChp52zj44s2izQ/edit?usp=sharing"",""กาญจนบุรี!Q764"")+IMPORTRANGE(""https://docs.google.com/spreadsheets/d/1ddFKvqj1W1NEiWytbGlB1zMx_ykJDVtmfEQ-6-lIUBA/edit?usp=sharing"","&amp;"""จันทบุรี!Q764"")+IMPORTRANGE(""https://docs.google.com/spreadsheets/d/1T1PQvRODqOBZk8BRht_U031fIS1beLA0Ub2CEytj2q0/edit?usp=sharing"",""ฉะเชิงเทรา!Q764"")+IMPORTRANGE(""https://docs.google.com/spreadsheets/d/11tr1B-Bhyr79v2bkwVh5h_fR-PStkgjlZtkrZpYurG0/"&amp;"edit?usp=sharing"",""ชลบุรี!Q764"")+IMPORTRANGE(""https://docs.google.com/spreadsheets/d/1hh-FVnSX0vozXhGluamEcS54Dw9_zqW0N7qJUWgJ0Sw/edit?usp=sharing"",""ชัยนาท!Q764"")+IMPORTRANGE(""https://docs.google.com/spreadsheets/d/1jkqa6GXxSacMcY1eN8AHjMNJ_7dDXMJ"&amp;"VRLDlaFSOdPM/edit?usp=sharing"",""ตราด!Q764"")+IMPORTRANGE(""https://docs.google.com/spreadsheets/d/18hSgUJ3VwClqi_qtULmmW3cLr0oe3OKaSYoKzdpTsYQ/edit?usp=sharing"",""นครนายก!Q764"")+IMPORTRANGE(""https://docs.google.com/spreadsheets/d/1YTZo6WM2dQ6Ix6FSdnL"&amp;"5P7uVnVKu40sxZu975tgG10E/edit?usp=sharing"",""นครปฐม!Q764"")+IMPORTRANGE(""https://docs.google.com/spreadsheets/d/1OYoGg4WDg5RIzwGeB10padOxJF9E_Vljuvvct_M7RDo/edit?usp=sharing"",""ปทุมธานี!Q764"")+IMPORTRANGE(""https://docs.google.com/spreadsheets/d/1GbCI"&amp;"E4D4wk9FUozzqk7SxfDMxDVBwVmI5zcaVUSzKAc/edit?usp=sharing"",""ประจวบคีรีขันธ์!Q764"")+IMPORTRANGE(""https://docs.google.com/spreadsheets/d/1vVf6wykvW_lAyu7Yo9L4hUTqHqIeP_qcVuxCtosJEbg/edit?usp=sharing"",""ปราจีนบุรี!Q764"")+IMPORTRANGE(""https://docs.googl"&amp;"e.com/spreadsheets/d/1BIDqLLg5jk3v59G8NlR8rk5xfQDKne0sAvZHSj7TI6I/edit?usp=sharing"",""พระนครศรีอยุธยา!Q764"")+IMPORTRANGE(""https://docs.google.com/spreadsheets/d/1YXvxf8Yu6_rV4hTBrwMqAcAnv6DfhUxh5emyM3CJp_w/edit?usp=sharing"",""เพชรบุรี!Q764"")+IMPORTRA"&amp;"NGE(""https://docs.google.com/spreadsheets/d/19KBlQQs7uwvsao6t2n-KvW3Ax8J8uRRfZPq1zPbXgKc/edit?usp=sharing"",""ระยอง!Q764"")+IMPORTRANGE(""https://docs.google.com/spreadsheets/d/1jQ6P4QcrGM89YfqcC_PxOHGCMq5ezhucwJd8ci-NHng/edit?usp=sharing"",""ราชบุรี!Q76"&amp;"4"")+IMPORTRANGE(""https://docs.google.com/spreadsheets/d/1lufeA2cfFqM-elVq2hznhDzC6Pr7wkJ9ZG_sYNGCMCU/edit?usp=sharing"",""ลพบุรี!Q764"")+IMPORTRANGE(""https://docs.google.com/spreadsheets/d/10oOiF7loTyfsTkbd4MpaIm0HQ9SwB7IYHdIUvt-U1Uc/edit?usp=sharing"""&amp;",""สระแก้ว!Q764"")+IMPORTRANGE(""https://docs.google.com/spreadsheets/d/1xmPlrr1QbdSIKvl1dWUl9K4PjAfSL9oeMr_37QVzcxc/edit?usp=sharing"",""สระบุรี!Q764"")+IMPORTRANGE(""https://docs.google.com/spreadsheets/d/1j51vR6CYVGhABJpv6tkstgok82RLpXieLzW1yOY5rHw/edi"&amp;"t?usp=sharing"",""สิงห์บุรี!Q764"")+IMPORTRANGE(""https://docs.google.com/spreadsheets/d/1H1EalTWKUSzO4Z1-1CwzoDUaVffgrThEBe2sl74kKG0/edit?usp=sharing"",""สุพรรณบุรี!Q764"")+IMPORTRANGE(""https://docs.google.com/spreadsheets/d/1BmIruG_sIrJLYao_Pdr7zVArWsf"&amp;"oBt2692TMi6x_854/edit?usp=sharing"",""อ่างทอง!Q764"")"),0)</f>
        <v>0</v>
      </c>
      <c r="R764" s="80">
        <f ca="1">IFERROR(__xludf.DUMMYFUNCTION("IMPORTRANGE(""https://docs.google.com/spreadsheets/d/13wPX838HrBrQMCywv1BsuMkt4PEKTChp52zj44s2izQ/edit?usp=sharing"",""กาญจนบุรี!R764"")+IMPORTRANGE(""https://docs.google.com/spreadsheets/d/1ddFKvqj1W1NEiWytbGlB1zMx_ykJDVtmfEQ-6-lIUBA/edit?usp=sharing"","&amp;"""จันทบุรี!R764"")+IMPORTRANGE(""https://docs.google.com/spreadsheets/d/1T1PQvRODqOBZk8BRht_U031fIS1beLA0Ub2CEytj2q0/edit?usp=sharing"",""ฉะเชิงเทรา!R764"")+IMPORTRANGE(""https://docs.google.com/spreadsheets/d/11tr1B-Bhyr79v2bkwVh5h_fR-PStkgjlZtkrZpYurG0/"&amp;"edit?usp=sharing"",""ชลบุรี!R764"")+IMPORTRANGE(""https://docs.google.com/spreadsheets/d/1hh-FVnSX0vozXhGluamEcS54Dw9_zqW0N7qJUWgJ0Sw/edit?usp=sharing"",""ชัยนาท!R764"")+IMPORTRANGE(""https://docs.google.com/spreadsheets/d/1jkqa6GXxSacMcY1eN8AHjMNJ_7dDXMJ"&amp;"VRLDlaFSOdPM/edit?usp=sharing"",""ตราด!R764"")+IMPORTRANGE(""https://docs.google.com/spreadsheets/d/18hSgUJ3VwClqi_qtULmmW3cLr0oe3OKaSYoKzdpTsYQ/edit?usp=sharing"",""นครนายก!R764"")+IMPORTRANGE(""https://docs.google.com/spreadsheets/d/1YTZo6WM2dQ6Ix6FSdnL"&amp;"5P7uVnVKu40sxZu975tgG10E/edit?usp=sharing"",""นครปฐม!R764"")+IMPORTRANGE(""https://docs.google.com/spreadsheets/d/1OYoGg4WDg5RIzwGeB10padOxJF9E_Vljuvvct_M7RDo/edit?usp=sharing"",""ปทุมธานี!R764"")+IMPORTRANGE(""https://docs.google.com/spreadsheets/d/1GbCI"&amp;"E4D4wk9FUozzqk7SxfDMxDVBwVmI5zcaVUSzKAc/edit?usp=sharing"",""ประจวบคีรีขันธ์!R764"")+IMPORTRANGE(""https://docs.google.com/spreadsheets/d/1vVf6wykvW_lAyu7Yo9L4hUTqHqIeP_qcVuxCtosJEbg/edit?usp=sharing"",""ปราจีนบุรี!R764"")+IMPORTRANGE(""https://docs.googl"&amp;"e.com/spreadsheets/d/1BIDqLLg5jk3v59G8NlR8rk5xfQDKne0sAvZHSj7TI6I/edit?usp=sharing"",""พระนครศรีอยุธยา!R764"")+IMPORTRANGE(""https://docs.google.com/spreadsheets/d/1YXvxf8Yu6_rV4hTBrwMqAcAnv6DfhUxh5emyM3CJp_w/edit?usp=sharing"",""เพชรบุรี!R764"")+IMPORTRA"&amp;"NGE(""https://docs.google.com/spreadsheets/d/19KBlQQs7uwvsao6t2n-KvW3Ax8J8uRRfZPq1zPbXgKc/edit?usp=sharing"",""ระยอง!R764"")+IMPORTRANGE(""https://docs.google.com/spreadsheets/d/1jQ6P4QcrGM89YfqcC_PxOHGCMq5ezhucwJd8ci-NHng/edit?usp=sharing"",""ราชบุรี!R76"&amp;"4"")+IMPORTRANGE(""https://docs.google.com/spreadsheets/d/1lufeA2cfFqM-elVq2hznhDzC6Pr7wkJ9ZG_sYNGCMCU/edit?usp=sharing"",""ลพบุรี!R764"")+IMPORTRANGE(""https://docs.google.com/spreadsheets/d/10oOiF7loTyfsTkbd4MpaIm0HQ9SwB7IYHdIUvt-U1Uc/edit?usp=sharing"""&amp;",""สระแก้ว!R764"")+IMPORTRANGE(""https://docs.google.com/spreadsheets/d/1xmPlrr1QbdSIKvl1dWUl9K4PjAfSL9oeMr_37QVzcxc/edit?usp=sharing"",""สระบุรี!R764"")+IMPORTRANGE(""https://docs.google.com/spreadsheets/d/1j51vR6CYVGhABJpv6tkstgok82RLpXieLzW1yOY5rHw/edi"&amp;"t?usp=sharing"",""สิงห์บุรี!R764"")+IMPORTRANGE(""https://docs.google.com/spreadsheets/d/1H1EalTWKUSzO4Z1-1CwzoDUaVffgrThEBe2sl74kKG0/edit?usp=sharing"",""สุพรรณบุรี!R764"")+IMPORTRANGE(""https://docs.google.com/spreadsheets/d/1BmIruG_sIrJLYao_Pdr7zVArWsf"&amp;"oBt2692TMi6x_854/edit?usp=sharing"",""อ่างทอง!R764"")"),0)</f>
        <v>0</v>
      </c>
      <c r="S764" s="80">
        <f ca="1">IFERROR(__xludf.DUMMYFUNCTION("IMPORTRANGE(""https://docs.google.com/spreadsheets/d/13wPX838HrBrQMCywv1BsuMkt4PEKTChp52zj44s2izQ/edit?usp=sharing"",""กาญจนบุรี!S764"")+IMPORTRANGE(""https://docs.google.com/spreadsheets/d/1ddFKvqj1W1NEiWytbGlB1zMx_ykJDVtmfEQ-6-lIUBA/edit?usp=sharing"","&amp;"""จันทบุรี!S764"")+IMPORTRANGE(""https://docs.google.com/spreadsheets/d/1T1PQvRODqOBZk8BRht_U031fIS1beLA0Ub2CEytj2q0/edit?usp=sharing"",""ฉะเชิงเทรา!S764"")+IMPORTRANGE(""https://docs.google.com/spreadsheets/d/11tr1B-Bhyr79v2bkwVh5h_fR-PStkgjlZtkrZpYurG0/"&amp;"edit?usp=sharing"",""ชลบุรี!S764"")+IMPORTRANGE(""https://docs.google.com/spreadsheets/d/1hh-FVnSX0vozXhGluamEcS54Dw9_zqW0N7qJUWgJ0Sw/edit?usp=sharing"",""ชัยนาท!S764"")+IMPORTRANGE(""https://docs.google.com/spreadsheets/d/1jkqa6GXxSacMcY1eN8AHjMNJ_7dDXMJ"&amp;"VRLDlaFSOdPM/edit?usp=sharing"",""ตราด!S764"")+IMPORTRANGE(""https://docs.google.com/spreadsheets/d/18hSgUJ3VwClqi_qtULmmW3cLr0oe3OKaSYoKzdpTsYQ/edit?usp=sharing"",""นครนายก!S764"")+IMPORTRANGE(""https://docs.google.com/spreadsheets/d/1YTZo6WM2dQ6Ix6FSdnL"&amp;"5P7uVnVKu40sxZu975tgG10E/edit?usp=sharing"",""นครปฐม!S764"")+IMPORTRANGE(""https://docs.google.com/spreadsheets/d/1OYoGg4WDg5RIzwGeB10padOxJF9E_Vljuvvct_M7RDo/edit?usp=sharing"",""ปทุมธานี!S764"")+IMPORTRANGE(""https://docs.google.com/spreadsheets/d/1GbCI"&amp;"E4D4wk9FUozzqk7SxfDMxDVBwVmI5zcaVUSzKAc/edit?usp=sharing"",""ประจวบคีรีขันธ์!S764"")+IMPORTRANGE(""https://docs.google.com/spreadsheets/d/1vVf6wykvW_lAyu7Yo9L4hUTqHqIeP_qcVuxCtosJEbg/edit?usp=sharing"",""ปราจีนบุรี!S764"")+IMPORTRANGE(""https://docs.googl"&amp;"e.com/spreadsheets/d/1BIDqLLg5jk3v59G8NlR8rk5xfQDKne0sAvZHSj7TI6I/edit?usp=sharing"",""พระนครศรีอยุธยา!S764"")+IMPORTRANGE(""https://docs.google.com/spreadsheets/d/1YXvxf8Yu6_rV4hTBrwMqAcAnv6DfhUxh5emyM3CJp_w/edit?usp=sharing"",""เพชรบุรี!S764"")+IMPORTRA"&amp;"NGE(""https://docs.google.com/spreadsheets/d/19KBlQQs7uwvsao6t2n-KvW3Ax8J8uRRfZPq1zPbXgKc/edit?usp=sharing"",""ระยอง!S764"")+IMPORTRANGE(""https://docs.google.com/spreadsheets/d/1jQ6P4QcrGM89YfqcC_PxOHGCMq5ezhucwJd8ci-NHng/edit?usp=sharing"",""ราชบุรี!S76"&amp;"4"")+IMPORTRANGE(""https://docs.google.com/spreadsheets/d/1lufeA2cfFqM-elVq2hznhDzC6Pr7wkJ9ZG_sYNGCMCU/edit?usp=sharing"",""ลพบุรี!S764"")+IMPORTRANGE(""https://docs.google.com/spreadsheets/d/10oOiF7loTyfsTkbd4MpaIm0HQ9SwB7IYHdIUvt-U1Uc/edit?usp=sharing"""&amp;",""สระแก้ว!S764"")+IMPORTRANGE(""https://docs.google.com/spreadsheets/d/1xmPlrr1QbdSIKvl1dWUl9K4PjAfSL9oeMr_37QVzcxc/edit?usp=sharing"",""สระบุรี!S764"")+IMPORTRANGE(""https://docs.google.com/spreadsheets/d/1j51vR6CYVGhABJpv6tkstgok82RLpXieLzW1yOY5rHw/edi"&amp;"t?usp=sharing"",""สิงห์บุรี!S764"")+IMPORTRANGE(""https://docs.google.com/spreadsheets/d/1H1EalTWKUSzO4Z1-1CwzoDUaVffgrThEBe2sl74kKG0/edit?usp=sharing"",""สุพรรณบุรี!S764"")+IMPORTRANGE(""https://docs.google.com/spreadsheets/d/1BmIruG_sIrJLYao_Pdr7zVArWsf"&amp;"oBt2692TMi6x_854/edit?usp=sharing"",""อ่างทอง!S764"")"),0)</f>
        <v>0</v>
      </c>
      <c r="T764" s="136">
        <f t="shared" ca="1" si="516"/>
        <v>0</v>
      </c>
      <c r="U764" s="136">
        <f t="shared" ca="1" si="517"/>
        <v>0</v>
      </c>
    </row>
    <row r="765" spans="1:21" ht="18.75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f ca="1">IFERROR(__xludf.DUMMYFUNCTION("IMPORTRANGE(""https://docs.google.com/spreadsheets/d/13wPX838HrBrQMCywv1BsuMkt4PEKTChp52zj44s2izQ/edit?usp=sharing"",""กาญจนบุรี!L765"")+IMPORTRANGE(""https://docs.google.com/spreadsheets/d/1ddFKvqj1W1NEiWytbGlB1zMx_ykJDVtmfEQ-6-lIUBA/edit?usp=sharing"","&amp;"""จันทบุรี!L765"")+IMPORTRANGE(""https://docs.google.com/spreadsheets/d/1T1PQvRODqOBZk8BRht_U031fIS1beLA0Ub2CEytj2q0/edit?usp=sharing"",""ฉะเชิงเทรา!L765"")+IMPORTRANGE(""https://docs.google.com/spreadsheets/d/11tr1B-Bhyr79v2bkwVh5h_fR-PStkgjlZtkrZpYurG0/"&amp;"edit?usp=sharing"",""ชลบุรี!L765"")+IMPORTRANGE(""https://docs.google.com/spreadsheets/d/1hh-FVnSX0vozXhGluamEcS54Dw9_zqW0N7qJUWgJ0Sw/edit?usp=sharing"",""ชัยนาท!L765"")+IMPORTRANGE(""https://docs.google.com/spreadsheets/d/1jkqa6GXxSacMcY1eN8AHjMNJ_7dDXMJ"&amp;"VRLDlaFSOdPM/edit?usp=sharing"",""ตราด!L765"")+IMPORTRANGE(""https://docs.google.com/spreadsheets/d/18hSgUJ3VwClqi_qtULmmW3cLr0oe3OKaSYoKzdpTsYQ/edit?usp=sharing"",""นครนายก!L765"")+IMPORTRANGE(""https://docs.google.com/spreadsheets/d/1YTZo6WM2dQ6Ix6FSdnL"&amp;"5P7uVnVKu40sxZu975tgG10E/edit?usp=sharing"",""นครปฐม!L765"")+IMPORTRANGE(""https://docs.google.com/spreadsheets/d/1OYoGg4WDg5RIzwGeB10padOxJF9E_Vljuvvct_M7RDo/edit?usp=sharing"",""ปทุมธานี!L765"")+IMPORTRANGE(""https://docs.google.com/spreadsheets/d/1GbCI"&amp;"E4D4wk9FUozzqk7SxfDMxDVBwVmI5zcaVUSzKAc/edit?usp=sharing"",""ประจวบคีรีขันธ์!L765"")+IMPORTRANGE(""https://docs.google.com/spreadsheets/d/1vVf6wykvW_lAyu7Yo9L4hUTqHqIeP_qcVuxCtosJEbg/edit?usp=sharing"",""ปราจีนบุรี!L765"")+IMPORTRANGE(""https://docs.googl"&amp;"e.com/spreadsheets/d/1BIDqLLg5jk3v59G8NlR8rk5xfQDKne0sAvZHSj7TI6I/edit?usp=sharing"",""พระนครศรีอยุธยา!L765"")+IMPORTRANGE(""https://docs.google.com/spreadsheets/d/1YXvxf8Yu6_rV4hTBrwMqAcAnv6DfhUxh5emyM3CJp_w/edit?usp=sharing"",""เพชรบุรี!L765"")+IMPORTRA"&amp;"NGE(""https://docs.google.com/spreadsheets/d/19KBlQQs7uwvsao6t2n-KvW3Ax8J8uRRfZPq1zPbXgKc/edit?usp=sharing"",""ระยอง!L765"")+IMPORTRANGE(""https://docs.google.com/spreadsheets/d/1jQ6P4QcrGM89YfqcC_PxOHGCMq5ezhucwJd8ci-NHng/edit?usp=sharing"",""ราชบุรี!L76"&amp;"5"")+IMPORTRANGE(""https://docs.google.com/spreadsheets/d/1lufeA2cfFqM-elVq2hznhDzC6Pr7wkJ9ZG_sYNGCMCU/edit?usp=sharing"",""ลพบุรี!L765"")+IMPORTRANGE(""https://docs.google.com/spreadsheets/d/10oOiF7loTyfsTkbd4MpaIm0HQ9SwB7IYHdIUvt-U1Uc/edit?usp=sharing"""&amp;",""สระแก้ว!L765"")+IMPORTRANGE(""https://docs.google.com/spreadsheets/d/1xmPlrr1QbdSIKvl1dWUl9K4PjAfSL9oeMr_37QVzcxc/edit?usp=sharing"",""สระบุรี!L765"")+IMPORTRANGE(""https://docs.google.com/spreadsheets/d/1j51vR6CYVGhABJpv6tkstgok82RLpXieLzW1yOY5rHw/edi"&amp;"t?usp=sharing"",""สิงห์บุรี!L765"")+IMPORTRANGE(""https://docs.google.com/spreadsheets/d/1H1EalTWKUSzO4Z1-1CwzoDUaVffgrThEBe2sl74kKG0/edit?usp=sharing"",""สุพรรณบุรี!L765"")+IMPORTRANGE(""https://docs.google.com/spreadsheets/d/1BmIruG_sIrJLYao_Pdr7zVArWsf"&amp;"oBt2692TMi6x_854/edit?usp=sharing"",""อ่างทอง!L765"")"),0)</f>
        <v>0</v>
      </c>
      <c r="M765" s="77">
        <f ca="1">IFERROR(__xludf.DUMMYFUNCTION("IMPORTRANGE(""https://docs.google.com/spreadsheets/d/13wPX838HrBrQMCywv1BsuMkt4PEKTChp52zj44s2izQ/edit?usp=sharing"",""กาญจนบุรี!M765"")+IMPORTRANGE(""https://docs.google.com/spreadsheets/d/1ddFKvqj1W1NEiWytbGlB1zMx_ykJDVtmfEQ-6-lIUBA/edit?usp=sharing"","&amp;"""จันทบุรี!M765"")+IMPORTRANGE(""https://docs.google.com/spreadsheets/d/1T1PQvRODqOBZk8BRht_U031fIS1beLA0Ub2CEytj2q0/edit?usp=sharing"",""ฉะเชิงเทรา!M765"")+IMPORTRANGE(""https://docs.google.com/spreadsheets/d/11tr1B-Bhyr79v2bkwVh5h_fR-PStkgjlZtkrZpYurG0/"&amp;"edit?usp=sharing"",""ชลบุรี!M765"")+IMPORTRANGE(""https://docs.google.com/spreadsheets/d/1hh-FVnSX0vozXhGluamEcS54Dw9_zqW0N7qJUWgJ0Sw/edit?usp=sharing"",""ชัยนาท!M765"")+IMPORTRANGE(""https://docs.google.com/spreadsheets/d/1jkqa6GXxSacMcY1eN8AHjMNJ_7dDXMJ"&amp;"VRLDlaFSOdPM/edit?usp=sharing"",""ตราด!M765"")+IMPORTRANGE(""https://docs.google.com/spreadsheets/d/18hSgUJ3VwClqi_qtULmmW3cLr0oe3OKaSYoKzdpTsYQ/edit?usp=sharing"",""นครนายก!M765"")+IMPORTRANGE(""https://docs.google.com/spreadsheets/d/1YTZo6WM2dQ6Ix6FSdnL"&amp;"5P7uVnVKu40sxZu975tgG10E/edit?usp=sharing"",""นครปฐม!M765"")+IMPORTRANGE(""https://docs.google.com/spreadsheets/d/1OYoGg4WDg5RIzwGeB10padOxJF9E_Vljuvvct_M7RDo/edit?usp=sharing"",""ปทุมธานี!M765"")+IMPORTRANGE(""https://docs.google.com/spreadsheets/d/1GbCI"&amp;"E4D4wk9FUozzqk7SxfDMxDVBwVmI5zcaVUSzKAc/edit?usp=sharing"",""ประจวบคีรีขันธ์!M765"")+IMPORTRANGE(""https://docs.google.com/spreadsheets/d/1vVf6wykvW_lAyu7Yo9L4hUTqHqIeP_qcVuxCtosJEbg/edit?usp=sharing"",""ปราจีนบุรี!M765"")+IMPORTRANGE(""https://docs.googl"&amp;"e.com/spreadsheets/d/1BIDqLLg5jk3v59G8NlR8rk5xfQDKne0sAvZHSj7TI6I/edit?usp=sharing"",""พระนครศรีอยุธยา!M765"")+IMPORTRANGE(""https://docs.google.com/spreadsheets/d/1YXvxf8Yu6_rV4hTBrwMqAcAnv6DfhUxh5emyM3CJp_w/edit?usp=sharing"",""เพชรบุรี!M765"")+IMPORTRA"&amp;"NGE(""https://docs.google.com/spreadsheets/d/19KBlQQs7uwvsao6t2n-KvW3Ax8J8uRRfZPq1zPbXgKc/edit?usp=sharing"",""ระยอง!M765"")+IMPORTRANGE(""https://docs.google.com/spreadsheets/d/1jQ6P4QcrGM89YfqcC_PxOHGCMq5ezhucwJd8ci-NHng/edit?usp=sharing"",""ราชบุรี!M76"&amp;"5"")+IMPORTRANGE(""https://docs.google.com/spreadsheets/d/1lufeA2cfFqM-elVq2hznhDzC6Pr7wkJ9ZG_sYNGCMCU/edit?usp=sharing"",""ลพบุรี!M765"")+IMPORTRANGE(""https://docs.google.com/spreadsheets/d/10oOiF7loTyfsTkbd4MpaIm0HQ9SwB7IYHdIUvt-U1Uc/edit?usp=sharing"""&amp;",""สระแก้ว!M765"")+IMPORTRANGE(""https://docs.google.com/spreadsheets/d/1xmPlrr1QbdSIKvl1dWUl9K4PjAfSL9oeMr_37QVzcxc/edit?usp=sharing"",""สระบุรี!M765"")+IMPORTRANGE(""https://docs.google.com/spreadsheets/d/1j51vR6CYVGhABJpv6tkstgok82RLpXieLzW1yOY5rHw/edi"&amp;"t?usp=sharing"",""สิงห์บุรี!M765"")+IMPORTRANGE(""https://docs.google.com/spreadsheets/d/1H1EalTWKUSzO4Z1-1CwzoDUaVffgrThEBe2sl74kKG0/edit?usp=sharing"",""สุพรรณบุรี!M765"")+IMPORTRANGE(""https://docs.google.com/spreadsheets/d/1BmIruG_sIrJLYao_Pdr7zVArWsf"&amp;"oBt2692TMi6x_854/edit?usp=sharing"",""อ่างทอง!M765"")"),0)</f>
        <v>0</v>
      </c>
      <c r="N765" s="77">
        <f ca="1">IFERROR(__xludf.DUMMYFUNCTION("IMPORTRANGE(""https://docs.google.com/spreadsheets/d/13wPX838HrBrQMCywv1BsuMkt4PEKTChp52zj44s2izQ/edit?usp=sharing"",""กาญจนบุรี!N765"")+IMPORTRANGE(""https://docs.google.com/spreadsheets/d/1ddFKvqj1W1NEiWytbGlB1zMx_ykJDVtmfEQ-6-lIUBA/edit?usp=sharing"","&amp;"""จันทบุรี!N765"")+IMPORTRANGE(""https://docs.google.com/spreadsheets/d/1T1PQvRODqOBZk8BRht_U031fIS1beLA0Ub2CEytj2q0/edit?usp=sharing"",""ฉะเชิงเทรา!N765"")+IMPORTRANGE(""https://docs.google.com/spreadsheets/d/11tr1B-Bhyr79v2bkwVh5h_fR-PStkgjlZtkrZpYurG0/"&amp;"edit?usp=sharing"",""ชลบุรี!N765"")+IMPORTRANGE(""https://docs.google.com/spreadsheets/d/1hh-FVnSX0vozXhGluamEcS54Dw9_zqW0N7qJUWgJ0Sw/edit?usp=sharing"",""ชัยนาท!N765"")+IMPORTRANGE(""https://docs.google.com/spreadsheets/d/1jkqa6GXxSacMcY1eN8AHjMNJ_7dDXMJ"&amp;"VRLDlaFSOdPM/edit?usp=sharing"",""ตราด!N765"")+IMPORTRANGE(""https://docs.google.com/spreadsheets/d/18hSgUJ3VwClqi_qtULmmW3cLr0oe3OKaSYoKzdpTsYQ/edit?usp=sharing"",""นครนายก!N765"")+IMPORTRANGE(""https://docs.google.com/spreadsheets/d/1YTZo6WM2dQ6Ix6FSdnL"&amp;"5P7uVnVKu40sxZu975tgG10E/edit?usp=sharing"",""นครปฐม!N765"")+IMPORTRANGE(""https://docs.google.com/spreadsheets/d/1OYoGg4WDg5RIzwGeB10padOxJF9E_Vljuvvct_M7RDo/edit?usp=sharing"",""ปทุมธานี!N765"")+IMPORTRANGE(""https://docs.google.com/spreadsheets/d/1GbCI"&amp;"E4D4wk9FUozzqk7SxfDMxDVBwVmI5zcaVUSzKAc/edit?usp=sharing"",""ประจวบคีรีขันธ์!N765"")+IMPORTRANGE(""https://docs.google.com/spreadsheets/d/1vVf6wykvW_lAyu7Yo9L4hUTqHqIeP_qcVuxCtosJEbg/edit?usp=sharing"",""ปราจีนบุรี!N765"")+IMPORTRANGE(""https://docs.googl"&amp;"e.com/spreadsheets/d/1BIDqLLg5jk3v59G8NlR8rk5xfQDKne0sAvZHSj7TI6I/edit?usp=sharing"",""พระนครศรีอยุธยา!N765"")+IMPORTRANGE(""https://docs.google.com/spreadsheets/d/1YXvxf8Yu6_rV4hTBrwMqAcAnv6DfhUxh5emyM3CJp_w/edit?usp=sharing"",""เพชรบุรี!N765"")+IMPORTRA"&amp;"NGE(""https://docs.google.com/spreadsheets/d/19KBlQQs7uwvsao6t2n-KvW3Ax8J8uRRfZPq1zPbXgKc/edit?usp=sharing"",""ระยอง!N765"")+IMPORTRANGE(""https://docs.google.com/spreadsheets/d/1jQ6P4QcrGM89YfqcC_PxOHGCMq5ezhucwJd8ci-NHng/edit?usp=sharing"",""ราชบุรี!N76"&amp;"5"")+IMPORTRANGE(""https://docs.google.com/spreadsheets/d/1lufeA2cfFqM-elVq2hznhDzC6Pr7wkJ9ZG_sYNGCMCU/edit?usp=sharing"",""ลพบุรี!N765"")+IMPORTRANGE(""https://docs.google.com/spreadsheets/d/10oOiF7loTyfsTkbd4MpaIm0HQ9SwB7IYHdIUvt-U1Uc/edit?usp=sharing"""&amp;",""สระแก้ว!N765"")+IMPORTRANGE(""https://docs.google.com/spreadsheets/d/1xmPlrr1QbdSIKvl1dWUl9K4PjAfSL9oeMr_37QVzcxc/edit?usp=sharing"",""สระบุรี!N765"")+IMPORTRANGE(""https://docs.google.com/spreadsheets/d/1j51vR6CYVGhABJpv6tkstgok82RLpXieLzW1yOY5rHw/edi"&amp;"t?usp=sharing"",""สิงห์บุรี!N765"")+IMPORTRANGE(""https://docs.google.com/spreadsheets/d/1H1EalTWKUSzO4Z1-1CwzoDUaVffgrThEBe2sl74kKG0/edit?usp=sharing"",""สุพรรณบุรี!N765"")+IMPORTRANGE(""https://docs.google.com/spreadsheets/d/1BmIruG_sIrJLYao_Pdr7zVArWsf"&amp;"oBt2692TMi6x_854/edit?usp=sharing"",""อ่างทอง!N765"")"),0)</f>
        <v>0</v>
      </c>
      <c r="O765" s="77">
        <f t="shared" ca="1" si="513"/>
        <v>0</v>
      </c>
      <c r="P765" s="77">
        <f t="shared" ca="1" si="514"/>
        <v>0</v>
      </c>
      <c r="Q765" s="134">
        <f ca="1">IFERROR(__xludf.DUMMYFUNCTION("IMPORTRANGE(""https://docs.google.com/spreadsheets/d/13wPX838HrBrQMCywv1BsuMkt4PEKTChp52zj44s2izQ/edit?usp=sharing"",""กาญจนบุรี!Q765"")+IMPORTRANGE(""https://docs.google.com/spreadsheets/d/1ddFKvqj1W1NEiWytbGlB1zMx_ykJDVtmfEQ-6-lIUBA/edit?usp=sharing"","&amp;"""จันทบุรี!Q765"")+IMPORTRANGE(""https://docs.google.com/spreadsheets/d/1T1PQvRODqOBZk8BRht_U031fIS1beLA0Ub2CEytj2q0/edit?usp=sharing"",""ฉะเชิงเทรา!Q765"")+IMPORTRANGE(""https://docs.google.com/spreadsheets/d/11tr1B-Bhyr79v2bkwVh5h_fR-PStkgjlZtkrZpYurG0/"&amp;"edit?usp=sharing"",""ชลบุรี!Q765"")+IMPORTRANGE(""https://docs.google.com/spreadsheets/d/1hh-FVnSX0vozXhGluamEcS54Dw9_zqW0N7qJUWgJ0Sw/edit?usp=sharing"",""ชัยนาท!Q765"")+IMPORTRANGE(""https://docs.google.com/spreadsheets/d/1jkqa6GXxSacMcY1eN8AHjMNJ_7dDXMJ"&amp;"VRLDlaFSOdPM/edit?usp=sharing"",""ตราด!Q765"")+IMPORTRANGE(""https://docs.google.com/spreadsheets/d/18hSgUJ3VwClqi_qtULmmW3cLr0oe3OKaSYoKzdpTsYQ/edit?usp=sharing"",""นครนายก!Q765"")+IMPORTRANGE(""https://docs.google.com/spreadsheets/d/1YTZo6WM2dQ6Ix6FSdnL"&amp;"5P7uVnVKu40sxZu975tgG10E/edit?usp=sharing"",""นครปฐม!Q765"")+IMPORTRANGE(""https://docs.google.com/spreadsheets/d/1OYoGg4WDg5RIzwGeB10padOxJF9E_Vljuvvct_M7RDo/edit?usp=sharing"",""ปทุมธานี!Q765"")+IMPORTRANGE(""https://docs.google.com/spreadsheets/d/1GbCI"&amp;"E4D4wk9FUozzqk7SxfDMxDVBwVmI5zcaVUSzKAc/edit?usp=sharing"",""ประจวบคีรีขันธ์!Q765"")+IMPORTRANGE(""https://docs.google.com/spreadsheets/d/1vVf6wykvW_lAyu7Yo9L4hUTqHqIeP_qcVuxCtosJEbg/edit?usp=sharing"",""ปราจีนบุรี!Q765"")+IMPORTRANGE(""https://docs.googl"&amp;"e.com/spreadsheets/d/1BIDqLLg5jk3v59G8NlR8rk5xfQDKne0sAvZHSj7TI6I/edit?usp=sharing"",""พระนครศรีอยุธยา!Q765"")+IMPORTRANGE(""https://docs.google.com/spreadsheets/d/1YXvxf8Yu6_rV4hTBrwMqAcAnv6DfhUxh5emyM3CJp_w/edit?usp=sharing"",""เพชรบุรี!Q765"")+IMPORTRA"&amp;"NGE(""https://docs.google.com/spreadsheets/d/19KBlQQs7uwvsao6t2n-KvW3Ax8J8uRRfZPq1zPbXgKc/edit?usp=sharing"",""ระยอง!Q765"")+IMPORTRANGE(""https://docs.google.com/spreadsheets/d/1jQ6P4QcrGM89YfqcC_PxOHGCMq5ezhucwJd8ci-NHng/edit?usp=sharing"",""ราชบุรี!Q76"&amp;"5"")+IMPORTRANGE(""https://docs.google.com/spreadsheets/d/1lufeA2cfFqM-elVq2hznhDzC6Pr7wkJ9ZG_sYNGCMCU/edit?usp=sharing"",""ลพบุรี!Q765"")+IMPORTRANGE(""https://docs.google.com/spreadsheets/d/10oOiF7loTyfsTkbd4MpaIm0HQ9SwB7IYHdIUvt-U1Uc/edit?usp=sharing"""&amp;",""สระแก้ว!Q765"")+IMPORTRANGE(""https://docs.google.com/spreadsheets/d/1xmPlrr1QbdSIKvl1dWUl9K4PjAfSL9oeMr_37QVzcxc/edit?usp=sharing"",""สระบุรี!Q765"")+IMPORTRANGE(""https://docs.google.com/spreadsheets/d/1j51vR6CYVGhABJpv6tkstgok82RLpXieLzW1yOY5rHw/edi"&amp;"t?usp=sharing"",""สิงห์บุรี!Q765"")+IMPORTRANGE(""https://docs.google.com/spreadsheets/d/1H1EalTWKUSzO4Z1-1CwzoDUaVffgrThEBe2sl74kKG0/edit?usp=sharing"",""สุพรรณบุรี!Q765"")+IMPORTRANGE(""https://docs.google.com/spreadsheets/d/1BmIruG_sIrJLYao_Pdr7zVArWsf"&amp;"oBt2692TMi6x_854/edit?usp=sharing"",""อ่างทอง!Q765"")"),3121330)</f>
        <v>3121330</v>
      </c>
      <c r="R765" s="135">
        <f ca="1">IFERROR(__xludf.DUMMYFUNCTION("IMPORTRANGE(""https://docs.google.com/spreadsheets/d/13wPX838HrBrQMCywv1BsuMkt4PEKTChp52zj44s2izQ/edit?usp=sharing"",""กาญจนบุรี!R765"")+IMPORTRANGE(""https://docs.google.com/spreadsheets/d/1ddFKvqj1W1NEiWytbGlB1zMx_ykJDVtmfEQ-6-lIUBA/edit?usp=sharing"","&amp;"""จันทบุรี!R765"")+IMPORTRANGE(""https://docs.google.com/spreadsheets/d/1T1PQvRODqOBZk8BRht_U031fIS1beLA0Ub2CEytj2q0/edit?usp=sharing"",""ฉะเชิงเทรา!R765"")+IMPORTRANGE(""https://docs.google.com/spreadsheets/d/11tr1B-Bhyr79v2bkwVh5h_fR-PStkgjlZtkrZpYurG0/"&amp;"edit?usp=sharing"",""ชลบุรี!R765"")+IMPORTRANGE(""https://docs.google.com/spreadsheets/d/1hh-FVnSX0vozXhGluamEcS54Dw9_zqW0N7qJUWgJ0Sw/edit?usp=sharing"",""ชัยนาท!R765"")+IMPORTRANGE(""https://docs.google.com/spreadsheets/d/1jkqa6GXxSacMcY1eN8AHjMNJ_7dDXMJ"&amp;"VRLDlaFSOdPM/edit?usp=sharing"",""ตราด!R765"")+IMPORTRANGE(""https://docs.google.com/spreadsheets/d/18hSgUJ3VwClqi_qtULmmW3cLr0oe3OKaSYoKzdpTsYQ/edit?usp=sharing"",""นครนายก!R765"")+IMPORTRANGE(""https://docs.google.com/spreadsheets/d/1YTZo6WM2dQ6Ix6FSdnL"&amp;"5P7uVnVKu40sxZu975tgG10E/edit?usp=sharing"",""นครปฐม!R765"")+IMPORTRANGE(""https://docs.google.com/spreadsheets/d/1OYoGg4WDg5RIzwGeB10padOxJF9E_Vljuvvct_M7RDo/edit?usp=sharing"",""ปทุมธานี!R765"")+IMPORTRANGE(""https://docs.google.com/spreadsheets/d/1GbCI"&amp;"E4D4wk9FUozzqk7SxfDMxDVBwVmI5zcaVUSzKAc/edit?usp=sharing"",""ประจวบคีรีขันธ์!R765"")+IMPORTRANGE(""https://docs.google.com/spreadsheets/d/1vVf6wykvW_lAyu7Yo9L4hUTqHqIeP_qcVuxCtosJEbg/edit?usp=sharing"",""ปราจีนบุรี!R765"")+IMPORTRANGE(""https://docs.googl"&amp;"e.com/spreadsheets/d/1BIDqLLg5jk3v59G8NlR8rk5xfQDKne0sAvZHSj7TI6I/edit?usp=sharing"",""พระนครศรีอยุธยา!R765"")+IMPORTRANGE(""https://docs.google.com/spreadsheets/d/1YXvxf8Yu6_rV4hTBrwMqAcAnv6DfhUxh5emyM3CJp_w/edit?usp=sharing"",""เพชรบุรี!R765"")+IMPORTRA"&amp;"NGE(""https://docs.google.com/spreadsheets/d/19KBlQQs7uwvsao6t2n-KvW3Ax8J8uRRfZPq1zPbXgKc/edit?usp=sharing"",""ระยอง!R765"")+IMPORTRANGE(""https://docs.google.com/spreadsheets/d/1jQ6P4QcrGM89YfqcC_PxOHGCMq5ezhucwJd8ci-NHng/edit?usp=sharing"",""ราชบุรี!R76"&amp;"5"")+IMPORTRANGE(""https://docs.google.com/spreadsheets/d/1lufeA2cfFqM-elVq2hznhDzC6Pr7wkJ9ZG_sYNGCMCU/edit?usp=sharing"",""ลพบุรี!R765"")+IMPORTRANGE(""https://docs.google.com/spreadsheets/d/10oOiF7loTyfsTkbd4MpaIm0HQ9SwB7IYHdIUvt-U1Uc/edit?usp=sharing"""&amp;",""สระแก้ว!R765"")+IMPORTRANGE(""https://docs.google.com/spreadsheets/d/1xmPlrr1QbdSIKvl1dWUl9K4PjAfSL9oeMr_37QVzcxc/edit?usp=sharing"",""สระบุรี!R765"")+IMPORTRANGE(""https://docs.google.com/spreadsheets/d/1j51vR6CYVGhABJpv6tkstgok82RLpXieLzW1yOY5rHw/edi"&amp;"t?usp=sharing"",""สิงห์บุรี!R765"")+IMPORTRANGE(""https://docs.google.com/spreadsheets/d/1H1EalTWKUSzO4Z1-1CwzoDUaVffgrThEBe2sl74kKG0/edit?usp=sharing"",""สุพรรณบุรี!R765"")+IMPORTRANGE(""https://docs.google.com/spreadsheets/d/1BmIruG_sIrJLYao_Pdr7zVArWsf"&amp;"oBt2692TMi6x_854/edit?usp=sharing"",""อ่างทอง!R765"")"),3121330)</f>
        <v>3121330</v>
      </c>
      <c r="S765" s="135">
        <f ca="1">IFERROR(__xludf.DUMMYFUNCTION("IMPORTRANGE(""https://docs.google.com/spreadsheets/d/13wPX838HrBrQMCywv1BsuMkt4PEKTChp52zj44s2izQ/edit?usp=sharing"",""กาญจนบุรี!S765"")+IMPORTRANGE(""https://docs.google.com/spreadsheets/d/1ddFKvqj1W1NEiWytbGlB1zMx_ykJDVtmfEQ-6-lIUBA/edit?usp=sharing"","&amp;"""จันทบุรี!S765"")+IMPORTRANGE(""https://docs.google.com/spreadsheets/d/1T1PQvRODqOBZk8BRht_U031fIS1beLA0Ub2CEytj2q0/edit?usp=sharing"",""ฉะเชิงเทรา!S765"")+IMPORTRANGE(""https://docs.google.com/spreadsheets/d/11tr1B-Bhyr79v2bkwVh5h_fR-PStkgjlZtkrZpYurG0/"&amp;"edit?usp=sharing"",""ชลบุรี!S765"")+IMPORTRANGE(""https://docs.google.com/spreadsheets/d/1hh-FVnSX0vozXhGluamEcS54Dw9_zqW0N7qJUWgJ0Sw/edit?usp=sharing"",""ชัยนาท!S765"")+IMPORTRANGE(""https://docs.google.com/spreadsheets/d/1jkqa6GXxSacMcY1eN8AHjMNJ_7dDXMJ"&amp;"VRLDlaFSOdPM/edit?usp=sharing"",""ตราด!S765"")+IMPORTRANGE(""https://docs.google.com/spreadsheets/d/18hSgUJ3VwClqi_qtULmmW3cLr0oe3OKaSYoKzdpTsYQ/edit?usp=sharing"",""นครนายก!S765"")+IMPORTRANGE(""https://docs.google.com/spreadsheets/d/1YTZo6WM2dQ6Ix6FSdnL"&amp;"5P7uVnVKu40sxZu975tgG10E/edit?usp=sharing"",""นครปฐม!S765"")+IMPORTRANGE(""https://docs.google.com/spreadsheets/d/1OYoGg4WDg5RIzwGeB10padOxJF9E_Vljuvvct_M7RDo/edit?usp=sharing"",""ปทุมธานี!S765"")+IMPORTRANGE(""https://docs.google.com/spreadsheets/d/1GbCI"&amp;"E4D4wk9FUozzqk7SxfDMxDVBwVmI5zcaVUSzKAc/edit?usp=sharing"",""ประจวบคีรีขันธ์!S765"")+IMPORTRANGE(""https://docs.google.com/spreadsheets/d/1vVf6wykvW_lAyu7Yo9L4hUTqHqIeP_qcVuxCtosJEbg/edit?usp=sharing"",""ปราจีนบุรี!S765"")+IMPORTRANGE(""https://docs.googl"&amp;"e.com/spreadsheets/d/1BIDqLLg5jk3v59G8NlR8rk5xfQDKne0sAvZHSj7TI6I/edit?usp=sharing"",""พระนครศรีอยุธยา!S765"")+IMPORTRANGE(""https://docs.google.com/spreadsheets/d/1YXvxf8Yu6_rV4hTBrwMqAcAnv6DfhUxh5emyM3CJp_w/edit?usp=sharing"",""เพชรบุรี!S765"")+IMPORTRA"&amp;"NGE(""https://docs.google.com/spreadsheets/d/19KBlQQs7uwvsao6t2n-KvW3Ax8J8uRRfZPq1zPbXgKc/edit?usp=sharing"",""ระยอง!S765"")+IMPORTRANGE(""https://docs.google.com/spreadsheets/d/1jQ6P4QcrGM89YfqcC_PxOHGCMq5ezhucwJd8ci-NHng/edit?usp=sharing"",""ราชบุรี!S76"&amp;"5"")+IMPORTRANGE(""https://docs.google.com/spreadsheets/d/1lufeA2cfFqM-elVq2hznhDzC6Pr7wkJ9ZG_sYNGCMCU/edit?usp=sharing"",""ลพบุรี!S765"")+IMPORTRANGE(""https://docs.google.com/spreadsheets/d/10oOiF7loTyfsTkbd4MpaIm0HQ9SwB7IYHdIUvt-U1Uc/edit?usp=sharing"""&amp;",""สระแก้ว!S765"")+IMPORTRANGE(""https://docs.google.com/spreadsheets/d/1xmPlrr1QbdSIKvl1dWUl9K4PjAfSL9oeMr_37QVzcxc/edit?usp=sharing"",""สระบุรี!S765"")+IMPORTRANGE(""https://docs.google.com/spreadsheets/d/1j51vR6CYVGhABJpv6tkstgok82RLpXieLzW1yOY5rHw/edi"&amp;"t?usp=sharing"",""สิงห์บุรี!S765"")+IMPORTRANGE(""https://docs.google.com/spreadsheets/d/1H1EalTWKUSzO4Z1-1CwzoDUaVffgrThEBe2sl74kKG0/edit?usp=sharing"",""สุพรรณบุรี!S765"")+IMPORTRANGE(""https://docs.google.com/spreadsheets/d/1BmIruG_sIrJLYao_Pdr7zVArWsf"&amp;"oBt2692TMi6x_854/edit?usp=sharing"",""อ่างทอง!S765"")"),1151917)</f>
        <v>1151917</v>
      </c>
      <c r="T765" s="135">
        <f t="shared" ca="1" si="516"/>
        <v>36.904684861901821</v>
      </c>
      <c r="U765" s="135">
        <f t="shared" ca="1" si="517"/>
        <v>36.904684861901821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 t="shared" ref="L766:N766" ca="1" si="524">L767+L768</f>
        <v>0</v>
      </c>
      <c r="M766" s="77">
        <f t="shared" ca="1" si="524"/>
        <v>0</v>
      </c>
      <c r="N766" s="77">
        <f t="shared" ca="1" si="524"/>
        <v>0</v>
      </c>
      <c r="O766" s="77">
        <f t="shared" ca="1" si="513"/>
        <v>0</v>
      </c>
      <c r="P766" s="77">
        <f t="shared" ca="1" si="514"/>
        <v>0</v>
      </c>
      <c r="Q766" s="134">
        <f t="shared" ref="Q766:S766" ca="1" si="525">Q767+Q768</f>
        <v>0</v>
      </c>
      <c r="R766" s="135">
        <f t="shared" ca="1" si="525"/>
        <v>0</v>
      </c>
      <c r="S766" s="135">
        <f t="shared" ca="1" si="525"/>
        <v>0</v>
      </c>
      <c r="T766" s="135">
        <f t="shared" ca="1" si="516"/>
        <v>0</v>
      </c>
      <c r="U766" s="135">
        <f t="shared" ca="1" si="517"/>
        <v>0</v>
      </c>
    </row>
    <row r="767" spans="1:21" ht="18.75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f ca="1">IFERROR(__xludf.DUMMYFUNCTION("IMPORTRANGE(""https://docs.google.com/spreadsheets/d/13wPX838HrBrQMCywv1BsuMkt4PEKTChp52zj44s2izQ/edit?usp=sharing"",""กาญจนบุรี!L767"")+IMPORTRANGE(""https://docs.google.com/spreadsheets/d/1ddFKvqj1W1NEiWytbGlB1zMx_ykJDVtmfEQ-6-lIUBA/edit?usp=sharing"","&amp;"""จันทบุรี!L767"")+IMPORTRANGE(""https://docs.google.com/spreadsheets/d/1T1PQvRODqOBZk8BRht_U031fIS1beLA0Ub2CEytj2q0/edit?usp=sharing"",""ฉะเชิงเทรา!L767"")+IMPORTRANGE(""https://docs.google.com/spreadsheets/d/11tr1B-Bhyr79v2bkwVh5h_fR-PStkgjlZtkrZpYurG0/"&amp;"edit?usp=sharing"",""ชลบุรี!L767"")+IMPORTRANGE(""https://docs.google.com/spreadsheets/d/1hh-FVnSX0vozXhGluamEcS54Dw9_zqW0N7qJUWgJ0Sw/edit?usp=sharing"",""ชัยนาท!L767"")+IMPORTRANGE(""https://docs.google.com/spreadsheets/d/1jkqa6GXxSacMcY1eN8AHjMNJ_7dDXMJ"&amp;"VRLDlaFSOdPM/edit?usp=sharing"",""ตราด!L767"")+IMPORTRANGE(""https://docs.google.com/spreadsheets/d/18hSgUJ3VwClqi_qtULmmW3cLr0oe3OKaSYoKzdpTsYQ/edit?usp=sharing"",""นครนายก!L767"")+IMPORTRANGE(""https://docs.google.com/spreadsheets/d/1YTZo6WM2dQ6Ix6FSdnL"&amp;"5P7uVnVKu40sxZu975tgG10E/edit?usp=sharing"",""นครปฐม!L767"")+IMPORTRANGE(""https://docs.google.com/spreadsheets/d/1OYoGg4WDg5RIzwGeB10padOxJF9E_Vljuvvct_M7RDo/edit?usp=sharing"",""ปทุมธานี!L767"")+IMPORTRANGE(""https://docs.google.com/spreadsheets/d/1GbCI"&amp;"E4D4wk9FUozzqk7SxfDMxDVBwVmI5zcaVUSzKAc/edit?usp=sharing"",""ประจวบคีรีขันธ์!L767"")+IMPORTRANGE(""https://docs.google.com/spreadsheets/d/1vVf6wykvW_lAyu7Yo9L4hUTqHqIeP_qcVuxCtosJEbg/edit?usp=sharing"",""ปราจีนบุรี!L767"")+IMPORTRANGE(""https://docs.googl"&amp;"e.com/spreadsheets/d/1BIDqLLg5jk3v59G8NlR8rk5xfQDKne0sAvZHSj7TI6I/edit?usp=sharing"",""พระนครศรีอยุธยา!L767"")+IMPORTRANGE(""https://docs.google.com/spreadsheets/d/1YXvxf8Yu6_rV4hTBrwMqAcAnv6DfhUxh5emyM3CJp_w/edit?usp=sharing"",""เพชรบุรี!L767"")+IMPORTRA"&amp;"NGE(""https://docs.google.com/spreadsheets/d/19KBlQQs7uwvsao6t2n-KvW3Ax8J8uRRfZPq1zPbXgKc/edit?usp=sharing"",""ระยอง!L767"")+IMPORTRANGE(""https://docs.google.com/spreadsheets/d/1jQ6P4QcrGM89YfqcC_PxOHGCMq5ezhucwJd8ci-NHng/edit?usp=sharing"",""ราชบุรี!L76"&amp;"7"")+IMPORTRANGE(""https://docs.google.com/spreadsheets/d/1lufeA2cfFqM-elVq2hznhDzC6Pr7wkJ9ZG_sYNGCMCU/edit?usp=sharing"",""ลพบุรี!L767"")+IMPORTRANGE(""https://docs.google.com/spreadsheets/d/10oOiF7loTyfsTkbd4MpaIm0HQ9SwB7IYHdIUvt-U1Uc/edit?usp=sharing"""&amp;",""สระแก้ว!L767"")+IMPORTRANGE(""https://docs.google.com/spreadsheets/d/1xmPlrr1QbdSIKvl1dWUl9K4PjAfSL9oeMr_37QVzcxc/edit?usp=sharing"",""สระบุรี!L767"")+IMPORTRANGE(""https://docs.google.com/spreadsheets/d/1j51vR6CYVGhABJpv6tkstgok82RLpXieLzW1yOY5rHw/edi"&amp;"t?usp=sharing"",""สิงห์บุรี!L767"")+IMPORTRANGE(""https://docs.google.com/spreadsheets/d/1H1EalTWKUSzO4Z1-1CwzoDUaVffgrThEBe2sl74kKG0/edit?usp=sharing"",""สุพรรณบุรี!L767"")+IMPORTRANGE(""https://docs.google.com/spreadsheets/d/1BmIruG_sIrJLYao_Pdr7zVArWsf"&amp;"oBt2692TMi6x_854/edit?usp=sharing"",""อ่างทอง!L767"")"),0)</f>
        <v>0</v>
      </c>
      <c r="M767" s="80">
        <f ca="1">IFERROR(__xludf.DUMMYFUNCTION("IMPORTRANGE(""https://docs.google.com/spreadsheets/d/13wPX838HrBrQMCywv1BsuMkt4PEKTChp52zj44s2izQ/edit?usp=sharing"",""กาญจนบุรี!M767"")+IMPORTRANGE(""https://docs.google.com/spreadsheets/d/1ddFKvqj1W1NEiWytbGlB1zMx_ykJDVtmfEQ-6-lIUBA/edit?usp=sharing"","&amp;"""จันทบุรี!M767"")+IMPORTRANGE(""https://docs.google.com/spreadsheets/d/1T1PQvRODqOBZk8BRht_U031fIS1beLA0Ub2CEytj2q0/edit?usp=sharing"",""ฉะเชิงเทรา!M767"")+IMPORTRANGE(""https://docs.google.com/spreadsheets/d/11tr1B-Bhyr79v2bkwVh5h_fR-PStkgjlZtkrZpYurG0/"&amp;"edit?usp=sharing"",""ชลบุรี!M767"")+IMPORTRANGE(""https://docs.google.com/spreadsheets/d/1hh-FVnSX0vozXhGluamEcS54Dw9_zqW0N7qJUWgJ0Sw/edit?usp=sharing"",""ชัยนาท!M767"")+IMPORTRANGE(""https://docs.google.com/spreadsheets/d/1jkqa6GXxSacMcY1eN8AHjMNJ_7dDXMJ"&amp;"VRLDlaFSOdPM/edit?usp=sharing"",""ตราด!M767"")+IMPORTRANGE(""https://docs.google.com/spreadsheets/d/18hSgUJ3VwClqi_qtULmmW3cLr0oe3OKaSYoKzdpTsYQ/edit?usp=sharing"",""นครนายก!M767"")+IMPORTRANGE(""https://docs.google.com/spreadsheets/d/1YTZo6WM2dQ6Ix6FSdnL"&amp;"5P7uVnVKu40sxZu975tgG10E/edit?usp=sharing"",""นครปฐม!M767"")+IMPORTRANGE(""https://docs.google.com/spreadsheets/d/1OYoGg4WDg5RIzwGeB10padOxJF9E_Vljuvvct_M7RDo/edit?usp=sharing"",""ปทุมธานี!M767"")+IMPORTRANGE(""https://docs.google.com/spreadsheets/d/1GbCI"&amp;"E4D4wk9FUozzqk7SxfDMxDVBwVmI5zcaVUSzKAc/edit?usp=sharing"",""ประจวบคีรีขันธ์!M767"")+IMPORTRANGE(""https://docs.google.com/spreadsheets/d/1vVf6wykvW_lAyu7Yo9L4hUTqHqIeP_qcVuxCtosJEbg/edit?usp=sharing"",""ปราจีนบุรี!M767"")+IMPORTRANGE(""https://docs.googl"&amp;"e.com/spreadsheets/d/1BIDqLLg5jk3v59G8NlR8rk5xfQDKne0sAvZHSj7TI6I/edit?usp=sharing"",""พระนครศรีอยุธยา!M767"")+IMPORTRANGE(""https://docs.google.com/spreadsheets/d/1YXvxf8Yu6_rV4hTBrwMqAcAnv6DfhUxh5emyM3CJp_w/edit?usp=sharing"",""เพชรบุรี!M767"")+IMPORTRA"&amp;"NGE(""https://docs.google.com/spreadsheets/d/19KBlQQs7uwvsao6t2n-KvW3Ax8J8uRRfZPq1zPbXgKc/edit?usp=sharing"",""ระยอง!M767"")+IMPORTRANGE(""https://docs.google.com/spreadsheets/d/1jQ6P4QcrGM89YfqcC_PxOHGCMq5ezhucwJd8ci-NHng/edit?usp=sharing"",""ราชบุรี!M76"&amp;"7"")+IMPORTRANGE(""https://docs.google.com/spreadsheets/d/1lufeA2cfFqM-elVq2hznhDzC6Pr7wkJ9ZG_sYNGCMCU/edit?usp=sharing"",""ลพบุรี!M767"")+IMPORTRANGE(""https://docs.google.com/spreadsheets/d/10oOiF7loTyfsTkbd4MpaIm0HQ9SwB7IYHdIUvt-U1Uc/edit?usp=sharing"""&amp;",""สระแก้ว!M767"")+IMPORTRANGE(""https://docs.google.com/spreadsheets/d/1xmPlrr1QbdSIKvl1dWUl9K4PjAfSL9oeMr_37QVzcxc/edit?usp=sharing"",""สระบุรี!M767"")+IMPORTRANGE(""https://docs.google.com/spreadsheets/d/1j51vR6CYVGhABJpv6tkstgok82RLpXieLzW1yOY5rHw/edi"&amp;"t?usp=sharing"",""สิงห์บุรี!M767"")+IMPORTRANGE(""https://docs.google.com/spreadsheets/d/1H1EalTWKUSzO4Z1-1CwzoDUaVffgrThEBe2sl74kKG0/edit?usp=sharing"",""สุพรรณบุรี!M767"")+IMPORTRANGE(""https://docs.google.com/spreadsheets/d/1BmIruG_sIrJLYao_Pdr7zVArWsf"&amp;"oBt2692TMi6x_854/edit?usp=sharing"",""อ่างทอง!M767"")"),0)</f>
        <v>0</v>
      </c>
      <c r="N767" s="80">
        <f ca="1">IFERROR(__xludf.DUMMYFUNCTION("IMPORTRANGE(""https://docs.google.com/spreadsheets/d/13wPX838HrBrQMCywv1BsuMkt4PEKTChp52zj44s2izQ/edit?usp=sharing"",""กาญจนบุรี!N767"")+IMPORTRANGE(""https://docs.google.com/spreadsheets/d/1ddFKvqj1W1NEiWytbGlB1zMx_ykJDVtmfEQ-6-lIUBA/edit?usp=sharing"","&amp;"""จันทบุรี!N767"")+IMPORTRANGE(""https://docs.google.com/spreadsheets/d/1T1PQvRODqOBZk8BRht_U031fIS1beLA0Ub2CEytj2q0/edit?usp=sharing"",""ฉะเชิงเทรา!N767"")+IMPORTRANGE(""https://docs.google.com/spreadsheets/d/11tr1B-Bhyr79v2bkwVh5h_fR-PStkgjlZtkrZpYurG0/"&amp;"edit?usp=sharing"",""ชลบุรี!N767"")+IMPORTRANGE(""https://docs.google.com/spreadsheets/d/1hh-FVnSX0vozXhGluamEcS54Dw9_zqW0N7qJUWgJ0Sw/edit?usp=sharing"",""ชัยนาท!N767"")+IMPORTRANGE(""https://docs.google.com/spreadsheets/d/1jkqa6GXxSacMcY1eN8AHjMNJ_7dDXMJ"&amp;"VRLDlaFSOdPM/edit?usp=sharing"",""ตราด!N767"")+IMPORTRANGE(""https://docs.google.com/spreadsheets/d/18hSgUJ3VwClqi_qtULmmW3cLr0oe3OKaSYoKzdpTsYQ/edit?usp=sharing"",""นครนายก!N767"")+IMPORTRANGE(""https://docs.google.com/spreadsheets/d/1YTZo6WM2dQ6Ix6FSdnL"&amp;"5P7uVnVKu40sxZu975tgG10E/edit?usp=sharing"",""นครปฐม!N767"")+IMPORTRANGE(""https://docs.google.com/spreadsheets/d/1OYoGg4WDg5RIzwGeB10padOxJF9E_Vljuvvct_M7RDo/edit?usp=sharing"",""ปทุมธานี!N767"")+IMPORTRANGE(""https://docs.google.com/spreadsheets/d/1GbCI"&amp;"E4D4wk9FUozzqk7SxfDMxDVBwVmI5zcaVUSzKAc/edit?usp=sharing"",""ประจวบคีรีขันธ์!N767"")+IMPORTRANGE(""https://docs.google.com/spreadsheets/d/1vVf6wykvW_lAyu7Yo9L4hUTqHqIeP_qcVuxCtosJEbg/edit?usp=sharing"",""ปราจีนบุรี!N767"")+IMPORTRANGE(""https://docs.googl"&amp;"e.com/spreadsheets/d/1BIDqLLg5jk3v59G8NlR8rk5xfQDKne0sAvZHSj7TI6I/edit?usp=sharing"",""พระนครศรีอยุธยา!N767"")+IMPORTRANGE(""https://docs.google.com/spreadsheets/d/1YXvxf8Yu6_rV4hTBrwMqAcAnv6DfhUxh5emyM3CJp_w/edit?usp=sharing"",""เพชรบุรี!N767"")+IMPORTRA"&amp;"NGE(""https://docs.google.com/spreadsheets/d/19KBlQQs7uwvsao6t2n-KvW3Ax8J8uRRfZPq1zPbXgKc/edit?usp=sharing"",""ระยอง!N767"")+IMPORTRANGE(""https://docs.google.com/spreadsheets/d/1jQ6P4QcrGM89YfqcC_PxOHGCMq5ezhucwJd8ci-NHng/edit?usp=sharing"",""ราชบุรี!N76"&amp;"7"")+IMPORTRANGE(""https://docs.google.com/spreadsheets/d/1lufeA2cfFqM-elVq2hznhDzC6Pr7wkJ9ZG_sYNGCMCU/edit?usp=sharing"",""ลพบุรี!N767"")+IMPORTRANGE(""https://docs.google.com/spreadsheets/d/10oOiF7loTyfsTkbd4MpaIm0HQ9SwB7IYHdIUvt-U1Uc/edit?usp=sharing"""&amp;",""สระแก้ว!N767"")+IMPORTRANGE(""https://docs.google.com/spreadsheets/d/1xmPlrr1QbdSIKvl1dWUl9K4PjAfSL9oeMr_37QVzcxc/edit?usp=sharing"",""สระบุรี!N767"")+IMPORTRANGE(""https://docs.google.com/spreadsheets/d/1j51vR6CYVGhABJpv6tkstgok82RLpXieLzW1yOY5rHw/edi"&amp;"t?usp=sharing"",""สิงห์บุรี!N767"")+IMPORTRANGE(""https://docs.google.com/spreadsheets/d/1H1EalTWKUSzO4Z1-1CwzoDUaVffgrThEBe2sl74kKG0/edit?usp=sharing"",""สุพรรณบุรี!N767"")+IMPORTRANGE(""https://docs.google.com/spreadsheets/d/1BmIruG_sIrJLYao_Pdr7zVArWsf"&amp;"oBt2692TMi6x_854/edit?usp=sharing"",""อ่างทอง!N767"")"),0)</f>
        <v>0</v>
      </c>
      <c r="O767" s="80">
        <f t="shared" ca="1" si="513"/>
        <v>0</v>
      </c>
      <c r="P767" s="80">
        <f t="shared" ca="1" si="514"/>
        <v>0</v>
      </c>
      <c r="Q767" s="79">
        <f ca="1">IFERROR(__xludf.DUMMYFUNCTION("IMPORTRANGE(""https://docs.google.com/spreadsheets/d/13wPX838HrBrQMCywv1BsuMkt4PEKTChp52zj44s2izQ/edit?usp=sharing"",""กาญจนบุรี!Q767"")+IMPORTRANGE(""https://docs.google.com/spreadsheets/d/1ddFKvqj1W1NEiWytbGlB1zMx_ykJDVtmfEQ-6-lIUBA/edit?usp=sharing"","&amp;"""จันทบุรี!Q767"")+IMPORTRANGE(""https://docs.google.com/spreadsheets/d/1T1PQvRODqOBZk8BRht_U031fIS1beLA0Ub2CEytj2q0/edit?usp=sharing"",""ฉะเชิงเทรา!Q767"")+IMPORTRANGE(""https://docs.google.com/spreadsheets/d/11tr1B-Bhyr79v2bkwVh5h_fR-PStkgjlZtkrZpYurG0/"&amp;"edit?usp=sharing"",""ชลบุรี!Q767"")+IMPORTRANGE(""https://docs.google.com/spreadsheets/d/1hh-FVnSX0vozXhGluamEcS54Dw9_zqW0N7qJUWgJ0Sw/edit?usp=sharing"",""ชัยนาท!Q767"")+IMPORTRANGE(""https://docs.google.com/spreadsheets/d/1jkqa6GXxSacMcY1eN8AHjMNJ_7dDXMJ"&amp;"VRLDlaFSOdPM/edit?usp=sharing"",""ตราด!Q767"")+IMPORTRANGE(""https://docs.google.com/spreadsheets/d/18hSgUJ3VwClqi_qtULmmW3cLr0oe3OKaSYoKzdpTsYQ/edit?usp=sharing"",""นครนายก!Q767"")+IMPORTRANGE(""https://docs.google.com/spreadsheets/d/1YTZo6WM2dQ6Ix6FSdnL"&amp;"5P7uVnVKu40sxZu975tgG10E/edit?usp=sharing"",""นครปฐม!Q767"")+IMPORTRANGE(""https://docs.google.com/spreadsheets/d/1OYoGg4WDg5RIzwGeB10padOxJF9E_Vljuvvct_M7RDo/edit?usp=sharing"",""ปทุมธานี!Q767"")+IMPORTRANGE(""https://docs.google.com/spreadsheets/d/1GbCI"&amp;"E4D4wk9FUozzqk7SxfDMxDVBwVmI5zcaVUSzKAc/edit?usp=sharing"",""ประจวบคีรีขันธ์!Q767"")+IMPORTRANGE(""https://docs.google.com/spreadsheets/d/1vVf6wykvW_lAyu7Yo9L4hUTqHqIeP_qcVuxCtosJEbg/edit?usp=sharing"",""ปราจีนบุรี!Q767"")+IMPORTRANGE(""https://docs.googl"&amp;"e.com/spreadsheets/d/1BIDqLLg5jk3v59G8NlR8rk5xfQDKne0sAvZHSj7TI6I/edit?usp=sharing"",""พระนครศรีอยุธยา!Q767"")+IMPORTRANGE(""https://docs.google.com/spreadsheets/d/1YXvxf8Yu6_rV4hTBrwMqAcAnv6DfhUxh5emyM3CJp_w/edit?usp=sharing"",""เพชรบุรี!Q767"")+IMPORTRA"&amp;"NGE(""https://docs.google.com/spreadsheets/d/19KBlQQs7uwvsao6t2n-KvW3Ax8J8uRRfZPq1zPbXgKc/edit?usp=sharing"",""ระยอง!Q767"")+IMPORTRANGE(""https://docs.google.com/spreadsheets/d/1jQ6P4QcrGM89YfqcC_PxOHGCMq5ezhucwJd8ci-NHng/edit?usp=sharing"",""ราชบุรี!Q76"&amp;"7"")+IMPORTRANGE(""https://docs.google.com/spreadsheets/d/1lufeA2cfFqM-elVq2hznhDzC6Pr7wkJ9ZG_sYNGCMCU/edit?usp=sharing"",""ลพบุรี!Q767"")+IMPORTRANGE(""https://docs.google.com/spreadsheets/d/10oOiF7loTyfsTkbd4MpaIm0HQ9SwB7IYHdIUvt-U1Uc/edit?usp=sharing"""&amp;",""สระแก้ว!Q767"")+IMPORTRANGE(""https://docs.google.com/spreadsheets/d/1xmPlrr1QbdSIKvl1dWUl9K4PjAfSL9oeMr_37QVzcxc/edit?usp=sharing"",""สระบุรี!Q767"")+IMPORTRANGE(""https://docs.google.com/spreadsheets/d/1j51vR6CYVGhABJpv6tkstgok82RLpXieLzW1yOY5rHw/edi"&amp;"t?usp=sharing"",""สิงห์บุรี!Q767"")+IMPORTRANGE(""https://docs.google.com/spreadsheets/d/1H1EalTWKUSzO4Z1-1CwzoDUaVffgrThEBe2sl74kKG0/edit?usp=sharing"",""สุพรรณบุรี!Q767"")+IMPORTRANGE(""https://docs.google.com/spreadsheets/d/1BmIruG_sIrJLYao_Pdr7zVArWsf"&amp;"oBt2692TMi6x_854/edit?usp=sharing"",""อ่างทอง!Q767"")"),0)</f>
        <v>0</v>
      </c>
      <c r="R767" s="80">
        <f ca="1">IFERROR(__xludf.DUMMYFUNCTION("IMPORTRANGE(""https://docs.google.com/spreadsheets/d/13wPX838HrBrQMCywv1BsuMkt4PEKTChp52zj44s2izQ/edit?usp=sharing"",""กาญจนบุรี!R767"")+IMPORTRANGE(""https://docs.google.com/spreadsheets/d/1ddFKvqj1W1NEiWytbGlB1zMx_ykJDVtmfEQ-6-lIUBA/edit?usp=sharing"","&amp;"""จันทบุรี!R767"")+IMPORTRANGE(""https://docs.google.com/spreadsheets/d/1T1PQvRODqOBZk8BRht_U031fIS1beLA0Ub2CEytj2q0/edit?usp=sharing"",""ฉะเชิงเทรา!R767"")+IMPORTRANGE(""https://docs.google.com/spreadsheets/d/11tr1B-Bhyr79v2bkwVh5h_fR-PStkgjlZtkrZpYurG0/"&amp;"edit?usp=sharing"",""ชลบุรี!R767"")+IMPORTRANGE(""https://docs.google.com/spreadsheets/d/1hh-FVnSX0vozXhGluamEcS54Dw9_zqW0N7qJUWgJ0Sw/edit?usp=sharing"",""ชัยนาท!R767"")+IMPORTRANGE(""https://docs.google.com/spreadsheets/d/1jkqa6GXxSacMcY1eN8AHjMNJ_7dDXMJ"&amp;"VRLDlaFSOdPM/edit?usp=sharing"",""ตราด!R767"")+IMPORTRANGE(""https://docs.google.com/spreadsheets/d/18hSgUJ3VwClqi_qtULmmW3cLr0oe3OKaSYoKzdpTsYQ/edit?usp=sharing"",""นครนายก!R767"")+IMPORTRANGE(""https://docs.google.com/spreadsheets/d/1YTZo6WM2dQ6Ix6FSdnL"&amp;"5P7uVnVKu40sxZu975tgG10E/edit?usp=sharing"",""นครปฐม!R767"")+IMPORTRANGE(""https://docs.google.com/spreadsheets/d/1OYoGg4WDg5RIzwGeB10padOxJF9E_Vljuvvct_M7RDo/edit?usp=sharing"",""ปทุมธานี!R767"")+IMPORTRANGE(""https://docs.google.com/spreadsheets/d/1GbCI"&amp;"E4D4wk9FUozzqk7SxfDMxDVBwVmI5zcaVUSzKAc/edit?usp=sharing"",""ประจวบคีรีขันธ์!R767"")+IMPORTRANGE(""https://docs.google.com/spreadsheets/d/1vVf6wykvW_lAyu7Yo9L4hUTqHqIeP_qcVuxCtosJEbg/edit?usp=sharing"",""ปราจีนบุรี!R767"")+IMPORTRANGE(""https://docs.googl"&amp;"e.com/spreadsheets/d/1BIDqLLg5jk3v59G8NlR8rk5xfQDKne0sAvZHSj7TI6I/edit?usp=sharing"",""พระนครศรีอยุธยา!R767"")+IMPORTRANGE(""https://docs.google.com/spreadsheets/d/1YXvxf8Yu6_rV4hTBrwMqAcAnv6DfhUxh5emyM3CJp_w/edit?usp=sharing"",""เพชรบุรี!R767"")+IMPORTRA"&amp;"NGE(""https://docs.google.com/spreadsheets/d/19KBlQQs7uwvsao6t2n-KvW3Ax8J8uRRfZPq1zPbXgKc/edit?usp=sharing"",""ระยอง!R767"")+IMPORTRANGE(""https://docs.google.com/spreadsheets/d/1jQ6P4QcrGM89YfqcC_PxOHGCMq5ezhucwJd8ci-NHng/edit?usp=sharing"",""ราชบุรี!R76"&amp;"7"")+IMPORTRANGE(""https://docs.google.com/spreadsheets/d/1lufeA2cfFqM-elVq2hznhDzC6Pr7wkJ9ZG_sYNGCMCU/edit?usp=sharing"",""ลพบุรี!R767"")+IMPORTRANGE(""https://docs.google.com/spreadsheets/d/10oOiF7loTyfsTkbd4MpaIm0HQ9SwB7IYHdIUvt-U1Uc/edit?usp=sharing"""&amp;",""สระแก้ว!R767"")+IMPORTRANGE(""https://docs.google.com/spreadsheets/d/1xmPlrr1QbdSIKvl1dWUl9K4PjAfSL9oeMr_37QVzcxc/edit?usp=sharing"",""สระบุรี!R767"")+IMPORTRANGE(""https://docs.google.com/spreadsheets/d/1j51vR6CYVGhABJpv6tkstgok82RLpXieLzW1yOY5rHw/edi"&amp;"t?usp=sharing"",""สิงห์บุรี!R767"")+IMPORTRANGE(""https://docs.google.com/spreadsheets/d/1H1EalTWKUSzO4Z1-1CwzoDUaVffgrThEBe2sl74kKG0/edit?usp=sharing"",""สุพรรณบุรี!R767"")+IMPORTRANGE(""https://docs.google.com/spreadsheets/d/1BmIruG_sIrJLYao_Pdr7zVArWsf"&amp;"oBt2692TMi6x_854/edit?usp=sharing"",""อ่างทอง!R767"")"),0)</f>
        <v>0</v>
      </c>
      <c r="S767" s="80">
        <f ca="1">IFERROR(__xludf.DUMMYFUNCTION("IMPORTRANGE(""https://docs.google.com/spreadsheets/d/13wPX838HrBrQMCywv1BsuMkt4PEKTChp52zj44s2izQ/edit?usp=sharing"",""กาญจนบุรี!S767"")+IMPORTRANGE(""https://docs.google.com/spreadsheets/d/1ddFKvqj1W1NEiWytbGlB1zMx_ykJDVtmfEQ-6-lIUBA/edit?usp=sharing"","&amp;"""จันทบุรี!S767"")+IMPORTRANGE(""https://docs.google.com/spreadsheets/d/1T1PQvRODqOBZk8BRht_U031fIS1beLA0Ub2CEytj2q0/edit?usp=sharing"",""ฉะเชิงเทรา!S767"")+IMPORTRANGE(""https://docs.google.com/spreadsheets/d/11tr1B-Bhyr79v2bkwVh5h_fR-PStkgjlZtkrZpYurG0/"&amp;"edit?usp=sharing"",""ชลบุรี!S767"")+IMPORTRANGE(""https://docs.google.com/spreadsheets/d/1hh-FVnSX0vozXhGluamEcS54Dw9_zqW0N7qJUWgJ0Sw/edit?usp=sharing"",""ชัยนาท!S767"")+IMPORTRANGE(""https://docs.google.com/spreadsheets/d/1jkqa6GXxSacMcY1eN8AHjMNJ_7dDXMJ"&amp;"VRLDlaFSOdPM/edit?usp=sharing"",""ตราด!S767"")+IMPORTRANGE(""https://docs.google.com/spreadsheets/d/18hSgUJ3VwClqi_qtULmmW3cLr0oe3OKaSYoKzdpTsYQ/edit?usp=sharing"",""นครนายก!S767"")+IMPORTRANGE(""https://docs.google.com/spreadsheets/d/1YTZo6WM2dQ6Ix6FSdnL"&amp;"5P7uVnVKu40sxZu975tgG10E/edit?usp=sharing"",""นครปฐม!S767"")+IMPORTRANGE(""https://docs.google.com/spreadsheets/d/1OYoGg4WDg5RIzwGeB10padOxJF9E_Vljuvvct_M7RDo/edit?usp=sharing"",""ปทุมธานี!S767"")+IMPORTRANGE(""https://docs.google.com/spreadsheets/d/1GbCI"&amp;"E4D4wk9FUozzqk7SxfDMxDVBwVmI5zcaVUSzKAc/edit?usp=sharing"",""ประจวบคีรีขันธ์!S767"")+IMPORTRANGE(""https://docs.google.com/spreadsheets/d/1vVf6wykvW_lAyu7Yo9L4hUTqHqIeP_qcVuxCtosJEbg/edit?usp=sharing"",""ปราจีนบุรี!S767"")+IMPORTRANGE(""https://docs.googl"&amp;"e.com/spreadsheets/d/1BIDqLLg5jk3v59G8NlR8rk5xfQDKne0sAvZHSj7TI6I/edit?usp=sharing"",""พระนครศรีอยุธยา!S767"")+IMPORTRANGE(""https://docs.google.com/spreadsheets/d/1YXvxf8Yu6_rV4hTBrwMqAcAnv6DfhUxh5emyM3CJp_w/edit?usp=sharing"",""เพชรบุรี!S767"")+IMPORTRA"&amp;"NGE(""https://docs.google.com/spreadsheets/d/19KBlQQs7uwvsao6t2n-KvW3Ax8J8uRRfZPq1zPbXgKc/edit?usp=sharing"",""ระยอง!S767"")+IMPORTRANGE(""https://docs.google.com/spreadsheets/d/1jQ6P4QcrGM89YfqcC_PxOHGCMq5ezhucwJd8ci-NHng/edit?usp=sharing"",""ราชบุรี!S76"&amp;"7"")+IMPORTRANGE(""https://docs.google.com/spreadsheets/d/1lufeA2cfFqM-elVq2hznhDzC6Pr7wkJ9ZG_sYNGCMCU/edit?usp=sharing"",""ลพบุรี!S767"")+IMPORTRANGE(""https://docs.google.com/spreadsheets/d/10oOiF7loTyfsTkbd4MpaIm0HQ9SwB7IYHdIUvt-U1Uc/edit?usp=sharing"""&amp;",""สระแก้ว!S767"")+IMPORTRANGE(""https://docs.google.com/spreadsheets/d/1xmPlrr1QbdSIKvl1dWUl9K4PjAfSL9oeMr_37QVzcxc/edit?usp=sharing"",""สระบุรี!S767"")+IMPORTRANGE(""https://docs.google.com/spreadsheets/d/1j51vR6CYVGhABJpv6tkstgok82RLpXieLzW1yOY5rHw/edi"&amp;"t?usp=sharing"",""สิงห์บุรี!S767"")+IMPORTRANGE(""https://docs.google.com/spreadsheets/d/1H1EalTWKUSzO4Z1-1CwzoDUaVffgrThEBe2sl74kKG0/edit?usp=sharing"",""สุพรรณบุรี!S767"")+IMPORTRANGE(""https://docs.google.com/spreadsheets/d/1BmIruG_sIrJLYao_Pdr7zVArWsf"&amp;"oBt2692TMi6x_854/edit?usp=sharing"",""อ่างทอง!S767"")"),0)</f>
        <v>0</v>
      </c>
      <c r="T767" s="136">
        <f t="shared" ca="1" si="516"/>
        <v>0</v>
      </c>
      <c r="U767" s="136">
        <f t="shared" ca="1" si="517"/>
        <v>0</v>
      </c>
    </row>
    <row r="768" spans="1:21" ht="18.75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f ca="1">IFERROR(__xludf.DUMMYFUNCTION("IMPORTRANGE(""https://docs.google.com/spreadsheets/d/13wPX838HrBrQMCywv1BsuMkt4PEKTChp52zj44s2izQ/edit?usp=sharing"",""กาญจนบุรี!L768"")+IMPORTRANGE(""https://docs.google.com/spreadsheets/d/1ddFKvqj1W1NEiWytbGlB1zMx_ykJDVtmfEQ-6-lIUBA/edit?usp=sharing"","&amp;"""จันทบุรี!L768"")+IMPORTRANGE(""https://docs.google.com/spreadsheets/d/1T1PQvRODqOBZk8BRht_U031fIS1beLA0Ub2CEytj2q0/edit?usp=sharing"",""ฉะเชิงเทรา!L768"")+IMPORTRANGE(""https://docs.google.com/spreadsheets/d/11tr1B-Bhyr79v2bkwVh5h_fR-PStkgjlZtkrZpYurG0/"&amp;"edit?usp=sharing"",""ชลบุรี!L768"")+IMPORTRANGE(""https://docs.google.com/spreadsheets/d/1hh-FVnSX0vozXhGluamEcS54Dw9_zqW0N7qJUWgJ0Sw/edit?usp=sharing"",""ชัยนาท!L768"")+IMPORTRANGE(""https://docs.google.com/spreadsheets/d/1jkqa6GXxSacMcY1eN8AHjMNJ_7dDXMJ"&amp;"VRLDlaFSOdPM/edit?usp=sharing"",""ตราด!L768"")+IMPORTRANGE(""https://docs.google.com/spreadsheets/d/18hSgUJ3VwClqi_qtULmmW3cLr0oe3OKaSYoKzdpTsYQ/edit?usp=sharing"",""นครนายก!L768"")+IMPORTRANGE(""https://docs.google.com/spreadsheets/d/1YTZo6WM2dQ6Ix6FSdnL"&amp;"5P7uVnVKu40sxZu975tgG10E/edit?usp=sharing"",""นครปฐม!L768"")+IMPORTRANGE(""https://docs.google.com/spreadsheets/d/1OYoGg4WDg5RIzwGeB10padOxJF9E_Vljuvvct_M7RDo/edit?usp=sharing"",""ปทุมธานี!L768"")+IMPORTRANGE(""https://docs.google.com/spreadsheets/d/1GbCI"&amp;"E4D4wk9FUozzqk7SxfDMxDVBwVmI5zcaVUSzKAc/edit?usp=sharing"",""ประจวบคีรีขันธ์!L768"")+IMPORTRANGE(""https://docs.google.com/spreadsheets/d/1vVf6wykvW_lAyu7Yo9L4hUTqHqIeP_qcVuxCtosJEbg/edit?usp=sharing"",""ปราจีนบุรี!L768"")+IMPORTRANGE(""https://docs.googl"&amp;"e.com/spreadsheets/d/1BIDqLLg5jk3v59G8NlR8rk5xfQDKne0sAvZHSj7TI6I/edit?usp=sharing"",""พระนครศรีอยุธยา!L768"")+IMPORTRANGE(""https://docs.google.com/spreadsheets/d/1YXvxf8Yu6_rV4hTBrwMqAcAnv6DfhUxh5emyM3CJp_w/edit?usp=sharing"",""เพชรบุรี!L768"")+IMPORTRA"&amp;"NGE(""https://docs.google.com/spreadsheets/d/19KBlQQs7uwvsao6t2n-KvW3Ax8J8uRRfZPq1zPbXgKc/edit?usp=sharing"",""ระยอง!L768"")+IMPORTRANGE(""https://docs.google.com/spreadsheets/d/1jQ6P4QcrGM89YfqcC_PxOHGCMq5ezhucwJd8ci-NHng/edit?usp=sharing"",""ราชบุรี!L76"&amp;"8"")+IMPORTRANGE(""https://docs.google.com/spreadsheets/d/1lufeA2cfFqM-elVq2hznhDzC6Pr7wkJ9ZG_sYNGCMCU/edit?usp=sharing"",""ลพบุรี!L768"")+IMPORTRANGE(""https://docs.google.com/spreadsheets/d/10oOiF7loTyfsTkbd4MpaIm0HQ9SwB7IYHdIUvt-U1Uc/edit?usp=sharing"""&amp;",""สระแก้ว!L768"")+IMPORTRANGE(""https://docs.google.com/spreadsheets/d/1xmPlrr1QbdSIKvl1dWUl9K4PjAfSL9oeMr_37QVzcxc/edit?usp=sharing"",""สระบุรี!L768"")+IMPORTRANGE(""https://docs.google.com/spreadsheets/d/1j51vR6CYVGhABJpv6tkstgok82RLpXieLzW1yOY5rHw/edi"&amp;"t?usp=sharing"",""สิงห์บุรี!L768"")+IMPORTRANGE(""https://docs.google.com/spreadsheets/d/1H1EalTWKUSzO4Z1-1CwzoDUaVffgrThEBe2sl74kKG0/edit?usp=sharing"",""สุพรรณบุรี!L768"")+IMPORTRANGE(""https://docs.google.com/spreadsheets/d/1BmIruG_sIrJLYao_Pdr7zVArWsf"&amp;"oBt2692TMi6x_854/edit?usp=sharing"",""อ่างทอง!L768"")"),0)</f>
        <v>0</v>
      </c>
      <c r="M768" s="77">
        <f ca="1">IFERROR(__xludf.DUMMYFUNCTION("IMPORTRANGE(""https://docs.google.com/spreadsheets/d/13wPX838HrBrQMCywv1BsuMkt4PEKTChp52zj44s2izQ/edit?usp=sharing"",""กาญจนบุรี!M768"")+IMPORTRANGE(""https://docs.google.com/spreadsheets/d/1ddFKvqj1W1NEiWytbGlB1zMx_ykJDVtmfEQ-6-lIUBA/edit?usp=sharing"","&amp;"""จันทบุรี!M768"")+IMPORTRANGE(""https://docs.google.com/spreadsheets/d/1T1PQvRODqOBZk8BRht_U031fIS1beLA0Ub2CEytj2q0/edit?usp=sharing"",""ฉะเชิงเทรา!M768"")+IMPORTRANGE(""https://docs.google.com/spreadsheets/d/11tr1B-Bhyr79v2bkwVh5h_fR-PStkgjlZtkrZpYurG0/"&amp;"edit?usp=sharing"",""ชลบุรี!M768"")+IMPORTRANGE(""https://docs.google.com/spreadsheets/d/1hh-FVnSX0vozXhGluamEcS54Dw9_zqW0N7qJUWgJ0Sw/edit?usp=sharing"",""ชัยนาท!M768"")+IMPORTRANGE(""https://docs.google.com/spreadsheets/d/1jkqa6GXxSacMcY1eN8AHjMNJ_7dDXMJ"&amp;"VRLDlaFSOdPM/edit?usp=sharing"",""ตราด!M768"")+IMPORTRANGE(""https://docs.google.com/spreadsheets/d/18hSgUJ3VwClqi_qtULmmW3cLr0oe3OKaSYoKzdpTsYQ/edit?usp=sharing"",""นครนายก!M768"")+IMPORTRANGE(""https://docs.google.com/spreadsheets/d/1YTZo6WM2dQ6Ix6FSdnL"&amp;"5P7uVnVKu40sxZu975tgG10E/edit?usp=sharing"",""นครปฐม!M768"")+IMPORTRANGE(""https://docs.google.com/spreadsheets/d/1OYoGg4WDg5RIzwGeB10padOxJF9E_Vljuvvct_M7RDo/edit?usp=sharing"",""ปทุมธานี!M768"")+IMPORTRANGE(""https://docs.google.com/spreadsheets/d/1GbCI"&amp;"E4D4wk9FUozzqk7SxfDMxDVBwVmI5zcaVUSzKAc/edit?usp=sharing"",""ประจวบคีรีขันธ์!M768"")+IMPORTRANGE(""https://docs.google.com/spreadsheets/d/1vVf6wykvW_lAyu7Yo9L4hUTqHqIeP_qcVuxCtosJEbg/edit?usp=sharing"",""ปราจีนบุรี!M768"")+IMPORTRANGE(""https://docs.googl"&amp;"e.com/spreadsheets/d/1BIDqLLg5jk3v59G8NlR8rk5xfQDKne0sAvZHSj7TI6I/edit?usp=sharing"",""พระนครศรีอยุธยา!M768"")+IMPORTRANGE(""https://docs.google.com/spreadsheets/d/1YXvxf8Yu6_rV4hTBrwMqAcAnv6DfhUxh5emyM3CJp_w/edit?usp=sharing"",""เพชรบุรี!M768"")+IMPORTRA"&amp;"NGE(""https://docs.google.com/spreadsheets/d/19KBlQQs7uwvsao6t2n-KvW3Ax8J8uRRfZPq1zPbXgKc/edit?usp=sharing"",""ระยอง!M768"")+IMPORTRANGE(""https://docs.google.com/spreadsheets/d/1jQ6P4QcrGM89YfqcC_PxOHGCMq5ezhucwJd8ci-NHng/edit?usp=sharing"",""ราชบุรี!M76"&amp;"8"")+IMPORTRANGE(""https://docs.google.com/spreadsheets/d/1lufeA2cfFqM-elVq2hznhDzC6Pr7wkJ9ZG_sYNGCMCU/edit?usp=sharing"",""ลพบุรี!M768"")+IMPORTRANGE(""https://docs.google.com/spreadsheets/d/10oOiF7loTyfsTkbd4MpaIm0HQ9SwB7IYHdIUvt-U1Uc/edit?usp=sharing"""&amp;",""สระแก้ว!M768"")+IMPORTRANGE(""https://docs.google.com/spreadsheets/d/1xmPlrr1QbdSIKvl1dWUl9K4PjAfSL9oeMr_37QVzcxc/edit?usp=sharing"",""สระบุรี!M768"")+IMPORTRANGE(""https://docs.google.com/spreadsheets/d/1j51vR6CYVGhABJpv6tkstgok82RLpXieLzW1yOY5rHw/edi"&amp;"t?usp=sharing"",""สิงห์บุรี!M768"")+IMPORTRANGE(""https://docs.google.com/spreadsheets/d/1H1EalTWKUSzO4Z1-1CwzoDUaVffgrThEBe2sl74kKG0/edit?usp=sharing"",""สุพรรณบุรี!M768"")+IMPORTRANGE(""https://docs.google.com/spreadsheets/d/1BmIruG_sIrJLYao_Pdr7zVArWsf"&amp;"oBt2692TMi6x_854/edit?usp=sharing"",""อ่างทอง!M768"")"),0)</f>
        <v>0</v>
      </c>
      <c r="N768" s="77">
        <f ca="1">IFERROR(__xludf.DUMMYFUNCTION("IMPORTRANGE(""https://docs.google.com/spreadsheets/d/13wPX838HrBrQMCywv1BsuMkt4PEKTChp52zj44s2izQ/edit?usp=sharing"",""กาญจนบุรี!N768"")+IMPORTRANGE(""https://docs.google.com/spreadsheets/d/1ddFKvqj1W1NEiWytbGlB1zMx_ykJDVtmfEQ-6-lIUBA/edit?usp=sharing"","&amp;"""จันทบุรี!N768"")+IMPORTRANGE(""https://docs.google.com/spreadsheets/d/1T1PQvRODqOBZk8BRht_U031fIS1beLA0Ub2CEytj2q0/edit?usp=sharing"",""ฉะเชิงเทรา!N768"")+IMPORTRANGE(""https://docs.google.com/spreadsheets/d/11tr1B-Bhyr79v2bkwVh5h_fR-PStkgjlZtkrZpYurG0/"&amp;"edit?usp=sharing"",""ชลบุรี!N768"")+IMPORTRANGE(""https://docs.google.com/spreadsheets/d/1hh-FVnSX0vozXhGluamEcS54Dw9_zqW0N7qJUWgJ0Sw/edit?usp=sharing"",""ชัยนาท!N768"")+IMPORTRANGE(""https://docs.google.com/spreadsheets/d/1jkqa6GXxSacMcY1eN8AHjMNJ_7dDXMJ"&amp;"VRLDlaFSOdPM/edit?usp=sharing"",""ตราด!N768"")+IMPORTRANGE(""https://docs.google.com/spreadsheets/d/18hSgUJ3VwClqi_qtULmmW3cLr0oe3OKaSYoKzdpTsYQ/edit?usp=sharing"",""นครนายก!N768"")+IMPORTRANGE(""https://docs.google.com/spreadsheets/d/1YTZo6WM2dQ6Ix6FSdnL"&amp;"5P7uVnVKu40sxZu975tgG10E/edit?usp=sharing"",""นครปฐม!N768"")+IMPORTRANGE(""https://docs.google.com/spreadsheets/d/1OYoGg4WDg5RIzwGeB10padOxJF9E_Vljuvvct_M7RDo/edit?usp=sharing"",""ปทุมธานี!N768"")+IMPORTRANGE(""https://docs.google.com/spreadsheets/d/1GbCI"&amp;"E4D4wk9FUozzqk7SxfDMxDVBwVmI5zcaVUSzKAc/edit?usp=sharing"",""ประจวบคีรีขันธ์!N768"")+IMPORTRANGE(""https://docs.google.com/spreadsheets/d/1vVf6wykvW_lAyu7Yo9L4hUTqHqIeP_qcVuxCtosJEbg/edit?usp=sharing"",""ปราจีนบุรี!N768"")+IMPORTRANGE(""https://docs.googl"&amp;"e.com/spreadsheets/d/1BIDqLLg5jk3v59G8NlR8rk5xfQDKne0sAvZHSj7TI6I/edit?usp=sharing"",""พระนครศรีอยุธยา!N768"")+IMPORTRANGE(""https://docs.google.com/spreadsheets/d/1YXvxf8Yu6_rV4hTBrwMqAcAnv6DfhUxh5emyM3CJp_w/edit?usp=sharing"",""เพชรบุรี!N768"")+IMPORTRA"&amp;"NGE(""https://docs.google.com/spreadsheets/d/19KBlQQs7uwvsao6t2n-KvW3Ax8J8uRRfZPq1zPbXgKc/edit?usp=sharing"",""ระยอง!N768"")+IMPORTRANGE(""https://docs.google.com/spreadsheets/d/1jQ6P4QcrGM89YfqcC_PxOHGCMq5ezhucwJd8ci-NHng/edit?usp=sharing"",""ราชบุรี!N76"&amp;"8"")+IMPORTRANGE(""https://docs.google.com/spreadsheets/d/1lufeA2cfFqM-elVq2hznhDzC6Pr7wkJ9ZG_sYNGCMCU/edit?usp=sharing"",""ลพบุรี!N768"")+IMPORTRANGE(""https://docs.google.com/spreadsheets/d/10oOiF7loTyfsTkbd4MpaIm0HQ9SwB7IYHdIUvt-U1Uc/edit?usp=sharing"""&amp;",""สระแก้ว!N768"")+IMPORTRANGE(""https://docs.google.com/spreadsheets/d/1xmPlrr1QbdSIKvl1dWUl9K4PjAfSL9oeMr_37QVzcxc/edit?usp=sharing"",""สระบุรี!N768"")+IMPORTRANGE(""https://docs.google.com/spreadsheets/d/1j51vR6CYVGhABJpv6tkstgok82RLpXieLzW1yOY5rHw/edi"&amp;"t?usp=sharing"",""สิงห์บุรี!N768"")+IMPORTRANGE(""https://docs.google.com/spreadsheets/d/1H1EalTWKUSzO4Z1-1CwzoDUaVffgrThEBe2sl74kKG0/edit?usp=sharing"",""สุพรรณบุรี!N768"")+IMPORTRANGE(""https://docs.google.com/spreadsheets/d/1BmIruG_sIrJLYao_Pdr7zVArWsf"&amp;"oBt2692TMi6x_854/edit?usp=sharing"",""อ่างทอง!N768"")"),0)</f>
        <v>0</v>
      </c>
      <c r="O768" s="77">
        <f t="shared" ca="1" si="513"/>
        <v>0</v>
      </c>
      <c r="P768" s="77">
        <f t="shared" ca="1" si="514"/>
        <v>0</v>
      </c>
      <c r="Q768" s="76">
        <f ca="1">IFERROR(__xludf.DUMMYFUNCTION("IMPORTRANGE(""https://docs.google.com/spreadsheets/d/13wPX838HrBrQMCywv1BsuMkt4PEKTChp52zj44s2izQ/edit?usp=sharing"",""กาญจนบุรี!Q768"")+IMPORTRANGE(""https://docs.google.com/spreadsheets/d/1ddFKvqj1W1NEiWytbGlB1zMx_ykJDVtmfEQ-6-lIUBA/edit?usp=sharing"","&amp;"""จันทบุรี!Q768"")+IMPORTRANGE(""https://docs.google.com/spreadsheets/d/1T1PQvRODqOBZk8BRht_U031fIS1beLA0Ub2CEytj2q0/edit?usp=sharing"",""ฉะเชิงเทรา!Q768"")+IMPORTRANGE(""https://docs.google.com/spreadsheets/d/11tr1B-Bhyr79v2bkwVh5h_fR-PStkgjlZtkrZpYurG0/"&amp;"edit?usp=sharing"",""ชลบุรี!Q768"")+IMPORTRANGE(""https://docs.google.com/spreadsheets/d/1hh-FVnSX0vozXhGluamEcS54Dw9_zqW0N7qJUWgJ0Sw/edit?usp=sharing"",""ชัยนาท!Q768"")+IMPORTRANGE(""https://docs.google.com/spreadsheets/d/1jkqa6GXxSacMcY1eN8AHjMNJ_7dDXMJ"&amp;"VRLDlaFSOdPM/edit?usp=sharing"",""ตราด!Q768"")+IMPORTRANGE(""https://docs.google.com/spreadsheets/d/18hSgUJ3VwClqi_qtULmmW3cLr0oe3OKaSYoKzdpTsYQ/edit?usp=sharing"",""นครนายก!Q768"")+IMPORTRANGE(""https://docs.google.com/spreadsheets/d/1YTZo6WM2dQ6Ix6FSdnL"&amp;"5P7uVnVKu40sxZu975tgG10E/edit?usp=sharing"",""นครปฐม!Q768"")+IMPORTRANGE(""https://docs.google.com/spreadsheets/d/1OYoGg4WDg5RIzwGeB10padOxJF9E_Vljuvvct_M7RDo/edit?usp=sharing"",""ปทุมธานี!Q768"")+IMPORTRANGE(""https://docs.google.com/spreadsheets/d/1GbCI"&amp;"E4D4wk9FUozzqk7SxfDMxDVBwVmI5zcaVUSzKAc/edit?usp=sharing"",""ประจวบคีรีขันธ์!Q768"")+IMPORTRANGE(""https://docs.google.com/spreadsheets/d/1vVf6wykvW_lAyu7Yo9L4hUTqHqIeP_qcVuxCtosJEbg/edit?usp=sharing"",""ปราจีนบุรี!Q768"")+IMPORTRANGE(""https://docs.googl"&amp;"e.com/spreadsheets/d/1BIDqLLg5jk3v59G8NlR8rk5xfQDKne0sAvZHSj7TI6I/edit?usp=sharing"",""พระนครศรีอยุธยา!Q768"")+IMPORTRANGE(""https://docs.google.com/spreadsheets/d/1YXvxf8Yu6_rV4hTBrwMqAcAnv6DfhUxh5emyM3CJp_w/edit?usp=sharing"",""เพชรบุรี!Q768"")+IMPORTRA"&amp;"NGE(""https://docs.google.com/spreadsheets/d/19KBlQQs7uwvsao6t2n-KvW3Ax8J8uRRfZPq1zPbXgKc/edit?usp=sharing"",""ระยอง!Q768"")+IMPORTRANGE(""https://docs.google.com/spreadsheets/d/1jQ6P4QcrGM89YfqcC_PxOHGCMq5ezhucwJd8ci-NHng/edit?usp=sharing"",""ราชบุรี!Q76"&amp;"8"")+IMPORTRANGE(""https://docs.google.com/spreadsheets/d/1lufeA2cfFqM-elVq2hznhDzC6Pr7wkJ9ZG_sYNGCMCU/edit?usp=sharing"",""ลพบุรี!Q768"")+IMPORTRANGE(""https://docs.google.com/spreadsheets/d/10oOiF7loTyfsTkbd4MpaIm0HQ9SwB7IYHdIUvt-U1Uc/edit?usp=sharing"""&amp;",""สระแก้ว!Q768"")+IMPORTRANGE(""https://docs.google.com/spreadsheets/d/1xmPlrr1QbdSIKvl1dWUl9K4PjAfSL9oeMr_37QVzcxc/edit?usp=sharing"",""สระบุรี!Q768"")+IMPORTRANGE(""https://docs.google.com/spreadsheets/d/1j51vR6CYVGhABJpv6tkstgok82RLpXieLzW1yOY5rHw/edi"&amp;"t?usp=sharing"",""สิงห์บุรี!Q768"")+IMPORTRANGE(""https://docs.google.com/spreadsheets/d/1H1EalTWKUSzO4Z1-1CwzoDUaVffgrThEBe2sl74kKG0/edit?usp=sharing"",""สุพรรณบุรี!Q768"")+IMPORTRANGE(""https://docs.google.com/spreadsheets/d/1BmIruG_sIrJLYao_Pdr7zVArWsf"&amp;"oBt2692TMi6x_854/edit?usp=sharing"",""อ่างทอง!Q768"")"),0)</f>
        <v>0</v>
      </c>
      <c r="R768" s="77">
        <f ca="1">IFERROR(__xludf.DUMMYFUNCTION("IMPORTRANGE(""https://docs.google.com/spreadsheets/d/13wPX838HrBrQMCywv1BsuMkt4PEKTChp52zj44s2izQ/edit?usp=sharing"",""กาญจนบุรี!R768"")+IMPORTRANGE(""https://docs.google.com/spreadsheets/d/1ddFKvqj1W1NEiWytbGlB1zMx_ykJDVtmfEQ-6-lIUBA/edit?usp=sharing"","&amp;"""จันทบุรี!R768"")+IMPORTRANGE(""https://docs.google.com/spreadsheets/d/1T1PQvRODqOBZk8BRht_U031fIS1beLA0Ub2CEytj2q0/edit?usp=sharing"",""ฉะเชิงเทรา!R768"")+IMPORTRANGE(""https://docs.google.com/spreadsheets/d/11tr1B-Bhyr79v2bkwVh5h_fR-PStkgjlZtkrZpYurG0/"&amp;"edit?usp=sharing"",""ชลบุรี!R768"")+IMPORTRANGE(""https://docs.google.com/spreadsheets/d/1hh-FVnSX0vozXhGluamEcS54Dw9_zqW0N7qJUWgJ0Sw/edit?usp=sharing"",""ชัยนาท!R768"")+IMPORTRANGE(""https://docs.google.com/spreadsheets/d/1jkqa6GXxSacMcY1eN8AHjMNJ_7dDXMJ"&amp;"VRLDlaFSOdPM/edit?usp=sharing"",""ตราด!R768"")+IMPORTRANGE(""https://docs.google.com/spreadsheets/d/18hSgUJ3VwClqi_qtULmmW3cLr0oe3OKaSYoKzdpTsYQ/edit?usp=sharing"",""นครนายก!R768"")+IMPORTRANGE(""https://docs.google.com/spreadsheets/d/1YTZo6WM2dQ6Ix6FSdnL"&amp;"5P7uVnVKu40sxZu975tgG10E/edit?usp=sharing"",""นครปฐม!R768"")+IMPORTRANGE(""https://docs.google.com/spreadsheets/d/1OYoGg4WDg5RIzwGeB10padOxJF9E_Vljuvvct_M7RDo/edit?usp=sharing"",""ปทุมธานี!R768"")+IMPORTRANGE(""https://docs.google.com/spreadsheets/d/1GbCI"&amp;"E4D4wk9FUozzqk7SxfDMxDVBwVmI5zcaVUSzKAc/edit?usp=sharing"",""ประจวบคีรีขันธ์!R768"")+IMPORTRANGE(""https://docs.google.com/spreadsheets/d/1vVf6wykvW_lAyu7Yo9L4hUTqHqIeP_qcVuxCtosJEbg/edit?usp=sharing"",""ปราจีนบุรี!R768"")+IMPORTRANGE(""https://docs.googl"&amp;"e.com/spreadsheets/d/1BIDqLLg5jk3v59G8NlR8rk5xfQDKne0sAvZHSj7TI6I/edit?usp=sharing"",""พระนครศรีอยุธยา!R768"")+IMPORTRANGE(""https://docs.google.com/spreadsheets/d/1YXvxf8Yu6_rV4hTBrwMqAcAnv6DfhUxh5emyM3CJp_w/edit?usp=sharing"",""เพชรบุรี!R768"")+IMPORTRA"&amp;"NGE(""https://docs.google.com/spreadsheets/d/19KBlQQs7uwvsao6t2n-KvW3Ax8J8uRRfZPq1zPbXgKc/edit?usp=sharing"",""ระยอง!R768"")+IMPORTRANGE(""https://docs.google.com/spreadsheets/d/1jQ6P4QcrGM89YfqcC_PxOHGCMq5ezhucwJd8ci-NHng/edit?usp=sharing"",""ราชบุรี!R76"&amp;"8"")+IMPORTRANGE(""https://docs.google.com/spreadsheets/d/1lufeA2cfFqM-elVq2hznhDzC6Pr7wkJ9ZG_sYNGCMCU/edit?usp=sharing"",""ลพบุรี!R768"")+IMPORTRANGE(""https://docs.google.com/spreadsheets/d/10oOiF7loTyfsTkbd4MpaIm0HQ9SwB7IYHdIUvt-U1Uc/edit?usp=sharing"""&amp;",""สระแก้ว!R768"")+IMPORTRANGE(""https://docs.google.com/spreadsheets/d/1xmPlrr1QbdSIKvl1dWUl9K4PjAfSL9oeMr_37QVzcxc/edit?usp=sharing"",""สระบุรี!R768"")+IMPORTRANGE(""https://docs.google.com/spreadsheets/d/1j51vR6CYVGhABJpv6tkstgok82RLpXieLzW1yOY5rHw/edi"&amp;"t?usp=sharing"",""สิงห์บุรี!R768"")+IMPORTRANGE(""https://docs.google.com/spreadsheets/d/1H1EalTWKUSzO4Z1-1CwzoDUaVffgrThEBe2sl74kKG0/edit?usp=sharing"",""สุพรรณบุรี!R768"")+IMPORTRANGE(""https://docs.google.com/spreadsheets/d/1BmIruG_sIrJLYao_Pdr7zVArWsf"&amp;"oBt2692TMi6x_854/edit?usp=sharing"",""อ่างทอง!R768"")"),0)</f>
        <v>0</v>
      </c>
      <c r="S768" s="77">
        <f ca="1">IFERROR(__xludf.DUMMYFUNCTION("IMPORTRANGE(""https://docs.google.com/spreadsheets/d/13wPX838HrBrQMCywv1BsuMkt4PEKTChp52zj44s2izQ/edit?usp=sharing"",""กาญจนบุรี!S768"")+IMPORTRANGE(""https://docs.google.com/spreadsheets/d/1ddFKvqj1W1NEiWytbGlB1zMx_ykJDVtmfEQ-6-lIUBA/edit?usp=sharing"","&amp;"""จันทบุรี!S768"")+IMPORTRANGE(""https://docs.google.com/spreadsheets/d/1T1PQvRODqOBZk8BRht_U031fIS1beLA0Ub2CEytj2q0/edit?usp=sharing"",""ฉะเชิงเทรา!S768"")+IMPORTRANGE(""https://docs.google.com/spreadsheets/d/11tr1B-Bhyr79v2bkwVh5h_fR-PStkgjlZtkrZpYurG0/"&amp;"edit?usp=sharing"",""ชลบุรี!S768"")+IMPORTRANGE(""https://docs.google.com/spreadsheets/d/1hh-FVnSX0vozXhGluamEcS54Dw9_zqW0N7qJUWgJ0Sw/edit?usp=sharing"",""ชัยนาท!S768"")+IMPORTRANGE(""https://docs.google.com/spreadsheets/d/1jkqa6GXxSacMcY1eN8AHjMNJ_7dDXMJ"&amp;"VRLDlaFSOdPM/edit?usp=sharing"",""ตราด!S768"")+IMPORTRANGE(""https://docs.google.com/spreadsheets/d/18hSgUJ3VwClqi_qtULmmW3cLr0oe3OKaSYoKzdpTsYQ/edit?usp=sharing"",""นครนายก!S768"")+IMPORTRANGE(""https://docs.google.com/spreadsheets/d/1YTZo6WM2dQ6Ix6FSdnL"&amp;"5P7uVnVKu40sxZu975tgG10E/edit?usp=sharing"",""นครปฐม!S768"")+IMPORTRANGE(""https://docs.google.com/spreadsheets/d/1OYoGg4WDg5RIzwGeB10padOxJF9E_Vljuvvct_M7RDo/edit?usp=sharing"",""ปทุมธานี!S768"")+IMPORTRANGE(""https://docs.google.com/spreadsheets/d/1GbCI"&amp;"E4D4wk9FUozzqk7SxfDMxDVBwVmI5zcaVUSzKAc/edit?usp=sharing"",""ประจวบคีรีขันธ์!S768"")+IMPORTRANGE(""https://docs.google.com/spreadsheets/d/1vVf6wykvW_lAyu7Yo9L4hUTqHqIeP_qcVuxCtosJEbg/edit?usp=sharing"",""ปราจีนบุรี!S768"")+IMPORTRANGE(""https://docs.googl"&amp;"e.com/spreadsheets/d/1BIDqLLg5jk3v59G8NlR8rk5xfQDKne0sAvZHSj7TI6I/edit?usp=sharing"",""พระนครศรีอยุธยา!S768"")+IMPORTRANGE(""https://docs.google.com/spreadsheets/d/1YXvxf8Yu6_rV4hTBrwMqAcAnv6DfhUxh5emyM3CJp_w/edit?usp=sharing"",""เพชรบุรี!S768"")+IMPORTRA"&amp;"NGE(""https://docs.google.com/spreadsheets/d/19KBlQQs7uwvsao6t2n-KvW3Ax8J8uRRfZPq1zPbXgKc/edit?usp=sharing"",""ระยอง!S768"")+IMPORTRANGE(""https://docs.google.com/spreadsheets/d/1jQ6P4QcrGM89YfqcC_PxOHGCMq5ezhucwJd8ci-NHng/edit?usp=sharing"",""ราชบุรี!S76"&amp;"8"")+IMPORTRANGE(""https://docs.google.com/spreadsheets/d/1lufeA2cfFqM-elVq2hznhDzC6Pr7wkJ9ZG_sYNGCMCU/edit?usp=sharing"",""ลพบุรี!S768"")+IMPORTRANGE(""https://docs.google.com/spreadsheets/d/10oOiF7loTyfsTkbd4MpaIm0HQ9SwB7IYHdIUvt-U1Uc/edit?usp=sharing"""&amp;",""สระแก้ว!S768"")+IMPORTRANGE(""https://docs.google.com/spreadsheets/d/1xmPlrr1QbdSIKvl1dWUl9K4PjAfSL9oeMr_37QVzcxc/edit?usp=sharing"",""สระบุรี!S768"")+IMPORTRANGE(""https://docs.google.com/spreadsheets/d/1j51vR6CYVGhABJpv6tkstgok82RLpXieLzW1yOY5rHw/edi"&amp;"t?usp=sharing"",""สิงห์บุรี!S768"")+IMPORTRANGE(""https://docs.google.com/spreadsheets/d/1H1EalTWKUSzO4Z1-1CwzoDUaVffgrThEBe2sl74kKG0/edit?usp=sharing"",""สุพรรณบุรี!S768"")+IMPORTRANGE(""https://docs.google.com/spreadsheets/d/1BmIruG_sIrJLYao_Pdr7zVArWsf"&amp;"oBt2692TMi6x_854/edit?usp=sharing"",""อ่างทอง!S768"")"),0)</f>
        <v>0</v>
      </c>
      <c r="T768" s="135">
        <f t="shared" ca="1" si="516"/>
        <v>0</v>
      </c>
      <c r="U768" s="135">
        <f t="shared" ca="1" si="517"/>
        <v>0</v>
      </c>
    </row>
    <row r="769" spans="1:21" ht="19.5" x14ac:dyDescent="0.3">
      <c r="A769" s="278"/>
      <c r="B769" s="279"/>
      <c r="C769" s="772" t="s">
        <v>18</v>
      </c>
      <c r="D769" s="725" t="s">
        <v>38</v>
      </c>
      <c r="E769" s="762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13wPX838HrBrQMCywv1BsuMkt4PEKTChp52zj44s2izQ/edit?usp=sharing"",""กาญจนบุรี!I770"")+IMPORTRANGE(""https://docs.google.com/spreadsheets/d/1ddFKvqj1W1NEiWytbGlB1zMx_ykJDVtmfEQ-6-lIUBA/edit?usp=sharing"","&amp;"""จันทบุรี!I770"")+IMPORTRANGE(""https://docs.google.com/spreadsheets/d/1T1PQvRODqOBZk8BRht_U031fIS1beLA0Ub2CEytj2q0/edit?usp=sharing"",""ฉะเชิงเทรา!I770"")+IMPORTRANGE(""https://docs.google.com/spreadsheets/d/11tr1B-Bhyr79v2bkwVh5h_fR-PStkgjlZtkrZpYurG0/"&amp;"edit?usp=sharing"",""ชลบุรี!I770"")+IMPORTRANGE(""https://docs.google.com/spreadsheets/d/1hh-FVnSX0vozXhGluamEcS54Dw9_zqW0N7qJUWgJ0Sw/edit?usp=sharing"",""ชัยนาท!I770"")+IMPORTRANGE(""https://docs.google.com/spreadsheets/d/1jkqa6GXxSacMcY1eN8AHjMNJ_7dDXMJ"&amp;"VRLDlaFSOdPM/edit?usp=sharing"",""ตราด!I770"")+IMPORTRANGE(""https://docs.google.com/spreadsheets/d/18hSgUJ3VwClqi_qtULmmW3cLr0oe3OKaSYoKzdpTsYQ/edit?usp=sharing"",""นครนายก!I770"")+IMPORTRANGE(""https://docs.google.com/spreadsheets/d/1YTZo6WM2dQ6Ix6FSdnL"&amp;"5P7uVnVKu40sxZu975tgG10E/edit?usp=sharing"",""นครปฐม!I770"")+IMPORTRANGE(""https://docs.google.com/spreadsheets/d/1OYoGg4WDg5RIzwGeB10padOxJF9E_Vljuvvct_M7RDo/edit?usp=sharing"",""ปทุมธานี!I770"")+IMPORTRANGE(""https://docs.google.com/spreadsheets/d/1GbCI"&amp;"E4D4wk9FUozzqk7SxfDMxDVBwVmI5zcaVUSzKAc/edit?usp=sharing"",""ประจวบคีรีขันธ์!I770"")+IMPORTRANGE(""https://docs.google.com/spreadsheets/d/1vVf6wykvW_lAyu7Yo9L4hUTqHqIeP_qcVuxCtosJEbg/edit?usp=sharing"",""ปราจีนบุรี!I770"")+IMPORTRANGE(""https://docs.googl"&amp;"e.com/spreadsheets/d/1BIDqLLg5jk3v59G8NlR8rk5xfQDKne0sAvZHSj7TI6I/edit?usp=sharing"",""พระนครศรีอยุธยา!I770"")+IMPORTRANGE(""https://docs.google.com/spreadsheets/d/1YXvxf8Yu6_rV4hTBrwMqAcAnv6DfhUxh5emyM3CJp_w/edit?usp=sharing"",""เพชรบุรี!I770"")+IMPORTRA"&amp;"NGE(""https://docs.google.com/spreadsheets/d/19KBlQQs7uwvsao6t2n-KvW3Ax8J8uRRfZPq1zPbXgKc/edit?usp=sharing"",""ระยอง!I770"")+IMPORTRANGE(""https://docs.google.com/spreadsheets/d/1jQ6P4QcrGM89YfqcC_PxOHGCMq5ezhucwJd8ci-NHng/edit?usp=sharing"",""ราชบุรี!I77"&amp;"0"")+IMPORTRANGE(""https://docs.google.com/spreadsheets/d/1lufeA2cfFqM-elVq2hznhDzC6Pr7wkJ9ZG_sYNGCMCU/edit?usp=sharing"",""ลพบุรี!I770"")+IMPORTRANGE(""https://docs.google.com/spreadsheets/d/10oOiF7loTyfsTkbd4MpaIm0HQ9SwB7IYHdIUvt-U1Uc/edit?usp=sharing"""&amp;",""สระแก้ว!I770"")+IMPORTRANGE(""https://docs.google.com/spreadsheets/d/1xmPlrr1QbdSIKvl1dWUl9K4PjAfSL9oeMr_37QVzcxc/edit?usp=sharing"",""สระบุรี!I770"")+IMPORTRANGE(""https://docs.google.com/spreadsheets/d/1j51vR6CYVGhABJpv6tkstgok82RLpXieLzW1yOY5rHw/edi"&amp;"t?usp=sharing"",""สิงห์บุรี!I770"")+IMPORTRANGE(""https://docs.google.com/spreadsheets/d/1H1EalTWKUSzO4Z1-1CwzoDUaVffgrThEBe2sl74kKG0/edit?usp=sharing"",""สุพรรณบุรี!I770"")+IMPORTRANGE(""https://docs.google.com/spreadsheets/d/1BmIruG_sIrJLYao_Pdr7zVArWsf"&amp;"oBt2692TMi6x_854/edit?usp=sharing"",""อ่างทอง!I770"")"),0)</f>
        <v>0</v>
      </c>
      <c r="J770" s="574">
        <f ca="1">IFERROR(__xludf.DUMMYFUNCTION("IMPORTRANGE(""https://docs.google.com/spreadsheets/d/13wPX838HrBrQMCywv1BsuMkt4PEKTChp52zj44s2izQ/edit?usp=sharing"",""กาญจนบุรี!J770"")+IMPORTRANGE(""https://docs.google.com/spreadsheets/d/1ddFKvqj1W1NEiWytbGlB1zMx_ykJDVtmfEQ-6-lIUBA/edit?usp=sharing"","&amp;"""จันทบุรี!J770"")+IMPORTRANGE(""https://docs.google.com/spreadsheets/d/1T1PQvRODqOBZk8BRht_U031fIS1beLA0Ub2CEytj2q0/edit?usp=sharing"",""ฉะเชิงเทรา!J770"")+IMPORTRANGE(""https://docs.google.com/spreadsheets/d/11tr1B-Bhyr79v2bkwVh5h_fR-PStkgjlZtkrZpYurG0/"&amp;"edit?usp=sharing"",""ชลบุรี!J770"")+IMPORTRANGE(""https://docs.google.com/spreadsheets/d/1hh-FVnSX0vozXhGluamEcS54Dw9_zqW0N7qJUWgJ0Sw/edit?usp=sharing"",""ชัยนาท!J770"")+IMPORTRANGE(""https://docs.google.com/spreadsheets/d/1jkqa6GXxSacMcY1eN8AHjMNJ_7dDXMJ"&amp;"VRLDlaFSOdPM/edit?usp=sharing"",""ตราด!J770"")+IMPORTRANGE(""https://docs.google.com/spreadsheets/d/18hSgUJ3VwClqi_qtULmmW3cLr0oe3OKaSYoKzdpTsYQ/edit?usp=sharing"",""นครนายก!J770"")+IMPORTRANGE(""https://docs.google.com/spreadsheets/d/1YTZo6WM2dQ6Ix6FSdnL"&amp;"5P7uVnVKu40sxZu975tgG10E/edit?usp=sharing"",""นครปฐม!J770"")+IMPORTRANGE(""https://docs.google.com/spreadsheets/d/1OYoGg4WDg5RIzwGeB10padOxJF9E_Vljuvvct_M7RDo/edit?usp=sharing"",""ปทุมธานี!J770"")+IMPORTRANGE(""https://docs.google.com/spreadsheets/d/1GbCI"&amp;"E4D4wk9FUozzqk7SxfDMxDVBwVmI5zcaVUSzKAc/edit?usp=sharing"",""ประจวบคีรีขันธ์!J770"")+IMPORTRANGE(""https://docs.google.com/spreadsheets/d/1vVf6wykvW_lAyu7Yo9L4hUTqHqIeP_qcVuxCtosJEbg/edit?usp=sharing"",""ปราจีนบุรี!J770"")+IMPORTRANGE(""https://docs.googl"&amp;"e.com/spreadsheets/d/1BIDqLLg5jk3v59G8NlR8rk5xfQDKne0sAvZHSj7TI6I/edit?usp=sharing"",""พระนครศรีอยุธยา!J770"")+IMPORTRANGE(""https://docs.google.com/spreadsheets/d/1YXvxf8Yu6_rV4hTBrwMqAcAnv6DfhUxh5emyM3CJp_w/edit?usp=sharing"",""เพชรบุรี!J770"")+IMPORTRA"&amp;"NGE(""https://docs.google.com/spreadsheets/d/19KBlQQs7uwvsao6t2n-KvW3Ax8J8uRRfZPq1zPbXgKc/edit?usp=sharing"",""ระยอง!J770"")+IMPORTRANGE(""https://docs.google.com/spreadsheets/d/1jQ6P4QcrGM89YfqcC_PxOHGCMq5ezhucwJd8ci-NHng/edit?usp=sharing"",""ราชบุรี!J77"&amp;"0"")+IMPORTRANGE(""https://docs.google.com/spreadsheets/d/1lufeA2cfFqM-elVq2hznhDzC6Pr7wkJ9ZG_sYNGCMCU/edit?usp=sharing"",""ลพบุรี!J770"")+IMPORTRANGE(""https://docs.google.com/spreadsheets/d/10oOiF7loTyfsTkbd4MpaIm0HQ9SwB7IYHdIUvt-U1Uc/edit?usp=sharing"""&amp;",""สระแก้ว!J770"")+IMPORTRANGE(""https://docs.google.com/spreadsheets/d/1xmPlrr1QbdSIKvl1dWUl9K4PjAfSL9oeMr_37QVzcxc/edit?usp=sharing"",""สระบุรี!J770"")+IMPORTRANGE(""https://docs.google.com/spreadsheets/d/1j51vR6CYVGhABJpv6tkstgok82RLpXieLzW1yOY5rHw/edi"&amp;"t?usp=sharing"",""สิงห์บุรี!J770"")+IMPORTRANGE(""https://docs.google.com/spreadsheets/d/1H1EalTWKUSzO4Z1-1CwzoDUaVffgrThEBe2sl74kKG0/edit?usp=sharing"",""สุพรรณบุรี!J770"")+IMPORTRANGE(""https://docs.google.com/spreadsheets/d/1BmIruG_sIrJLYao_Pdr7zVArWsf"&amp;"oBt2692TMi6x_854/edit?usp=sharing"",""อ่างทอง!J770"")"),0)</f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13wPX838HrBrQMCywv1BsuMkt4PEKTChp52zj44s2izQ/edit?usp=sharing"",""กาญจนบุรี!I772"")+IMPORTRANGE(""https://docs.google.com/spreadsheets/d/1ddFKvqj1W1NEiWytbGlB1zMx_ykJDVtmfEQ-6-lIUBA/edit?usp=sharing"","&amp;"""จันทบุรี!I772"")+IMPORTRANGE(""https://docs.google.com/spreadsheets/d/1T1PQvRODqOBZk8BRht_U031fIS1beLA0Ub2CEytj2q0/edit?usp=sharing"",""ฉะเชิงเทรา!I772"")+IMPORTRANGE(""https://docs.google.com/spreadsheets/d/11tr1B-Bhyr79v2bkwVh5h_fR-PStkgjlZtkrZpYurG0/"&amp;"edit?usp=sharing"",""ชลบุรี!I772"")+IMPORTRANGE(""https://docs.google.com/spreadsheets/d/1hh-FVnSX0vozXhGluamEcS54Dw9_zqW0N7qJUWgJ0Sw/edit?usp=sharing"",""ชัยนาท!I772"")+IMPORTRANGE(""https://docs.google.com/spreadsheets/d/1jkqa6GXxSacMcY1eN8AHjMNJ_7dDXMJ"&amp;"VRLDlaFSOdPM/edit?usp=sharing"",""ตราด!I772"")+IMPORTRANGE(""https://docs.google.com/spreadsheets/d/18hSgUJ3VwClqi_qtULmmW3cLr0oe3OKaSYoKzdpTsYQ/edit?usp=sharing"",""นครนายก!I772"")+IMPORTRANGE(""https://docs.google.com/spreadsheets/d/1YTZo6WM2dQ6Ix6FSdnL"&amp;"5P7uVnVKu40sxZu975tgG10E/edit?usp=sharing"",""นครปฐม!I772"")+IMPORTRANGE(""https://docs.google.com/spreadsheets/d/1OYoGg4WDg5RIzwGeB10padOxJF9E_Vljuvvct_M7RDo/edit?usp=sharing"",""ปทุมธานี!I772"")+IMPORTRANGE(""https://docs.google.com/spreadsheets/d/1GbCI"&amp;"E4D4wk9FUozzqk7SxfDMxDVBwVmI5zcaVUSzKAc/edit?usp=sharing"",""ประจวบคีรีขันธ์!I772"")+IMPORTRANGE(""https://docs.google.com/spreadsheets/d/1vVf6wykvW_lAyu7Yo9L4hUTqHqIeP_qcVuxCtosJEbg/edit?usp=sharing"",""ปราจีนบุรี!I772"")+IMPORTRANGE(""https://docs.googl"&amp;"e.com/spreadsheets/d/1BIDqLLg5jk3v59G8NlR8rk5xfQDKne0sAvZHSj7TI6I/edit?usp=sharing"",""พระนครศรีอยุธยา!I772"")+IMPORTRANGE(""https://docs.google.com/spreadsheets/d/1YXvxf8Yu6_rV4hTBrwMqAcAnv6DfhUxh5emyM3CJp_w/edit?usp=sharing"",""เพชรบุรี!I772"")+IMPORTRA"&amp;"NGE(""https://docs.google.com/spreadsheets/d/19KBlQQs7uwvsao6t2n-KvW3Ax8J8uRRfZPq1zPbXgKc/edit?usp=sharing"",""ระยอง!I772"")+IMPORTRANGE(""https://docs.google.com/spreadsheets/d/1jQ6P4QcrGM89YfqcC_PxOHGCMq5ezhucwJd8ci-NHng/edit?usp=sharing"",""ราชบุรี!I77"&amp;"2"")+IMPORTRANGE(""https://docs.google.com/spreadsheets/d/1lufeA2cfFqM-elVq2hznhDzC6Pr7wkJ9ZG_sYNGCMCU/edit?usp=sharing"",""ลพบุรี!I772"")+IMPORTRANGE(""https://docs.google.com/spreadsheets/d/10oOiF7loTyfsTkbd4MpaIm0HQ9SwB7IYHdIUvt-U1Uc/edit?usp=sharing"""&amp;",""สระแก้ว!I772"")+IMPORTRANGE(""https://docs.google.com/spreadsheets/d/1xmPlrr1QbdSIKvl1dWUl9K4PjAfSL9oeMr_37QVzcxc/edit?usp=sharing"",""สระบุรี!I772"")+IMPORTRANGE(""https://docs.google.com/spreadsheets/d/1j51vR6CYVGhABJpv6tkstgok82RLpXieLzW1yOY5rHw/edi"&amp;"t?usp=sharing"",""สิงห์บุรี!I772"")+IMPORTRANGE(""https://docs.google.com/spreadsheets/d/1H1EalTWKUSzO4Z1-1CwzoDUaVffgrThEBe2sl74kKG0/edit?usp=sharing"",""สุพรรณบุรี!I772"")+IMPORTRANGE(""https://docs.google.com/spreadsheets/d/1BmIruG_sIrJLYao_Pdr7zVArWsf"&amp;"oBt2692TMi6x_854/edit?usp=sharing"",""อ่างทอง!I772"")"),425)</f>
        <v>425</v>
      </c>
      <c r="J772" s="296">
        <f ca="1">IFERROR(__xludf.DUMMYFUNCTION("IMPORTRANGE(""https://docs.google.com/spreadsheets/d/13wPX838HrBrQMCywv1BsuMkt4PEKTChp52zj44s2izQ/edit?usp=sharing"",""กาญจนบุรี!J772"")+IMPORTRANGE(""https://docs.google.com/spreadsheets/d/1ddFKvqj1W1NEiWytbGlB1zMx_ykJDVtmfEQ-6-lIUBA/edit?usp=sharing"","&amp;"""จันทบุรี!J772"")+IMPORTRANGE(""https://docs.google.com/spreadsheets/d/1T1PQvRODqOBZk8BRht_U031fIS1beLA0Ub2CEytj2q0/edit?usp=sharing"",""ฉะเชิงเทรา!J772"")+IMPORTRANGE(""https://docs.google.com/spreadsheets/d/11tr1B-Bhyr79v2bkwVh5h_fR-PStkgjlZtkrZpYurG0/"&amp;"edit?usp=sharing"",""ชลบุรี!J772"")+IMPORTRANGE(""https://docs.google.com/spreadsheets/d/1hh-FVnSX0vozXhGluamEcS54Dw9_zqW0N7qJUWgJ0Sw/edit?usp=sharing"",""ชัยนาท!J772"")+IMPORTRANGE(""https://docs.google.com/spreadsheets/d/1jkqa6GXxSacMcY1eN8AHjMNJ_7dDXMJ"&amp;"VRLDlaFSOdPM/edit?usp=sharing"",""ตราด!J772"")+IMPORTRANGE(""https://docs.google.com/spreadsheets/d/18hSgUJ3VwClqi_qtULmmW3cLr0oe3OKaSYoKzdpTsYQ/edit?usp=sharing"",""นครนายก!J772"")+IMPORTRANGE(""https://docs.google.com/spreadsheets/d/1YTZo6WM2dQ6Ix6FSdnL"&amp;"5P7uVnVKu40sxZu975tgG10E/edit?usp=sharing"",""นครปฐม!J772"")+IMPORTRANGE(""https://docs.google.com/spreadsheets/d/1OYoGg4WDg5RIzwGeB10padOxJF9E_Vljuvvct_M7RDo/edit?usp=sharing"",""ปทุมธานี!J772"")+IMPORTRANGE(""https://docs.google.com/spreadsheets/d/1GbCI"&amp;"E4D4wk9FUozzqk7SxfDMxDVBwVmI5zcaVUSzKAc/edit?usp=sharing"",""ประจวบคีรีขันธ์!J772"")+IMPORTRANGE(""https://docs.google.com/spreadsheets/d/1vVf6wykvW_lAyu7Yo9L4hUTqHqIeP_qcVuxCtosJEbg/edit?usp=sharing"",""ปราจีนบุรี!J772"")+IMPORTRANGE(""https://docs.googl"&amp;"e.com/spreadsheets/d/1BIDqLLg5jk3v59G8NlR8rk5xfQDKne0sAvZHSj7TI6I/edit?usp=sharing"",""พระนครศรีอยุธยา!J772"")+IMPORTRANGE(""https://docs.google.com/spreadsheets/d/1YXvxf8Yu6_rV4hTBrwMqAcAnv6DfhUxh5emyM3CJp_w/edit?usp=sharing"",""เพชรบุรี!J772"")+IMPORTRA"&amp;"NGE(""https://docs.google.com/spreadsheets/d/19KBlQQs7uwvsao6t2n-KvW3Ax8J8uRRfZPq1zPbXgKc/edit?usp=sharing"",""ระยอง!J772"")+IMPORTRANGE(""https://docs.google.com/spreadsheets/d/1jQ6P4QcrGM89YfqcC_PxOHGCMq5ezhucwJd8ci-NHng/edit?usp=sharing"",""ราชบุรี!J77"&amp;"2"")+IMPORTRANGE(""https://docs.google.com/spreadsheets/d/1lufeA2cfFqM-elVq2hznhDzC6Pr7wkJ9ZG_sYNGCMCU/edit?usp=sharing"",""ลพบุรี!J772"")+IMPORTRANGE(""https://docs.google.com/spreadsheets/d/10oOiF7loTyfsTkbd4MpaIm0HQ9SwB7IYHdIUvt-U1Uc/edit?usp=sharing"""&amp;",""สระแก้ว!J772"")+IMPORTRANGE(""https://docs.google.com/spreadsheets/d/1xmPlrr1QbdSIKvl1dWUl9K4PjAfSL9oeMr_37QVzcxc/edit?usp=sharing"",""สระบุรี!J772"")+IMPORTRANGE(""https://docs.google.com/spreadsheets/d/1j51vR6CYVGhABJpv6tkstgok82RLpXieLzW1yOY5rHw/edi"&amp;"t?usp=sharing"",""สิงห์บุรี!J772"")+IMPORTRANGE(""https://docs.google.com/spreadsheets/d/1H1EalTWKUSzO4Z1-1CwzoDUaVffgrThEBe2sl74kKG0/edit?usp=sharing"",""สุพรรณบุรี!J772"")+IMPORTRANGE(""https://docs.google.com/spreadsheets/d/1BmIruG_sIrJLYao_Pdr7zVArWsf"&amp;"oBt2692TMi6x_854/edit?usp=sharing"",""อ่างทอง!J772"")"),230)</f>
        <v>230</v>
      </c>
      <c r="K772" s="77">
        <f ca="1">IF(I772&gt;0,J772*100/I772,0)</f>
        <v>54.117647058823529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13wPX838HrBrQMCywv1BsuMkt4PEKTChp52zj44s2izQ/edit?usp=sharing"",""กาญจนบุรี!I774"")+IMPORTRANGE(""https://docs.google.com/spreadsheets/d/1ddFKvqj1W1NEiWytbGlB1zMx_ykJDVtmfEQ-6-lIUBA/edit?usp=sharing"","&amp;"""จันทบุรี!I774"")+IMPORTRANGE(""https://docs.google.com/spreadsheets/d/1T1PQvRODqOBZk8BRht_U031fIS1beLA0Ub2CEytj2q0/edit?usp=sharing"",""ฉะเชิงเทรา!I774"")+IMPORTRANGE(""https://docs.google.com/spreadsheets/d/11tr1B-Bhyr79v2bkwVh5h_fR-PStkgjlZtkrZpYurG0/"&amp;"edit?usp=sharing"",""ชลบุรี!I774"")+IMPORTRANGE(""https://docs.google.com/spreadsheets/d/1hh-FVnSX0vozXhGluamEcS54Dw9_zqW0N7qJUWgJ0Sw/edit?usp=sharing"",""ชัยนาท!I774"")+IMPORTRANGE(""https://docs.google.com/spreadsheets/d/1jkqa6GXxSacMcY1eN8AHjMNJ_7dDXMJ"&amp;"VRLDlaFSOdPM/edit?usp=sharing"",""ตราด!I774"")+IMPORTRANGE(""https://docs.google.com/spreadsheets/d/18hSgUJ3VwClqi_qtULmmW3cLr0oe3OKaSYoKzdpTsYQ/edit?usp=sharing"",""นครนายก!I774"")+IMPORTRANGE(""https://docs.google.com/spreadsheets/d/1YTZo6WM2dQ6Ix6FSdnL"&amp;"5P7uVnVKu40sxZu975tgG10E/edit?usp=sharing"",""นครปฐม!I774"")+IMPORTRANGE(""https://docs.google.com/spreadsheets/d/1OYoGg4WDg5RIzwGeB10padOxJF9E_Vljuvvct_M7RDo/edit?usp=sharing"",""ปทุมธานี!I774"")+IMPORTRANGE(""https://docs.google.com/spreadsheets/d/1GbCI"&amp;"E4D4wk9FUozzqk7SxfDMxDVBwVmI5zcaVUSzKAc/edit?usp=sharing"",""ประจวบคีรีขันธ์!I774"")+IMPORTRANGE(""https://docs.google.com/spreadsheets/d/1vVf6wykvW_lAyu7Yo9L4hUTqHqIeP_qcVuxCtosJEbg/edit?usp=sharing"",""ปราจีนบุรี!I774"")+IMPORTRANGE(""https://docs.googl"&amp;"e.com/spreadsheets/d/1BIDqLLg5jk3v59G8NlR8rk5xfQDKne0sAvZHSj7TI6I/edit?usp=sharing"",""พระนครศรีอยุธยา!I774"")+IMPORTRANGE(""https://docs.google.com/spreadsheets/d/1YXvxf8Yu6_rV4hTBrwMqAcAnv6DfhUxh5emyM3CJp_w/edit?usp=sharing"",""เพชรบุรี!I774"")+IMPORTRA"&amp;"NGE(""https://docs.google.com/spreadsheets/d/19KBlQQs7uwvsao6t2n-KvW3Ax8J8uRRfZPq1zPbXgKc/edit?usp=sharing"",""ระยอง!I774"")+IMPORTRANGE(""https://docs.google.com/spreadsheets/d/1jQ6P4QcrGM89YfqcC_PxOHGCMq5ezhucwJd8ci-NHng/edit?usp=sharing"",""ราชบุรี!I77"&amp;"4"")+IMPORTRANGE(""https://docs.google.com/spreadsheets/d/1lufeA2cfFqM-elVq2hznhDzC6Pr7wkJ9ZG_sYNGCMCU/edit?usp=sharing"",""ลพบุรี!I774"")+IMPORTRANGE(""https://docs.google.com/spreadsheets/d/10oOiF7loTyfsTkbd4MpaIm0HQ9SwB7IYHdIUvt-U1Uc/edit?usp=sharing"""&amp;",""สระแก้ว!I774"")+IMPORTRANGE(""https://docs.google.com/spreadsheets/d/1xmPlrr1QbdSIKvl1dWUl9K4PjAfSL9oeMr_37QVzcxc/edit?usp=sharing"",""สระบุรี!I774"")+IMPORTRANGE(""https://docs.google.com/spreadsheets/d/1j51vR6CYVGhABJpv6tkstgok82RLpXieLzW1yOY5rHw/edi"&amp;"t?usp=sharing"",""สิงห์บุรี!I774"")+IMPORTRANGE(""https://docs.google.com/spreadsheets/d/1H1EalTWKUSzO4Z1-1CwzoDUaVffgrThEBe2sl74kKG0/edit?usp=sharing"",""สุพรรณบุรี!I774"")+IMPORTRANGE(""https://docs.google.com/spreadsheets/d/1BmIruG_sIrJLYao_Pdr7zVArWsf"&amp;"oBt2692TMi6x_854/edit?usp=sharing"",""อ่างทอง!I774"")"),885)</f>
        <v>885</v>
      </c>
      <c r="J774" s="296">
        <f ca="1">IFERROR(__xludf.DUMMYFUNCTION("IMPORTRANGE(""https://docs.google.com/spreadsheets/d/13wPX838HrBrQMCywv1BsuMkt4PEKTChp52zj44s2izQ/edit?usp=sharing"",""กาญจนบุรี!J774"")+IMPORTRANGE(""https://docs.google.com/spreadsheets/d/1ddFKvqj1W1NEiWytbGlB1zMx_ykJDVtmfEQ-6-lIUBA/edit?usp=sharing"","&amp;"""จันทบุรี!J774"")+IMPORTRANGE(""https://docs.google.com/spreadsheets/d/1T1PQvRODqOBZk8BRht_U031fIS1beLA0Ub2CEytj2q0/edit?usp=sharing"",""ฉะเชิงเทรา!J774"")+IMPORTRANGE(""https://docs.google.com/spreadsheets/d/11tr1B-Bhyr79v2bkwVh5h_fR-PStkgjlZtkrZpYurG0/"&amp;"edit?usp=sharing"",""ชลบุรี!J774"")+IMPORTRANGE(""https://docs.google.com/spreadsheets/d/1hh-FVnSX0vozXhGluamEcS54Dw9_zqW0N7qJUWgJ0Sw/edit?usp=sharing"",""ชัยนาท!J774"")+IMPORTRANGE(""https://docs.google.com/spreadsheets/d/1jkqa6GXxSacMcY1eN8AHjMNJ_7dDXMJ"&amp;"VRLDlaFSOdPM/edit?usp=sharing"",""ตราด!J774"")+IMPORTRANGE(""https://docs.google.com/spreadsheets/d/18hSgUJ3VwClqi_qtULmmW3cLr0oe3OKaSYoKzdpTsYQ/edit?usp=sharing"",""นครนายก!J774"")+IMPORTRANGE(""https://docs.google.com/spreadsheets/d/1YTZo6WM2dQ6Ix6FSdnL"&amp;"5P7uVnVKu40sxZu975tgG10E/edit?usp=sharing"",""นครปฐม!J774"")+IMPORTRANGE(""https://docs.google.com/spreadsheets/d/1OYoGg4WDg5RIzwGeB10padOxJF9E_Vljuvvct_M7RDo/edit?usp=sharing"",""ปทุมธานี!J774"")+IMPORTRANGE(""https://docs.google.com/spreadsheets/d/1GbCI"&amp;"E4D4wk9FUozzqk7SxfDMxDVBwVmI5zcaVUSzKAc/edit?usp=sharing"",""ประจวบคีรีขันธ์!J774"")+IMPORTRANGE(""https://docs.google.com/spreadsheets/d/1vVf6wykvW_lAyu7Yo9L4hUTqHqIeP_qcVuxCtosJEbg/edit?usp=sharing"",""ปราจีนบุรี!J774"")+IMPORTRANGE(""https://docs.googl"&amp;"e.com/spreadsheets/d/1BIDqLLg5jk3v59G8NlR8rk5xfQDKne0sAvZHSj7TI6I/edit?usp=sharing"",""พระนครศรีอยุธยา!J774"")+IMPORTRANGE(""https://docs.google.com/spreadsheets/d/1YXvxf8Yu6_rV4hTBrwMqAcAnv6DfhUxh5emyM3CJp_w/edit?usp=sharing"",""เพชรบุรี!J774"")+IMPORTRA"&amp;"NGE(""https://docs.google.com/spreadsheets/d/19KBlQQs7uwvsao6t2n-KvW3Ax8J8uRRfZPq1zPbXgKc/edit?usp=sharing"",""ระยอง!J774"")+IMPORTRANGE(""https://docs.google.com/spreadsheets/d/1jQ6P4QcrGM89YfqcC_PxOHGCMq5ezhucwJd8ci-NHng/edit?usp=sharing"",""ราชบุรี!J77"&amp;"4"")+IMPORTRANGE(""https://docs.google.com/spreadsheets/d/1lufeA2cfFqM-elVq2hznhDzC6Pr7wkJ9ZG_sYNGCMCU/edit?usp=sharing"",""ลพบุรี!J774"")+IMPORTRANGE(""https://docs.google.com/spreadsheets/d/10oOiF7loTyfsTkbd4MpaIm0HQ9SwB7IYHdIUvt-U1Uc/edit?usp=sharing"""&amp;",""สระแก้ว!J774"")+IMPORTRANGE(""https://docs.google.com/spreadsheets/d/1xmPlrr1QbdSIKvl1dWUl9K4PjAfSL9oeMr_37QVzcxc/edit?usp=sharing"",""สระบุรี!J774"")+IMPORTRANGE(""https://docs.google.com/spreadsheets/d/1j51vR6CYVGhABJpv6tkstgok82RLpXieLzW1yOY5rHw/edi"&amp;"t?usp=sharing"",""สิงห์บุรี!J774"")+IMPORTRANGE(""https://docs.google.com/spreadsheets/d/1H1EalTWKUSzO4Z1-1CwzoDUaVffgrThEBe2sl74kKG0/edit?usp=sharing"",""สุพรรณบุรี!J774"")+IMPORTRANGE(""https://docs.google.com/spreadsheets/d/1BmIruG_sIrJLYao_Pdr7zVArWsf"&amp;"oBt2692TMi6x_854/edit?usp=sharing"",""อ่างทอง!J774"")"),465)</f>
        <v>465</v>
      </c>
      <c r="K774" s="77">
        <f ca="1">IF(I774&gt;0,J774*100/I774,0)</f>
        <v>52.542372881355931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13wPX838HrBrQMCywv1BsuMkt4PEKTChp52zj44s2izQ/edit?usp=sharing"",""กาญจนบุรี!I775"")+IMPORTRANGE(""https://docs.google.com/spreadsheets/d/1ddFKvqj1W1NEiWytbGlB1zMx_ykJDVtmfEQ-6-lIUBA/edit?usp=sharing"","&amp;"""จันทบุรี!I775"")+IMPORTRANGE(""https://docs.google.com/spreadsheets/d/1T1PQvRODqOBZk8BRht_U031fIS1beLA0Ub2CEytj2q0/edit?usp=sharing"",""ฉะเชิงเทรา!I775"")+IMPORTRANGE(""https://docs.google.com/spreadsheets/d/11tr1B-Bhyr79v2bkwVh5h_fR-PStkgjlZtkrZpYurG0/"&amp;"edit?usp=sharing"",""ชลบุรี!I775"")+IMPORTRANGE(""https://docs.google.com/spreadsheets/d/1hh-FVnSX0vozXhGluamEcS54Dw9_zqW0N7qJUWgJ0Sw/edit?usp=sharing"",""ชัยนาท!I775"")+IMPORTRANGE(""https://docs.google.com/spreadsheets/d/1jkqa6GXxSacMcY1eN8AHjMNJ_7dDXMJ"&amp;"VRLDlaFSOdPM/edit?usp=sharing"",""ตราด!I775"")+IMPORTRANGE(""https://docs.google.com/spreadsheets/d/18hSgUJ3VwClqi_qtULmmW3cLr0oe3OKaSYoKzdpTsYQ/edit?usp=sharing"",""นครนายก!I775"")+IMPORTRANGE(""https://docs.google.com/spreadsheets/d/1YTZo6WM2dQ6Ix6FSdnL"&amp;"5P7uVnVKu40sxZu975tgG10E/edit?usp=sharing"",""นครปฐม!I775"")+IMPORTRANGE(""https://docs.google.com/spreadsheets/d/1OYoGg4WDg5RIzwGeB10padOxJF9E_Vljuvvct_M7RDo/edit?usp=sharing"",""ปทุมธานี!I775"")+IMPORTRANGE(""https://docs.google.com/spreadsheets/d/1GbCI"&amp;"E4D4wk9FUozzqk7SxfDMxDVBwVmI5zcaVUSzKAc/edit?usp=sharing"",""ประจวบคีรีขันธ์!I775"")+IMPORTRANGE(""https://docs.google.com/spreadsheets/d/1vVf6wykvW_lAyu7Yo9L4hUTqHqIeP_qcVuxCtosJEbg/edit?usp=sharing"",""ปราจีนบุรี!I775"")+IMPORTRANGE(""https://docs.googl"&amp;"e.com/spreadsheets/d/1BIDqLLg5jk3v59G8NlR8rk5xfQDKne0sAvZHSj7TI6I/edit?usp=sharing"",""พระนครศรีอยุธยา!I775"")+IMPORTRANGE(""https://docs.google.com/spreadsheets/d/1YXvxf8Yu6_rV4hTBrwMqAcAnv6DfhUxh5emyM3CJp_w/edit?usp=sharing"",""เพชรบุรี!I775"")+IMPORTRA"&amp;"NGE(""https://docs.google.com/spreadsheets/d/19KBlQQs7uwvsao6t2n-KvW3Ax8J8uRRfZPq1zPbXgKc/edit?usp=sharing"",""ระยอง!I775"")+IMPORTRANGE(""https://docs.google.com/spreadsheets/d/1jQ6P4QcrGM89YfqcC_PxOHGCMq5ezhucwJd8ci-NHng/edit?usp=sharing"",""ราชบุรี!I77"&amp;"5"")+IMPORTRANGE(""https://docs.google.com/spreadsheets/d/1lufeA2cfFqM-elVq2hznhDzC6Pr7wkJ9ZG_sYNGCMCU/edit?usp=sharing"",""ลพบุรี!I775"")+IMPORTRANGE(""https://docs.google.com/spreadsheets/d/10oOiF7loTyfsTkbd4MpaIm0HQ9SwB7IYHdIUvt-U1Uc/edit?usp=sharing"""&amp;",""สระแก้ว!I775"")+IMPORTRANGE(""https://docs.google.com/spreadsheets/d/1xmPlrr1QbdSIKvl1dWUl9K4PjAfSL9oeMr_37QVzcxc/edit?usp=sharing"",""สระบุรี!I775"")+IMPORTRANGE(""https://docs.google.com/spreadsheets/d/1j51vR6CYVGhABJpv6tkstgok82RLpXieLzW1yOY5rHw/edi"&amp;"t?usp=sharing"",""สิงห์บุรี!I775"")+IMPORTRANGE(""https://docs.google.com/spreadsheets/d/1H1EalTWKUSzO4Z1-1CwzoDUaVffgrThEBe2sl74kKG0/edit?usp=sharing"",""สุพรรณบุรี!I775"")+IMPORTRANGE(""https://docs.google.com/spreadsheets/d/1BmIruG_sIrJLYao_Pdr7zVArWsf"&amp;"oBt2692TMi6x_854/edit?usp=sharing"",""อ่างทอง!I775"")"),885)</f>
        <v>885</v>
      </c>
      <c r="J775" s="296">
        <f ca="1">IFERROR(__xludf.DUMMYFUNCTION("IMPORTRANGE(""https://docs.google.com/spreadsheets/d/13wPX838HrBrQMCywv1BsuMkt4PEKTChp52zj44s2izQ/edit?usp=sharing"",""กาญจนบุรี!J775"")+IMPORTRANGE(""https://docs.google.com/spreadsheets/d/1ddFKvqj1W1NEiWytbGlB1zMx_ykJDVtmfEQ-6-lIUBA/edit?usp=sharing"","&amp;"""จันทบุรี!J775"")+IMPORTRANGE(""https://docs.google.com/spreadsheets/d/1T1PQvRODqOBZk8BRht_U031fIS1beLA0Ub2CEytj2q0/edit?usp=sharing"",""ฉะเชิงเทรา!J775"")+IMPORTRANGE(""https://docs.google.com/spreadsheets/d/11tr1B-Bhyr79v2bkwVh5h_fR-PStkgjlZtkrZpYurG0/"&amp;"edit?usp=sharing"",""ชลบุรี!J775"")+IMPORTRANGE(""https://docs.google.com/spreadsheets/d/1hh-FVnSX0vozXhGluamEcS54Dw9_zqW0N7qJUWgJ0Sw/edit?usp=sharing"",""ชัยนาท!J775"")+IMPORTRANGE(""https://docs.google.com/spreadsheets/d/1jkqa6GXxSacMcY1eN8AHjMNJ_7dDXMJ"&amp;"VRLDlaFSOdPM/edit?usp=sharing"",""ตราด!J775"")+IMPORTRANGE(""https://docs.google.com/spreadsheets/d/18hSgUJ3VwClqi_qtULmmW3cLr0oe3OKaSYoKzdpTsYQ/edit?usp=sharing"",""นครนายก!J775"")+IMPORTRANGE(""https://docs.google.com/spreadsheets/d/1YTZo6WM2dQ6Ix6FSdnL"&amp;"5P7uVnVKu40sxZu975tgG10E/edit?usp=sharing"",""นครปฐม!J775"")+IMPORTRANGE(""https://docs.google.com/spreadsheets/d/1OYoGg4WDg5RIzwGeB10padOxJF9E_Vljuvvct_M7RDo/edit?usp=sharing"",""ปทุมธานี!J775"")+IMPORTRANGE(""https://docs.google.com/spreadsheets/d/1GbCI"&amp;"E4D4wk9FUozzqk7SxfDMxDVBwVmI5zcaVUSzKAc/edit?usp=sharing"",""ประจวบคีรีขันธ์!J775"")+IMPORTRANGE(""https://docs.google.com/spreadsheets/d/1vVf6wykvW_lAyu7Yo9L4hUTqHqIeP_qcVuxCtosJEbg/edit?usp=sharing"",""ปราจีนบุรี!J775"")+IMPORTRANGE(""https://docs.googl"&amp;"e.com/spreadsheets/d/1BIDqLLg5jk3v59G8NlR8rk5xfQDKne0sAvZHSj7TI6I/edit?usp=sharing"",""พระนครศรีอยุธยา!J775"")+IMPORTRANGE(""https://docs.google.com/spreadsheets/d/1YXvxf8Yu6_rV4hTBrwMqAcAnv6DfhUxh5emyM3CJp_w/edit?usp=sharing"",""เพชรบุรี!J775"")+IMPORTRA"&amp;"NGE(""https://docs.google.com/spreadsheets/d/19KBlQQs7uwvsao6t2n-KvW3Ax8J8uRRfZPq1zPbXgKc/edit?usp=sharing"",""ระยอง!J775"")+IMPORTRANGE(""https://docs.google.com/spreadsheets/d/1jQ6P4QcrGM89YfqcC_PxOHGCMq5ezhucwJd8ci-NHng/edit?usp=sharing"",""ราชบุรี!J77"&amp;"5"")+IMPORTRANGE(""https://docs.google.com/spreadsheets/d/1lufeA2cfFqM-elVq2hznhDzC6Pr7wkJ9ZG_sYNGCMCU/edit?usp=sharing"",""ลพบุรี!J775"")+IMPORTRANGE(""https://docs.google.com/spreadsheets/d/10oOiF7loTyfsTkbd4MpaIm0HQ9SwB7IYHdIUvt-U1Uc/edit?usp=sharing"""&amp;",""สระแก้ว!J775"")+IMPORTRANGE(""https://docs.google.com/spreadsheets/d/1xmPlrr1QbdSIKvl1dWUl9K4PjAfSL9oeMr_37QVzcxc/edit?usp=sharing"",""สระบุรี!J775"")+IMPORTRANGE(""https://docs.google.com/spreadsheets/d/1j51vR6CYVGhABJpv6tkstgok82RLpXieLzW1yOY5rHw/edi"&amp;"t?usp=sharing"",""สิงห์บุรี!J775"")+IMPORTRANGE(""https://docs.google.com/spreadsheets/d/1H1EalTWKUSzO4Z1-1CwzoDUaVffgrThEBe2sl74kKG0/edit?usp=sharing"",""สุพรรณบุรี!J775"")+IMPORTRANGE(""https://docs.google.com/spreadsheets/d/1BmIruG_sIrJLYao_Pdr7zVArWsf"&amp;"oBt2692TMi6x_854/edit?usp=sharing"",""อ่างทอง!J775"")"),25)</f>
        <v>25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13wPX838HrBrQMCywv1BsuMkt4PEKTChp52zj44s2izQ/edit?usp=sharing"",""กาญจนบุรี!I776"")+IMPORTRANGE(""https://docs.google.com/spreadsheets/d/1ddFKvqj1W1NEiWytbGlB1zMx_ykJDVtmfEQ-6-lIUBA/edit?usp=sharing"","&amp;"""จันทบุรี!I776"")+IMPORTRANGE(""https://docs.google.com/spreadsheets/d/1T1PQvRODqOBZk8BRht_U031fIS1beLA0Ub2CEytj2q0/edit?usp=sharing"",""ฉะเชิงเทรา!I776"")+IMPORTRANGE(""https://docs.google.com/spreadsheets/d/11tr1B-Bhyr79v2bkwVh5h_fR-PStkgjlZtkrZpYurG0/"&amp;"edit?usp=sharing"",""ชลบุรี!I776"")+IMPORTRANGE(""https://docs.google.com/spreadsheets/d/1hh-FVnSX0vozXhGluamEcS54Dw9_zqW0N7qJUWgJ0Sw/edit?usp=sharing"",""ชัยนาท!I776"")+IMPORTRANGE(""https://docs.google.com/spreadsheets/d/1jkqa6GXxSacMcY1eN8AHjMNJ_7dDXMJ"&amp;"VRLDlaFSOdPM/edit?usp=sharing"",""ตราด!I776"")+IMPORTRANGE(""https://docs.google.com/spreadsheets/d/18hSgUJ3VwClqi_qtULmmW3cLr0oe3OKaSYoKzdpTsYQ/edit?usp=sharing"",""นครนายก!I776"")+IMPORTRANGE(""https://docs.google.com/spreadsheets/d/1YTZo6WM2dQ6Ix6FSdnL"&amp;"5P7uVnVKu40sxZu975tgG10E/edit?usp=sharing"",""นครปฐม!I776"")+IMPORTRANGE(""https://docs.google.com/spreadsheets/d/1OYoGg4WDg5RIzwGeB10padOxJF9E_Vljuvvct_M7RDo/edit?usp=sharing"",""ปทุมธานี!I776"")+IMPORTRANGE(""https://docs.google.com/spreadsheets/d/1GbCI"&amp;"E4D4wk9FUozzqk7SxfDMxDVBwVmI5zcaVUSzKAc/edit?usp=sharing"",""ประจวบคีรีขันธ์!I776"")+IMPORTRANGE(""https://docs.google.com/spreadsheets/d/1vVf6wykvW_lAyu7Yo9L4hUTqHqIeP_qcVuxCtosJEbg/edit?usp=sharing"",""ปราจีนบุรี!I776"")+IMPORTRANGE(""https://docs.googl"&amp;"e.com/spreadsheets/d/1BIDqLLg5jk3v59G8NlR8rk5xfQDKne0sAvZHSj7TI6I/edit?usp=sharing"",""พระนครศรีอยุธยา!I776"")+IMPORTRANGE(""https://docs.google.com/spreadsheets/d/1YXvxf8Yu6_rV4hTBrwMqAcAnv6DfhUxh5emyM3CJp_w/edit?usp=sharing"",""เพชรบุรี!I776"")+IMPORTRA"&amp;"NGE(""https://docs.google.com/spreadsheets/d/19KBlQQs7uwvsao6t2n-KvW3Ax8J8uRRfZPq1zPbXgKc/edit?usp=sharing"",""ระยอง!I776"")+IMPORTRANGE(""https://docs.google.com/spreadsheets/d/1jQ6P4QcrGM89YfqcC_PxOHGCMq5ezhucwJd8ci-NHng/edit?usp=sharing"",""ราชบุรี!I77"&amp;"6"")+IMPORTRANGE(""https://docs.google.com/spreadsheets/d/1lufeA2cfFqM-elVq2hznhDzC6Pr7wkJ9ZG_sYNGCMCU/edit?usp=sharing"",""ลพบุรี!I776"")+IMPORTRANGE(""https://docs.google.com/spreadsheets/d/10oOiF7loTyfsTkbd4MpaIm0HQ9SwB7IYHdIUvt-U1Uc/edit?usp=sharing"""&amp;",""สระแก้ว!I776"")+IMPORTRANGE(""https://docs.google.com/spreadsheets/d/1xmPlrr1QbdSIKvl1dWUl9K4PjAfSL9oeMr_37QVzcxc/edit?usp=sharing"",""สระบุรี!I776"")+IMPORTRANGE(""https://docs.google.com/spreadsheets/d/1j51vR6CYVGhABJpv6tkstgok82RLpXieLzW1yOY5rHw/edi"&amp;"t?usp=sharing"",""สิงห์บุรี!I776"")+IMPORTRANGE(""https://docs.google.com/spreadsheets/d/1H1EalTWKUSzO4Z1-1CwzoDUaVffgrThEBe2sl74kKG0/edit?usp=sharing"",""สุพรรณบุรี!I776"")+IMPORTRANGE(""https://docs.google.com/spreadsheets/d/1BmIruG_sIrJLYao_Pdr7zVArWsf"&amp;"oBt2692TMi6x_854/edit?usp=sharing"",""อ่างทอง!I776"")"),425)</f>
        <v>425</v>
      </c>
      <c r="J776" s="741">
        <f ca="1">IFERROR(__xludf.DUMMYFUNCTION("IMPORTRANGE(""https://docs.google.com/spreadsheets/d/13wPX838HrBrQMCywv1BsuMkt4PEKTChp52zj44s2izQ/edit?usp=sharing"",""กาญจนบุรี!J776"")+IMPORTRANGE(""https://docs.google.com/spreadsheets/d/1ddFKvqj1W1NEiWytbGlB1zMx_ykJDVtmfEQ-6-lIUBA/edit?usp=sharing"","&amp;"""จันทบุรี!J776"")+IMPORTRANGE(""https://docs.google.com/spreadsheets/d/1T1PQvRODqOBZk8BRht_U031fIS1beLA0Ub2CEytj2q0/edit?usp=sharing"",""ฉะเชิงเทรา!J776"")+IMPORTRANGE(""https://docs.google.com/spreadsheets/d/11tr1B-Bhyr79v2bkwVh5h_fR-PStkgjlZtkrZpYurG0/"&amp;"edit?usp=sharing"",""ชลบุรี!J776"")+IMPORTRANGE(""https://docs.google.com/spreadsheets/d/1hh-FVnSX0vozXhGluamEcS54Dw9_zqW0N7qJUWgJ0Sw/edit?usp=sharing"",""ชัยนาท!J776"")+IMPORTRANGE(""https://docs.google.com/spreadsheets/d/1jkqa6GXxSacMcY1eN8AHjMNJ_7dDXMJ"&amp;"VRLDlaFSOdPM/edit?usp=sharing"",""ตราด!J776"")+IMPORTRANGE(""https://docs.google.com/spreadsheets/d/18hSgUJ3VwClqi_qtULmmW3cLr0oe3OKaSYoKzdpTsYQ/edit?usp=sharing"",""นครนายก!J776"")+IMPORTRANGE(""https://docs.google.com/spreadsheets/d/1YTZo6WM2dQ6Ix6FSdnL"&amp;"5P7uVnVKu40sxZu975tgG10E/edit?usp=sharing"",""นครปฐม!J776"")+IMPORTRANGE(""https://docs.google.com/spreadsheets/d/1OYoGg4WDg5RIzwGeB10padOxJF9E_Vljuvvct_M7RDo/edit?usp=sharing"",""ปทุมธานี!J776"")+IMPORTRANGE(""https://docs.google.com/spreadsheets/d/1GbCI"&amp;"E4D4wk9FUozzqk7SxfDMxDVBwVmI5zcaVUSzKAc/edit?usp=sharing"",""ประจวบคีรีขันธ์!J776"")+IMPORTRANGE(""https://docs.google.com/spreadsheets/d/1vVf6wykvW_lAyu7Yo9L4hUTqHqIeP_qcVuxCtosJEbg/edit?usp=sharing"",""ปราจีนบุรี!J776"")+IMPORTRANGE(""https://docs.googl"&amp;"e.com/spreadsheets/d/1BIDqLLg5jk3v59G8NlR8rk5xfQDKne0sAvZHSj7TI6I/edit?usp=sharing"",""พระนครศรีอยุธยา!J776"")+IMPORTRANGE(""https://docs.google.com/spreadsheets/d/1YXvxf8Yu6_rV4hTBrwMqAcAnv6DfhUxh5emyM3CJp_w/edit?usp=sharing"",""เพชรบุรี!J776"")+IMPORTRA"&amp;"NGE(""https://docs.google.com/spreadsheets/d/19KBlQQs7uwvsao6t2n-KvW3Ax8J8uRRfZPq1zPbXgKc/edit?usp=sharing"",""ระยอง!J776"")+IMPORTRANGE(""https://docs.google.com/spreadsheets/d/1jQ6P4QcrGM89YfqcC_PxOHGCMq5ezhucwJd8ci-NHng/edit?usp=sharing"",""ราชบุรี!J77"&amp;"6"")+IMPORTRANGE(""https://docs.google.com/spreadsheets/d/1lufeA2cfFqM-elVq2hznhDzC6Pr7wkJ9ZG_sYNGCMCU/edit?usp=sharing"",""ลพบุรี!J776"")+IMPORTRANGE(""https://docs.google.com/spreadsheets/d/10oOiF7loTyfsTkbd4MpaIm0HQ9SwB7IYHdIUvt-U1Uc/edit?usp=sharing"""&amp;",""สระแก้ว!J776"")+IMPORTRANGE(""https://docs.google.com/spreadsheets/d/1xmPlrr1QbdSIKvl1dWUl9K4PjAfSL9oeMr_37QVzcxc/edit?usp=sharing"",""สระบุรี!J776"")+IMPORTRANGE(""https://docs.google.com/spreadsheets/d/1j51vR6CYVGhABJpv6tkstgok82RLpXieLzW1yOY5rHw/edi"&amp;"t?usp=sharing"",""สิงห์บุรี!J776"")+IMPORTRANGE(""https://docs.google.com/spreadsheets/d/1H1EalTWKUSzO4Z1-1CwzoDUaVffgrThEBe2sl74kKG0/edit?usp=sharing"",""สุพรรณบุรี!J776"")+IMPORTRANGE(""https://docs.google.com/spreadsheets/d/1BmIruG_sIrJLYao_Pdr7zVArWsf"&amp;"oBt2692TMi6x_854/edit?usp=sharing"",""อ่างทอง!J776"")"),20)</f>
        <v>20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774" t="s">
        <v>292</v>
      </c>
      <c r="B777" s="775"/>
      <c r="C777" s="775"/>
      <c r="D777" s="775"/>
      <c r="E777" s="776"/>
      <c r="F777" s="776"/>
      <c r="G777" s="777"/>
      <c r="H777" s="778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533"/>
      <c r="B778" s="571" t="s">
        <v>293</v>
      </c>
      <c r="C778" s="271"/>
      <c r="D778" s="271"/>
      <c r="E778" s="260"/>
      <c r="F778" s="260"/>
      <c r="G778" s="263"/>
      <c r="H778" s="270" t="s">
        <v>14</v>
      </c>
      <c r="I778" s="295">
        <f ca="1">IFERROR(__xludf.DUMMYFUNCTION("IMPORTRANGE(""https://docs.google.com/spreadsheets/d/13wPX838HrBrQMCywv1BsuMkt4PEKTChp52zj44s2izQ/edit?usp=sharing"",""กาญจนบุรี!I778"")+IMPORTRANGE(""https://docs.google.com/spreadsheets/d/1ddFKvqj1W1NEiWytbGlB1zMx_ykJDVtmfEQ-6-lIUBA/edit?usp=sharing"","&amp;"""จันทบุรี!I778"")+IMPORTRANGE(""https://docs.google.com/spreadsheets/d/1T1PQvRODqOBZk8BRht_U031fIS1beLA0Ub2CEytj2q0/edit?usp=sharing"",""ฉะเชิงเทรา!I778"")+IMPORTRANGE(""https://docs.google.com/spreadsheets/d/11tr1B-Bhyr79v2bkwVh5h_fR-PStkgjlZtkrZpYurG0/"&amp;"edit?usp=sharing"",""ชลบุรี!I778"")+IMPORTRANGE(""https://docs.google.com/spreadsheets/d/1hh-FVnSX0vozXhGluamEcS54Dw9_zqW0N7qJUWgJ0Sw/edit?usp=sharing"",""ชัยนาท!I778"")+IMPORTRANGE(""https://docs.google.com/spreadsheets/d/1jkqa6GXxSacMcY1eN8AHjMNJ_7dDXMJ"&amp;"VRLDlaFSOdPM/edit?usp=sharing"",""ตราด!I778"")+IMPORTRANGE(""https://docs.google.com/spreadsheets/d/18hSgUJ3VwClqi_qtULmmW3cLr0oe3OKaSYoKzdpTsYQ/edit?usp=sharing"",""นครนายก!I778"")+IMPORTRANGE(""https://docs.google.com/spreadsheets/d/1YTZo6WM2dQ6Ix6FSdnL"&amp;"5P7uVnVKu40sxZu975tgG10E/edit?usp=sharing"",""นครปฐม!I778"")+IMPORTRANGE(""https://docs.google.com/spreadsheets/d/1OYoGg4WDg5RIzwGeB10padOxJF9E_Vljuvvct_M7RDo/edit?usp=sharing"",""ปทุมธานี!I778"")+IMPORTRANGE(""https://docs.google.com/spreadsheets/d/1GbCI"&amp;"E4D4wk9FUozzqk7SxfDMxDVBwVmI5zcaVUSzKAc/edit?usp=sharing"",""ประจวบคีรีขันธ์!I778"")+IMPORTRANGE(""https://docs.google.com/spreadsheets/d/1vVf6wykvW_lAyu7Yo9L4hUTqHqIeP_qcVuxCtosJEbg/edit?usp=sharing"",""ปราจีนบุรี!I778"")+IMPORTRANGE(""https://docs.googl"&amp;"e.com/spreadsheets/d/1BIDqLLg5jk3v59G8NlR8rk5xfQDKne0sAvZHSj7TI6I/edit?usp=sharing"",""พระนครศรีอยุธยา!I778"")+IMPORTRANGE(""https://docs.google.com/spreadsheets/d/1YXvxf8Yu6_rV4hTBrwMqAcAnv6DfhUxh5emyM3CJp_w/edit?usp=sharing"",""เพชรบุรี!I778"")+IMPORTRA"&amp;"NGE(""https://docs.google.com/spreadsheets/d/19KBlQQs7uwvsao6t2n-KvW3Ax8J8uRRfZPq1zPbXgKc/edit?usp=sharing"",""ระยอง!I778"")+IMPORTRANGE(""https://docs.google.com/spreadsheets/d/1jQ6P4QcrGM89YfqcC_PxOHGCMq5ezhucwJd8ci-NHng/edit?usp=sharing"",""ราชบุรี!I77"&amp;"8"")+IMPORTRANGE(""https://docs.google.com/spreadsheets/d/1lufeA2cfFqM-elVq2hznhDzC6Pr7wkJ9ZG_sYNGCMCU/edit?usp=sharing"",""ลพบุรี!I778"")+IMPORTRANGE(""https://docs.google.com/spreadsheets/d/10oOiF7loTyfsTkbd4MpaIm0HQ9SwB7IYHdIUvt-U1Uc/edit?usp=sharing"""&amp;",""สระแก้ว!I778"")+IMPORTRANGE(""https://docs.google.com/spreadsheets/d/1xmPlrr1QbdSIKvl1dWUl9K4PjAfSL9oeMr_37QVzcxc/edit?usp=sharing"",""สระบุรี!I778"")+IMPORTRANGE(""https://docs.google.com/spreadsheets/d/1j51vR6CYVGhABJpv6tkstgok82RLpXieLzW1yOY5rHw/edi"&amp;"t?usp=sharing"",""สิงห์บุรี!I778"")+IMPORTRANGE(""https://docs.google.com/spreadsheets/d/1H1EalTWKUSzO4Z1-1CwzoDUaVffgrThEBe2sl74kKG0/edit?usp=sharing"",""สุพรรณบุรี!I778"")+IMPORTRANGE(""https://docs.google.com/spreadsheets/d/1BmIruG_sIrJLYao_Pdr7zVArWsf"&amp;"oBt2692TMi6x_854/edit?usp=sharing"",""อ่างทอง!I778"")"),94627516.08)</f>
        <v>94627516.079999998</v>
      </c>
      <c r="J778" s="295">
        <f ca="1">IFERROR(__xludf.DUMMYFUNCTION("IMPORTRANGE(""https://docs.google.com/spreadsheets/d/13wPX838HrBrQMCywv1BsuMkt4PEKTChp52zj44s2izQ/edit?usp=sharing"",""กาญจนบุรี!J778"")+IMPORTRANGE(""https://docs.google.com/spreadsheets/d/1ddFKvqj1W1NEiWytbGlB1zMx_ykJDVtmfEQ-6-lIUBA/edit?usp=sharing"","&amp;"""จันทบุรี!J778"")+IMPORTRANGE(""https://docs.google.com/spreadsheets/d/1T1PQvRODqOBZk8BRht_U031fIS1beLA0Ub2CEytj2q0/edit?usp=sharing"",""ฉะเชิงเทรา!J778"")+IMPORTRANGE(""https://docs.google.com/spreadsheets/d/11tr1B-Bhyr79v2bkwVh5h_fR-PStkgjlZtkrZpYurG0/"&amp;"edit?usp=sharing"",""ชลบุรี!J778"")+IMPORTRANGE(""https://docs.google.com/spreadsheets/d/1hh-FVnSX0vozXhGluamEcS54Dw9_zqW0N7qJUWgJ0Sw/edit?usp=sharing"",""ชัยนาท!J778"")+IMPORTRANGE(""https://docs.google.com/spreadsheets/d/1jkqa6GXxSacMcY1eN8AHjMNJ_7dDXMJ"&amp;"VRLDlaFSOdPM/edit?usp=sharing"",""ตราด!J778"")+IMPORTRANGE(""https://docs.google.com/spreadsheets/d/18hSgUJ3VwClqi_qtULmmW3cLr0oe3OKaSYoKzdpTsYQ/edit?usp=sharing"",""นครนายก!J778"")+IMPORTRANGE(""https://docs.google.com/spreadsheets/d/1YTZo6WM2dQ6Ix6FSdnL"&amp;"5P7uVnVKu40sxZu975tgG10E/edit?usp=sharing"",""นครปฐม!J778"")+IMPORTRANGE(""https://docs.google.com/spreadsheets/d/1OYoGg4WDg5RIzwGeB10padOxJF9E_Vljuvvct_M7RDo/edit?usp=sharing"",""ปทุมธานี!J778"")+IMPORTRANGE(""https://docs.google.com/spreadsheets/d/1GbCI"&amp;"E4D4wk9FUozzqk7SxfDMxDVBwVmI5zcaVUSzKAc/edit?usp=sharing"",""ประจวบคีรีขันธ์!J778"")+IMPORTRANGE(""https://docs.google.com/spreadsheets/d/1vVf6wykvW_lAyu7Yo9L4hUTqHqIeP_qcVuxCtosJEbg/edit?usp=sharing"",""ปราจีนบุรี!J778"")+IMPORTRANGE(""https://docs.googl"&amp;"e.com/spreadsheets/d/1BIDqLLg5jk3v59G8NlR8rk5xfQDKne0sAvZHSj7TI6I/edit?usp=sharing"",""พระนครศรีอยุธยา!J778"")+IMPORTRANGE(""https://docs.google.com/spreadsheets/d/1YXvxf8Yu6_rV4hTBrwMqAcAnv6DfhUxh5emyM3CJp_w/edit?usp=sharing"",""เพชรบุรี!J778"")+IMPORTRA"&amp;"NGE(""https://docs.google.com/spreadsheets/d/19KBlQQs7uwvsao6t2n-KvW3Ax8J8uRRfZPq1zPbXgKc/edit?usp=sharing"",""ระยอง!J778"")+IMPORTRANGE(""https://docs.google.com/spreadsheets/d/1jQ6P4QcrGM89YfqcC_PxOHGCMq5ezhucwJd8ci-NHng/edit?usp=sharing"",""ราชบุรี!J77"&amp;"8"")+IMPORTRANGE(""https://docs.google.com/spreadsheets/d/1lufeA2cfFqM-elVq2hznhDzC6Pr7wkJ9ZG_sYNGCMCU/edit?usp=sharing"",""ลพบุรี!J778"")+IMPORTRANGE(""https://docs.google.com/spreadsheets/d/10oOiF7loTyfsTkbd4MpaIm0HQ9SwB7IYHdIUvt-U1Uc/edit?usp=sharing"""&amp;",""สระแก้ว!J778"")+IMPORTRANGE(""https://docs.google.com/spreadsheets/d/1xmPlrr1QbdSIKvl1dWUl9K4PjAfSL9oeMr_37QVzcxc/edit?usp=sharing"",""สระบุรี!J778"")+IMPORTRANGE(""https://docs.google.com/spreadsheets/d/1j51vR6CYVGhABJpv6tkstgok82RLpXieLzW1yOY5rHw/edi"&amp;"t?usp=sharing"",""สิงห์บุรี!J778"")+IMPORTRANGE(""https://docs.google.com/spreadsheets/d/1H1EalTWKUSzO4Z1-1CwzoDUaVffgrThEBe2sl74kKG0/edit?usp=sharing"",""สุพรรณบุรี!J778"")+IMPORTRANGE(""https://docs.google.com/spreadsheets/d/1BmIruG_sIrJLYao_Pdr7zVArWsf"&amp;"oBt2692TMi6x_854/edit?usp=sharing"",""อ่างทอง!J778"")"),30449530.58)</f>
        <v>30449530.579999998</v>
      </c>
      <c r="K778" s="77">
        <f t="shared" ref="K778:K785" ca="1" si="526">IF(I778&gt;0,J778*100/I778,0)</f>
        <v>32.17830483287478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533"/>
      <c r="B779" s="271"/>
      <c r="C779" s="271"/>
      <c r="D779" s="271"/>
      <c r="E779" s="260"/>
      <c r="F779" s="260"/>
      <c r="G779" s="263"/>
      <c r="H779" s="270" t="s">
        <v>35</v>
      </c>
      <c r="I779" s="295">
        <f ca="1">IFERROR(__xludf.DUMMYFUNCTION("IMPORTRANGE(""https://docs.google.com/spreadsheets/d/13wPX838HrBrQMCywv1BsuMkt4PEKTChp52zj44s2izQ/edit?usp=sharing"",""กาญจนบุรี!I779"")+IMPORTRANGE(""https://docs.google.com/spreadsheets/d/1ddFKvqj1W1NEiWytbGlB1zMx_ykJDVtmfEQ-6-lIUBA/edit?usp=sharing"","&amp;"""จันทบุรี!I779"")+IMPORTRANGE(""https://docs.google.com/spreadsheets/d/1T1PQvRODqOBZk8BRht_U031fIS1beLA0Ub2CEytj2q0/edit?usp=sharing"",""ฉะเชิงเทรา!I779"")+IMPORTRANGE(""https://docs.google.com/spreadsheets/d/11tr1B-Bhyr79v2bkwVh5h_fR-PStkgjlZtkrZpYurG0/"&amp;"edit?usp=sharing"",""ชลบุรี!I779"")+IMPORTRANGE(""https://docs.google.com/spreadsheets/d/1hh-FVnSX0vozXhGluamEcS54Dw9_zqW0N7qJUWgJ0Sw/edit?usp=sharing"",""ชัยนาท!I779"")+IMPORTRANGE(""https://docs.google.com/spreadsheets/d/1jkqa6GXxSacMcY1eN8AHjMNJ_7dDXMJ"&amp;"VRLDlaFSOdPM/edit?usp=sharing"",""ตราด!I779"")+IMPORTRANGE(""https://docs.google.com/spreadsheets/d/18hSgUJ3VwClqi_qtULmmW3cLr0oe3OKaSYoKzdpTsYQ/edit?usp=sharing"",""นครนายก!I779"")+IMPORTRANGE(""https://docs.google.com/spreadsheets/d/1YTZo6WM2dQ6Ix6FSdnL"&amp;"5P7uVnVKu40sxZu975tgG10E/edit?usp=sharing"",""นครปฐม!I779"")+IMPORTRANGE(""https://docs.google.com/spreadsheets/d/1OYoGg4WDg5RIzwGeB10padOxJF9E_Vljuvvct_M7RDo/edit?usp=sharing"",""ปทุมธานี!I779"")+IMPORTRANGE(""https://docs.google.com/spreadsheets/d/1GbCI"&amp;"E4D4wk9FUozzqk7SxfDMxDVBwVmI5zcaVUSzKAc/edit?usp=sharing"",""ประจวบคีรีขันธ์!I779"")+IMPORTRANGE(""https://docs.google.com/spreadsheets/d/1vVf6wykvW_lAyu7Yo9L4hUTqHqIeP_qcVuxCtosJEbg/edit?usp=sharing"",""ปราจีนบุรี!I779"")+IMPORTRANGE(""https://docs.googl"&amp;"e.com/spreadsheets/d/1BIDqLLg5jk3v59G8NlR8rk5xfQDKne0sAvZHSj7TI6I/edit?usp=sharing"",""พระนครศรีอยุธยา!I779"")+IMPORTRANGE(""https://docs.google.com/spreadsheets/d/1YXvxf8Yu6_rV4hTBrwMqAcAnv6DfhUxh5emyM3CJp_w/edit?usp=sharing"",""เพชรบุรี!I779"")+IMPORTRA"&amp;"NGE(""https://docs.google.com/spreadsheets/d/19KBlQQs7uwvsao6t2n-KvW3Ax8J8uRRfZPq1zPbXgKc/edit?usp=sharing"",""ระยอง!I779"")+IMPORTRANGE(""https://docs.google.com/spreadsheets/d/1jQ6P4QcrGM89YfqcC_PxOHGCMq5ezhucwJd8ci-NHng/edit?usp=sharing"",""ราชบุรี!I77"&amp;"9"")+IMPORTRANGE(""https://docs.google.com/spreadsheets/d/1lufeA2cfFqM-elVq2hznhDzC6Pr7wkJ9ZG_sYNGCMCU/edit?usp=sharing"",""ลพบุรี!I779"")+IMPORTRANGE(""https://docs.google.com/spreadsheets/d/10oOiF7loTyfsTkbd4MpaIm0HQ9SwB7IYHdIUvt-U1Uc/edit?usp=sharing"""&amp;",""สระแก้ว!I779"")+IMPORTRANGE(""https://docs.google.com/spreadsheets/d/1xmPlrr1QbdSIKvl1dWUl9K4PjAfSL9oeMr_37QVzcxc/edit?usp=sharing"",""สระบุรี!I779"")+IMPORTRANGE(""https://docs.google.com/spreadsheets/d/1j51vR6CYVGhABJpv6tkstgok82RLpXieLzW1yOY5rHw/edi"&amp;"t?usp=sharing"",""สิงห์บุรี!I779"")+IMPORTRANGE(""https://docs.google.com/spreadsheets/d/1H1EalTWKUSzO4Z1-1CwzoDUaVffgrThEBe2sl74kKG0/edit?usp=sharing"",""สุพรรณบุรี!I779"")+IMPORTRANGE(""https://docs.google.com/spreadsheets/d/1BmIruG_sIrJLYao_Pdr7zVArWsf"&amp;"oBt2692TMi6x_854/edit?usp=sharing"",""อ่างทอง!I779"")"),3612)</f>
        <v>3612</v>
      </c>
      <c r="J779" s="295">
        <f ca="1">IFERROR(__xludf.DUMMYFUNCTION("IMPORTRANGE(""https://docs.google.com/spreadsheets/d/13wPX838HrBrQMCywv1BsuMkt4PEKTChp52zj44s2izQ/edit?usp=sharing"",""กาญจนบุรี!J779"")+IMPORTRANGE(""https://docs.google.com/spreadsheets/d/1ddFKvqj1W1NEiWytbGlB1zMx_ykJDVtmfEQ-6-lIUBA/edit?usp=sharing"","&amp;"""จันทบุรี!J779"")+IMPORTRANGE(""https://docs.google.com/spreadsheets/d/1T1PQvRODqOBZk8BRht_U031fIS1beLA0Ub2CEytj2q0/edit?usp=sharing"",""ฉะเชิงเทรา!J779"")+IMPORTRANGE(""https://docs.google.com/spreadsheets/d/11tr1B-Bhyr79v2bkwVh5h_fR-PStkgjlZtkrZpYurG0/"&amp;"edit?usp=sharing"",""ชลบุรี!J779"")+IMPORTRANGE(""https://docs.google.com/spreadsheets/d/1hh-FVnSX0vozXhGluamEcS54Dw9_zqW0N7qJUWgJ0Sw/edit?usp=sharing"",""ชัยนาท!J779"")+IMPORTRANGE(""https://docs.google.com/spreadsheets/d/1jkqa6GXxSacMcY1eN8AHjMNJ_7dDXMJ"&amp;"VRLDlaFSOdPM/edit?usp=sharing"",""ตราด!J779"")+IMPORTRANGE(""https://docs.google.com/spreadsheets/d/18hSgUJ3VwClqi_qtULmmW3cLr0oe3OKaSYoKzdpTsYQ/edit?usp=sharing"",""นครนายก!J779"")+IMPORTRANGE(""https://docs.google.com/spreadsheets/d/1YTZo6WM2dQ6Ix6FSdnL"&amp;"5P7uVnVKu40sxZu975tgG10E/edit?usp=sharing"",""นครปฐม!J779"")+IMPORTRANGE(""https://docs.google.com/spreadsheets/d/1OYoGg4WDg5RIzwGeB10padOxJF9E_Vljuvvct_M7RDo/edit?usp=sharing"",""ปทุมธานี!J779"")+IMPORTRANGE(""https://docs.google.com/spreadsheets/d/1GbCI"&amp;"E4D4wk9FUozzqk7SxfDMxDVBwVmI5zcaVUSzKAc/edit?usp=sharing"",""ประจวบคีรีขันธ์!J779"")+IMPORTRANGE(""https://docs.google.com/spreadsheets/d/1vVf6wykvW_lAyu7Yo9L4hUTqHqIeP_qcVuxCtosJEbg/edit?usp=sharing"",""ปราจีนบุรี!J779"")+IMPORTRANGE(""https://docs.googl"&amp;"e.com/spreadsheets/d/1BIDqLLg5jk3v59G8NlR8rk5xfQDKne0sAvZHSj7TI6I/edit?usp=sharing"",""พระนครศรีอยุธยา!J779"")+IMPORTRANGE(""https://docs.google.com/spreadsheets/d/1YXvxf8Yu6_rV4hTBrwMqAcAnv6DfhUxh5emyM3CJp_w/edit?usp=sharing"",""เพชรบุรี!J779"")+IMPORTRA"&amp;"NGE(""https://docs.google.com/spreadsheets/d/19KBlQQs7uwvsao6t2n-KvW3Ax8J8uRRfZPq1zPbXgKc/edit?usp=sharing"",""ระยอง!J779"")+IMPORTRANGE(""https://docs.google.com/spreadsheets/d/1jQ6P4QcrGM89YfqcC_PxOHGCMq5ezhucwJd8ci-NHng/edit?usp=sharing"",""ราชบุรี!J77"&amp;"9"")+IMPORTRANGE(""https://docs.google.com/spreadsheets/d/1lufeA2cfFqM-elVq2hznhDzC6Pr7wkJ9ZG_sYNGCMCU/edit?usp=sharing"",""ลพบุรี!J779"")+IMPORTRANGE(""https://docs.google.com/spreadsheets/d/10oOiF7loTyfsTkbd4MpaIm0HQ9SwB7IYHdIUvt-U1Uc/edit?usp=sharing"""&amp;",""สระแก้ว!J779"")+IMPORTRANGE(""https://docs.google.com/spreadsheets/d/1xmPlrr1QbdSIKvl1dWUl9K4PjAfSL9oeMr_37QVzcxc/edit?usp=sharing"",""สระบุรี!J779"")+IMPORTRANGE(""https://docs.google.com/spreadsheets/d/1j51vR6CYVGhABJpv6tkstgok82RLpXieLzW1yOY5rHw/edi"&amp;"t?usp=sharing"",""สิงห์บุรี!J779"")+IMPORTRANGE(""https://docs.google.com/spreadsheets/d/1H1EalTWKUSzO4Z1-1CwzoDUaVffgrThEBe2sl74kKG0/edit?usp=sharing"",""สุพรรณบุรี!J779"")+IMPORTRANGE(""https://docs.google.com/spreadsheets/d/1BmIruG_sIrJLYao_Pdr7zVArWsf"&amp;"oBt2692TMi6x_854/edit?usp=sharing"",""อ่างทอง!J779"")"),1289)</f>
        <v>1289</v>
      </c>
      <c r="K779" s="77">
        <f t="shared" ca="1" si="526"/>
        <v>35.686600221483943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533"/>
      <c r="B780" s="571" t="s">
        <v>294</v>
      </c>
      <c r="C780" s="271"/>
      <c r="D780" s="271"/>
      <c r="E780" s="260"/>
      <c r="F780" s="260"/>
      <c r="G780" s="263"/>
      <c r="H780" s="270" t="s">
        <v>14</v>
      </c>
      <c r="I780" s="295">
        <f ca="1">IFERROR(__xludf.DUMMYFUNCTION("IMPORTRANGE(""https://docs.google.com/spreadsheets/d/13wPX838HrBrQMCywv1BsuMkt4PEKTChp52zj44s2izQ/edit?usp=sharing"",""กาญจนบุรี!I780"")+IMPORTRANGE(""https://docs.google.com/spreadsheets/d/1ddFKvqj1W1NEiWytbGlB1zMx_ykJDVtmfEQ-6-lIUBA/edit?usp=sharing"","&amp;"""จันทบุรี!I780"")+IMPORTRANGE(""https://docs.google.com/spreadsheets/d/1T1PQvRODqOBZk8BRht_U031fIS1beLA0Ub2CEytj2q0/edit?usp=sharing"",""ฉะเชิงเทรา!I780"")+IMPORTRANGE(""https://docs.google.com/spreadsheets/d/11tr1B-Bhyr79v2bkwVh5h_fR-PStkgjlZtkrZpYurG0/"&amp;"edit?usp=sharing"",""ชลบุรี!I780"")+IMPORTRANGE(""https://docs.google.com/spreadsheets/d/1hh-FVnSX0vozXhGluamEcS54Dw9_zqW0N7qJUWgJ0Sw/edit?usp=sharing"",""ชัยนาท!I780"")+IMPORTRANGE(""https://docs.google.com/spreadsheets/d/1jkqa6GXxSacMcY1eN8AHjMNJ_7dDXMJ"&amp;"VRLDlaFSOdPM/edit?usp=sharing"",""ตราด!I780"")+IMPORTRANGE(""https://docs.google.com/spreadsheets/d/18hSgUJ3VwClqi_qtULmmW3cLr0oe3OKaSYoKzdpTsYQ/edit?usp=sharing"",""นครนายก!I780"")+IMPORTRANGE(""https://docs.google.com/spreadsheets/d/1YTZo6WM2dQ6Ix6FSdnL"&amp;"5P7uVnVKu40sxZu975tgG10E/edit?usp=sharing"",""นครปฐม!I780"")+IMPORTRANGE(""https://docs.google.com/spreadsheets/d/1OYoGg4WDg5RIzwGeB10padOxJF9E_Vljuvvct_M7RDo/edit?usp=sharing"",""ปทุมธานี!I780"")+IMPORTRANGE(""https://docs.google.com/spreadsheets/d/1GbCI"&amp;"E4D4wk9FUozzqk7SxfDMxDVBwVmI5zcaVUSzKAc/edit?usp=sharing"",""ประจวบคีรีขันธ์!I780"")+IMPORTRANGE(""https://docs.google.com/spreadsheets/d/1vVf6wykvW_lAyu7Yo9L4hUTqHqIeP_qcVuxCtosJEbg/edit?usp=sharing"",""ปราจีนบุรี!I780"")+IMPORTRANGE(""https://docs.googl"&amp;"e.com/spreadsheets/d/1BIDqLLg5jk3v59G8NlR8rk5xfQDKne0sAvZHSj7TI6I/edit?usp=sharing"",""พระนครศรีอยุธยา!I780"")+IMPORTRANGE(""https://docs.google.com/spreadsheets/d/1YXvxf8Yu6_rV4hTBrwMqAcAnv6DfhUxh5emyM3CJp_w/edit?usp=sharing"",""เพชรบุรี!I780"")+IMPORTRA"&amp;"NGE(""https://docs.google.com/spreadsheets/d/19KBlQQs7uwvsao6t2n-KvW3Ax8J8uRRfZPq1zPbXgKc/edit?usp=sharing"",""ระยอง!I780"")+IMPORTRANGE(""https://docs.google.com/spreadsheets/d/1jQ6P4QcrGM89YfqcC_PxOHGCMq5ezhucwJd8ci-NHng/edit?usp=sharing"",""ราชบุรี!I78"&amp;"0"")+IMPORTRANGE(""https://docs.google.com/spreadsheets/d/1lufeA2cfFqM-elVq2hznhDzC6Pr7wkJ9ZG_sYNGCMCU/edit?usp=sharing"",""ลพบุรี!I780"")+IMPORTRANGE(""https://docs.google.com/spreadsheets/d/10oOiF7loTyfsTkbd4MpaIm0HQ9SwB7IYHdIUvt-U1Uc/edit?usp=sharing"""&amp;",""สระแก้ว!I780"")+IMPORTRANGE(""https://docs.google.com/spreadsheets/d/1xmPlrr1QbdSIKvl1dWUl9K4PjAfSL9oeMr_37QVzcxc/edit?usp=sharing"",""สระบุรี!I780"")+IMPORTRANGE(""https://docs.google.com/spreadsheets/d/1j51vR6CYVGhABJpv6tkstgok82RLpXieLzW1yOY5rHw/edi"&amp;"t?usp=sharing"",""สิงห์บุรี!I780"")+IMPORTRANGE(""https://docs.google.com/spreadsheets/d/1H1EalTWKUSzO4Z1-1CwzoDUaVffgrThEBe2sl74kKG0/edit?usp=sharing"",""สุพรรณบุรี!I780"")+IMPORTRANGE(""https://docs.google.com/spreadsheets/d/1BmIruG_sIrJLYao_Pdr7zVArWsf"&amp;"oBt2692TMi6x_854/edit?usp=sharing"",""อ่างทอง!I780"")"),106951882.549999)</f>
        <v>106951882.549999</v>
      </c>
      <c r="J780" s="295">
        <f ca="1">IFERROR(__xludf.DUMMYFUNCTION("IMPORTRANGE(""https://docs.google.com/spreadsheets/d/13wPX838HrBrQMCywv1BsuMkt4PEKTChp52zj44s2izQ/edit?usp=sharing"",""กาญจนบุรี!J780"")+IMPORTRANGE(""https://docs.google.com/spreadsheets/d/1ddFKvqj1W1NEiWytbGlB1zMx_ykJDVtmfEQ-6-lIUBA/edit?usp=sharing"","&amp;"""จันทบุรี!J780"")+IMPORTRANGE(""https://docs.google.com/spreadsheets/d/1T1PQvRODqOBZk8BRht_U031fIS1beLA0Ub2CEytj2q0/edit?usp=sharing"",""ฉะเชิงเทรา!J780"")+IMPORTRANGE(""https://docs.google.com/spreadsheets/d/11tr1B-Bhyr79v2bkwVh5h_fR-PStkgjlZtkrZpYurG0/"&amp;"edit?usp=sharing"",""ชลบุรี!J780"")+IMPORTRANGE(""https://docs.google.com/spreadsheets/d/1hh-FVnSX0vozXhGluamEcS54Dw9_zqW0N7qJUWgJ0Sw/edit?usp=sharing"",""ชัยนาท!J780"")+IMPORTRANGE(""https://docs.google.com/spreadsheets/d/1jkqa6GXxSacMcY1eN8AHjMNJ_7dDXMJ"&amp;"VRLDlaFSOdPM/edit?usp=sharing"",""ตราด!J780"")+IMPORTRANGE(""https://docs.google.com/spreadsheets/d/18hSgUJ3VwClqi_qtULmmW3cLr0oe3OKaSYoKzdpTsYQ/edit?usp=sharing"",""นครนายก!J780"")+IMPORTRANGE(""https://docs.google.com/spreadsheets/d/1YTZo6WM2dQ6Ix6FSdnL"&amp;"5P7uVnVKu40sxZu975tgG10E/edit?usp=sharing"",""นครปฐม!J780"")+IMPORTRANGE(""https://docs.google.com/spreadsheets/d/1OYoGg4WDg5RIzwGeB10padOxJF9E_Vljuvvct_M7RDo/edit?usp=sharing"",""ปทุมธานี!J780"")+IMPORTRANGE(""https://docs.google.com/spreadsheets/d/1GbCI"&amp;"E4D4wk9FUozzqk7SxfDMxDVBwVmI5zcaVUSzKAc/edit?usp=sharing"",""ประจวบคีรีขันธ์!J780"")+IMPORTRANGE(""https://docs.google.com/spreadsheets/d/1vVf6wykvW_lAyu7Yo9L4hUTqHqIeP_qcVuxCtosJEbg/edit?usp=sharing"",""ปราจีนบุรี!J780"")+IMPORTRANGE(""https://docs.googl"&amp;"e.com/spreadsheets/d/1BIDqLLg5jk3v59G8NlR8rk5xfQDKne0sAvZHSj7TI6I/edit?usp=sharing"",""พระนครศรีอยุธยา!J780"")+IMPORTRANGE(""https://docs.google.com/spreadsheets/d/1YXvxf8Yu6_rV4hTBrwMqAcAnv6DfhUxh5emyM3CJp_w/edit?usp=sharing"",""เพชรบุรี!J780"")+IMPORTRA"&amp;"NGE(""https://docs.google.com/spreadsheets/d/19KBlQQs7uwvsao6t2n-KvW3Ax8J8uRRfZPq1zPbXgKc/edit?usp=sharing"",""ระยอง!J780"")+IMPORTRANGE(""https://docs.google.com/spreadsheets/d/1jQ6P4QcrGM89YfqcC_PxOHGCMq5ezhucwJd8ci-NHng/edit?usp=sharing"",""ราชบุรี!J78"&amp;"0"")+IMPORTRANGE(""https://docs.google.com/spreadsheets/d/1lufeA2cfFqM-elVq2hznhDzC6Pr7wkJ9ZG_sYNGCMCU/edit?usp=sharing"",""ลพบุรี!J780"")+IMPORTRANGE(""https://docs.google.com/spreadsheets/d/10oOiF7loTyfsTkbd4MpaIm0HQ9SwB7IYHdIUvt-U1Uc/edit?usp=sharing"""&amp;",""สระแก้ว!J780"")+IMPORTRANGE(""https://docs.google.com/spreadsheets/d/1xmPlrr1QbdSIKvl1dWUl9K4PjAfSL9oeMr_37QVzcxc/edit?usp=sharing"",""สระบุรี!J780"")+IMPORTRANGE(""https://docs.google.com/spreadsheets/d/1j51vR6CYVGhABJpv6tkstgok82RLpXieLzW1yOY5rHw/edi"&amp;"t?usp=sharing"",""สิงห์บุรี!J780"")+IMPORTRANGE(""https://docs.google.com/spreadsheets/d/1H1EalTWKUSzO4Z1-1CwzoDUaVffgrThEBe2sl74kKG0/edit?usp=sharing"",""สุพรรณบุรี!J780"")+IMPORTRANGE(""https://docs.google.com/spreadsheets/d/1BmIruG_sIrJLYao_Pdr7zVArWsf"&amp;"oBt2692TMi6x_854/edit?usp=sharing"",""อ่างทอง!J780"")"),5016383.38)</f>
        <v>5016383.38</v>
      </c>
      <c r="K780" s="77">
        <f t="shared" ca="1" si="526"/>
        <v>4.6903179826263344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533"/>
      <c r="B781" s="271"/>
      <c r="C781" s="271"/>
      <c r="D781" s="271"/>
      <c r="E781" s="260"/>
      <c r="F781" s="260"/>
      <c r="G781" s="263"/>
      <c r="H781" s="270" t="s">
        <v>35</v>
      </c>
      <c r="I781" s="295">
        <f ca="1">IFERROR(__xludf.DUMMYFUNCTION("IMPORTRANGE(""https://docs.google.com/spreadsheets/d/13wPX838HrBrQMCywv1BsuMkt4PEKTChp52zj44s2izQ/edit?usp=sharing"",""กาญจนบุรี!I781"")+IMPORTRANGE(""https://docs.google.com/spreadsheets/d/1ddFKvqj1W1NEiWytbGlB1zMx_ykJDVtmfEQ-6-lIUBA/edit?usp=sharing"","&amp;"""จันทบุรี!I781"")+IMPORTRANGE(""https://docs.google.com/spreadsheets/d/1T1PQvRODqOBZk8BRht_U031fIS1beLA0Ub2CEytj2q0/edit?usp=sharing"",""ฉะเชิงเทรา!I781"")+IMPORTRANGE(""https://docs.google.com/spreadsheets/d/11tr1B-Bhyr79v2bkwVh5h_fR-PStkgjlZtkrZpYurG0/"&amp;"edit?usp=sharing"",""ชลบุรี!I781"")+IMPORTRANGE(""https://docs.google.com/spreadsheets/d/1hh-FVnSX0vozXhGluamEcS54Dw9_zqW0N7qJUWgJ0Sw/edit?usp=sharing"",""ชัยนาท!I781"")+IMPORTRANGE(""https://docs.google.com/spreadsheets/d/1jkqa6GXxSacMcY1eN8AHjMNJ_7dDXMJ"&amp;"VRLDlaFSOdPM/edit?usp=sharing"",""ตราด!I781"")+IMPORTRANGE(""https://docs.google.com/spreadsheets/d/18hSgUJ3VwClqi_qtULmmW3cLr0oe3OKaSYoKzdpTsYQ/edit?usp=sharing"",""นครนายก!I781"")+IMPORTRANGE(""https://docs.google.com/spreadsheets/d/1YTZo6WM2dQ6Ix6FSdnL"&amp;"5P7uVnVKu40sxZu975tgG10E/edit?usp=sharing"",""นครปฐม!I781"")+IMPORTRANGE(""https://docs.google.com/spreadsheets/d/1OYoGg4WDg5RIzwGeB10padOxJF9E_Vljuvvct_M7RDo/edit?usp=sharing"",""ปทุมธานี!I781"")+IMPORTRANGE(""https://docs.google.com/spreadsheets/d/1GbCI"&amp;"E4D4wk9FUozzqk7SxfDMxDVBwVmI5zcaVUSzKAc/edit?usp=sharing"",""ประจวบคีรีขันธ์!I781"")+IMPORTRANGE(""https://docs.google.com/spreadsheets/d/1vVf6wykvW_lAyu7Yo9L4hUTqHqIeP_qcVuxCtosJEbg/edit?usp=sharing"",""ปราจีนบุรี!I781"")+IMPORTRANGE(""https://docs.googl"&amp;"e.com/spreadsheets/d/1BIDqLLg5jk3v59G8NlR8rk5xfQDKne0sAvZHSj7TI6I/edit?usp=sharing"",""พระนครศรีอยุธยา!I781"")+IMPORTRANGE(""https://docs.google.com/spreadsheets/d/1YXvxf8Yu6_rV4hTBrwMqAcAnv6DfhUxh5emyM3CJp_w/edit?usp=sharing"",""เพชรบุรี!I781"")+IMPORTRA"&amp;"NGE(""https://docs.google.com/spreadsheets/d/19KBlQQs7uwvsao6t2n-KvW3Ax8J8uRRfZPq1zPbXgKc/edit?usp=sharing"",""ระยอง!I781"")+IMPORTRANGE(""https://docs.google.com/spreadsheets/d/1jQ6P4QcrGM89YfqcC_PxOHGCMq5ezhucwJd8ci-NHng/edit?usp=sharing"",""ราชบุรี!I78"&amp;"1"")+IMPORTRANGE(""https://docs.google.com/spreadsheets/d/1lufeA2cfFqM-elVq2hznhDzC6Pr7wkJ9ZG_sYNGCMCU/edit?usp=sharing"",""ลพบุรี!I781"")+IMPORTRANGE(""https://docs.google.com/spreadsheets/d/10oOiF7loTyfsTkbd4MpaIm0HQ9SwB7IYHdIUvt-U1Uc/edit?usp=sharing"""&amp;",""สระแก้ว!I781"")+IMPORTRANGE(""https://docs.google.com/spreadsheets/d/1xmPlrr1QbdSIKvl1dWUl9K4PjAfSL9oeMr_37QVzcxc/edit?usp=sharing"",""สระบุรี!I781"")+IMPORTRANGE(""https://docs.google.com/spreadsheets/d/1j51vR6CYVGhABJpv6tkstgok82RLpXieLzW1yOY5rHw/edi"&amp;"t?usp=sharing"",""สิงห์บุรี!I781"")+IMPORTRANGE(""https://docs.google.com/spreadsheets/d/1H1EalTWKUSzO4Z1-1CwzoDUaVffgrThEBe2sl74kKG0/edit?usp=sharing"",""สุพรรณบุรี!I781"")+IMPORTRANGE(""https://docs.google.com/spreadsheets/d/1BmIruG_sIrJLYao_Pdr7zVArWsf"&amp;"oBt2692TMi6x_854/edit?usp=sharing"",""อ่างทอง!I781"")"),3147)</f>
        <v>3147</v>
      </c>
      <c r="J781" s="295">
        <f ca="1">IFERROR(__xludf.DUMMYFUNCTION("IMPORTRANGE(""https://docs.google.com/spreadsheets/d/13wPX838HrBrQMCywv1BsuMkt4PEKTChp52zj44s2izQ/edit?usp=sharing"",""กาญจนบุรี!J781"")+IMPORTRANGE(""https://docs.google.com/spreadsheets/d/1ddFKvqj1W1NEiWytbGlB1zMx_ykJDVtmfEQ-6-lIUBA/edit?usp=sharing"","&amp;"""จันทบุรี!J781"")+IMPORTRANGE(""https://docs.google.com/spreadsheets/d/1T1PQvRODqOBZk8BRht_U031fIS1beLA0Ub2CEytj2q0/edit?usp=sharing"",""ฉะเชิงเทรา!J781"")+IMPORTRANGE(""https://docs.google.com/spreadsheets/d/11tr1B-Bhyr79v2bkwVh5h_fR-PStkgjlZtkrZpYurG0/"&amp;"edit?usp=sharing"",""ชลบุรี!J781"")+IMPORTRANGE(""https://docs.google.com/spreadsheets/d/1hh-FVnSX0vozXhGluamEcS54Dw9_zqW0N7qJUWgJ0Sw/edit?usp=sharing"",""ชัยนาท!J781"")+IMPORTRANGE(""https://docs.google.com/spreadsheets/d/1jkqa6GXxSacMcY1eN8AHjMNJ_7dDXMJ"&amp;"VRLDlaFSOdPM/edit?usp=sharing"",""ตราด!J781"")+IMPORTRANGE(""https://docs.google.com/spreadsheets/d/18hSgUJ3VwClqi_qtULmmW3cLr0oe3OKaSYoKzdpTsYQ/edit?usp=sharing"",""นครนายก!J781"")+IMPORTRANGE(""https://docs.google.com/spreadsheets/d/1YTZo6WM2dQ6Ix6FSdnL"&amp;"5P7uVnVKu40sxZu975tgG10E/edit?usp=sharing"",""นครปฐม!J781"")+IMPORTRANGE(""https://docs.google.com/spreadsheets/d/1OYoGg4WDg5RIzwGeB10padOxJF9E_Vljuvvct_M7RDo/edit?usp=sharing"",""ปทุมธานี!J781"")+IMPORTRANGE(""https://docs.google.com/spreadsheets/d/1GbCI"&amp;"E4D4wk9FUozzqk7SxfDMxDVBwVmI5zcaVUSzKAc/edit?usp=sharing"",""ประจวบคีรีขันธ์!J781"")+IMPORTRANGE(""https://docs.google.com/spreadsheets/d/1vVf6wykvW_lAyu7Yo9L4hUTqHqIeP_qcVuxCtosJEbg/edit?usp=sharing"",""ปราจีนบุรี!J781"")+IMPORTRANGE(""https://docs.googl"&amp;"e.com/spreadsheets/d/1BIDqLLg5jk3v59G8NlR8rk5xfQDKne0sAvZHSj7TI6I/edit?usp=sharing"",""พระนครศรีอยุธยา!J781"")+IMPORTRANGE(""https://docs.google.com/spreadsheets/d/1YXvxf8Yu6_rV4hTBrwMqAcAnv6DfhUxh5emyM3CJp_w/edit?usp=sharing"",""เพชรบุรี!J781"")+IMPORTRA"&amp;"NGE(""https://docs.google.com/spreadsheets/d/19KBlQQs7uwvsao6t2n-KvW3Ax8J8uRRfZPq1zPbXgKc/edit?usp=sharing"",""ระยอง!J781"")+IMPORTRANGE(""https://docs.google.com/spreadsheets/d/1jQ6P4QcrGM89YfqcC_PxOHGCMq5ezhucwJd8ci-NHng/edit?usp=sharing"",""ราชบุรี!J78"&amp;"1"")+IMPORTRANGE(""https://docs.google.com/spreadsheets/d/1lufeA2cfFqM-elVq2hznhDzC6Pr7wkJ9ZG_sYNGCMCU/edit?usp=sharing"",""ลพบุรี!J781"")+IMPORTRANGE(""https://docs.google.com/spreadsheets/d/10oOiF7loTyfsTkbd4MpaIm0HQ9SwB7IYHdIUvt-U1Uc/edit?usp=sharing"""&amp;",""สระแก้ว!J781"")+IMPORTRANGE(""https://docs.google.com/spreadsheets/d/1xmPlrr1QbdSIKvl1dWUl9K4PjAfSL9oeMr_37QVzcxc/edit?usp=sharing"",""สระบุรี!J781"")+IMPORTRANGE(""https://docs.google.com/spreadsheets/d/1j51vR6CYVGhABJpv6tkstgok82RLpXieLzW1yOY5rHw/edi"&amp;"t?usp=sharing"",""สิงห์บุรี!J781"")+IMPORTRANGE(""https://docs.google.com/spreadsheets/d/1H1EalTWKUSzO4Z1-1CwzoDUaVffgrThEBe2sl74kKG0/edit?usp=sharing"",""สุพรรณบุรี!J781"")+IMPORTRANGE(""https://docs.google.com/spreadsheets/d/1BmIruG_sIrJLYao_Pdr7zVArWsf"&amp;"oBt2692TMi6x_854/edit?usp=sharing"",""อ่างทอง!J781"")"),660)</f>
        <v>660</v>
      </c>
      <c r="K781" s="77">
        <f t="shared" ca="1" si="526"/>
        <v>20.972354623450904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533"/>
      <c r="B782" s="571" t="s">
        <v>295</v>
      </c>
      <c r="C782" s="271"/>
      <c r="D782" s="271"/>
      <c r="E782" s="260"/>
      <c r="F782" s="260"/>
      <c r="G782" s="263"/>
      <c r="H782" s="270" t="s">
        <v>14</v>
      </c>
      <c r="I782" s="295">
        <f ca="1">IFERROR(__xludf.DUMMYFUNCTION("IMPORTRANGE(""https://docs.google.com/spreadsheets/d/13wPX838HrBrQMCywv1BsuMkt4PEKTChp52zj44s2izQ/edit?usp=sharing"",""กาญจนบุรี!I782"")+IMPORTRANGE(""https://docs.google.com/spreadsheets/d/1ddFKvqj1W1NEiWytbGlB1zMx_ykJDVtmfEQ-6-lIUBA/edit?usp=sharing"","&amp;"""จันทบุรี!I782"")+IMPORTRANGE(""https://docs.google.com/spreadsheets/d/1T1PQvRODqOBZk8BRht_U031fIS1beLA0Ub2CEytj2q0/edit?usp=sharing"",""ฉะเชิงเทรา!I782"")+IMPORTRANGE(""https://docs.google.com/spreadsheets/d/11tr1B-Bhyr79v2bkwVh5h_fR-PStkgjlZtkrZpYurG0/"&amp;"edit?usp=sharing"",""ชลบุรี!I782"")+IMPORTRANGE(""https://docs.google.com/spreadsheets/d/1hh-FVnSX0vozXhGluamEcS54Dw9_zqW0N7qJUWgJ0Sw/edit?usp=sharing"",""ชัยนาท!I782"")+IMPORTRANGE(""https://docs.google.com/spreadsheets/d/1jkqa6GXxSacMcY1eN8AHjMNJ_7dDXMJ"&amp;"VRLDlaFSOdPM/edit?usp=sharing"",""ตราด!I782"")+IMPORTRANGE(""https://docs.google.com/spreadsheets/d/18hSgUJ3VwClqi_qtULmmW3cLr0oe3OKaSYoKzdpTsYQ/edit?usp=sharing"",""นครนายก!I782"")+IMPORTRANGE(""https://docs.google.com/spreadsheets/d/1YTZo6WM2dQ6Ix6FSdnL"&amp;"5P7uVnVKu40sxZu975tgG10E/edit?usp=sharing"",""นครปฐม!I782"")+IMPORTRANGE(""https://docs.google.com/spreadsheets/d/1OYoGg4WDg5RIzwGeB10padOxJF9E_Vljuvvct_M7RDo/edit?usp=sharing"",""ปทุมธานี!I782"")+IMPORTRANGE(""https://docs.google.com/spreadsheets/d/1GbCI"&amp;"E4D4wk9FUozzqk7SxfDMxDVBwVmI5zcaVUSzKAc/edit?usp=sharing"",""ประจวบคีรีขันธ์!I782"")+IMPORTRANGE(""https://docs.google.com/spreadsheets/d/1vVf6wykvW_lAyu7Yo9L4hUTqHqIeP_qcVuxCtosJEbg/edit?usp=sharing"",""ปราจีนบุรี!I782"")+IMPORTRANGE(""https://docs.googl"&amp;"e.com/spreadsheets/d/1BIDqLLg5jk3v59G8NlR8rk5xfQDKne0sAvZHSj7TI6I/edit?usp=sharing"",""พระนครศรีอยุธยา!I782"")+IMPORTRANGE(""https://docs.google.com/spreadsheets/d/1YXvxf8Yu6_rV4hTBrwMqAcAnv6DfhUxh5emyM3CJp_w/edit?usp=sharing"",""เพชรบุรี!I782"")+IMPORTRA"&amp;"NGE(""https://docs.google.com/spreadsheets/d/19KBlQQs7uwvsao6t2n-KvW3Ax8J8uRRfZPq1zPbXgKc/edit?usp=sharing"",""ระยอง!I782"")+IMPORTRANGE(""https://docs.google.com/spreadsheets/d/1jQ6P4QcrGM89YfqcC_PxOHGCMq5ezhucwJd8ci-NHng/edit?usp=sharing"",""ราชบุรี!I78"&amp;"2"")+IMPORTRANGE(""https://docs.google.com/spreadsheets/d/1lufeA2cfFqM-elVq2hznhDzC6Pr7wkJ9ZG_sYNGCMCU/edit?usp=sharing"",""ลพบุรี!I782"")+IMPORTRANGE(""https://docs.google.com/spreadsheets/d/10oOiF7loTyfsTkbd4MpaIm0HQ9SwB7IYHdIUvt-U1Uc/edit?usp=sharing"""&amp;",""สระแก้ว!I782"")+IMPORTRANGE(""https://docs.google.com/spreadsheets/d/1xmPlrr1QbdSIKvl1dWUl9K4PjAfSL9oeMr_37QVzcxc/edit?usp=sharing"",""สระบุรี!I782"")+IMPORTRANGE(""https://docs.google.com/spreadsheets/d/1j51vR6CYVGhABJpv6tkstgok82RLpXieLzW1yOY5rHw/edi"&amp;"t?usp=sharing"",""สิงห์บุรี!I782"")+IMPORTRANGE(""https://docs.google.com/spreadsheets/d/1H1EalTWKUSzO4Z1-1CwzoDUaVffgrThEBe2sl74kKG0/edit?usp=sharing"",""สุพรรณบุรี!I782"")+IMPORTRANGE(""https://docs.google.com/spreadsheets/d/1BmIruG_sIrJLYao_Pdr7zVArWsf"&amp;"oBt2692TMi6x_854/edit?usp=sharing"",""อ่างทอง!I782"")"),39644925.64)</f>
        <v>39644925.640000001</v>
      </c>
      <c r="J782" s="295">
        <f ca="1">IFERROR(__xludf.DUMMYFUNCTION("IMPORTRANGE(""https://docs.google.com/spreadsheets/d/13wPX838HrBrQMCywv1BsuMkt4PEKTChp52zj44s2izQ/edit?usp=sharing"",""กาญจนบุรี!J782"")+IMPORTRANGE(""https://docs.google.com/spreadsheets/d/1ddFKvqj1W1NEiWytbGlB1zMx_ykJDVtmfEQ-6-lIUBA/edit?usp=sharing"","&amp;"""จันทบุรี!J782"")+IMPORTRANGE(""https://docs.google.com/spreadsheets/d/1T1PQvRODqOBZk8BRht_U031fIS1beLA0Ub2CEytj2q0/edit?usp=sharing"",""ฉะเชิงเทรา!J782"")+IMPORTRANGE(""https://docs.google.com/spreadsheets/d/11tr1B-Bhyr79v2bkwVh5h_fR-PStkgjlZtkrZpYurG0/"&amp;"edit?usp=sharing"",""ชลบุรี!J782"")+IMPORTRANGE(""https://docs.google.com/spreadsheets/d/1hh-FVnSX0vozXhGluamEcS54Dw9_zqW0N7qJUWgJ0Sw/edit?usp=sharing"",""ชัยนาท!J782"")+IMPORTRANGE(""https://docs.google.com/spreadsheets/d/1jkqa6GXxSacMcY1eN8AHjMNJ_7dDXMJ"&amp;"VRLDlaFSOdPM/edit?usp=sharing"",""ตราด!J782"")+IMPORTRANGE(""https://docs.google.com/spreadsheets/d/18hSgUJ3VwClqi_qtULmmW3cLr0oe3OKaSYoKzdpTsYQ/edit?usp=sharing"",""นครนายก!J782"")+IMPORTRANGE(""https://docs.google.com/spreadsheets/d/1YTZo6WM2dQ6Ix6FSdnL"&amp;"5P7uVnVKu40sxZu975tgG10E/edit?usp=sharing"",""นครปฐม!J782"")+IMPORTRANGE(""https://docs.google.com/spreadsheets/d/1OYoGg4WDg5RIzwGeB10padOxJF9E_Vljuvvct_M7RDo/edit?usp=sharing"",""ปทุมธานี!J782"")+IMPORTRANGE(""https://docs.google.com/spreadsheets/d/1GbCI"&amp;"E4D4wk9FUozzqk7SxfDMxDVBwVmI5zcaVUSzKAc/edit?usp=sharing"",""ประจวบคีรีขันธ์!J782"")+IMPORTRANGE(""https://docs.google.com/spreadsheets/d/1vVf6wykvW_lAyu7Yo9L4hUTqHqIeP_qcVuxCtosJEbg/edit?usp=sharing"",""ปราจีนบุรี!J782"")+IMPORTRANGE(""https://docs.googl"&amp;"e.com/spreadsheets/d/1BIDqLLg5jk3v59G8NlR8rk5xfQDKne0sAvZHSj7TI6I/edit?usp=sharing"",""พระนครศรีอยุธยา!J782"")+IMPORTRANGE(""https://docs.google.com/spreadsheets/d/1YXvxf8Yu6_rV4hTBrwMqAcAnv6DfhUxh5emyM3CJp_w/edit?usp=sharing"",""เพชรบุรี!J782"")+IMPORTRA"&amp;"NGE(""https://docs.google.com/spreadsheets/d/19KBlQQs7uwvsao6t2n-KvW3Ax8J8uRRfZPq1zPbXgKc/edit?usp=sharing"",""ระยอง!J782"")+IMPORTRANGE(""https://docs.google.com/spreadsheets/d/1jQ6P4QcrGM89YfqcC_PxOHGCMq5ezhucwJd8ci-NHng/edit?usp=sharing"",""ราชบุรี!J78"&amp;"2"")+IMPORTRANGE(""https://docs.google.com/spreadsheets/d/1lufeA2cfFqM-elVq2hznhDzC6Pr7wkJ9ZG_sYNGCMCU/edit?usp=sharing"",""ลพบุรี!J782"")+IMPORTRANGE(""https://docs.google.com/spreadsheets/d/10oOiF7loTyfsTkbd4MpaIm0HQ9SwB7IYHdIUvt-U1Uc/edit?usp=sharing"""&amp;",""สระแก้ว!J782"")+IMPORTRANGE(""https://docs.google.com/spreadsheets/d/1xmPlrr1QbdSIKvl1dWUl9K4PjAfSL9oeMr_37QVzcxc/edit?usp=sharing"",""สระบุรี!J782"")+IMPORTRANGE(""https://docs.google.com/spreadsheets/d/1j51vR6CYVGhABJpv6tkstgok82RLpXieLzW1yOY5rHw/edi"&amp;"t?usp=sharing"",""สิงห์บุรี!J782"")+IMPORTRANGE(""https://docs.google.com/spreadsheets/d/1H1EalTWKUSzO4Z1-1CwzoDUaVffgrThEBe2sl74kKG0/edit?usp=sharing"",""สุพรรณบุรี!J782"")+IMPORTRANGE(""https://docs.google.com/spreadsheets/d/1BmIruG_sIrJLYao_Pdr7zVArWsf"&amp;"oBt2692TMi6x_854/edit?usp=sharing"",""อ่างทอง!J782"")"),9542975.75)</f>
        <v>9542975.75</v>
      </c>
      <c r="K782" s="77">
        <f t="shared" ca="1" si="526"/>
        <v>24.071115271235502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533"/>
      <c r="B783" s="271"/>
      <c r="C783" s="271"/>
      <c r="D783" s="271"/>
      <c r="E783" s="260"/>
      <c r="F783" s="260"/>
      <c r="G783" s="263"/>
      <c r="H783" s="270" t="s">
        <v>35</v>
      </c>
      <c r="I783" s="295">
        <f ca="1">IFERROR(__xludf.DUMMYFUNCTION("IMPORTRANGE(""https://docs.google.com/spreadsheets/d/13wPX838HrBrQMCywv1BsuMkt4PEKTChp52zj44s2izQ/edit?usp=sharing"",""กาญจนบุรี!I783"")+IMPORTRANGE(""https://docs.google.com/spreadsheets/d/1ddFKvqj1W1NEiWytbGlB1zMx_ykJDVtmfEQ-6-lIUBA/edit?usp=sharing"","&amp;"""จันทบุรี!I783"")+IMPORTRANGE(""https://docs.google.com/spreadsheets/d/1T1PQvRODqOBZk8BRht_U031fIS1beLA0Ub2CEytj2q0/edit?usp=sharing"",""ฉะเชิงเทรา!I783"")+IMPORTRANGE(""https://docs.google.com/spreadsheets/d/11tr1B-Bhyr79v2bkwVh5h_fR-PStkgjlZtkrZpYurG0/"&amp;"edit?usp=sharing"",""ชลบุรี!I783"")+IMPORTRANGE(""https://docs.google.com/spreadsheets/d/1hh-FVnSX0vozXhGluamEcS54Dw9_zqW0N7qJUWgJ0Sw/edit?usp=sharing"",""ชัยนาท!I783"")+IMPORTRANGE(""https://docs.google.com/spreadsheets/d/1jkqa6GXxSacMcY1eN8AHjMNJ_7dDXMJ"&amp;"VRLDlaFSOdPM/edit?usp=sharing"",""ตราด!I783"")+IMPORTRANGE(""https://docs.google.com/spreadsheets/d/18hSgUJ3VwClqi_qtULmmW3cLr0oe3OKaSYoKzdpTsYQ/edit?usp=sharing"",""นครนายก!I783"")+IMPORTRANGE(""https://docs.google.com/spreadsheets/d/1YTZo6WM2dQ6Ix6FSdnL"&amp;"5P7uVnVKu40sxZu975tgG10E/edit?usp=sharing"",""นครปฐม!I783"")+IMPORTRANGE(""https://docs.google.com/spreadsheets/d/1OYoGg4WDg5RIzwGeB10padOxJF9E_Vljuvvct_M7RDo/edit?usp=sharing"",""ปทุมธานี!I783"")+IMPORTRANGE(""https://docs.google.com/spreadsheets/d/1GbCI"&amp;"E4D4wk9FUozzqk7SxfDMxDVBwVmI5zcaVUSzKAc/edit?usp=sharing"",""ประจวบคีรีขันธ์!I783"")+IMPORTRANGE(""https://docs.google.com/spreadsheets/d/1vVf6wykvW_lAyu7Yo9L4hUTqHqIeP_qcVuxCtosJEbg/edit?usp=sharing"",""ปราจีนบุรี!I783"")+IMPORTRANGE(""https://docs.googl"&amp;"e.com/spreadsheets/d/1BIDqLLg5jk3v59G8NlR8rk5xfQDKne0sAvZHSj7TI6I/edit?usp=sharing"",""พระนครศรีอยุธยา!I783"")+IMPORTRANGE(""https://docs.google.com/spreadsheets/d/1YXvxf8Yu6_rV4hTBrwMqAcAnv6DfhUxh5emyM3CJp_w/edit?usp=sharing"",""เพชรบุรี!I783"")+IMPORTRA"&amp;"NGE(""https://docs.google.com/spreadsheets/d/19KBlQQs7uwvsao6t2n-KvW3Ax8J8uRRfZPq1zPbXgKc/edit?usp=sharing"",""ระยอง!I783"")+IMPORTRANGE(""https://docs.google.com/spreadsheets/d/1jQ6P4QcrGM89YfqcC_PxOHGCMq5ezhucwJd8ci-NHng/edit?usp=sharing"",""ราชบุรี!I78"&amp;"3"")+IMPORTRANGE(""https://docs.google.com/spreadsheets/d/1lufeA2cfFqM-elVq2hznhDzC6Pr7wkJ9ZG_sYNGCMCU/edit?usp=sharing"",""ลพบุรี!I783"")+IMPORTRANGE(""https://docs.google.com/spreadsheets/d/10oOiF7loTyfsTkbd4MpaIm0HQ9SwB7IYHdIUvt-U1Uc/edit?usp=sharing"""&amp;",""สระแก้ว!I783"")+IMPORTRANGE(""https://docs.google.com/spreadsheets/d/1xmPlrr1QbdSIKvl1dWUl9K4PjAfSL9oeMr_37QVzcxc/edit?usp=sharing"",""สระบุรี!I783"")+IMPORTRANGE(""https://docs.google.com/spreadsheets/d/1j51vR6CYVGhABJpv6tkstgok82RLpXieLzW1yOY5rHw/edi"&amp;"t?usp=sharing"",""สิงห์บุรี!I783"")+IMPORTRANGE(""https://docs.google.com/spreadsheets/d/1H1EalTWKUSzO4Z1-1CwzoDUaVffgrThEBe2sl74kKG0/edit?usp=sharing"",""สุพรรณบุรี!I783"")+IMPORTRANGE(""https://docs.google.com/spreadsheets/d/1BmIruG_sIrJLYao_Pdr7zVArWsf"&amp;"oBt2692TMi6x_854/edit?usp=sharing"",""อ่างทอง!I783"")"),10780)</f>
        <v>10780</v>
      </c>
      <c r="J783" s="295">
        <f ca="1">IFERROR(__xludf.DUMMYFUNCTION("IMPORTRANGE(""https://docs.google.com/spreadsheets/d/13wPX838HrBrQMCywv1BsuMkt4PEKTChp52zj44s2izQ/edit?usp=sharing"",""กาญจนบุรี!J783"")+IMPORTRANGE(""https://docs.google.com/spreadsheets/d/1ddFKvqj1W1NEiWytbGlB1zMx_ykJDVtmfEQ-6-lIUBA/edit?usp=sharing"","&amp;"""จันทบุรี!J783"")+IMPORTRANGE(""https://docs.google.com/spreadsheets/d/1T1PQvRODqOBZk8BRht_U031fIS1beLA0Ub2CEytj2q0/edit?usp=sharing"",""ฉะเชิงเทรา!J783"")+IMPORTRANGE(""https://docs.google.com/spreadsheets/d/11tr1B-Bhyr79v2bkwVh5h_fR-PStkgjlZtkrZpYurG0/"&amp;"edit?usp=sharing"",""ชลบุรี!J783"")+IMPORTRANGE(""https://docs.google.com/spreadsheets/d/1hh-FVnSX0vozXhGluamEcS54Dw9_zqW0N7qJUWgJ0Sw/edit?usp=sharing"",""ชัยนาท!J783"")+IMPORTRANGE(""https://docs.google.com/spreadsheets/d/1jkqa6GXxSacMcY1eN8AHjMNJ_7dDXMJ"&amp;"VRLDlaFSOdPM/edit?usp=sharing"",""ตราด!J783"")+IMPORTRANGE(""https://docs.google.com/spreadsheets/d/18hSgUJ3VwClqi_qtULmmW3cLr0oe3OKaSYoKzdpTsYQ/edit?usp=sharing"",""นครนายก!J783"")+IMPORTRANGE(""https://docs.google.com/spreadsheets/d/1YTZo6WM2dQ6Ix6FSdnL"&amp;"5P7uVnVKu40sxZu975tgG10E/edit?usp=sharing"",""นครปฐม!J783"")+IMPORTRANGE(""https://docs.google.com/spreadsheets/d/1OYoGg4WDg5RIzwGeB10padOxJF9E_Vljuvvct_M7RDo/edit?usp=sharing"",""ปทุมธานี!J783"")+IMPORTRANGE(""https://docs.google.com/spreadsheets/d/1GbCI"&amp;"E4D4wk9FUozzqk7SxfDMxDVBwVmI5zcaVUSzKAc/edit?usp=sharing"",""ประจวบคีรีขันธ์!J783"")+IMPORTRANGE(""https://docs.google.com/spreadsheets/d/1vVf6wykvW_lAyu7Yo9L4hUTqHqIeP_qcVuxCtosJEbg/edit?usp=sharing"",""ปราจีนบุรี!J783"")+IMPORTRANGE(""https://docs.googl"&amp;"e.com/spreadsheets/d/1BIDqLLg5jk3v59G8NlR8rk5xfQDKne0sAvZHSj7TI6I/edit?usp=sharing"",""พระนครศรีอยุธยา!J783"")+IMPORTRANGE(""https://docs.google.com/spreadsheets/d/1YXvxf8Yu6_rV4hTBrwMqAcAnv6DfhUxh5emyM3CJp_w/edit?usp=sharing"",""เพชรบุรี!J783"")+IMPORTRA"&amp;"NGE(""https://docs.google.com/spreadsheets/d/19KBlQQs7uwvsao6t2n-KvW3Ax8J8uRRfZPq1zPbXgKc/edit?usp=sharing"",""ระยอง!J783"")+IMPORTRANGE(""https://docs.google.com/spreadsheets/d/1jQ6P4QcrGM89YfqcC_PxOHGCMq5ezhucwJd8ci-NHng/edit?usp=sharing"",""ราชบุรี!J78"&amp;"3"")+IMPORTRANGE(""https://docs.google.com/spreadsheets/d/1lufeA2cfFqM-elVq2hznhDzC6Pr7wkJ9ZG_sYNGCMCU/edit?usp=sharing"",""ลพบุรี!J783"")+IMPORTRANGE(""https://docs.google.com/spreadsheets/d/10oOiF7loTyfsTkbd4MpaIm0HQ9SwB7IYHdIUvt-U1Uc/edit?usp=sharing"""&amp;",""สระแก้ว!J783"")+IMPORTRANGE(""https://docs.google.com/spreadsheets/d/1xmPlrr1QbdSIKvl1dWUl9K4PjAfSL9oeMr_37QVzcxc/edit?usp=sharing"",""สระบุรี!J783"")+IMPORTRANGE(""https://docs.google.com/spreadsheets/d/1j51vR6CYVGhABJpv6tkstgok82RLpXieLzW1yOY5rHw/edi"&amp;"t?usp=sharing"",""สิงห์บุรี!J783"")+IMPORTRANGE(""https://docs.google.com/spreadsheets/d/1H1EalTWKUSzO4Z1-1CwzoDUaVffgrThEBe2sl74kKG0/edit?usp=sharing"",""สุพรรณบุรี!J783"")+IMPORTRANGE(""https://docs.google.com/spreadsheets/d/1BmIruG_sIrJLYao_Pdr7zVArWsf"&amp;"oBt2692TMi6x_854/edit?usp=sharing"",""อ่างทอง!J783"")"),5958)</f>
        <v>5958</v>
      </c>
      <c r="K783" s="77">
        <f t="shared" ca="1" si="526"/>
        <v>55.269016697588128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533"/>
      <c r="B784" s="571" t="s">
        <v>296</v>
      </c>
      <c r="C784" s="271"/>
      <c r="D784" s="271"/>
      <c r="E784" s="260"/>
      <c r="F784" s="260"/>
      <c r="G784" s="263"/>
      <c r="H784" s="270" t="s">
        <v>14</v>
      </c>
      <c r="I784" s="295">
        <f ca="1">IFERROR(__xludf.DUMMYFUNCTION("IMPORTRANGE(""https://docs.google.com/spreadsheets/d/13wPX838HrBrQMCywv1BsuMkt4PEKTChp52zj44s2izQ/edit?usp=sharing"",""กาญจนบุรี!I784"")+IMPORTRANGE(""https://docs.google.com/spreadsheets/d/1ddFKvqj1W1NEiWytbGlB1zMx_ykJDVtmfEQ-6-lIUBA/edit?usp=sharing"","&amp;"""จันทบุรี!I784"")+IMPORTRANGE(""https://docs.google.com/spreadsheets/d/1T1PQvRODqOBZk8BRht_U031fIS1beLA0Ub2CEytj2q0/edit?usp=sharing"",""ฉะเชิงเทรา!I784"")+IMPORTRANGE(""https://docs.google.com/spreadsheets/d/11tr1B-Bhyr79v2bkwVh5h_fR-PStkgjlZtkrZpYurG0/"&amp;"edit?usp=sharing"",""ชลบุรี!I784"")+IMPORTRANGE(""https://docs.google.com/spreadsheets/d/1hh-FVnSX0vozXhGluamEcS54Dw9_zqW0N7qJUWgJ0Sw/edit?usp=sharing"",""ชัยนาท!I784"")+IMPORTRANGE(""https://docs.google.com/spreadsheets/d/1jkqa6GXxSacMcY1eN8AHjMNJ_7dDXMJ"&amp;"VRLDlaFSOdPM/edit?usp=sharing"",""ตราด!I784"")+IMPORTRANGE(""https://docs.google.com/spreadsheets/d/18hSgUJ3VwClqi_qtULmmW3cLr0oe3OKaSYoKzdpTsYQ/edit?usp=sharing"",""นครนายก!I784"")+IMPORTRANGE(""https://docs.google.com/spreadsheets/d/1YTZo6WM2dQ6Ix6FSdnL"&amp;"5P7uVnVKu40sxZu975tgG10E/edit?usp=sharing"",""นครปฐม!I784"")+IMPORTRANGE(""https://docs.google.com/spreadsheets/d/1OYoGg4WDg5RIzwGeB10padOxJF9E_Vljuvvct_M7RDo/edit?usp=sharing"",""ปทุมธานี!I784"")+IMPORTRANGE(""https://docs.google.com/spreadsheets/d/1GbCI"&amp;"E4D4wk9FUozzqk7SxfDMxDVBwVmI5zcaVUSzKAc/edit?usp=sharing"",""ประจวบคีรีขันธ์!I784"")+IMPORTRANGE(""https://docs.google.com/spreadsheets/d/1vVf6wykvW_lAyu7Yo9L4hUTqHqIeP_qcVuxCtosJEbg/edit?usp=sharing"",""ปราจีนบุรี!I784"")+IMPORTRANGE(""https://docs.googl"&amp;"e.com/spreadsheets/d/1BIDqLLg5jk3v59G8NlR8rk5xfQDKne0sAvZHSj7TI6I/edit?usp=sharing"",""พระนครศรีอยุธยา!I784"")+IMPORTRANGE(""https://docs.google.com/spreadsheets/d/1YXvxf8Yu6_rV4hTBrwMqAcAnv6DfhUxh5emyM3CJp_w/edit?usp=sharing"",""เพชรบุรี!I784"")+IMPORTRA"&amp;"NGE(""https://docs.google.com/spreadsheets/d/19KBlQQs7uwvsao6t2n-KvW3Ax8J8uRRfZPq1zPbXgKc/edit?usp=sharing"",""ระยอง!I784"")+IMPORTRANGE(""https://docs.google.com/spreadsheets/d/1jQ6P4QcrGM89YfqcC_PxOHGCMq5ezhucwJd8ci-NHng/edit?usp=sharing"",""ราชบุรี!I78"&amp;"4"")+IMPORTRANGE(""https://docs.google.com/spreadsheets/d/1lufeA2cfFqM-elVq2hznhDzC6Pr7wkJ9ZG_sYNGCMCU/edit?usp=sharing"",""ลพบุรี!I784"")+IMPORTRANGE(""https://docs.google.com/spreadsheets/d/10oOiF7loTyfsTkbd4MpaIm0HQ9SwB7IYHdIUvt-U1Uc/edit?usp=sharing"""&amp;",""สระแก้ว!I784"")+IMPORTRANGE(""https://docs.google.com/spreadsheets/d/1xmPlrr1QbdSIKvl1dWUl9K4PjAfSL9oeMr_37QVzcxc/edit?usp=sharing"",""สระบุรี!I784"")+IMPORTRANGE(""https://docs.google.com/spreadsheets/d/1j51vR6CYVGhABJpv6tkstgok82RLpXieLzW1yOY5rHw/edi"&amp;"t?usp=sharing"",""สิงห์บุรี!I784"")+IMPORTRANGE(""https://docs.google.com/spreadsheets/d/1H1EalTWKUSzO4Z1-1CwzoDUaVffgrThEBe2sl74kKG0/edit?usp=sharing"",""สุพรรณบุรี!I784"")+IMPORTRANGE(""https://docs.google.com/spreadsheets/d/1BmIruG_sIrJLYao_Pdr7zVArWsf"&amp;"oBt2692TMi6x_854/edit?usp=sharing"",""อ่างทอง!I784"")"),88312000)</f>
        <v>88312000</v>
      </c>
      <c r="J784" s="295">
        <f ca="1">IFERROR(__xludf.DUMMYFUNCTION("IMPORTRANGE(""https://docs.google.com/spreadsheets/d/13wPX838HrBrQMCywv1BsuMkt4PEKTChp52zj44s2izQ/edit?usp=sharing"",""กาญจนบุรี!J784"")+IMPORTRANGE(""https://docs.google.com/spreadsheets/d/1ddFKvqj1W1NEiWytbGlB1zMx_ykJDVtmfEQ-6-lIUBA/edit?usp=sharing"","&amp;"""จันทบุรี!J784"")+IMPORTRANGE(""https://docs.google.com/spreadsheets/d/1T1PQvRODqOBZk8BRht_U031fIS1beLA0Ub2CEytj2q0/edit?usp=sharing"",""ฉะเชิงเทรา!J784"")+IMPORTRANGE(""https://docs.google.com/spreadsheets/d/11tr1B-Bhyr79v2bkwVh5h_fR-PStkgjlZtkrZpYurG0/"&amp;"edit?usp=sharing"",""ชลบุรี!J784"")+IMPORTRANGE(""https://docs.google.com/spreadsheets/d/1hh-FVnSX0vozXhGluamEcS54Dw9_zqW0N7qJUWgJ0Sw/edit?usp=sharing"",""ชัยนาท!J784"")+IMPORTRANGE(""https://docs.google.com/spreadsheets/d/1jkqa6GXxSacMcY1eN8AHjMNJ_7dDXMJ"&amp;"VRLDlaFSOdPM/edit?usp=sharing"",""ตราด!J784"")+IMPORTRANGE(""https://docs.google.com/spreadsheets/d/18hSgUJ3VwClqi_qtULmmW3cLr0oe3OKaSYoKzdpTsYQ/edit?usp=sharing"",""นครนายก!J784"")+IMPORTRANGE(""https://docs.google.com/spreadsheets/d/1YTZo6WM2dQ6Ix6FSdnL"&amp;"5P7uVnVKu40sxZu975tgG10E/edit?usp=sharing"",""นครปฐม!J784"")+IMPORTRANGE(""https://docs.google.com/spreadsheets/d/1OYoGg4WDg5RIzwGeB10padOxJF9E_Vljuvvct_M7RDo/edit?usp=sharing"",""ปทุมธานี!J784"")+IMPORTRANGE(""https://docs.google.com/spreadsheets/d/1GbCI"&amp;"E4D4wk9FUozzqk7SxfDMxDVBwVmI5zcaVUSzKAc/edit?usp=sharing"",""ประจวบคีรีขันธ์!J784"")+IMPORTRANGE(""https://docs.google.com/spreadsheets/d/1vVf6wykvW_lAyu7Yo9L4hUTqHqIeP_qcVuxCtosJEbg/edit?usp=sharing"",""ปราจีนบุรี!J784"")+IMPORTRANGE(""https://docs.googl"&amp;"e.com/spreadsheets/d/1BIDqLLg5jk3v59G8NlR8rk5xfQDKne0sAvZHSj7TI6I/edit?usp=sharing"",""พระนครศรีอยุธยา!J784"")+IMPORTRANGE(""https://docs.google.com/spreadsheets/d/1YXvxf8Yu6_rV4hTBrwMqAcAnv6DfhUxh5emyM3CJp_w/edit?usp=sharing"",""เพชรบุรี!J784"")+IMPORTRA"&amp;"NGE(""https://docs.google.com/spreadsheets/d/19KBlQQs7uwvsao6t2n-KvW3Ax8J8uRRfZPq1zPbXgKc/edit?usp=sharing"",""ระยอง!J784"")+IMPORTRANGE(""https://docs.google.com/spreadsheets/d/1jQ6P4QcrGM89YfqcC_PxOHGCMq5ezhucwJd8ci-NHng/edit?usp=sharing"",""ราชบุรี!J78"&amp;"4"")+IMPORTRANGE(""https://docs.google.com/spreadsheets/d/1lufeA2cfFqM-elVq2hznhDzC6Pr7wkJ9ZG_sYNGCMCU/edit?usp=sharing"",""ลพบุรี!J784"")+IMPORTRANGE(""https://docs.google.com/spreadsheets/d/10oOiF7loTyfsTkbd4MpaIm0HQ9SwB7IYHdIUvt-U1Uc/edit?usp=sharing"""&amp;",""สระแก้ว!J784"")+IMPORTRANGE(""https://docs.google.com/spreadsheets/d/1xmPlrr1QbdSIKvl1dWUl9K4PjAfSL9oeMr_37QVzcxc/edit?usp=sharing"",""สระบุรี!J784"")+IMPORTRANGE(""https://docs.google.com/spreadsheets/d/1j51vR6CYVGhABJpv6tkstgok82RLpXieLzW1yOY5rHw/edi"&amp;"t?usp=sharing"",""สิงห์บุรี!J784"")+IMPORTRANGE(""https://docs.google.com/spreadsheets/d/1H1EalTWKUSzO4Z1-1CwzoDUaVffgrThEBe2sl74kKG0/edit?usp=sharing"",""สุพรรณบุรี!J784"")+IMPORTRANGE(""https://docs.google.com/spreadsheets/d/1BmIruG_sIrJLYao_Pdr7zVArWsf"&amp;"oBt2692TMi6x_854/edit?usp=sharing"",""อ่างทอง!J784"")"),33250000)</f>
        <v>33250000</v>
      </c>
      <c r="K784" s="77">
        <f t="shared" ca="1" si="526"/>
        <v>37.650602409638552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608"/>
      <c r="B785" s="609"/>
      <c r="C785" s="609"/>
      <c r="D785" s="609"/>
      <c r="E785" s="617"/>
      <c r="F785" s="617"/>
      <c r="G785" s="618"/>
      <c r="H785" s="611" t="s">
        <v>35</v>
      </c>
      <c r="I785" s="773">
        <f ca="1">IFERROR(__xludf.DUMMYFUNCTION("IMPORTRANGE(""https://docs.google.com/spreadsheets/d/13wPX838HrBrQMCywv1BsuMkt4PEKTChp52zj44s2izQ/edit?usp=sharing"",""กาญจนบุรี!I785"")+IMPORTRANGE(""https://docs.google.com/spreadsheets/d/1ddFKvqj1W1NEiWytbGlB1zMx_ykJDVtmfEQ-6-lIUBA/edit?usp=sharing"","&amp;"""จันทบุรี!I785"")+IMPORTRANGE(""https://docs.google.com/spreadsheets/d/1T1PQvRODqOBZk8BRht_U031fIS1beLA0Ub2CEytj2q0/edit?usp=sharing"",""ฉะเชิงเทรา!I785"")+IMPORTRANGE(""https://docs.google.com/spreadsheets/d/11tr1B-Bhyr79v2bkwVh5h_fR-PStkgjlZtkrZpYurG0/"&amp;"edit?usp=sharing"",""ชลบุรี!I785"")+IMPORTRANGE(""https://docs.google.com/spreadsheets/d/1hh-FVnSX0vozXhGluamEcS54Dw9_zqW0N7qJUWgJ0Sw/edit?usp=sharing"",""ชัยนาท!I785"")+IMPORTRANGE(""https://docs.google.com/spreadsheets/d/1jkqa6GXxSacMcY1eN8AHjMNJ_7dDXMJ"&amp;"VRLDlaFSOdPM/edit?usp=sharing"",""ตราด!I785"")+IMPORTRANGE(""https://docs.google.com/spreadsheets/d/18hSgUJ3VwClqi_qtULmmW3cLr0oe3OKaSYoKzdpTsYQ/edit?usp=sharing"",""นครนายก!I785"")+IMPORTRANGE(""https://docs.google.com/spreadsheets/d/1YTZo6WM2dQ6Ix6FSdnL"&amp;"5P7uVnVKu40sxZu975tgG10E/edit?usp=sharing"",""นครปฐม!I785"")+IMPORTRANGE(""https://docs.google.com/spreadsheets/d/1OYoGg4WDg5RIzwGeB10padOxJF9E_Vljuvvct_M7RDo/edit?usp=sharing"",""ปทุมธานี!I785"")+IMPORTRANGE(""https://docs.google.com/spreadsheets/d/1GbCI"&amp;"E4D4wk9FUozzqk7SxfDMxDVBwVmI5zcaVUSzKAc/edit?usp=sharing"",""ประจวบคีรีขันธ์!I785"")+IMPORTRANGE(""https://docs.google.com/spreadsheets/d/1vVf6wykvW_lAyu7Yo9L4hUTqHqIeP_qcVuxCtosJEbg/edit?usp=sharing"",""ปราจีนบุรี!I785"")+IMPORTRANGE(""https://docs.googl"&amp;"e.com/spreadsheets/d/1BIDqLLg5jk3v59G8NlR8rk5xfQDKne0sAvZHSj7TI6I/edit?usp=sharing"",""พระนครศรีอยุธยา!I785"")+IMPORTRANGE(""https://docs.google.com/spreadsheets/d/1YXvxf8Yu6_rV4hTBrwMqAcAnv6DfhUxh5emyM3CJp_w/edit?usp=sharing"",""เพชรบุรี!I785"")+IMPORTRA"&amp;"NGE(""https://docs.google.com/spreadsheets/d/19KBlQQs7uwvsao6t2n-KvW3Ax8J8uRRfZPq1zPbXgKc/edit?usp=sharing"",""ระยอง!I785"")+IMPORTRANGE(""https://docs.google.com/spreadsheets/d/1jQ6P4QcrGM89YfqcC_PxOHGCMq5ezhucwJd8ci-NHng/edit?usp=sharing"",""ราชบุรี!I78"&amp;"5"")+IMPORTRANGE(""https://docs.google.com/spreadsheets/d/1lufeA2cfFqM-elVq2hznhDzC6Pr7wkJ9ZG_sYNGCMCU/edit?usp=sharing"",""ลพบุรี!I785"")+IMPORTRANGE(""https://docs.google.com/spreadsheets/d/10oOiF7loTyfsTkbd4MpaIm0HQ9SwB7IYHdIUvt-U1Uc/edit?usp=sharing"""&amp;",""สระแก้ว!I785"")+IMPORTRANGE(""https://docs.google.com/spreadsheets/d/1xmPlrr1QbdSIKvl1dWUl9K4PjAfSL9oeMr_37QVzcxc/edit?usp=sharing"",""สระบุรี!I785"")+IMPORTRANGE(""https://docs.google.com/spreadsheets/d/1j51vR6CYVGhABJpv6tkstgok82RLpXieLzW1yOY5rHw/edi"&amp;"t?usp=sharing"",""สิงห์บุรี!I785"")+IMPORTRANGE(""https://docs.google.com/spreadsheets/d/1H1EalTWKUSzO4Z1-1CwzoDUaVffgrThEBe2sl74kKG0/edit?usp=sharing"",""สุพรรณบุรี!I785"")+IMPORTRANGE(""https://docs.google.com/spreadsheets/d/1BmIruG_sIrJLYao_Pdr7zVArWsf"&amp;"oBt2692TMi6x_854/edit?usp=sharing"",""อ่างทอง!I785"")"),3154)</f>
        <v>3154</v>
      </c>
      <c r="J785" s="773">
        <f ca="1">IFERROR(__xludf.DUMMYFUNCTION("IMPORTRANGE(""https://docs.google.com/spreadsheets/d/13wPX838HrBrQMCywv1BsuMkt4PEKTChp52zj44s2izQ/edit?usp=sharing"",""กาญจนบุรี!J785"")+IMPORTRANGE(""https://docs.google.com/spreadsheets/d/1ddFKvqj1W1NEiWytbGlB1zMx_ykJDVtmfEQ-6-lIUBA/edit?usp=sharing"","&amp;"""จันทบุรี!J785"")+IMPORTRANGE(""https://docs.google.com/spreadsheets/d/1T1PQvRODqOBZk8BRht_U031fIS1beLA0Ub2CEytj2q0/edit?usp=sharing"",""ฉะเชิงเทรา!J785"")+IMPORTRANGE(""https://docs.google.com/spreadsheets/d/11tr1B-Bhyr79v2bkwVh5h_fR-PStkgjlZtkrZpYurG0/"&amp;"edit?usp=sharing"",""ชลบุรี!J785"")+IMPORTRANGE(""https://docs.google.com/spreadsheets/d/1hh-FVnSX0vozXhGluamEcS54Dw9_zqW0N7qJUWgJ0Sw/edit?usp=sharing"",""ชัยนาท!J785"")+IMPORTRANGE(""https://docs.google.com/spreadsheets/d/1jkqa6GXxSacMcY1eN8AHjMNJ_7dDXMJ"&amp;"VRLDlaFSOdPM/edit?usp=sharing"",""ตราด!J785"")+IMPORTRANGE(""https://docs.google.com/spreadsheets/d/18hSgUJ3VwClqi_qtULmmW3cLr0oe3OKaSYoKzdpTsYQ/edit?usp=sharing"",""นครนายก!J785"")+IMPORTRANGE(""https://docs.google.com/spreadsheets/d/1YTZo6WM2dQ6Ix6FSdnL"&amp;"5P7uVnVKu40sxZu975tgG10E/edit?usp=sharing"",""นครปฐม!J785"")+IMPORTRANGE(""https://docs.google.com/spreadsheets/d/1OYoGg4WDg5RIzwGeB10padOxJF9E_Vljuvvct_M7RDo/edit?usp=sharing"",""ปทุมธานี!J785"")+IMPORTRANGE(""https://docs.google.com/spreadsheets/d/1GbCI"&amp;"E4D4wk9FUozzqk7SxfDMxDVBwVmI5zcaVUSzKAc/edit?usp=sharing"",""ประจวบคีรีขันธ์!J785"")+IMPORTRANGE(""https://docs.google.com/spreadsheets/d/1vVf6wykvW_lAyu7Yo9L4hUTqHqIeP_qcVuxCtosJEbg/edit?usp=sharing"",""ปราจีนบุรี!J785"")+IMPORTRANGE(""https://docs.googl"&amp;"e.com/spreadsheets/d/1BIDqLLg5jk3v59G8NlR8rk5xfQDKne0sAvZHSj7TI6I/edit?usp=sharing"",""พระนครศรีอยุธยา!J785"")+IMPORTRANGE(""https://docs.google.com/spreadsheets/d/1YXvxf8Yu6_rV4hTBrwMqAcAnv6DfhUxh5emyM3CJp_w/edit?usp=sharing"",""เพชรบุรี!J785"")+IMPORTRA"&amp;"NGE(""https://docs.google.com/spreadsheets/d/19KBlQQs7uwvsao6t2n-KvW3Ax8J8uRRfZPq1zPbXgKc/edit?usp=sharing"",""ระยอง!J785"")+IMPORTRANGE(""https://docs.google.com/spreadsheets/d/1jQ6P4QcrGM89YfqcC_PxOHGCMq5ezhucwJd8ci-NHng/edit?usp=sharing"",""ราชบุรี!J78"&amp;"5"")+IMPORTRANGE(""https://docs.google.com/spreadsheets/d/1lufeA2cfFqM-elVq2hznhDzC6Pr7wkJ9ZG_sYNGCMCU/edit?usp=sharing"",""ลพบุรี!J785"")+IMPORTRANGE(""https://docs.google.com/spreadsheets/d/10oOiF7loTyfsTkbd4MpaIm0HQ9SwB7IYHdIUvt-U1Uc/edit?usp=sharing"""&amp;",""สระแก้ว!J785"")+IMPORTRANGE(""https://docs.google.com/spreadsheets/d/1xmPlrr1QbdSIKvl1dWUl9K4PjAfSL9oeMr_37QVzcxc/edit?usp=sharing"",""สระบุรี!J785"")+IMPORTRANGE(""https://docs.google.com/spreadsheets/d/1j51vR6CYVGhABJpv6tkstgok82RLpXieLzW1yOY5rHw/edi"&amp;"t?usp=sharing"",""สิงห์บุรี!J785"")+IMPORTRANGE(""https://docs.google.com/spreadsheets/d/1H1EalTWKUSzO4Z1-1CwzoDUaVffgrThEBe2sl74kKG0/edit?usp=sharing"",""สุพรรณบุรี!J785"")+IMPORTRANGE(""https://docs.google.com/spreadsheets/d/1BmIruG_sIrJLYao_Pdr7zVArWsf"&amp;"oBt2692TMi6x_854/edit?usp=sharing"",""อ่างทอง!J785"")"),840)</f>
        <v>840</v>
      </c>
      <c r="K785" s="185">
        <f t="shared" ca="1" si="526"/>
        <v>26.632847178186431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782"/>
      <c r="B786" s="782"/>
      <c r="C786" s="782"/>
      <c r="D786" s="782"/>
      <c r="E786" s="291"/>
      <c r="F786" s="291"/>
      <c r="G786" s="291"/>
      <c r="H786" s="782"/>
      <c r="I786" s="783"/>
      <c r="J786" s="783"/>
      <c r="K786" s="784"/>
      <c r="L786" s="784"/>
      <c r="M786" s="784"/>
      <c r="N786" s="784"/>
      <c r="O786" s="784"/>
      <c r="P786" s="784"/>
      <c r="Q786" s="784"/>
      <c r="R786" s="784"/>
      <c r="S786" s="784"/>
      <c r="T786" s="784"/>
      <c r="U786" s="784"/>
    </row>
    <row r="787" spans="1:21" ht="16.5" x14ac:dyDescent="0.25">
      <c r="A787" s="785" t="s">
        <v>297</v>
      </c>
      <c r="B787" s="782"/>
      <c r="C787" s="782"/>
      <c r="D787" s="782"/>
      <c r="E787" s="291"/>
      <c r="F787" s="291"/>
      <c r="G787" s="291"/>
      <c r="H787" s="782"/>
      <c r="I787" s="783"/>
      <c r="J787" s="783"/>
      <c r="K787" s="784"/>
      <c r="L787" s="784"/>
      <c r="M787" s="784"/>
      <c r="N787" s="784"/>
      <c r="O787" s="784"/>
      <c r="P787" s="784"/>
      <c r="Q787" s="784"/>
      <c r="R787" s="784"/>
      <c r="S787" s="784"/>
      <c r="T787" s="784"/>
      <c r="U787" s="784"/>
    </row>
    <row r="788" spans="1:21" ht="16.5" x14ac:dyDescent="0.25">
      <c r="A788" s="78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782"/>
      <c r="C788" s="782"/>
      <c r="D788" s="782"/>
      <c r="E788" s="291"/>
      <c r="F788" s="291"/>
      <c r="G788" s="291"/>
      <c r="H788" s="782"/>
      <c r="I788" s="783"/>
      <c r="J788" s="783"/>
      <c r="K788" s="784"/>
      <c r="L788" s="784"/>
      <c r="M788" s="784"/>
      <c r="N788" s="784"/>
      <c r="O788" s="784"/>
      <c r="P788" s="784"/>
      <c r="Q788" s="784"/>
      <c r="R788" s="784"/>
      <c r="S788" s="784"/>
      <c r="T788" s="784"/>
      <c r="U788" s="784"/>
    </row>
    <row r="789" spans="1:21" ht="16.5" x14ac:dyDescent="0.25">
      <c r="A789" s="78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782"/>
      <c r="C789" s="782"/>
      <c r="D789" s="782"/>
      <c r="E789" s="291"/>
      <c r="F789" s="291"/>
      <c r="G789" s="291"/>
      <c r="H789" s="782"/>
      <c r="I789" s="783"/>
      <c r="J789" s="783"/>
      <c r="K789" s="784"/>
      <c r="L789" s="784"/>
      <c r="M789" s="784"/>
      <c r="N789" s="784"/>
      <c r="O789" s="784"/>
      <c r="P789" s="784"/>
      <c r="Q789" s="784"/>
      <c r="R789" s="784"/>
      <c r="S789" s="784"/>
      <c r="T789" s="784"/>
      <c r="U789" s="784"/>
    </row>
  </sheetData>
  <mergeCells count="25"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  <mergeCell ref="A7:G7"/>
    <mergeCell ref="D493:F493"/>
    <mergeCell ref="D599:G599"/>
    <mergeCell ref="D616:G616"/>
    <mergeCell ref="D642:G642"/>
    <mergeCell ref="Q5:R5"/>
    <mergeCell ref="S5:U5"/>
    <mergeCell ref="L4:P4"/>
    <mergeCell ref="Q4:U4"/>
    <mergeCell ref="A5:G6"/>
    <mergeCell ref="I5:K5"/>
    <mergeCell ref="N5:P5"/>
    <mergeCell ref="A1:U1"/>
    <mergeCell ref="A3:U3"/>
    <mergeCell ref="A2:U2"/>
  </mergeCells>
  <printOptions horizontalCentered="1"/>
  <pageMargins left="0.23622047244094491" right="0.23622047244094491" top="0.55118110236220474" bottom="0.55118110236220474" header="0" footer="0"/>
  <pageSetup paperSize="9" scale="2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5666-2DA6-4138-AB7C-1AA5EA1F008C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1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customWidth="1"/>
  </cols>
  <sheetData>
    <row r="1" spans="1:21" ht="19.5" x14ac:dyDescent="0.3">
      <c r="A1" s="790" t="s">
        <v>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1" ht="19.5" x14ac:dyDescent="0.3">
      <c r="A2" s="790" t="s">
        <v>322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</row>
    <row r="3" spans="1:21" ht="19.5" x14ac:dyDescent="0.3">
      <c r="A3" s="790" t="s">
        <v>361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</row>
    <row r="4" spans="1:21" ht="19.5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055" t="s">
        <v>4</v>
      </c>
      <c r="B5" s="797"/>
      <c r="C5" s="797"/>
      <c r="D5" s="797"/>
      <c r="E5" s="797"/>
      <c r="F5" s="797"/>
      <c r="G5" s="798"/>
      <c r="H5" s="1054" t="s">
        <v>5</v>
      </c>
      <c r="I5" s="800" t="s">
        <v>6</v>
      </c>
      <c r="J5" s="793"/>
      <c r="K5" s="794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5"/>
      <c r="I6" s="6" t="s">
        <v>9</v>
      </c>
      <c r="J6" s="7" t="s">
        <v>10</v>
      </c>
      <c r="K6" s="6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9.5" hidden="1" x14ac:dyDescent="0.3">
      <c r="A7" s="1051"/>
      <c r="B7" s="793"/>
      <c r="C7" s="793"/>
      <c r="D7" s="793"/>
      <c r="E7" s="793"/>
      <c r="F7" s="793"/>
      <c r="G7" s="794"/>
      <c r="H7" s="1050"/>
      <c r="I7" s="1049"/>
      <c r="J7" s="1049"/>
      <c r="K7" s="1048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9.5" hidden="1" x14ac:dyDescent="0.3">
      <c r="A8" s="1029"/>
      <c r="B8" s="919"/>
      <c r="C8" s="984"/>
      <c r="D8" s="1032"/>
      <c r="E8" s="919"/>
      <c r="F8" s="919"/>
      <c r="G8" s="918"/>
      <c r="H8" s="1031"/>
      <c r="I8" s="983"/>
      <c r="J8" s="983"/>
      <c r="K8" s="982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8.75" hidden="1" x14ac:dyDescent="0.25">
      <c r="A9" s="1029"/>
      <c r="B9" s="919"/>
      <c r="C9" s="919"/>
      <c r="D9" s="919"/>
      <c r="E9" s="920"/>
      <c r="F9" s="919"/>
      <c r="G9" s="918"/>
      <c r="H9" s="917"/>
      <c r="I9" s="983"/>
      <c r="J9" s="983"/>
      <c r="K9" s="982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8.75" hidden="1" x14ac:dyDescent="0.25">
      <c r="A10" s="1029"/>
      <c r="B10" s="919"/>
      <c r="C10" s="919"/>
      <c r="D10" s="919"/>
      <c r="E10" s="920"/>
      <c r="F10" s="919"/>
      <c r="G10" s="918"/>
      <c r="H10" s="917"/>
      <c r="I10" s="983"/>
      <c r="J10" s="983"/>
      <c r="K10" s="982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hidden="1" x14ac:dyDescent="0.25">
      <c r="A11" s="1029"/>
      <c r="B11" s="919"/>
      <c r="C11" s="919"/>
      <c r="D11" s="1030"/>
      <c r="E11" s="919"/>
      <c r="F11" s="919"/>
      <c r="G11" s="918"/>
      <c r="H11" s="917"/>
      <c r="I11" s="983"/>
      <c r="J11" s="983"/>
      <c r="K11" s="982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8.75" hidden="1" x14ac:dyDescent="0.25">
      <c r="A12" s="1029"/>
      <c r="B12" s="919"/>
      <c r="C12" s="919"/>
      <c r="D12" s="919"/>
      <c r="E12" s="920"/>
      <c r="F12" s="919"/>
      <c r="G12" s="918"/>
      <c r="H12" s="917"/>
      <c r="I12" s="983"/>
      <c r="J12" s="983"/>
      <c r="K12" s="982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8.75" hidden="1" x14ac:dyDescent="0.25">
      <c r="A13" s="1029"/>
      <c r="B13" s="919"/>
      <c r="C13" s="919"/>
      <c r="D13" s="919"/>
      <c r="E13" s="920"/>
      <c r="F13" s="919"/>
      <c r="G13" s="918"/>
      <c r="H13" s="917"/>
      <c r="I13" s="983"/>
      <c r="J13" s="983"/>
      <c r="K13" s="982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8.75" hidden="1" x14ac:dyDescent="0.25">
      <c r="A14" s="1029"/>
      <c r="B14" s="919"/>
      <c r="C14" s="919"/>
      <c r="D14" s="1030"/>
      <c r="E14" s="919"/>
      <c r="F14" s="919"/>
      <c r="G14" s="918"/>
      <c r="H14" s="917"/>
      <c r="I14" s="983"/>
      <c r="J14" s="983"/>
      <c r="K14" s="982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8.75" hidden="1" x14ac:dyDescent="0.25">
      <c r="A15" s="1029"/>
      <c r="B15" s="919"/>
      <c r="C15" s="919"/>
      <c r="D15" s="919"/>
      <c r="E15" s="920"/>
      <c r="F15" s="919"/>
      <c r="G15" s="918"/>
      <c r="H15" s="917"/>
      <c r="I15" s="983"/>
      <c r="J15" s="983"/>
      <c r="K15" s="982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8.75" hidden="1" x14ac:dyDescent="0.25">
      <c r="A16" s="1028"/>
      <c r="B16" s="1026"/>
      <c r="C16" s="1026"/>
      <c r="D16" s="1026"/>
      <c r="E16" s="1027"/>
      <c r="F16" s="1026"/>
      <c r="G16" s="1025"/>
      <c r="H16" s="1024"/>
      <c r="I16" s="1023"/>
      <c r="J16" s="1023"/>
      <c r="K16" s="10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809" t="s">
        <v>321</v>
      </c>
      <c r="B17" s="789"/>
      <c r="C17" s="789"/>
      <c r="D17" s="789"/>
      <c r="E17" s="789"/>
      <c r="F17" s="789"/>
      <c r="G17" s="787"/>
      <c r="H17" s="46"/>
      <c r="I17" s="47"/>
      <c r="J17" s="47"/>
      <c r="K17" s="48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51"/>
      <c r="B18" s="52"/>
      <c r="C18" s="53" t="s">
        <v>18</v>
      </c>
      <c r="D18" s="1047" t="s">
        <v>19</v>
      </c>
      <c r="E18" s="52"/>
      <c r="F18" s="52"/>
      <c r="G18" s="55"/>
      <c r="H18" s="56" t="s">
        <v>14</v>
      </c>
      <c r="I18" s="57"/>
      <c r="J18" s="57"/>
      <c r="K18" s="58"/>
      <c r="L18" s="1046">
        <f ca="1">L19+L20</f>
        <v>2247803</v>
      </c>
      <c r="M18" s="1045">
        <f ca="1">M19+M20</f>
        <v>2310575</v>
      </c>
      <c r="N18" s="1045">
        <f ca="1">N19+N20</f>
        <v>1841599.25</v>
      </c>
      <c r="O18" s="1045">
        <f ca="1">IF(L18&gt;0,N18*100/L18,0)</f>
        <v>81.928854530401466</v>
      </c>
      <c r="P18" s="1045">
        <f ca="1">IF(M18&gt;0,N18*100/M18,0)</f>
        <v>79.703071746210355</v>
      </c>
      <c r="Q18" s="1045">
        <f ca="1">Q19+Q20</f>
        <v>3185368.39</v>
      </c>
      <c r="R18" s="1045">
        <f ca="1">R19+R20</f>
        <v>3199368</v>
      </c>
      <c r="S18" s="1045">
        <f ca="1">S19+S20</f>
        <v>421882</v>
      </c>
      <c r="T18" s="1045">
        <f ca="1">IF(Q18&gt;0,S18*100/Q18,0)</f>
        <v>13.244370771193594</v>
      </c>
      <c r="U18" s="1045">
        <f ca="1">IF(R18&gt;0,S18*100/R18,0)</f>
        <v>13.186416817321421</v>
      </c>
    </row>
    <row r="19" spans="1:21" ht="18.75" hidden="1" x14ac:dyDescent="0.25">
      <c r="A19" s="1044"/>
      <c r="B19" s="1042"/>
      <c r="C19" s="1042"/>
      <c r="D19" s="1042"/>
      <c r="E19" s="1043" t="s">
        <v>20</v>
      </c>
      <c r="F19" s="1042"/>
      <c r="G19" s="1041"/>
      <c r="H19" s="1040" t="s">
        <v>14</v>
      </c>
      <c r="I19" s="1039"/>
      <c r="J19" s="1039"/>
      <c r="K19" s="1038"/>
      <c r="L19" s="1037">
        <f>L22+L25</f>
        <v>0</v>
      </c>
      <c r="M19" s="1036">
        <f>M22+M25</f>
        <v>0</v>
      </c>
      <c r="N19" s="1036">
        <f>N22+N25</f>
        <v>0</v>
      </c>
      <c r="O19" s="1036">
        <f>IF(L19&gt;0,N19*100/L19,0)</f>
        <v>0</v>
      </c>
      <c r="P19" s="1036">
        <f>IF(M19&gt;0,N19*100/M19,0)</f>
        <v>0</v>
      </c>
      <c r="Q19" s="1036">
        <f>Q22+Q25</f>
        <v>0</v>
      </c>
      <c r="R19" s="1036">
        <f>R22+R25</f>
        <v>0</v>
      </c>
      <c r="S19" s="1036">
        <f>S22+S25</f>
        <v>0</v>
      </c>
      <c r="T19" s="1036">
        <f>IF(Q19&gt;0,S19*100/Q19,0)</f>
        <v>0</v>
      </c>
      <c r="U19" s="1036">
        <f>IF(R19&gt;0,S19*100/R19,0)</f>
        <v>0</v>
      </c>
    </row>
    <row r="20" spans="1:21" ht="18.75" hidden="1" x14ac:dyDescent="0.25">
      <c r="A20" s="51"/>
      <c r="B20" s="52"/>
      <c r="C20" s="52"/>
      <c r="D20" s="52"/>
      <c r="E20" s="63" t="s">
        <v>21</v>
      </c>
      <c r="F20" s="52"/>
      <c r="G20" s="55"/>
      <c r="H20" s="64" t="s">
        <v>14</v>
      </c>
      <c r="I20" s="57"/>
      <c r="J20" s="57"/>
      <c r="K20" s="58"/>
      <c r="L20" s="1035">
        <f ca="1">L23+L26</f>
        <v>2247803</v>
      </c>
      <c r="M20" s="1034">
        <f ca="1">M23+M26</f>
        <v>2310575</v>
      </c>
      <c r="N20" s="1034">
        <f ca="1">N23+N26</f>
        <v>1841599.25</v>
      </c>
      <c r="O20" s="1034">
        <f ca="1">IF(L20&gt;0,N20*100/L20,0)</f>
        <v>81.928854530401466</v>
      </c>
      <c r="P20" s="1034">
        <f ca="1">IF(M20&gt;0,N20*100/M20,0)</f>
        <v>79.703071746210355</v>
      </c>
      <c r="Q20" s="1034">
        <f ca="1">Q23+Q26</f>
        <v>3185368.39</v>
      </c>
      <c r="R20" s="1034">
        <f ca="1">R23+R26</f>
        <v>3199368</v>
      </c>
      <c r="S20" s="1034">
        <f ca="1">S23+S26</f>
        <v>421882</v>
      </c>
      <c r="T20" s="1034">
        <f ca="1">IF(Q20&gt;0,S20*100/Q20,0)</f>
        <v>13.244370771193594</v>
      </c>
      <c r="U20" s="1034">
        <f ca="1">IF(R20&gt;0,S20*100/R20,0)</f>
        <v>13.186416817321421</v>
      </c>
    </row>
    <row r="21" spans="1:21" ht="18.75" x14ac:dyDescent="0.25">
      <c r="A21" s="69"/>
      <c r="B21" s="70"/>
      <c r="C21" s="70"/>
      <c r="D21" s="911" t="s">
        <v>22</v>
      </c>
      <c r="E21" s="70"/>
      <c r="F21" s="70"/>
      <c r="G21" s="72"/>
      <c r="H21" s="73" t="s">
        <v>14</v>
      </c>
      <c r="I21" s="74"/>
      <c r="J21" s="74"/>
      <c r="K21" s="75"/>
      <c r="L21" s="134">
        <f ca="1">L22+L23</f>
        <v>2247803</v>
      </c>
      <c r="M21" s="135">
        <f ca="1">M22+M23</f>
        <v>2310575</v>
      </c>
      <c r="N21" s="135">
        <f ca="1">N22+N23</f>
        <v>1841599.25</v>
      </c>
      <c r="O21" s="135">
        <f ca="1">IF(L21&gt;0,N21*100/L21,0)</f>
        <v>81.928854530401466</v>
      </c>
      <c r="P21" s="135">
        <f ca="1">IF(M21&gt;0,N21*100/M21,0)</f>
        <v>79.703071746210355</v>
      </c>
      <c r="Q21" s="135">
        <f ca="1">Q22+Q23</f>
        <v>3185368.39</v>
      </c>
      <c r="R21" s="135">
        <f ca="1">R22+R23</f>
        <v>3199368</v>
      </c>
      <c r="S21" s="135">
        <f ca="1">S22+S23</f>
        <v>421882</v>
      </c>
      <c r="T21" s="135">
        <f ca="1">IF(Q21&gt;0,S21*100/Q21,0)</f>
        <v>13.244370771193594</v>
      </c>
      <c r="U21" s="135">
        <f ca="1">IF(R21&gt;0,S21*100/R21,0)</f>
        <v>13.186416817321421</v>
      </c>
    </row>
    <row r="22" spans="1:21" ht="18.75" hidden="1" x14ac:dyDescent="0.25">
      <c r="A22" s="987"/>
      <c r="B22" s="870"/>
      <c r="C22" s="870"/>
      <c r="D22" s="870"/>
      <c r="E22" s="267" t="s">
        <v>20</v>
      </c>
      <c r="F22" s="870"/>
      <c r="G22" s="869"/>
      <c r="H22" s="986" t="s">
        <v>14</v>
      </c>
      <c r="I22" s="875"/>
      <c r="J22" s="875"/>
      <c r="K22" s="874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69"/>
      <c r="B23" s="70"/>
      <c r="C23" s="70"/>
      <c r="D23" s="70"/>
      <c r="E23" s="78" t="s">
        <v>21</v>
      </c>
      <c r="F23" s="70"/>
      <c r="G23" s="72"/>
      <c r="H23" s="73" t="s">
        <v>14</v>
      </c>
      <c r="I23" s="74"/>
      <c r="J23" s="74"/>
      <c r="K23" s="75"/>
      <c r="L23" s="134">
        <f ca="1">L49+L64+L77+L99+L130+L144+L162+L191+L178+L271+L287+L308+L325+L338+L361+L518</f>
        <v>2247803</v>
      </c>
      <c r="M23" s="135">
        <f ca="1">M49+M64+M77+M99+M130+M144+M162+M191+M178+M271+M287+M308+M325+M338+M361+M518</f>
        <v>2310575</v>
      </c>
      <c r="N23" s="135">
        <f ca="1">N49+N64+N77+N99+N130+N144+N162+N191+N178+N271+N287+N308+N325+N338+N361+N518</f>
        <v>1841599.25</v>
      </c>
      <c r="O23" s="135">
        <f ca="1">IF(L23&gt;0,N23*100/L23,0)</f>
        <v>81.928854530401466</v>
      </c>
      <c r="P23" s="135">
        <f ca="1">IF(M23&gt;0,N23*100/M23,0)</f>
        <v>79.703071746210355</v>
      </c>
      <c r="Q23" s="135">
        <f ca="1">Q77+Q99+Q122+Q144+Q162+Q178+Q191+Q271+Q287+Q308+Q338+Q380+Q397+Q418+Q498+Q604+Q621+Q647+Q695+Q719+Q733+Q765</f>
        <v>3185368.39</v>
      </c>
      <c r="R23" s="135">
        <f ca="1">R77+R99+R122+R144+R162+R178+R191+R271+R287+R308+R338+R380+R397+R418+R498+R604+R621+R647+R695+R719+R733+R765</f>
        <v>3199368</v>
      </c>
      <c r="S23" s="135">
        <f ca="1">S77+S99+S122+S144+S162+S178+S191+S271+S287+S308+S338+S380+S397+S418+S498+S604+S621+S647+S695+S719+S733+S765</f>
        <v>421882</v>
      </c>
      <c r="T23" s="135">
        <f ca="1">IF(Q23&gt;0,S23*100/Q23,0)</f>
        <v>13.244370771193594</v>
      </c>
      <c r="U23" s="135">
        <f ca="1">IF(R23&gt;0,S23*100/R23,0)</f>
        <v>13.186416817321421</v>
      </c>
    </row>
    <row r="24" spans="1:21" ht="18.75" x14ac:dyDescent="0.25">
      <c r="A24" s="69"/>
      <c r="B24" s="70"/>
      <c r="C24" s="70"/>
      <c r="D24" s="911" t="s">
        <v>23</v>
      </c>
      <c r="E24" s="70"/>
      <c r="F24" s="70"/>
      <c r="G24" s="72"/>
      <c r="H24" s="73" t="s">
        <v>14</v>
      </c>
      <c r="I24" s="74"/>
      <c r="J24" s="74"/>
      <c r="K24" s="75"/>
      <c r="L24" s="134">
        <f ca="1">L25+L26</f>
        <v>0</v>
      </c>
      <c r="M24" s="135">
        <f ca="1">M25+M26</f>
        <v>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>Q25+Q26</f>
        <v>0</v>
      </c>
      <c r="R24" s="135">
        <f>R25+R26</f>
        <v>0</v>
      </c>
      <c r="S24" s="135">
        <f>S25+S26</f>
        <v>0</v>
      </c>
      <c r="T24" s="135">
        <f>IF(Q24&gt;0,S24*100/Q24,0)</f>
        <v>0</v>
      </c>
      <c r="U24" s="135">
        <f>IF(R24&gt;0,S24*100/R24,0)</f>
        <v>0</v>
      </c>
    </row>
    <row r="25" spans="1:21" ht="18.75" hidden="1" x14ac:dyDescent="0.25">
      <c r="A25" s="987"/>
      <c r="B25" s="870"/>
      <c r="C25" s="870"/>
      <c r="D25" s="870"/>
      <c r="E25" s="267" t="s">
        <v>20</v>
      </c>
      <c r="F25" s="870"/>
      <c r="G25" s="869"/>
      <c r="H25" s="986" t="s">
        <v>14</v>
      </c>
      <c r="I25" s="875"/>
      <c r="J25" s="875"/>
      <c r="K25" s="874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69"/>
      <c r="B26" s="70"/>
      <c r="C26" s="70"/>
      <c r="D26" s="70"/>
      <c r="E26" s="78" t="s">
        <v>21</v>
      </c>
      <c r="F26" s="70"/>
      <c r="G26" s="72"/>
      <c r="H26" s="73" t="s">
        <v>14</v>
      </c>
      <c r="I26" s="74"/>
      <c r="J26" s="74"/>
      <c r="K26" s="75"/>
      <c r="L26" s="134">
        <f ca="1">L52+L67+L80+L102+L133+L147+L165+L194+L181+L274+L290+L311+L328+L341+L364+L521</f>
        <v>0</v>
      </c>
      <c r="M26" s="135">
        <f ca="1">M52+M67+M80+M102+M133+M147+M165+M194+M181+M274+M290+M311+M328+M341+M364+M521</f>
        <v>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>Q80+Q102+Q125+Q147+Q165+Q181+Q194+Q274+Q290+Q311+Q341+Q383+Q400+Q421+Q501+Q607+Q624+Q650+Q698+Q722+Q736+Q768</f>
        <v>0</v>
      </c>
      <c r="R26" s="136">
        <f>R80+R102+R125+R147+R165+R181+R194+R274+R290+R311+R341+R383+R400+R421+R501+R607+R624+R650+R698+R722+R736+R768</f>
        <v>0</v>
      </c>
      <c r="S26" s="136">
        <f>S80+S102+S125+S147+S165+S181+S194+S274+S290+S311+S341+S383+S400+S421+S501+S607+S624+S650+S698+S722+S736+S768</f>
        <v>0</v>
      </c>
      <c r="T26" s="135">
        <f>IF(Q26&gt;0,S26*100/Q26,0)</f>
        <v>0</v>
      </c>
      <c r="U26" s="135">
        <f>IF(R26&gt;0,S26*100/R26,0)</f>
        <v>0</v>
      </c>
    </row>
    <row r="27" spans="1:21" ht="18.75" x14ac:dyDescent="0.25">
      <c r="A27" s="1004"/>
      <c r="B27" s="431"/>
      <c r="C27" s="431"/>
      <c r="D27" s="1003" t="s">
        <v>24</v>
      </c>
      <c r="E27" s="431"/>
      <c r="F27" s="431"/>
      <c r="G27" s="432"/>
      <c r="H27" s="1002" t="s">
        <v>14</v>
      </c>
      <c r="I27" s="545"/>
      <c r="J27" s="545"/>
      <c r="K27" s="388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9.5" hidden="1" x14ac:dyDescent="0.3">
      <c r="A30" s="1033"/>
      <c r="B30" s="789"/>
      <c r="C30" s="789"/>
      <c r="D30" s="789"/>
      <c r="E30" s="789"/>
      <c r="F30" s="789"/>
      <c r="G30" s="787"/>
      <c r="H30" s="1025"/>
      <c r="I30" s="1023"/>
      <c r="J30" s="1023"/>
      <c r="K30" s="10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9.5" hidden="1" x14ac:dyDescent="0.3">
      <c r="A31" s="1029"/>
      <c r="B31" s="919"/>
      <c r="C31" s="984"/>
      <c r="D31" s="1032"/>
      <c r="E31" s="919"/>
      <c r="F31" s="919"/>
      <c r="G31" s="918"/>
      <c r="H31" s="1031"/>
      <c r="I31" s="983"/>
      <c r="J31" s="983"/>
      <c r="K31" s="982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8.75" hidden="1" x14ac:dyDescent="0.25">
      <c r="A32" s="1029"/>
      <c r="B32" s="919"/>
      <c r="C32" s="919"/>
      <c r="D32" s="919"/>
      <c r="E32" s="920"/>
      <c r="F32" s="919"/>
      <c r="G32" s="918"/>
      <c r="H32" s="917"/>
      <c r="I32" s="983"/>
      <c r="J32" s="983"/>
      <c r="K32" s="982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8.75" hidden="1" x14ac:dyDescent="0.25">
      <c r="A33" s="1029"/>
      <c r="B33" s="919"/>
      <c r="C33" s="919"/>
      <c r="D33" s="919"/>
      <c r="E33" s="920"/>
      <c r="F33" s="919"/>
      <c r="G33" s="918"/>
      <c r="H33" s="917"/>
      <c r="I33" s="983"/>
      <c r="J33" s="983"/>
      <c r="K33" s="982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8.75" hidden="1" x14ac:dyDescent="0.25">
      <c r="A34" s="1029"/>
      <c r="B34" s="919"/>
      <c r="C34" s="919"/>
      <c r="D34" s="1030"/>
      <c r="E34" s="919"/>
      <c r="F34" s="919"/>
      <c r="G34" s="918"/>
      <c r="H34" s="917"/>
      <c r="I34" s="983"/>
      <c r="J34" s="983"/>
      <c r="K34" s="982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8.75" hidden="1" x14ac:dyDescent="0.25">
      <c r="A35" s="1029"/>
      <c r="B35" s="919"/>
      <c r="C35" s="919"/>
      <c r="D35" s="919"/>
      <c r="E35" s="920"/>
      <c r="F35" s="919"/>
      <c r="G35" s="918"/>
      <c r="H35" s="917"/>
      <c r="I35" s="983"/>
      <c r="J35" s="983"/>
      <c r="K35" s="982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8.75" hidden="1" x14ac:dyDescent="0.25">
      <c r="A36" s="1029"/>
      <c r="B36" s="919"/>
      <c r="C36" s="919"/>
      <c r="D36" s="919"/>
      <c r="E36" s="920"/>
      <c r="F36" s="919"/>
      <c r="G36" s="918"/>
      <c r="H36" s="917"/>
      <c r="I36" s="983"/>
      <c r="J36" s="983"/>
      <c r="K36" s="982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8.75" hidden="1" x14ac:dyDescent="0.25">
      <c r="A37" s="1029"/>
      <c r="B37" s="919"/>
      <c r="C37" s="919"/>
      <c r="D37" s="1030"/>
      <c r="E37" s="919"/>
      <c r="F37" s="919"/>
      <c r="G37" s="918"/>
      <c r="H37" s="917"/>
      <c r="I37" s="983"/>
      <c r="J37" s="983"/>
      <c r="K37" s="982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8.75" hidden="1" x14ac:dyDescent="0.25">
      <c r="A38" s="1029"/>
      <c r="B38" s="919"/>
      <c r="C38" s="919"/>
      <c r="D38" s="919"/>
      <c r="E38" s="920"/>
      <c r="F38" s="919"/>
      <c r="G38" s="918"/>
      <c r="H38" s="917"/>
      <c r="I38" s="983"/>
      <c r="J38" s="983"/>
      <c r="K38" s="982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8.75" hidden="1" x14ac:dyDescent="0.25">
      <c r="A39" s="1028"/>
      <c r="B39" s="1026"/>
      <c r="C39" s="1026"/>
      <c r="D39" s="1026"/>
      <c r="E39" s="1027"/>
      <c r="F39" s="1026"/>
      <c r="G39" s="1025"/>
      <c r="H39" s="1024"/>
      <c r="I39" s="1023"/>
      <c r="J39" s="1023"/>
      <c r="K39" s="10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02" t="s">
        <v>25</v>
      </c>
      <c r="B40" s="103"/>
      <c r="C40" s="103"/>
      <c r="D40" s="103"/>
      <c r="E40" s="103"/>
      <c r="F40" s="103"/>
      <c r="G40" s="104"/>
      <c r="H40" s="104"/>
      <c r="I40" s="105"/>
      <c r="J40" s="105"/>
      <c r="K40" s="106"/>
      <c r="L40" s="1021">
        <f ca="1">L44+L59+L72+L94+L125+L139+L157+L173+L186+L266+L282+L303+L320+L333+L356</f>
        <v>2247803</v>
      </c>
      <c r="M40" s="1020">
        <f ca="1">M44+M59+M72+M94+M125+M139+M157+M173+M186+M266+M282+M303+M320+M333+M356</f>
        <v>2310575</v>
      </c>
      <c r="N40" s="1020">
        <f ca="1">N44+N59+N72+N94+N125+N139+N157+N173+N186+N266+N282+N303+N320+N333+N356</f>
        <v>1841599.25</v>
      </c>
      <c r="O40" s="1020">
        <f ca="1">IF(L40&gt;0,N40*100/L40,0)</f>
        <v>81.928854530401466</v>
      </c>
      <c r="P40" s="1020">
        <f ca="1">IF(M40&gt;0,N40*100/M40,0)</f>
        <v>79.703071746210355</v>
      </c>
      <c r="Q40" s="1019"/>
      <c r="R40" s="1019"/>
      <c r="S40" s="1019"/>
      <c r="T40" s="1019"/>
      <c r="U40" s="1019"/>
    </row>
    <row r="41" spans="1:21" ht="19.5" x14ac:dyDescent="0.3">
      <c r="A41" s="108" t="s">
        <v>26</v>
      </c>
      <c r="B41" s="109"/>
      <c r="C41" s="109"/>
      <c r="D41" s="109"/>
      <c r="E41" s="109"/>
      <c r="F41" s="109"/>
      <c r="G41" s="109"/>
      <c r="H41" s="109"/>
      <c r="I41" s="110"/>
      <c r="J41" s="110"/>
      <c r="K41" s="111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13"/>
      <c r="B42" s="114" t="s">
        <v>27</v>
      </c>
      <c r="C42" s="113"/>
      <c r="D42" s="113"/>
      <c r="E42" s="113"/>
      <c r="F42" s="113"/>
      <c r="G42" s="113"/>
      <c r="H42" s="115"/>
      <c r="I42" s="116"/>
      <c r="J42" s="116"/>
      <c r="K42" s="117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9.5" hidden="1" x14ac:dyDescent="0.3">
      <c r="A43" s="23"/>
      <c r="B43" s="24"/>
      <c r="C43" s="25"/>
      <c r="D43" s="26"/>
      <c r="E43" s="24"/>
      <c r="F43" s="24"/>
      <c r="G43" s="27"/>
      <c r="H43" s="28"/>
      <c r="I43" s="29"/>
      <c r="J43" s="29"/>
      <c r="K43" s="30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18"/>
      <c r="B44" s="119"/>
      <c r="C44" s="120" t="s">
        <v>18</v>
      </c>
      <c r="D44" s="1014" t="s">
        <v>19</v>
      </c>
      <c r="E44" s="119"/>
      <c r="F44" s="119"/>
      <c r="G44" s="122"/>
      <c r="H44" s="123" t="s">
        <v>14</v>
      </c>
      <c r="I44" s="124"/>
      <c r="J44" s="124"/>
      <c r="K44" s="125"/>
      <c r="L44" s="1013">
        <f ca="1">L45+L46</f>
        <v>355143</v>
      </c>
      <c r="M44" s="1012">
        <f ca="1">M45+M46</f>
        <v>370830</v>
      </c>
      <c r="N44" s="1012">
        <f ca="1">N45+N46</f>
        <v>334671.12</v>
      </c>
      <c r="O44" s="1012">
        <f ca="1">IF(L44&gt;0,N44*100/L44,0)</f>
        <v>94.235595239100874</v>
      </c>
      <c r="P44" s="1012">
        <f ca="1">IF(M44&gt;0,N44*100/M44,0)</f>
        <v>90.249203138904619</v>
      </c>
      <c r="Q44" s="1012">
        <f>Q45+Q46</f>
        <v>0</v>
      </c>
      <c r="R44" s="1012">
        <f>R45+R46</f>
        <v>0</v>
      </c>
      <c r="S44" s="1012">
        <f>S45+S46</f>
        <v>0</v>
      </c>
      <c r="T44" s="1012">
        <f>IF(Q44&gt;0,S44*100/Q44,0)</f>
        <v>0</v>
      </c>
      <c r="U44" s="1012">
        <f>IF(R44&gt;0,S44*100/R44,0)</f>
        <v>0</v>
      </c>
    </row>
    <row r="45" spans="1:21" ht="18.75" hidden="1" x14ac:dyDescent="0.25">
      <c r="A45" s="1011"/>
      <c r="B45" s="1009"/>
      <c r="C45" s="1009"/>
      <c r="D45" s="1009"/>
      <c r="E45" s="1010" t="s">
        <v>20</v>
      </c>
      <c r="F45" s="1009"/>
      <c r="G45" s="1008"/>
      <c r="H45" s="1007" t="s">
        <v>14</v>
      </c>
      <c r="I45" s="1006"/>
      <c r="J45" s="1006"/>
      <c r="K45" s="1005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18"/>
      <c r="B46" s="119"/>
      <c r="C46" s="119"/>
      <c r="D46" s="119"/>
      <c r="E46" s="128" t="s">
        <v>21</v>
      </c>
      <c r="F46" s="119"/>
      <c r="G46" s="122"/>
      <c r="H46" s="129" t="s">
        <v>14</v>
      </c>
      <c r="I46" s="124"/>
      <c r="J46" s="124"/>
      <c r="K46" s="125"/>
      <c r="L46" s="132">
        <f ca="1">L49+L52</f>
        <v>355143</v>
      </c>
      <c r="M46" s="133">
        <f ca="1">M49+M52</f>
        <v>370830</v>
      </c>
      <c r="N46" s="133">
        <f ca="1">N49+N52</f>
        <v>334671.12</v>
      </c>
      <c r="O46" s="133">
        <f ca="1">IF(L46&gt;0,N46*100/L46,0)</f>
        <v>94.235595239100874</v>
      </c>
      <c r="P46" s="133">
        <f ca="1">IF(M46&gt;0,N46*100/M46,0)</f>
        <v>90.249203138904619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69"/>
      <c r="B47" s="70"/>
      <c r="C47" s="70"/>
      <c r="D47" s="911" t="s">
        <v>22</v>
      </c>
      <c r="E47" s="70"/>
      <c r="F47" s="70"/>
      <c r="G47" s="72"/>
      <c r="H47" s="73" t="s">
        <v>14</v>
      </c>
      <c r="I47" s="74"/>
      <c r="J47" s="74"/>
      <c r="K47" s="75"/>
      <c r="L47" s="134">
        <f ca="1">L48+L49</f>
        <v>355143</v>
      </c>
      <c r="M47" s="135">
        <f ca="1">M48+M49</f>
        <v>370830</v>
      </c>
      <c r="N47" s="135">
        <f ca="1">N48+N49</f>
        <v>334671.12</v>
      </c>
      <c r="O47" s="135">
        <f ca="1">IF(L47&gt;0,N47*100/L47,0)</f>
        <v>94.235595239100874</v>
      </c>
      <c r="P47" s="135">
        <f ca="1">IF(M47&gt;0,N47*100/M47,0)</f>
        <v>90.249203138904619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987"/>
      <c r="B48" s="870"/>
      <c r="C48" s="870"/>
      <c r="D48" s="870"/>
      <c r="E48" s="267" t="s">
        <v>20</v>
      </c>
      <c r="F48" s="870"/>
      <c r="G48" s="869"/>
      <c r="H48" s="986" t="s">
        <v>14</v>
      </c>
      <c r="I48" s="875"/>
      <c r="J48" s="875"/>
      <c r="K48" s="874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69"/>
      <c r="B49" s="70"/>
      <c r="C49" s="70"/>
      <c r="D49" s="70"/>
      <c r="E49" s="78" t="s">
        <v>21</v>
      </c>
      <c r="F49" s="70"/>
      <c r="G49" s="72"/>
      <c r="H49" s="73" t="s">
        <v>14</v>
      </c>
      <c r="I49" s="74"/>
      <c r="J49" s="74"/>
      <c r="K49" s="75"/>
      <c r="L49" s="134">
        <f ca="1">IFERROR(__xludf.DUMMYFUNCTION("IMPORTRANGE(""https://docs.google.com/spreadsheets/d/1-uDff_7J0KD5mKrp0Vvzr7lt3OU09vwQwhkpOPPYv2Y/edit?usp=sharing"",""งบพรบ!P53"")"),355143)</f>
        <v>355143</v>
      </c>
      <c r="M49" s="135">
        <f ca="1">IFERROR(__xludf.DUMMYFUNCTION("IMPORTRANGE(""https://docs.google.com/spreadsheets/d/1-uDff_7J0KD5mKrp0Vvzr7lt3OU09vwQwhkpOPPYv2Y/edit?usp=sharing"",""งบพรบ!V53"")"),370830)</f>
        <v>370830</v>
      </c>
      <c r="N49" s="135">
        <f ca="1">IFERROR(__xludf.DUMMYFUNCTION("IMPORTRANGE(""https://docs.google.com/spreadsheets/d/1-uDff_7J0KD5mKrp0Vvzr7lt3OU09vwQwhkpOPPYv2Y/edit?usp=sharing"",""งบพรบ!Y53"")"),334671.12)</f>
        <v>334671.12</v>
      </c>
      <c r="O49" s="135">
        <f ca="1">IF(L49&gt;0,N49*100/L49,0)</f>
        <v>94.235595239100874</v>
      </c>
      <c r="P49" s="135">
        <f ca="1">IF(M49&gt;0,N49*100/M49,0)</f>
        <v>90.249203138904619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69"/>
      <c r="B50" s="70"/>
      <c r="C50" s="70"/>
      <c r="D50" s="911" t="s">
        <v>23</v>
      </c>
      <c r="E50" s="70"/>
      <c r="F50" s="70"/>
      <c r="G50" s="72"/>
      <c r="H50" s="73" t="s">
        <v>14</v>
      </c>
      <c r="I50" s="74"/>
      <c r="J50" s="74"/>
      <c r="K50" s="75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987"/>
      <c r="B51" s="870"/>
      <c r="C51" s="870"/>
      <c r="D51" s="870"/>
      <c r="E51" s="267" t="s">
        <v>20</v>
      </c>
      <c r="F51" s="870"/>
      <c r="G51" s="869"/>
      <c r="H51" s="986" t="s">
        <v>14</v>
      </c>
      <c r="I51" s="875"/>
      <c r="J51" s="875"/>
      <c r="K51" s="874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69"/>
      <c r="B52" s="70"/>
      <c r="C52" s="70"/>
      <c r="D52" s="70"/>
      <c r="E52" s="78" t="s">
        <v>21</v>
      </c>
      <c r="F52" s="70"/>
      <c r="G52" s="72"/>
      <c r="H52" s="73" t="s">
        <v>14</v>
      </c>
      <c r="I52" s="74"/>
      <c r="J52" s="74"/>
      <c r="K52" s="75"/>
      <c r="L52" s="134">
        <f ca="1">IFERROR(__xludf.DUMMYFUNCTION("IMPORTRANGE(""https://docs.google.com/spreadsheets/d/1-uDff_7J0KD5mKrp0Vvzr7lt3OU09vwQwhkpOPPYv2Y/edit?usp=sharing"",""งบพรบ!S53"")"),0)</f>
        <v>0</v>
      </c>
      <c r="M52" s="135">
        <f ca="1">IFERROR(__xludf.DUMMYFUNCTION("IMPORTRANGE(""https://docs.google.com/spreadsheets/d/1-uDff_7J0KD5mKrp0Vvzr7lt3OU09vwQwhkpOPPYv2Y/edit?usp=sharing"",""งบพรบ!W53"")"),0)</f>
        <v>0</v>
      </c>
      <c r="N52" s="135">
        <f ca="1">IFERROR(__xludf.DUMMYFUNCTION("IMPORTRANGE(""https://docs.google.com/spreadsheets/d/1-uDff_7J0KD5mKrp0Vvzr7lt3OU09vwQwhkpOPPYv2Y/edit?usp=sharing"",""งบพรบ!Z53"")"),0)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04"/>
      <c r="B53" s="431"/>
      <c r="C53" s="431"/>
      <c r="D53" s="1003" t="s">
        <v>24</v>
      </c>
      <c r="E53" s="431"/>
      <c r="F53" s="431"/>
      <c r="G53" s="432"/>
      <c r="H53" s="1002" t="s">
        <v>14</v>
      </c>
      <c r="I53" s="545"/>
      <c r="J53" s="545"/>
      <c r="K53" s="388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811" t="s">
        <v>28</v>
      </c>
      <c r="B56" s="793"/>
      <c r="C56" s="793"/>
      <c r="D56" s="793"/>
      <c r="E56" s="793"/>
      <c r="F56" s="793"/>
      <c r="G56" s="793"/>
      <c r="H56" s="138"/>
      <c r="I56" s="139"/>
      <c r="J56" s="139"/>
      <c r="K56" s="140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45"/>
      <c r="B57" s="812" t="s">
        <v>29</v>
      </c>
      <c r="C57" s="804"/>
      <c r="D57" s="804"/>
      <c r="E57" s="804"/>
      <c r="F57" s="804"/>
      <c r="G57" s="805"/>
      <c r="H57" s="146"/>
      <c r="I57" s="147"/>
      <c r="J57" s="147"/>
      <c r="K57" s="148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51"/>
      <c r="B58" s="152" t="s">
        <v>30</v>
      </c>
      <c r="C58" s="153"/>
      <c r="D58" s="153"/>
      <c r="E58" s="153"/>
      <c r="F58" s="153"/>
      <c r="G58" s="154"/>
      <c r="H58" s="154"/>
      <c r="I58" s="155"/>
      <c r="J58" s="155"/>
      <c r="K58" s="156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59"/>
      <c r="B59" s="160"/>
      <c r="C59" s="161" t="s">
        <v>18</v>
      </c>
      <c r="D59" s="995" t="s">
        <v>19</v>
      </c>
      <c r="E59" s="160"/>
      <c r="F59" s="160"/>
      <c r="G59" s="163"/>
      <c r="H59" s="164" t="s">
        <v>14</v>
      </c>
      <c r="I59" s="165"/>
      <c r="J59" s="165"/>
      <c r="K59" s="166"/>
      <c r="L59" s="168">
        <f ca="1">L60+L61</f>
        <v>668400</v>
      </c>
      <c r="M59" s="169">
        <f ca="1">M60+M61</f>
        <v>668400</v>
      </c>
      <c r="N59" s="169">
        <f ca="1">N60+N61</f>
        <v>907939.13</v>
      </c>
      <c r="O59" s="169">
        <f ca="1">IF(L59&gt;0,N59*100/L59,0)</f>
        <v>135.83769150209454</v>
      </c>
      <c r="P59" s="169">
        <f ca="1">IF(M59&gt;0,N59*100/M59,0)</f>
        <v>135.83769150209454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994"/>
      <c r="B60" s="992"/>
      <c r="C60" s="992"/>
      <c r="D60" s="992"/>
      <c r="E60" s="993" t="s">
        <v>20</v>
      </c>
      <c r="F60" s="992"/>
      <c r="G60" s="991"/>
      <c r="H60" s="990" t="s">
        <v>14</v>
      </c>
      <c r="I60" s="989"/>
      <c r="J60" s="989"/>
      <c r="K60" s="988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59"/>
      <c r="B61" s="160"/>
      <c r="C61" s="160"/>
      <c r="D61" s="160"/>
      <c r="E61" s="170" t="s">
        <v>21</v>
      </c>
      <c r="F61" s="160"/>
      <c r="G61" s="163"/>
      <c r="H61" s="171" t="s">
        <v>14</v>
      </c>
      <c r="I61" s="165"/>
      <c r="J61" s="165"/>
      <c r="K61" s="166"/>
      <c r="L61" s="175">
        <f ca="1">L64+L67</f>
        <v>668400</v>
      </c>
      <c r="M61" s="176">
        <f ca="1">M64+M67</f>
        <v>668400</v>
      </c>
      <c r="N61" s="176">
        <f ca="1">N64+N67</f>
        <v>907939.13</v>
      </c>
      <c r="O61" s="176">
        <f ca="1">IF(L61&gt;0,N61*100/L61,0)</f>
        <v>135.83769150209454</v>
      </c>
      <c r="P61" s="176">
        <f ca="1">IF(M61&gt;0,N61*100/M61,0)</f>
        <v>135.83769150209454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69"/>
      <c r="B62" s="70"/>
      <c r="C62" s="70"/>
      <c r="D62" s="911" t="s">
        <v>22</v>
      </c>
      <c r="E62" s="70"/>
      <c r="F62" s="70"/>
      <c r="G62" s="72"/>
      <c r="H62" s="73" t="s">
        <v>14</v>
      </c>
      <c r="I62" s="74"/>
      <c r="J62" s="74"/>
      <c r="K62" s="75"/>
      <c r="L62" s="134">
        <f ca="1">L63+L64</f>
        <v>668400</v>
      </c>
      <c r="M62" s="135">
        <f ca="1">M63+M64</f>
        <v>668400</v>
      </c>
      <c r="N62" s="135">
        <f ca="1">N63+N64</f>
        <v>907939.13</v>
      </c>
      <c r="O62" s="135">
        <f ca="1">IF(L62&gt;0,N62*100/L62,0)</f>
        <v>135.83769150209454</v>
      </c>
      <c r="P62" s="135">
        <f ca="1">IF(M62&gt;0,N62*100/M62,0)</f>
        <v>135.83769150209454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987"/>
      <c r="B63" s="870"/>
      <c r="C63" s="870"/>
      <c r="D63" s="870"/>
      <c r="E63" s="267" t="s">
        <v>20</v>
      </c>
      <c r="F63" s="870"/>
      <c r="G63" s="869"/>
      <c r="H63" s="986" t="s">
        <v>14</v>
      </c>
      <c r="I63" s="875"/>
      <c r="J63" s="875"/>
      <c r="K63" s="874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69"/>
      <c r="B64" s="70"/>
      <c r="C64" s="70"/>
      <c r="D64" s="70"/>
      <c r="E64" s="78" t="s">
        <v>21</v>
      </c>
      <c r="F64" s="70"/>
      <c r="G64" s="72"/>
      <c r="H64" s="73" t="s">
        <v>14</v>
      </c>
      <c r="I64" s="74"/>
      <c r="J64" s="74"/>
      <c r="K64" s="75"/>
      <c r="L64" s="134">
        <f ca="1">IFERROR(__xludf.DUMMYFUNCTION("IMPORTRANGE(""https://docs.google.com/spreadsheets/d/1-uDff_7J0KD5mKrp0Vvzr7lt3OU09vwQwhkpOPPYv2Y/edit?usp=sharing"",""งบพรบ!AC53"")"),668400)</f>
        <v>668400</v>
      </c>
      <c r="M64" s="135">
        <f ca="1">IFERROR(__xludf.DUMMYFUNCTION("IMPORTRANGE(""https://docs.google.com/spreadsheets/d/1-uDff_7J0KD5mKrp0Vvzr7lt3OU09vwQwhkpOPPYv2Y/edit?usp=sharing"",""งบพรบ!AH53"")"),668400)</f>
        <v>668400</v>
      </c>
      <c r="N64" s="135">
        <f ca="1">IFERROR(__xludf.DUMMYFUNCTION("IMPORTRANGE(""https://docs.google.com/spreadsheets/d/1-uDff_7J0KD5mKrp0Vvzr7lt3OU09vwQwhkpOPPYv2Y/edit?usp=sharing"",""งบพรบ!AJ53"")"),907939.13)</f>
        <v>907939.13</v>
      </c>
      <c r="O64" s="135">
        <f ca="1">IF(L64&gt;0,N64*100/L64,0)</f>
        <v>135.83769150209454</v>
      </c>
      <c r="P64" s="135">
        <f ca="1">IF(M64&gt;0,N64*100/M64,0)</f>
        <v>135.83769150209454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69"/>
      <c r="B65" s="70"/>
      <c r="C65" s="70"/>
      <c r="D65" s="911" t="s">
        <v>23</v>
      </c>
      <c r="E65" s="70"/>
      <c r="F65" s="70"/>
      <c r="G65" s="72"/>
      <c r="H65" s="73" t="s">
        <v>14</v>
      </c>
      <c r="I65" s="74"/>
      <c r="J65" s="74"/>
      <c r="K65" s="75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987"/>
      <c r="B66" s="870"/>
      <c r="C66" s="870"/>
      <c r="D66" s="870"/>
      <c r="E66" s="267" t="s">
        <v>20</v>
      </c>
      <c r="F66" s="870"/>
      <c r="G66" s="869"/>
      <c r="H66" s="986" t="s">
        <v>14</v>
      </c>
      <c r="I66" s="875"/>
      <c r="J66" s="875"/>
      <c r="K66" s="874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77"/>
      <c r="B67" s="1"/>
      <c r="C67" s="1"/>
      <c r="D67" s="1"/>
      <c r="E67" s="178" t="s">
        <v>21</v>
      </c>
      <c r="F67" s="1"/>
      <c r="G67" s="179"/>
      <c r="H67" s="180" t="s">
        <v>14</v>
      </c>
      <c r="I67" s="181"/>
      <c r="J67" s="181"/>
      <c r="K67" s="182"/>
      <c r="L67" s="985">
        <f ca="1">IFERROR(__xludf.DUMMYFUNCTION("IMPORTRANGE(""https://docs.google.com/spreadsheets/d/1-uDff_7J0KD5mKrp0Vvzr7lt3OU09vwQwhkpOPPYv2Y/edit?usp=sharing"",""งบพรบ!AF53"")"),0)</f>
        <v>0</v>
      </c>
      <c r="M67" s="186">
        <f ca="1">IFERROR(__xludf.DUMMYFUNCTION("IMPORTRANGE(""https://docs.google.com/spreadsheets/d/1-uDff_7J0KD5mKrp0Vvzr7lt3OU09vwQwhkpOPPYv2Y/edit?usp=sharing"",""งบพรบ!AI53"")"),0)</f>
        <v>0</v>
      </c>
      <c r="N67" s="186">
        <f ca="1">IFERROR(__xludf.DUMMYFUNCTION("IMPORTRANGE(""https://docs.google.com/spreadsheets/d/1-uDff_7J0KD5mKrp0Vvzr7lt3OU09vwQwhkpOPPYv2Y/edit?usp=sharing"",""งบพรบ!AK53"")"),0)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87" t="s">
        <v>31</v>
      </c>
      <c r="B68" s="188"/>
      <c r="C68" s="188"/>
      <c r="D68" s="188"/>
      <c r="E68" s="189"/>
      <c r="F68" s="189"/>
      <c r="G68" s="189"/>
      <c r="H68" s="189"/>
      <c r="I68" s="190"/>
      <c r="J68" s="190"/>
      <c r="K68" s="191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96" t="s">
        <v>32</v>
      </c>
      <c r="B69" s="197"/>
      <c r="C69" s="198"/>
      <c r="D69" s="197"/>
      <c r="E69" s="197"/>
      <c r="F69" s="197"/>
      <c r="G69" s="199"/>
      <c r="H69" s="199"/>
      <c r="I69" s="200"/>
      <c r="J69" s="200"/>
      <c r="K69" s="201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04"/>
      <c r="B70" s="53" t="s">
        <v>320</v>
      </c>
      <c r="C70" s="52"/>
      <c r="D70" s="205"/>
      <c r="E70" s="52"/>
      <c r="F70" s="52"/>
      <c r="G70" s="55"/>
      <c r="H70" s="206" t="s">
        <v>34</v>
      </c>
      <c r="I70" s="207">
        <f ca="1">I82</f>
        <v>0</v>
      </c>
      <c r="J70" s="207">
        <f>J82</f>
        <v>0</v>
      </c>
      <c r="K70" s="208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04"/>
      <c r="B71" s="52"/>
      <c r="C71" s="52"/>
      <c r="D71" s="205"/>
      <c r="E71" s="52"/>
      <c r="F71" s="52"/>
      <c r="G71" s="55"/>
      <c r="H71" s="206" t="s">
        <v>35</v>
      </c>
      <c r="I71" s="207">
        <f ca="1">I83</f>
        <v>0</v>
      </c>
      <c r="J71" s="207">
        <f>J83</f>
        <v>0</v>
      </c>
      <c r="K71" s="208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11"/>
      <c r="B72" s="70"/>
      <c r="C72" s="212" t="s">
        <v>18</v>
      </c>
      <c r="D72" s="912" t="s">
        <v>19</v>
      </c>
      <c r="E72" s="70"/>
      <c r="F72" s="70"/>
      <c r="G72" s="72"/>
      <c r="H72" s="214" t="s">
        <v>14</v>
      </c>
      <c r="I72" s="74"/>
      <c r="J72" s="74"/>
      <c r="K72" s="75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882"/>
      <c r="B73" s="870"/>
      <c r="C73" s="870"/>
      <c r="D73" s="870"/>
      <c r="E73" s="267" t="s">
        <v>20</v>
      </c>
      <c r="F73" s="870"/>
      <c r="G73" s="869"/>
      <c r="H73" s="268" t="s">
        <v>14</v>
      </c>
      <c r="I73" s="875"/>
      <c r="J73" s="875"/>
      <c r="K73" s="874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11"/>
      <c r="B74" s="70"/>
      <c r="C74" s="70"/>
      <c r="D74" s="70"/>
      <c r="E74" s="78" t="s">
        <v>21</v>
      </c>
      <c r="F74" s="70"/>
      <c r="G74" s="72"/>
      <c r="H74" s="218" t="s">
        <v>14</v>
      </c>
      <c r="I74" s="74"/>
      <c r="J74" s="74"/>
      <c r="K74" s="75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11"/>
      <c r="B75" s="70"/>
      <c r="C75" s="70"/>
      <c r="D75" s="911" t="s">
        <v>22</v>
      </c>
      <c r="E75" s="70"/>
      <c r="F75" s="70"/>
      <c r="G75" s="72"/>
      <c r="H75" s="220" t="s">
        <v>14</v>
      </c>
      <c r="I75" s="221"/>
      <c r="J75" s="221"/>
      <c r="K75" s="222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882"/>
      <c r="B76" s="870"/>
      <c r="C76" s="870"/>
      <c r="D76" s="870"/>
      <c r="E76" s="267" t="s">
        <v>36</v>
      </c>
      <c r="F76" s="870"/>
      <c r="G76" s="869"/>
      <c r="H76" s="275" t="s">
        <v>14</v>
      </c>
      <c r="I76" s="876"/>
      <c r="J76" s="876"/>
      <c r="K76" s="88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11"/>
      <c r="B77" s="70"/>
      <c r="C77" s="70"/>
      <c r="D77" s="70"/>
      <c r="E77" s="78" t="s">
        <v>37</v>
      </c>
      <c r="F77" s="70"/>
      <c r="G77" s="72"/>
      <c r="H77" s="220" t="s">
        <v>14</v>
      </c>
      <c r="I77" s="221"/>
      <c r="J77" s="221"/>
      <c r="K77" s="222"/>
      <c r="L77" s="134">
        <f ca="1">IFERROR(__xludf.DUMMYFUNCTION("IMPORTRANGE(""https://docs.google.com/spreadsheets/d/1-uDff_7J0KD5mKrp0Vvzr7lt3OU09vwQwhkpOPPYv2Y/edit?usp=sharing"",""งบพรบ!AM53"")"),0)</f>
        <v>0</v>
      </c>
      <c r="M77" s="135">
        <f ca="1">IFERROR(__xludf.DUMMYFUNCTION("IMPORTRANGE(""https://docs.google.com/spreadsheets/d/1-uDff_7J0KD5mKrp0Vvzr7lt3OU09vwQwhkpOPPYv2Y/edit?usp=sharing"",""งบพรบ!AR53"")"),0)</f>
        <v>0</v>
      </c>
      <c r="N77" s="135">
        <f ca="1">IFERROR(__xludf.DUMMYFUNCTION("IMPORTRANGE(""https://docs.google.com/spreadsheets/d/1-uDff_7J0KD5mKrp0Vvzr7lt3OU09vwQwhkpOPPYv2Y/edit?usp=sharing"",""งบพรบ!AT53"")"),0)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IFERROR(__xludf.DUMMYFUNCTION("IMPORTRANGE(""https://docs.google.com/spreadsheets/d/1ItG2mGa2ceCfYo0BwxsXqNm01IGEUdYcSSLTEv9YCik/edit?usp=sharing"",""เบิกจ่ายกองทุน!AS53"")"),0)</f>
        <v>0</v>
      </c>
      <c r="R77" s="135">
        <f ca="1">IFERROR(__xludf.DUMMYFUNCTION("IMPORTRANGE(""https://docs.google.com/spreadsheets/d/1ItG2mGa2ceCfYo0BwxsXqNm01IGEUdYcSSLTEv9YCik/edit?usp=sharing"",""เบิกจ่ายกองทุน!AT53"")"),0)</f>
        <v>0</v>
      </c>
      <c r="S77" s="135">
        <f ca="1">IFERROR(__xludf.DUMMYFUNCTION("IMPORTRANGE(""https://docs.google.com/spreadsheets/d/1ItG2mGa2ceCfYo0BwxsXqNm01IGEUdYcSSLTEv9YCik/edit?usp=sharing"",""เบิกจ่ายกองทุน!AU53"")"),0)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11"/>
      <c r="B78" s="70"/>
      <c r="C78" s="70"/>
      <c r="D78" s="911" t="s">
        <v>23</v>
      </c>
      <c r="E78" s="70"/>
      <c r="F78" s="70"/>
      <c r="G78" s="72"/>
      <c r="H78" s="223" t="s">
        <v>14</v>
      </c>
      <c r="I78" s="221"/>
      <c r="J78" s="221"/>
      <c r="K78" s="222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>Q79+Q80</f>
        <v>0</v>
      </c>
      <c r="R78" s="135">
        <f>R79+R80</f>
        <v>0</v>
      </c>
      <c r="S78" s="135">
        <f>S79+S80</f>
        <v>0</v>
      </c>
      <c r="T78" s="135">
        <f>IF(Q78&gt;0,S78*100/Q78,0)</f>
        <v>0</v>
      </c>
      <c r="U78" s="135">
        <f>IF(R78&gt;0,S78*100/R78,0)</f>
        <v>0</v>
      </c>
    </row>
    <row r="79" spans="1:21" ht="18.75" hidden="1" x14ac:dyDescent="0.25">
      <c r="A79" s="882"/>
      <c r="B79" s="870"/>
      <c r="C79" s="870"/>
      <c r="D79" s="870"/>
      <c r="E79" s="267" t="s">
        <v>20</v>
      </c>
      <c r="F79" s="870"/>
      <c r="G79" s="869"/>
      <c r="H79" s="275" t="s">
        <v>14</v>
      </c>
      <c r="I79" s="876"/>
      <c r="J79" s="876"/>
      <c r="K79" s="88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11"/>
      <c r="B80" s="70"/>
      <c r="C80" s="70"/>
      <c r="D80" s="70"/>
      <c r="E80" s="78" t="s">
        <v>21</v>
      </c>
      <c r="F80" s="70"/>
      <c r="G80" s="72"/>
      <c r="H80" s="223" t="s">
        <v>14</v>
      </c>
      <c r="I80" s="221"/>
      <c r="J80" s="221"/>
      <c r="K80" s="222"/>
      <c r="L80" s="134">
        <f ca="1">IFERROR(__xludf.DUMMYFUNCTION("IMPORTRANGE(""https://docs.google.com/spreadsheets/d/1-uDff_7J0KD5mKrp0Vvzr7lt3OU09vwQwhkpOPPYv2Y/edit?usp=sharing"",""งบพรบ!AP53"")"),0)</f>
        <v>0</v>
      </c>
      <c r="M80" s="135">
        <f ca="1">IFERROR(__xludf.DUMMYFUNCTION("IMPORTRANGE(""https://docs.google.com/spreadsheets/d/1-uDff_7J0KD5mKrp0Vvzr7lt3OU09vwQwhkpOPPYv2Y/edit?usp=sharing"",""งบพรบ!AS53"")"),0)</f>
        <v>0</v>
      </c>
      <c r="N80" s="135">
        <f ca="1">IFERROR(__xludf.DUMMYFUNCTION("IMPORTRANGE(""https://docs.google.com/spreadsheets/d/1-uDff_7J0KD5mKrp0Vvzr7lt3OU09vwQwhkpOPPYv2Y/edit?usp=sharing"",""งบพรบ!AU53"")"),0)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v>0</v>
      </c>
      <c r="R80" s="77">
        <v>0</v>
      </c>
      <c r="S80" s="77">
        <v>0</v>
      </c>
      <c r="T80" s="135">
        <f>IF(Q80&gt;0,S80*100/Q80,0)</f>
        <v>0</v>
      </c>
      <c r="U80" s="135">
        <f>IF(R80&gt;0,S80*100/R80,0)</f>
        <v>0</v>
      </c>
    </row>
    <row r="81" spans="1:21" ht="19.5" hidden="1" x14ac:dyDescent="0.3">
      <c r="A81" s="224"/>
      <c r="B81" s="225"/>
      <c r="C81" s="212" t="s">
        <v>18</v>
      </c>
      <c r="D81" s="909" t="s">
        <v>38</v>
      </c>
      <c r="E81" s="227"/>
      <c r="F81" s="227"/>
      <c r="G81" s="228"/>
      <c r="H81" s="229"/>
      <c r="I81" s="221"/>
      <c r="J81" s="221"/>
      <c r="K81" s="222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24"/>
      <c r="B82" s="225"/>
      <c r="C82" s="225"/>
      <c r="D82" s="232" t="s">
        <v>39</v>
      </c>
      <c r="E82" s="233"/>
      <c r="F82" s="233"/>
      <c r="G82" s="229"/>
      <c r="H82" s="234" t="s">
        <v>34</v>
      </c>
      <c r="I82" s="235">
        <f ca="1">I84+I86+I88</f>
        <v>0</v>
      </c>
      <c r="J82" s="235">
        <f>J84+J86+J88</f>
        <v>0</v>
      </c>
      <c r="K82" s="236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24"/>
      <c r="B83" s="225"/>
      <c r="C83" s="225"/>
      <c r="D83" s="225"/>
      <c r="E83" s="233"/>
      <c r="F83" s="233"/>
      <c r="G83" s="229"/>
      <c r="H83" s="234" t="s">
        <v>35</v>
      </c>
      <c r="I83" s="235">
        <f ca="1">I85+I87+I89</f>
        <v>0</v>
      </c>
      <c r="J83" s="235">
        <f>J85+J87+J89</f>
        <v>0</v>
      </c>
      <c r="K83" s="236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24"/>
      <c r="B84" s="225"/>
      <c r="C84" s="225"/>
      <c r="D84" s="225"/>
      <c r="E84" s="238" t="s">
        <v>40</v>
      </c>
      <c r="F84" s="233"/>
      <c r="G84" s="229"/>
      <c r="H84" s="239" t="s">
        <v>34</v>
      </c>
      <c r="I84" s="243">
        <f ca="1">IFERROR(__xludf.DUMMYFUNCTION("IMPORTRANGE(""https://docs.google.com/spreadsheets/d/1eHaY18a8A9IcSdp1K8H6x8fbOy06t2VsZHhMHf-1x7Y/edit?usp=sharing"",""แผน!H53"")"),0)</f>
        <v>0</v>
      </c>
      <c r="J84" s="816">
        <v>0</v>
      </c>
      <c r="K84" s="242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24"/>
      <c r="B85" s="225"/>
      <c r="C85" s="225"/>
      <c r="D85" s="225"/>
      <c r="E85" s="233"/>
      <c r="F85" s="233"/>
      <c r="G85" s="229"/>
      <c r="H85" s="239" t="s">
        <v>35</v>
      </c>
      <c r="I85" s="243">
        <f ca="1">IFERROR(__xludf.DUMMYFUNCTION("IMPORTRANGE(""https://docs.google.com/spreadsheets/d/1eHaY18a8A9IcSdp1K8H6x8fbOy06t2VsZHhMHf-1x7Y/edit?usp=sharing"",""แผน!I53"")"),0)</f>
        <v>0</v>
      </c>
      <c r="J85" s="816">
        <v>0</v>
      </c>
      <c r="K85" s="242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24"/>
      <c r="B86" s="225"/>
      <c r="C86" s="225"/>
      <c r="D86" s="225"/>
      <c r="E86" s="238" t="s">
        <v>41</v>
      </c>
      <c r="F86" s="233"/>
      <c r="G86" s="229"/>
      <c r="H86" s="239" t="s">
        <v>34</v>
      </c>
      <c r="I86" s="243">
        <f ca="1">IFERROR(__xludf.DUMMYFUNCTION("IMPORTRANGE(""https://docs.google.com/spreadsheets/d/1eHaY18a8A9IcSdp1K8H6x8fbOy06t2VsZHhMHf-1x7Y/edit?usp=sharing"",""แผน!F53"")"),0)</f>
        <v>0</v>
      </c>
      <c r="J86" s="816">
        <v>0</v>
      </c>
      <c r="K86" s="242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24"/>
      <c r="B87" s="225"/>
      <c r="C87" s="225"/>
      <c r="D87" s="225"/>
      <c r="E87" s="233"/>
      <c r="F87" s="233"/>
      <c r="G87" s="229"/>
      <c r="H87" s="239" t="s">
        <v>35</v>
      </c>
      <c r="I87" s="243">
        <f ca="1">IFERROR(__xludf.DUMMYFUNCTION("IMPORTRANGE(""https://docs.google.com/spreadsheets/d/1eHaY18a8A9IcSdp1K8H6x8fbOy06t2VsZHhMHf-1x7Y/edit?usp=sharing"",""แผน!G53"")"),0)</f>
        <v>0</v>
      </c>
      <c r="J87" s="816">
        <v>0</v>
      </c>
      <c r="K87" s="242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24"/>
      <c r="B88" s="225"/>
      <c r="C88" s="225"/>
      <c r="D88" s="225"/>
      <c r="E88" s="238" t="s">
        <v>42</v>
      </c>
      <c r="F88" s="233"/>
      <c r="G88" s="229"/>
      <c r="H88" s="239" t="s">
        <v>34</v>
      </c>
      <c r="I88" s="243">
        <f ca="1">IFERROR(__xludf.DUMMYFUNCTION("IMPORTRANGE(""https://docs.google.com/spreadsheets/d/1eHaY18a8A9IcSdp1K8H6x8fbOy06t2VsZHhMHf-1x7Y/edit?usp=sharing"",""แผน!D53"")"),0)</f>
        <v>0</v>
      </c>
      <c r="J88" s="816">
        <v>0</v>
      </c>
      <c r="K88" s="242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24"/>
      <c r="B89" s="225"/>
      <c r="C89" s="225"/>
      <c r="D89" s="225"/>
      <c r="E89" s="233"/>
      <c r="F89" s="233"/>
      <c r="G89" s="229"/>
      <c r="H89" s="239" t="s">
        <v>35</v>
      </c>
      <c r="I89" s="243">
        <f ca="1">IFERROR(__xludf.DUMMYFUNCTION("IMPORTRANGE(""https://docs.google.com/spreadsheets/d/1eHaY18a8A9IcSdp1K8H6x8fbOy06t2VsZHhMHf-1x7Y/edit?usp=sharing"",""แผน!E53"")"),0)</f>
        <v>0</v>
      </c>
      <c r="J89" s="816">
        <v>0</v>
      </c>
      <c r="K89" s="242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24"/>
      <c r="B90" s="225"/>
      <c r="C90" s="225"/>
      <c r="D90" s="232" t="s">
        <v>43</v>
      </c>
      <c r="E90" s="233"/>
      <c r="F90" s="233"/>
      <c r="G90" s="229"/>
      <c r="H90" s="244" t="s">
        <v>34</v>
      </c>
      <c r="I90" s="243">
        <f ca="1">IFERROR(__xludf.DUMMYFUNCTION("IMPORTRANGE(""https://docs.google.com/spreadsheets/d/1eHaY18a8A9IcSdp1K8H6x8fbOy06t2VsZHhMHf-1x7Y/edit?usp=sharing"",""แผน!J53"")"),0)</f>
        <v>0</v>
      </c>
      <c r="J90" s="816">
        <v>0</v>
      </c>
      <c r="K90" s="242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96" t="s">
        <v>44</v>
      </c>
      <c r="B91" s="197"/>
      <c r="C91" s="198"/>
      <c r="D91" s="197"/>
      <c r="E91" s="197"/>
      <c r="F91" s="197"/>
      <c r="G91" s="199"/>
      <c r="H91" s="199"/>
      <c r="I91" s="200"/>
      <c r="J91" s="200"/>
      <c r="K91" s="201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04"/>
      <c r="B92" s="53" t="s">
        <v>45</v>
      </c>
      <c r="C92" s="52"/>
      <c r="D92" s="205"/>
      <c r="E92" s="52"/>
      <c r="F92" s="52"/>
      <c r="G92" s="55"/>
      <c r="H92" s="206" t="s">
        <v>46</v>
      </c>
      <c r="I92" s="207">
        <f ca="1">I108</f>
        <v>30</v>
      </c>
      <c r="J92" s="207">
        <f>J108</f>
        <v>30</v>
      </c>
      <c r="K92" s="208">
        <f ca="1">IF(I92&gt;0,J92*100/I92,0)</f>
        <v>100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04"/>
      <c r="B93" s="52"/>
      <c r="C93" s="52"/>
      <c r="D93" s="205"/>
      <c r="E93" s="52"/>
      <c r="F93" s="52"/>
      <c r="G93" s="55"/>
      <c r="H93" s="206" t="s">
        <v>35</v>
      </c>
      <c r="I93" s="207">
        <f ca="1">I109</f>
        <v>10</v>
      </c>
      <c r="J93" s="207">
        <f>J109</f>
        <v>10</v>
      </c>
      <c r="K93" s="208">
        <f ca="1">IF(I93&gt;0,J93*100/I93,0)</f>
        <v>100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11"/>
      <c r="B94" s="70"/>
      <c r="C94" s="212" t="s">
        <v>18</v>
      </c>
      <c r="D94" s="912" t="s">
        <v>19</v>
      </c>
      <c r="E94" s="70"/>
      <c r="F94" s="70"/>
      <c r="G94" s="72"/>
      <c r="H94" s="214" t="s">
        <v>14</v>
      </c>
      <c r="I94" s="74"/>
      <c r="J94" s="74"/>
      <c r="K94" s="75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84420</v>
      </c>
      <c r="R94" s="217">
        <f ca="1">R95+R96</f>
        <v>84420</v>
      </c>
      <c r="S94" s="217">
        <f ca="1">S95+S96</f>
        <v>1500</v>
      </c>
      <c r="T94" s="217">
        <f ca="1">IF(Q94&gt;0,S94*100/Q94,0)</f>
        <v>1.7768301350390903</v>
      </c>
      <c r="U94" s="217">
        <f ca="1">IF(R94&gt;0,S94*100/R94,0)</f>
        <v>1.7768301350390903</v>
      </c>
    </row>
    <row r="95" spans="1:21" ht="18.75" hidden="1" x14ac:dyDescent="0.25">
      <c r="A95" s="882"/>
      <c r="B95" s="870"/>
      <c r="C95" s="870"/>
      <c r="D95" s="870"/>
      <c r="E95" s="267" t="s">
        <v>20</v>
      </c>
      <c r="F95" s="870"/>
      <c r="G95" s="869"/>
      <c r="H95" s="268" t="s">
        <v>14</v>
      </c>
      <c r="I95" s="875"/>
      <c r="J95" s="875"/>
      <c r="K95" s="874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11"/>
      <c r="B96" s="70"/>
      <c r="C96" s="70"/>
      <c r="D96" s="70"/>
      <c r="E96" s="78" t="s">
        <v>21</v>
      </c>
      <c r="F96" s="70"/>
      <c r="G96" s="72"/>
      <c r="H96" s="218" t="s">
        <v>14</v>
      </c>
      <c r="I96" s="74"/>
      <c r="J96" s="74"/>
      <c r="K96" s="75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84420</v>
      </c>
      <c r="R96" s="135">
        <f ca="1">R99+R102</f>
        <v>84420</v>
      </c>
      <c r="S96" s="135">
        <f ca="1">S99+S102</f>
        <v>1500</v>
      </c>
      <c r="T96" s="135">
        <f ca="1">IF(Q96&gt;0,S96*100/Q96,0)</f>
        <v>1.7768301350390903</v>
      </c>
      <c r="U96" s="135">
        <f ca="1">IF(R96&gt;0,S96*100/R96,0)</f>
        <v>1.7768301350390903</v>
      </c>
    </row>
    <row r="97" spans="1:21" ht="18.75" x14ac:dyDescent="0.25">
      <c r="A97" s="211"/>
      <c r="B97" s="70"/>
      <c r="C97" s="70"/>
      <c r="D97" s="911" t="s">
        <v>22</v>
      </c>
      <c r="E97" s="70"/>
      <c r="F97" s="70"/>
      <c r="G97" s="72"/>
      <c r="H97" s="220" t="s">
        <v>14</v>
      </c>
      <c r="I97" s="221"/>
      <c r="J97" s="221"/>
      <c r="K97" s="222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84420</v>
      </c>
      <c r="R97" s="135">
        <f ca="1">R98+R99</f>
        <v>84420</v>
      </c>
      <c r="S97" s="135">
        <f ca="1">S98+S99</f>
        <v>1500</v>
      </c>
      <c r="T97" s="135">
        <f ca="1">IF(Q97&gt;0,S97*100/Q97,0)</f>
        <v>1.7768301350390903</v>
      </c>
      <c r="U97" s="135">
        <f ca="1">IF(R97&gt;0,S97*100/R97,0)</f>
        <v>1.7768301350390903</v>
      </c>
    </row>
    <row r="98" spans="1:21" ht="18.75" hidden="1" x14ac:dyDescent="0.25">
      <c r="A98" s="882"/>
      <c r="B98" s="870"/>
      <c r="C98" s="870"/>
      <c r="D98" s="870"/>
      <c r="E98" s="267" t="s">
        <v>36</v>
      </c>
      <c r="F98" s="870"/>
      <c r="G98" s="869"/>
      <c r="H98" s="275" t="s">
        <v>14</v>
      </c>
      <c r="I98" s="876"/>
      <c r="J98" s="876"/>
      <c r="K98" s="88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11"/>
      <c r="B99" s="70"/>
      <c r="C99" s="70"/>
      <c r="D99" s="70"/>
      <c r="E99" s="78" t="s">
        <v>37</v>
      </c>
      <c r="F99" s="70"/>
      <c r="G99" s="72"/>
      <c r="H99" s="220" t="s">
        <v>14</v>
      </c>
      <c r="I99" s="221"/>
      <c r="J99" s="221"/>
      <c r="K99" s="222"/>
      <c r="L99" s="134">
        <f ca="1">IFERROR(__xludf.DUMMYFUNCTION("IMPORTRANGE(""https://docs.google.com/spreadsheets/d/1-uDff_7J0KD5mKrp0Vvzr7lt3OU09vwQwhkpOPPYv2Y/edit?usp=sharing"",""งบพรบ!AW53"")"),0)</f>
        <v>0</v>
      </c>
      <c r="M99" s="135">
        <f ca="1">IFERROR(__xludf.DUMMYFUNCTION("IMPORTRANGE(""https://docs.google.com/spreadsheets/d/1-uDff_7J0KD5mKrp0Vvzr7lt3OU09vwQwhkpOPPYv2Y/edit?usp=sharing"",""งบพรบ!BB53"")"),0)</f>
        <v>0</v>
      </c>
      <c r="N99" s="135">
        <f ca="1">IFERROR(__xludf.DUMMYFUNCTION("IMPORTRANGE(""https://docs.google.com/spreadsheets/d/1-uDff_7J0KD5mKrp0Vvzr7lt3OU09vwQwhkpOPPYv2Y/edit?usp=sharing"",""งบพรบ!BD53"")"),0)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IFERROR(__xludf.DUMMYFUNCTION("IMPORTRANGE(""https://docs.google.com/spreadsheets/d/1ItG2mGa2ceCfYo0BwxsXqNm01IGEUdYcSSLTEv9YCik/edit?usp=sharing"",""เบิกจ่ายกองทุน!AD53"")"),84420)</f>
        <v>84420</v>
      </c>
      <c r="R99" s="135">
        <f ca="1">IFERROR(__xludf.DUMMYFUNCTION("IMPORTRANGE(""https://docs.google.com/spreadsheets/d/1ItG2mGa2ceCfYo0BwxsXqNm01IGEUdYcSSLTEv9YCik/edit?usp=sharing"",""เบิกจ่ายกองทุน!AE53"")"),84420)</f>
        <v>84420</v>
      </c>
      <c r="S99" s="135">
        <f ca="1">IFERROR(__xludf.DUMMYFUNCTION("IMPORTRANGE(""https://docs.google.com/spreadsheets/d/1ItG2mGa2ceCfYo0BwxsXqNm01IGEUdYcSSLTEv9YCik/edit?usp=sharing"",""เบิกจ่ายกองทุน!AF53"")"),1500)</f>
        <v>1500</v>
      </c>
      <c r="T99" s="135">
        <f ca="1">IF(Q99&gt;0,S99*100/Q99,0)</f>
        <v>1.7768301350390903</v>
      </c>
      <c r="U99" s="135">
        <f ca="1">IF(R99&gt;0,S99*100/R99,0)</f>
        <v>1.7768301350390903</v>
      </c>
    </row>
    <row r="100" spans="1:21" ht="18.75" x14ac:dyDescent="0.25">
      <c r="A100" s="211"/>
      <c r="B100" s="70"/>
      <c r="C100" s="70"/>
      <c r="D100" s="911" t="s">
        <v>23</v>
      </c>
      <c r="E100" s="70"/>
      <c r="F100" s="70"/>
      <c r="G100" s="72"/>
      <c r="H100" s="223" t="s">
        <v>14</v>
      </c>
      <c r="I100" s="221"/>
      <c r="J100" s="221"/>
      <c r="K100" s="222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882"/>
      <c r="B101" s="870"/>
      <c r="C101" s="870"/>
      <c r="D101" s="870"/>
      <c r="E101" s="267" t="s">
        <v>20</v>
      </c>
      <c r="F101" s="870"/>
      <c r="G101" s="869"/>
      <c r="H101" s="275" t="s">
        <v>14</v>
      </c>
      <c r="I101" s="876"/>
      <c r="J101" s="876"/>
      <c r="K101" s="88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11"/>
      <c r="B102" s="70"/>
      <c r="C102" s="70"/>
      <c r="D102" s="70"/>
      <c r="E102" s="78" t="s">
        <v>21</v>
      </c>
      <c r="F102" s="70"/>
      <c r="G102" s="72"/>
      <c r="H102" s="223" t="s">
        <v>14</v>
      </c>
      <c r="I102" s="221"/>
      <c r="J102" s="221"/>
      <c r="K102" s="222"/>
      <c r="L102" s="134">
        <f ca="1">IFERROR(__xludf.DUMMYFUNCTION("IMPORTRANGE(""https://docs.google.com/spreadsheets/d/1-uDff_7J0KD5mKrp0Vvzr7lt3OU09vwQwhkpOPPYv2Y/edit?usp=sharing"",""งบพรบ!AZ53"")"),0)</f>
        <v>0</v>
      </c>
      <c r="M102" s="135">
        <f ca="1">IFERROR(__xludf.DUMMYFUNCTION("IMPORTRANGE(""https://docs.google.com/spreadsheets/d/1-uDff_7J0KD5mKrp0Vvzr7lt3OU09vwQwhkpOPPYv2Y/edit?usp=sharing"",""งบพรบ!BC53"")"),0)</f>
        <v>0</v>
      </c>
      <c r="N102" s="135">
        <f ca="1">IFERROR(__xludf.DUMMYFUNCTION("IMPORTRANGE(""https://docs.google.com/spreadsheets/d/1-uDff_7J0KD5mKrp0Vvzr7lt3OU09vwQwhkpOPPYv2Y/edit?usp=sharing"",""งบพรบ!BE53"")"),0)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x14ac:dyDescent="0.3">
      <c r="A103" s="224"/>
      <c r="B103" s="225"/>
      <c r="C103" s="212" t="s">
        <v>18</v>
      </c>
      <c r="D103" s="909" t="s">
        <v>38</v>
      </c>
      <c r="E103" s="227"/>
      <c r="F103" s="227"/>
      <c r="G103" s="228"/>
      <c r="H103" s="229"/>
      <c r="I103" s="221"/>
      <c r="J103" s="74"/>
      <c r="K103" s="75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8.75" hidden="1" x14ac:dyDescent="0.25">
      <c r="A104" s="922"/>
      <c r="B104" s="921"/>
      <c r="C104" s="921"/>
      <c r="D104" s="920"/>
      <c r="E104" s="919"/>
      <c r="F104" s="919"/>
      <c r="G104" s="918"/>
      <c r="H104" s="917"/>
      <c r="I104" s="916"/>
      <c r="J104" s="916"/>
      <c r="K104" s="915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8.75" hidden="1" x14ac:dyDescent="0.25">
      <c r="A105" s="922"/>
      <c r="B105" s="921"/>
      <c r="C105" s="921"/>
      <c r="D105" s="920"/>
      <c r="E105" s="919"/>
      <c r="F105" s="919"/>
      <c r="G105" s="918"/>
      <c r="H105" s="917"/>
      <c r="I105" s="916"/>
      <c r="J105" s="916"/>
      <c r="K105" s="915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8.75" hidden="1" x14ac:dyDescent="0.25">
      <c r="A106" s="922"/>
      <c r="B106" s="921"/>
      <c r="C106" s="921"/>
      <c r="D106" s="921"/>
      <c r="E106" s="919"/>
      <c r="F106" s="919"/>
      <c r="G106" s="918"/>
      <c r="H106" s="917"/>
      <c r="I106" s="916"/>
      <c r="J106" s="916"/>
      <c r="K106" s="915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24"/>
      <c r="B107" s="225"/>
      <c r="C107" s="225"/>
      <c r="D107" s="475" t="s">
        <v>47</v>
      </c>
      <c r="F107" s="233"/>
      <c r="G107" s="229"/>
      <c r="H107" s="72"/>
      <c r="I107" s="74"/>
      <c r="J107" s="74"/>
      <c r="K107" s="75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24"/>
      <c r="B108" s="225"/>
      <c r="C108" s="225"/>
      <c r="D108" s="238" t="s">
        <v>48</v>
      </c>
      <c r="E108" s="238"/>
      <c r="F108" s="233"/>
      <c r="G108" s="229"/>
      <c r="H108" s="73" t="s">
        <v>46</v>
      </c>
      <c r="I108" s="241">
        <f ca="1">IFERROR(__xludf.DUMMYFUNCTION("IMPORTRANGE(""https://docs.google.com/spreadsheets/d/1eHaY18a8A9IcSdp1K8H6x8fbOy06t2VsZHhMHf-1x7Y/edit?usp=sharing"",""แผน!N53"")"),30)</f>
        <v>30</v>
      </c>
      <c r="J108" s="816">
        <v>30</v>
      </c>
      <c r="K108" s="91">
        <f ca="1">IF(I108&gt;0,J108*100/I108,0)</f>
        <v>100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24"/>
      <c r="B109" s="225"/>
      <c r="C109" s="225"/>
      <c r="D109" s="238" t="s">
        <v>49</v>
      </c>
      <c r="E109" s="238"/>
      <c r="F109" s="233"/>
      <c r="G109" s="229"/>
      <c r="H109" s="73" t="s">
        <v>35</v>
      </c>
      <c r="I109" s="241">
        <f ca="1">IFERROR(__xludf.DUMMYFUNCTION("IMPORTRANGE(""https://docs.google.com/spreadsheets/d/1eHaY18a8A9IcSdp1K8H6x8fbOy06t2VsZHhMHf-1x7Y/edit?usp=sharing"",""แผน!O53"")"),10)</f>
        <v>10</v>
      </c>
      <c r="J109" s="816">
        <v>10</v>
      </c>
      <c r="K109" s="91">
        <f ca="1">IF(I109&gt;0,J109*100/I109,0)</f>
        <v>100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9.5" hidden="1" x14ac:dyDescent="0.3">
      <c r="A110" s="922"/>
      <c r="B110" s="921"/>
      <c r="C110" s="921"/>
      <c r="D110" s="919"/>
      <c r="E110" s="984"/>
      <c r="F110" s="919"/>
      <c r="G110" s="918"/>
      <c r="H110" s="918"/>
      <c r="I110" s="983"/>
      <c r="J110" s="983"/>
      <c r="K110" s="982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8.75" hidden="1" x14ac:dyDescent="0.25">
      <c r="A111" s="922"/>
      <c r="B111" s="921"/>
      <c r="C111" s="921"/>
      <c r="D111" s="919"/>
      <c r="E111" s="920"/>
      <c r="F111" s="919"/>
      <c r="G111" s="918"/>
      <c r="H111" s="917"/>
      <c r="I111" s="916"/>
      <c r="J111" s="916"/>
      <c r="K111" s="915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8.75" hidden="1" x14ac:dyDescent="0.25">
      <c r="A112" s="922"/>
      <c r="B112" s="921"/>
      <c r="C112" s="921"/>
      <c r="D112" s="919"/>
      <c r="E112" s="981"/>
      <c r="F112" s="919"/>
      <c r="G112" s="918"/>
      <c r="H112" s="917"/>
      <c r="I112" s="916"/>
      <c r="J112" s="916"/>
      <c r="K112" s="915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544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IFERROR(__xludf.DUMMYFUNCTION("IMPORTRANGE(""https://docs.google.com/spreadsheets/d/1eHaY18a8A9IcSdp1K8H6x8fbOy06t2VsZHhMHf-1x7Y/edit?usp=sharing"",""แผน!N53"")"),30)</f>
        <v>30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IFERROR(__xludf.DUMMYFUNCTION("IMPORTRANGE(""https://docs.google.com/spreadsheets/d/1eHaY18a8A9IcSdp1K8H6x8fbOy06t2VsZHhMHf-1x7Y/edit?usp=sharing"",""แผน!O53"")"),10)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96" t="s">
        <v>51</v>
      </c>
      <c r="B115" s="197"/>
      <c r="C115" s="313"/>
      <c r="D115" s="197"/>
      <c r="E115" s="197"/>
      <c r="F115" s="197"/>
      <c r="G115" s="197"/>
      <c r="H115" s="197"/>
      <c r="I115" s="314"/>
      <c r="J115" s="314"/>
      <c r="K115" s="315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04"/>
      <c r="B116" s="53" t="s">
        <v>52</v>
      </c>
      <c r="C116" s="316"/>
      <c r="D116" s="205"/>
      <c r="E116" s="52"/>
      <c r="F116" s="52"/>
      <c r="G116" s="55"/>
      <c r="H116" s="5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11"/>
      <c r="B117" s="70"/>
      <c r="C117" s="212" t="s">
        <v>18</v>
      </c>
      <c r="D117" s="912" t="s">
        <v>19</v>
      </c>
      <c r="E117" s="70"/>
      <c r="F117" s="70"/>
      <c r="G117" s="72"/>
      <c r="H117" s="214" t="s">
        <v>14</v>
      </c>
      <c r="I117" s="74"/>
      <c r="J117" s="74"/>
      <c r="K117" s="75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50132</v>
      </c>
      <c r="T117" s="217">
        <f ca="1">IF(Q117&gt;0,S117*100/Q117,0)</f>
        <v>23.945357279327474</v>
      </c>
      <c r="U117" s="217">
        <f ca="1">IF(R117&gt;0,S117*100/R117,0)</f>
        <v>23.945357279327474</v>
      </c>
    </row>
    <row r="118" spans="1:21" ht="18.75" hidden="1" x14ac:dyDescent="0.25">
      <c r="A118" s="882"/>
      <c r="B118" s="870"/>
      <c r="C118" s="870"/>
      <c r="D118" s="870"/>
      <c r="E118" s="267" t="s">
        <v>20</v>
      </c>
      <c r="F118" s="870"/>
      <c r="G118" s="869"/>
      <c r="H118" s="268" t="s">
        <v>14</v>
      </c>
      <c r="I118" s="875"/>
      <c r="J118" s="875"/>
      <c r="K118" s="874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11"/>
      <c r="B119" s="70"/>
      <c r="C119" s="70"/>
      <c r="D119" s="70"/>
      <c r="E119" s="78" t="s">
        <v>21</v>
      </c>
      <c r="F119" s="70"/>
      <c r="G119" s="72"/>
      <c r="H119" s="218" t="s">
        <v>14</v>
      </c>
      <c r="I119" s="74"/>
      <c r="J119" s="74"/>
      <c r="K119" s="75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50132</v>
      </c>
      <c r="T119" s="135">
        <f ca="1">IF(Q119&gt;0,S119*100/Q119,0)</f>
        <v>23.945357279327474</v>
      </c>
      <c r="U119" s="135">
        <f ca="1">IF(R119&gt;0,S119*100/R119,0)</f>
        <v>23.945357279327474</v>
      </c>
    </row>
    <row r="120" spans="1:21" ht="18.75" x14ac:dyDescent="0.25">
      <c r="A120" s="211"/>
      <c r="B120" s="70"/>
      <c r="C120" s="70"/>
      <c r="D120" s="911" t="s">
        <v>22</v>
      </c>
      <c r="E120" s="70"/>
      <c r="F120" s="70"/>
      <c r="G120" s="72"/>
      <c r="H120" s="973" t="s">
        <v>14</v>
      </c>
      <c r="I120" s="74"/>
      <c r="J120" s="74"/>
      <c r="K120" s="75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50132</v>
      </c>
      <c r="T120" s="135">
        <f ca="1">IF(Q120&gt;0,S120*100/Q120,0)</f>
        <v>23.945357279327474</v>
      </c>
      <c r="U120" s="135">
        <f ca="1">IF(R120&gt;0,S120*100/R120,0)</f>
        <v>23.945357279327474</v>
      </c>
    </row>
    <row r="121" spans="1:21" ht="18.75" hidden="1" x14ac:dyDescent="0.25">
      <c r="A121" s="882"/>
      <c r="B121" s="870"/>
      <c r="C121" s="870"/>
      <c r="D121" s="870"/>
      <c r="E121" s="267" t="s">
        <v>36</v>
      </c>
      <c r="F121" s="870"/>
      <c r="G121" s="869"/>
      <c r="H121" s="307" t="s">
        <v>14</v>
      </c>
      <c r="I121" s="875"/>
      <c r="J121" s="875"/>
      <c r="K121" s="874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11"/>
      <c r="B122" s="70"/>
      <c r="C122" s="70"/>
      <c r="D122" s="70"/>
      <c r="E122" s="78" t="s">
        <v>37</v>
      </c>
      <c r="F122" s="70"/>
      <c r="G122" s="72"/>
      <c r="H122" s="973" t="s">
        <v>14</v>
      </c>
      <c r="I122" s="74"/>
      <c r="J122" s="74"/>
      <c r="K122" s="75"/>
      <c r="L122" s="134">
        <f ca="1">IFERROR(__xludf.DUMMYFUNCTION("IMPORTRANGE(""https://docs.google.com/spreadsheets/d/1-uDff_7J0KD5mKrp0Vvzr7lt3OU09vwQwhkpOPPYv2Y/edit?usp=sharing"",""งบพรบ!BG53"")"),0)</f>
        <v>0</v>
      </c>
      <c r="M122" s="135">
        <f ca="1">IFERROR(__xludf.DUMMYFUNCTION("IMPORTRANGE(""https://docs.google.com/spreadsheets/d/1-uDff_7J0KD5mKrp0Vvzr7lt3OU09vwQwhkpOPPYv2Y/edit?usp=sharing"",""งบพรบ!BL53"")"),0)</f>
        <v>0</v>
      </c>
      <c r="N122" s="135">
        <f ca="1">IFERROR(__xludf.DUMMYFUNCTION("IMPORTRANGE(""https://docs.google.com/spreadsheets/d/1-uDff_7J0KD5mKrp0Vvzr7lt3OU09vwQwhkpOPPYv2Y/edit?usp=sharing"",""งบพรบ!BN53"")"),0)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IFERROR(__xludf.DUMMYFUNCTION("IMPORTRANGE(""https://docs.google.com/spreadsheets/d/1ItG2mGa2ceCfYo0BwxsXqNm01IGEUdYcSSLTEv9YCik/edit?usp=sharing"",""เบิกจ่ายกองทุน!R53"")"),209360)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IFERROR(__xludf.DUMMYFUNCTION("IMPORTRANGE(""https://docs.google.com/spreadsheets/d/1ItG2mGa2ceCfYo0BwxsXqNm01IGEUdYcSSLTEv9YCik/edit?usp=sharing"",""เบิกจ่ายกองทุน!S53"")"),209360)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IFERROR(__xludf.DUMMYFUNCTION("IMPORTRANGE(""https://docs.google.com/spreadsheets/d/1ItG2mGa2ceCfYo0BwxsXqNm01IGEUdYcSSLTEv9YCik/edit?usp=sharing"",""เบิกจ่ายกองทุน!T53"")"),50132)</f>
        <v>50132</v>
      </c>
      <c r="T122" s="135">
        <f ca="1">IF(Q122&gt;0,S122*100/Q122,0)</f>
        <v>23.945357279327474</v>
      </c>
      <c r="U122" s="135">
        <f ca="1">IF(R122&gt;0,S122*100/R122,0)</f>
        <v>23.945357279327474</v>
      </c>
    </row>
    <row r="123" spans="1:21" ht="18.75" x14ac:dyDescent="0.25">
      <c r="A123" s="211"/>
      <c r="B123" s="70"/>
      <c r="C123" s="70"/>
      <c r="D123" s="911" t="s">
        <v>23</v>
      </c>
      <c r="E123" s="70"/>
      <c r="F123" s="70"/>
      <c r="G123" s="72"/>
      <c r="H123" s="218" t="s">
        <v>14</v>
      </c>
      <c r="I123" s="74"/>
      <c r="J123" s="74"/>
      <c r="K123" s="75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>Q124+Q125</f>
        <v>0</v>
      </c>
      <c r="R123" s="135">
        <f>R124+R125</f>
        <v>0</v>
      </c>
      <c r="S123" s="135">
        <f>S124+S125</f>
        <v>0</v>
      </c>
      <c r="T123" s="135">
        <f>IF(Q123&gt;0,S123*100/Q123,0)</f>
        <v>0</v>
      </c>
      <c r="U123" s="135">
        <f>IF(R123&gt;0,S123*100/R123,0)</f>
        <v>0</v>
      </c>
    </row>
    <row r="124" spans="1:21" ht="18.75" hidden="1" x14ac:dyDescent="0.25">
      <c r="A124" s="882"/>
      <c r="B124" s="870"/>
      <c r="C124" s="870"/>
      <c r="D124" s="870"/>
      <c r="E124" s="267" t="s">
        <v>20</v>
      </c>
      <c r="F124" s="870"/>
      <c r="G124" s="869"/>
      <c r="H124" s="307" t="s">
        <v>14</v>
      </c>
      <c r="I124" s="875"/>
      <c r="J124" s="875"/>
      <c r="K124" s="874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11"/>
      <c r="B125" s="70"/>
      <c r="C125" s="70"/>
      <c r="D125" s="70"/>
      <c r="E125" s="78" t="s">
        <v>21</v>
      </c>
      <c r="F125" s="70"/>
      <c r="G125" s="72"/>
      <c r="H125" s="218" t="s">
        <v>14</v>
      </c>
      <c r="I125" s="74"/>
      <c r="J125" s="74"/>
      <c r="K125" s="75"/>
      <c r="L125" s="134">
        <f ca="1">IFERROR(__xludf.DUMMYFUNCTION("IMPORTRANGE(""https://docs.google.com/spreadsheets/d/1-uDff_7J0KD5mKrp0Vvzr7lt3OU09vwQwhkpOPPYv2Y/edit?usp=sharing"",""งบพรบ!BJ53"")"),0)</f>
        <v>0</v>
      </c>
      <c r="M125" s="135">
        <f ca="1">IFERROR(__xludf.DUMMYFUNCTION("IMPORTRANGE(""https://docs.google.com/spreadsheets/d/1-uDff_7J0KD5mKrp0Vvzr7lt3OU09vwQwhkpOPPYv2Y/edit?usp=sharing"",""งบพรบ!BM53"")"),0)</f>
        <v>0</v>
      </c>
      <c r="N125" s="135">
        <f ca="1">IFERROR(__xludf.DUMMYFUNCTION("IMPORTRANGE(""https://docs.google.com/spreadsheets/d/1-uDff_7J0KD5mKrp0Vvzr7lt3OU09vwQwhkpOPPYv2Y/edit?usp=sharing"",""งบพรบ!BO53"")"),0)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v>0</v>
      </c>
      <c r="R125" s="77">
        <v>0</v>
      </c>
      <c r="S125" s="77">
        <v>0</v>
      </c>
      <c r="T125" s="135">
        <f>IF(Q125&gt;0,S125*100/Q125,0)</f>
        <v>0</v>
      </c>
      <c r="U125" s="135">
        <f>IF(R125&gt;0,S125*100/R125,0)</f>
        <v>0</v>
      </c>
    </row>
    <row r="126" spans="1:21" ht="19.5" x14ac:dyDescent="0.3">
      <c r="A126" s="972"/>
      <c r="B126" s="429"/>
      <c r="C126" s="971" t="s">
        <v>18</v>
      </c>
      <c r="D126" s="970" t="s">
        <v>38</v>
      </c>
      <c r="E126" s="431"/>
      <c r="F126" s="431"/>
      <c r="G126" s="432"/>
      <c r="H126" s="969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533"/>
      <c r="B127" s="271"/>
      <c r="C127" s="271"/>
      <c r="D127" s="269" t="s">
        <v>53</v>
      </c>
      <c r="E127" s="260"/>
      <c r="F127" s="260"/>
      <c r="G127" s="263"/>
      <c r="H127" s="270" t="s">
        <v>35</v>
      </c>
      <c r="I127" s="295">
        <f ca="1">IFERROR(__xludf.DUMMYFUNCTION("IMPORTRANGE(""https://docs.google.com/spreadsheets/d/1eHaY18a8A9IcSdp1K8H6x8fbOy06t2VsZHhMHf-1x7Y/edit?usp=sharing"",""แผน!FF53"")"),20)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533"/>
      <c r="B128" s="271"/>
      <c r="C128" s="271"/>
      <c r="D128" s="260"/>
      <c r="E128" s="260"/>
      <c r="F128" s="260"/>
      <c r="G128" s="263"/>
      <c r="H128" s="270" t="s">
        <v>54</v>
      </c>
      <c r="I128" s="295">
        <f ca="1">IFERROR(__xludf.DUMMYFUNCTION("IMPORTRANGE(""https://docs.google.com/spreadsheets/d/1eHaY18a8A9IcSdp1K8H6x8fbOy06t2VsZHhMHf-1x7Y/edit?usp=sharing"",""แผน!FG53"")"),0)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533"/>
      <c r="B129" s="271"/>
      <c r="C129" s="271"/>
      <c r="D129" s="269" t="s">
        <v>55</v>
      </c>
      <c r="E129" s="260"/>
      <c r="F129" s="260"/>
      <c r="G129" s="263"/>
      <c r="H129" s="270" t="s">
        <v>35</v>
      </c>
      <c r="I129" s="295">
        <f ca="1">IFERROR(__xludf.DUMMYFUNCTION("IMPORTRANGE(""https://docs.google.com/spreadsheets/d/1eHaY18a8A9IcSdp1K8H6x8fbOy06t2VsZHhMHf-1x7Y/edit?usp=sharing"",""แผน!FH53"")"),20)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533"/>
      <c r="B130" s="271"/>
      <c r="C130" s="271"/>
      <c r="D130" s="260"/>
      <c r="E130" s="260"/>
      <c r="F130" s="260"/>
      <c r="G130" s="263"/>
      <c r="H130" s="270" t="s">
        <v>54</v>
      </c>
      <c r="I130" s="295">
        <f ca="1">IFERROR(__xludf.DUMMYFUNCTION("IMPORTRANGE(""https://docs.google.com/spreadsheets/d/1eHaY18a8A9IcSdp1K8H6x8fbOy06t2VsZHhMHf-1x7Y/edit?usp=sharing"",""แผน!FI53"")"),0)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533"/>
      <c r="B131" s="271"/>
      <c r="C131" s="271"/>
      <c r="D131" s="267" t="s">
        <v>56</v>
      </c>
      <c r="E131" s="260"/>
      <c r="F131" s="260"/>
      <c r="G131" s="263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533"/>
      <c r="B132" s="271"/>
      <c r="C132" s="271"/>
      <c r="D132" s="267" t="s">
        <v>57</v>
      </c>
      <c r="E132" s="260"/>
      <c r="F132" s="260"/>
      <c r="G132" s="263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96" t="s">
        <v>58</v>
      </c>
      <c r="B134" s="197"/>
      <c r="C134" s="313"/>
      <c r="D134" s="197"/>
      <c r="E134" s="197"/>
      <c r="F134" s="197"/>
      <c r="G134" s="197"/>
      <c r="H134" s="197"/>
      <c r="I134" s="314"/>
      <c r="J134" s="314"/>
      <c r="K134" s="315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04"/>
      <c r="B135" s="53" t="s">
        <v>59</v>
      </c>
      <c r="C135" s="316"/>
      <c r="D135" s="205"/>
      <c r="E135" s="52"/>
      <c r="F135" s="52"/>
      <c r="G135" s="52"/>
      <c r="H135" s="52"/>
      <c r="I135" s="57"/>
      <c r="J135" s="57"/>
      <c r="K135" s="58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04"/>
      <c r="B136" s="52"/>
      <c r="C136" s="317" t="s">
        <v>60</v>
      </c>
      <c r="D136" s="205"/>
      <c r="E136" s="52"/>
      <c r="F136" s="52"/>
      <c r="G136" s="55"/>
      <c r="H136" s="206" t="s">
        <v>61</v>
      </c>
      <c r="I136" s="207">
        <f ca="1">I154</f>
        <v>0</v>
      </c>
      <c r="J136" s="207">
        <f>J154</f>
        <v>0</v>
      </c>
      <c r="K136" s="208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04"/>
      <c r="B137" s="52"/>
      <c r="C137" s="317" t="s">
        <v>62</v>
      </c>
      <c r="D137" s="205"/>
      <c r="E137" s="52"/>
      <c r="F137" s="52"/>
      <c r="G137" s="55"/>
      <c r="H137" s="206" t="s">
        <v>35</v>
      </c>
      <c r="I137" s="207">
        <f ca="1">I152</f>
        <v>20</v>
      </c>
      <c r="J137" s="207">
        <f>J152</f>
        <v>20</v>
      </c>
      <c r="K137" s="208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04"/>
      <c r="B138" s="52"/>
      <c r="C138" s="317"/>
      <c r="D138" s="205"/>
      <c r="E138" s="52"/>
      <c r="F138" s="52"/>
      <c r="G138" s="55"/>
      <c r="H138" s="206" t="s">
        <v>54</v>
      </c>
      <c r="I138" s="207">
        <f ca="1">I153</f>
        <v>2</v>
      </c>
      <c r="J138" s="207">
        <f>J153</f>
        <v>2</v>
      </c>
      <c r="K138" s="208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11"/>
      <c r="B139" s="70"/>
      <c r="C139" s="212" t="s">
        <v>18</v>
      </c>
      <c r="D139" s="912" t="s">
        <v>19</v>
      </c>
      <c r="E139" s="70"/>
      <c r="F139" s="70"/>
      <c r="G139" s="72"/>
      <c r="H139" s="214" t="s">
        <v>14</v>
      </c>
      <c r="I139" s="74"/>
      <c r="J139" s="74"/>
      <c r="K139" s="75"/>
      <c r="L139" s="216">
        <f ca="1">L140+L141</f>
        <v>119900</v>
      </c>
      <c r="M139" s="217">
        <f ca="1">M140+M141</f>
        <v>114900</v>
      </c>
      <c r="N139" s="217">
        <f ca="1">N140+N141</f>
        <v>91157</v>
      </c>
      <c r="O139" s="217">
        <f ca="1">IF(L139&gt;0,N139*100/L139,0)</f>
        <v>76.027522935779814</v>
      </c>
      <c r="P139" s="217">
        <f ca="1">IF(M139&gt;0,N139*100/M139,0)</f>
        <v>79.335944299390775</v>
      </c>
      <c r="Q139" s="217">
        <f ca="1">Q140+Q141</f>
        <v>0</v>
      </c>
      <c r="R139" s="217">
        <f ca="1">R140+R141</f>
        <v>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882"/>
      <c r="B140" s="870"/>
      <c r="C140" s="870"/>
      <c r="D140" s="870"/>
      <c r="E140" s="267" t="s">
        <v>20</v>
      </c>
      <c r="F140" s="870"/>
      <c r="G140" s="869"/>
      <c r="H140" s="268" t="s">
        <v>14</v>
      </c>
      <c r="I140" s="875"/>
      <c r="J140" s="875"/>
      <c r="K140" s="874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11"/>
      <c r="B141" s="70"/>
      <c r="C141" s="70"/>
      <c r="D141" s="70"/>
      <c r="E141" s="78" t="s">
        <v>21</v>
      </c>
      <c r="F141" s="70"/>
      <c r="G141" s="72"/>
      <c r="H141" s="218" t="s">
        <v>14</v>
      </c>
      <c r="I141" s="74"/>
      <c r="J141" s="74"/>
      <c r="K141" s="75"/>
      <c r="L141" s="134">
        <f ca="1">L144+L147</f>
        <v>119900</v>
      </c>
      <c r="M141" s="135">
        <f ca="1">M144+M147</f>
        <v>114900</v>
      </c>
      <c r="N141" s="135">
        <f ca="1">N144+N147</f>
        <v>91157</v>
      </c>
      <c r="O141" s="135">
        <f ca="1">IF(L141&gt;0,N141*100/L141,0)</f>
        <v>76.027522935779814</v>
      </c>
      <c r="P141" s="135">
        <f ca="1">IF(M141&gt;0,N141*100/M141,0)</f>
        <v>79.335944299390775</v>
      </c>
      <c r="Q141" s="135">
        <f ca="1">Q144+Q147</f>
        <v>0</v>
      </c>
      <c r="R141" s="135">
        <f ca="1">R144+R147</f>
        <v>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11"/>
      <c r="B142" s="70"/>
      <c r="C142" s="70"/>
      <c r="D142" s="911" t="s">
        <v>22</v>
      </c>
      <c r="E142" s="70"/>
      <c r="F142" s="70"/>
      <c r="G142" s="72"/>
      <c r="H142" s="220" t="s">
        <v>14</v>
      </c>
      <c r="I142" s="221"/>
      <c r="J142" s="221"/>
      <c r="K142" s="222"/>
      <c r="L142" s="134">
        <f ca="1">L143+L144</f>
        <v>119900</v>
      </c>
      <c r="M142" s="135">
        <f ca="1">M143+M144</f>
        <v>114900</v>
      </c>
      <c r="N142" s="135">
        <f ca="1">N143+N144</f>
        <v>91157</v>
      </c>
      <c r="O142" s="135">
        <f ca="1">IF(L142&gt;0,N142*100/L142,0)</f>
        <v>76.027522935779814</v>
      </c>
      <c r="P142" s="135">
        <f ca="1">IF(M142&gt;0,N142*100/M142,0)</f>
        <v>79.335944299390775</v>
      </c>
      <c r="Q142" s="135">
        <f ca="1">Q143+Q144</f>
        <v>0</v>
      </c>
      <c r="R142" s="135">
        <f ca="1">R143+R144</f>
        <v>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882"/>
      <c r="B143" s="870"/>
      <c r="C143" s="870"/>
      <c r="D143" s="870"/>
      <c r="E143" s="267" t="s">
        <v>36</v>
      </c>
      <c r="F143" s="870"/>
      <c r="G143" s="869"/>
      <c r="H143" s="275" t="s">
        <v>14</v>
      </c>
      <c r="I143" s="876"/>
      <c r="J143" s="876"/>
      <c r="K143" s="88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11"/>
      <c r="B144" s="70"/>
      <c r="C144" s="70"/>
      <c r="D144" s="70"/>
      <c r="E144" s="78" t="s">
        <v>37</v>
      </c>
      <c r="F144" s="70"/>
      <c r="G144" s="72"/>
      <c r="H144" s="220" t="s">
        <v>14</v>
      </c>
      <c r="I144" s="221"/>
      <c r="J144" s="221"/>
      <c r="K144" s="222"/>
      <c r="L144" s="134">
        <f ca="1">IFERROR(__xludf.DUMMYFUNCTION("IMPORTRANGE(""https://docs.google.com/spreadsheets/d/1-uDff_7J0KD5mKrp0Vvzr7lt3OU09vwQwhkpOPPYv2Y/edit?usp=sharing"",""งบพรบ!BQ53"")"),119900)</f>
        <v>119900</v>
      </c>
      <c r="M144" s="135">
        <f ca="1">IFERROR(__xludf.DUMMYFUNCTION("IMPORTRANGE(""https://docs.google.com/spreadsheets/d/1-uDff_7J0KD5mKrp0Vvzr7lt3OU09vwQwhkpOPPYv2Y/edit?usp=sharing"",""งบพรบ!BV53"")"),114900)</f>
        <v>114900</v>
      </c>
      <c r="N144" s="135">
        <f ca="1">IFERROR(__xludf.DUMMYFUNCTION("IMPORTRANGE(""https://docs.google.com/spreadsheets/d/1-uDff_7J0KD5mKrp0Vvzr7lt3OU09vwQwhkpOPPYv2Y/edit?usp=sharing"",""งบพรบ!BX53"")"),91157)</f>
        <v>91157</v>
      </c>
      <c r="O144" s="135">
        <f ca="1">IF(L144&gt;0,N144*100/L144,0)</f>
        <v>76.027522935779814</v>
      </c>
      <c r="P144" s="135">
        <f ca="1">IF(M144&gt;0,N144*100/M144,0)</f>
        <v>79.335944299390775</v>
      </c>
      <c r="Q144" s="135">
        <f ca="1">IFERROR(__xludf.DUMMYFUNCTION("IMPORTRANGE(""https://docs.google.com/spreadsheets/d/1ItG2mGa2ceCfYo0BwxsXqNm01IGEUdYcSSLTEv9YCik/edit?usp=sharing"",""เบิกจ่ายกองทุน!BB53"")"),0)</f>
        <v>0</v>
      </c>
      <c r="R144" s="135">
        <f ca="1">IFERROR(__xludf.DUMMYFUNCTION("IMPORTRANGE(""https://docs.google.com/spreadsheets/d/1ItG2mGa2ceCfYo0BwxsXqNm01IGEUdYcSSLTEv9YCik/edit?usp=sharing"",""เบิกจ่ายกองทุน!BC53"")"),0)</f>
        <v>0</v>
      </c>
      <c r="S144" s="135">
        <f ca="1">IFERROR(__xludf.DUMMYFUNCTION("IMPORTRANGE(""https://docs.google.com/spreadsheets/d/1ItG2mGa2ceCfYo0BwxsXqNm01IGEUdYcSSLTEv9YCik/edit?usp=sharing"",""เบิกจ่ายกองทุน!BD53"")"),0)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11"/>
      <c r="B145" s="70"/>
      <c r="C145" s="70"/>
      <c r="D145" s="911" t="s">
        <v>23</v>
      </c>
      <c r="E145" s="70"/>
      <c r="F145" s="70"/>
      <c r="G145" s="72"/>
      <c r="H145" s="223" t="s">
        <v>14</v>
      </c>
      <c r="I145" s="221"/>
      <c r="J145" s="221"/>
      <c r="K145" s="222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>Q146+Q147</f>
        <v>0</v>
      </c>
      <c r="R145" s="135">
        <f>R146+R147</f>
        <v>0</v>
      </c>
      <c r="S145" s="135">
        <f>S146+S147</f>
        <v>0</v>
      </c>
      <c r="T145" s="135">
        <f>IF(Q145&gt;0,S145*100/Q145,0)</f>
        <v>0</v>
      </c>
      <c r="U145" s="135">
        <f>IF(R145&gt;0,S145*100/R145,0)</f>
        <v>0</v>
      </c>
    </row>
    <row r="146" spans="1:21" ht="18.75" hidden="1" x14ac:dyDescent="0.25">
      <c r="A146" s="882"/>
      <c r="B146" s="870"/>
      <c r="C146" s="870"/>
      <c r="D146" s="870"/>
      <c r="E146" s="267" t="s">
        <v>20</v>
      </c>
      <c r="F146" s="870"/>
      <c r="G146" s="869"/>
      <c r="H146" s="275" t="s">
        <v>14</v>
      </c>
      <c r="I146" s="876"/>
      <c r="J146" s="876"/>
      <c r="K146" s="88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11"/>
      <c r="B147" s="70"/>
      <c r="C147" s="70"/>
      <c r="D147" s="70"/>
      <c r="E147" s="78" t="s">
        <v>21</v>
      </c>
      <c r="F147" s="70"/>
      <c r="G147" s="72"/>
      <c r="H147" s="223" t="s">
        <v>14</v>
      </c>
      <c r="I147" s="221"/>
      <c r="J147" s="221"/>
      <c r="K147" s="222"/>
      <c r="L147" s="134">
        <f ca="1">IFERROR(__xludf.DUMMYFUNCTION("IMPORTRANGE(""https://docs.google.com/spreadsheets/d/1-uDff_7J0KD5mKrp0Vvzr7lt3OU09vwQwhkpOPPYv2Y/edit?usp=sharing"",""งบพรบ!BT53"")"),0)</f>
        <v>0</v>
      </c>
      <c r="M147" s="135">
        <f ca="1">IFERROR(__xludf.DUMMYFUNCTION("IMPORTRANGE(""https://docs.google.com/spreadsheets/d/1-uDff_7J0KD5mKrp0Vvzr7lt3OU09vwQwhkpOPPYv2Y/edit?usp=sharing"",""งบพรบ!BW53"")"),0)</f>
        <v>0</v>
      </c>
      <c r="N147" s="135">
        <f ca="1">IFERROR(__xludf.DUMMYFUNCTION("IMPORTRANGE(""https://docs.google.com/spreadsheets/d/1-uDff_7J0KD5mKrp0Vvzr7lt3OU09vwQwhkpOPPYv2Y/edit?usp=sharing"",""งบพรบ!BY53"")"),0)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v>0</v>
      </c>
      <c r="R147" s="77">
        <v>0</v>
      </c>
      <c r="S147" s="77">
        <v>0</v>
      </c>
      <c r="T147" s="135">
        <f>IF(Q147&gt;0,S147*100/Q147,0)</f>
        <v>0</v>
      </c>
      <c r="U147" s="135">
        <f>IF(R147&gt;0,S147*100/R147,0)</f>
        <v>0</v>
      </c>
    </row>
    <row r="148" spans="1:21" ht="19.5" x14ac:dyDescent="0.3">
      <c r="A148" s="224"/>
      <c r="B148" s="225"/>
      <c r="C148" s="212" t="s">
        <v>18</v>
      </c>
      <c r="D148" s="909" t="s">
        <v>38</v>
      </c>
      <c r="E148" s="227"/>
      <c r="F148" s="227"/>
      <c r="G148" s="228"/>
      <c r="H148" s="318"/>
      <c r="I148" s="74"/>
      <c r="J148" s="74"/>
      <c r="K148" s="75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11"/>
      <c r="B149" s="70"/>
      <c r="C149" s="70"/>
      <c r="D149" s="78" t="s">
        <v>63</v>
      </c>
      <c r="E149" s="70"/>
      <c r="F149" s="70"/>
      <c r="G149" s="72"/>
      <c r="H149" s="318"/>
      <c r="I149" s="74"/>
      <c r="J149" s="816">
        <v>0</v>
      </c>
      <c r="K149" s="75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319"/>
      <c r="B150" s="82"/>
      <c r="C150" s="82"/>
      <c r="D150" s="320"/>
      <c r="E150" s="321" t="s">
        <v>64</v>
      </c>
      <c r="F150" s="82"/>
      <c r="G150" s="84"/>
      <c r="H150" s="322" t="s">
        <v>35</v>
      </c>
      <c r="I150" s="323">
        <f ca="1">IFERROR(__xludf.DUMMYFUNCTION("IMPORTRANGE(""https://docs.google.com/spreadsheets/d/1eHaY18a8A9IcSdp1K8H6x8fbOy06t2VsZHhMHf-1x7Y/edit?usp=sharing"",""แผน!U53"")"),0)</f>
        <v>0</v>
      </c>
      <c r="J150" s="931">
        <v>0</v>
      </c>
      <c r="K150" s="88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319"/>
      <c r="B151" s="82"/>
      <c r="C151" s="82"/>
      <c r="D151" s="320"/>
      <c r="E151" s="321"/>
      <c r="F151" s="82"/>
      <c r="G151" s="84"/>
      <c r="H151" s="322" t="s">
        <v>54</v>
      </c>
      <c r="I151" s="323">
        <f ca="1">IFERROR(__xludf.DUMMYFUNCTION("IMPORTRANGE(""https://docs.google.com/spreadsheets/d/1eHaY18a8A9IcSdp1K8H6x8fbOy06t2VsZHhMHf-1x7Y/edit?usp=sharing"",""แผน!V53"")"),0)</f>
        <v>0</v>
      </c>
      <c r="J151" s="931">
        <v>0</v>
      </c>
      <c r="K151" s="88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319"/>
      <c r="B152" s="82"/>
      <c r="C152" s="82"/>
      <c r="D152" s="320"/>
      <c r="E152" s="321" t="s">
        <v>65</v>
      </c>
      <c r="F152" s="82"/>
      <c r="G152" s="84"/>
      <c r="H152" s="322" t="s">
        <v>35</v>
      </c>
      <c r="I152" s="323">
        <f ca="1">IFERROR(__xludf.DUMMYFUNCTION("IMPORTRANGE(""https://docs.google.com/spreadsheets/d/1eHaY18a8A9IcSdp1K8H6x8fbOy06t2VsZHhMHf-1x7Y/edit?usp=sharing"",""แผน!W53"")"),20)</f>
        <v>20</v>
      </c>
      <c r="J152" s="931">
        <v>20</v>
      </c>
      <c r="K152" s="88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9.5" x14ac:dyDescent="0.3">
      <c r="A153" s="319"/>
      <c r="B153" s="82"/>
      <c r="C153" s="82"/>
      <c r="D153" s="321"/>
      <c r="E153" s="324"/>
      <c r="F153" s="82"/>
      <c r="G153" s="84"/>
      <c r="H153" s="322" t="s">
        <v>54</v>
      </c>
      <c r="I153" s="323">
        <f ca="1">IFERROR(__xludf.DUMMYFUNCTION("IMPORTRANGE(""https://docs.google.com/spreadsheets/d/1eHaY18a8A9IcSdp1K8H6x8fbOy06t2VsZHhMHf-1x7Y/edit?usp=sharing"",""แผน!X53"")"),2)</f>
        <v>2</v>
      </c>
      <c r="J153" s="931">
        <v>2</v>
      </c>
      <c r="K153" s="88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325"/>
      <c r="B154" s="326"/>
      <c r="C154" s="326"/>
      <c r="D154" s="327" t="s">
        <v>66</v>
      </c>
      <c r="E154" s="326"/>
      <c r="F154" s="326"/>
      <c r="G154" s="328"/>
      <c r="H154" s="329" t="s">
        <v>61</v>
      </c>
      <c r="I154" s="330">
        <f ca="1">IFERROR(__xludf.DUMMYFUNCTION("IMPORTRANGE(""https://docs.google.com/spreadsheets/d/1eHaY18a8A9IcSdp1K8H6x8fbOy06t2VsZHhMHf-1x7Y/edit?usp=sharing"",""แผน!Y53"")"),0)</f>
        <v>0</v>
      </c>
      <c r="J154" s="968">
        <v>0</v>
      </c>
      <c r="K154" s="88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332" t="s">
        <v>67</v>
      </c>
      <c r="B155" s="333"/>
      <c r="C155" s="334"/>
      <c r="D155" s="333"/>
      <c r="E155" s="333"/>
      <c r="F155" s="333"/>
      <c r="G155" s="333"/>
      <c r="H155" s="333"/>
      <c r="I155" s="335"/>
      <c r="J155" s="335"/>
      <c r="K155" s="33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04"/>
      <c r="B156" s="53" t="s">
        <v>68</v>
      </c>
      <c r="C156" s="52"/>
      <c r="D156" s="52"/>
      <c r="E156" s="52"/>
      <c r="F156" s="52"/>
      <c r="G156" s="55"/>
      <c r="H156" s="338" t="s">
        <v>35</v>
      </c>
      <c r="I156" s="207">
        <f ca="1">I167</f>
        <v>15</v>
      </c>
      <c r="J156" s="207">
        <f>J167</f>
        <v>15</v>
      </c>
      <c r="K156" s="208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11"/>
      <c r="B157" s="70"/>
      <c r="C157" s="212" t="s">
        <v>18</v>
      </c>
      <c r="D157" s="912" t="s">
        <v>19</v>
      </c>
      <c r="E157" s="70"/>
      <c r="F157" s="70"/>
      <c r="G157" s="72"/>
      <c r="H157" s="214" t="s">
        <v>14</v>
      </c>
      <c r="I157" s="74"/>
      <c r="J157" s="74"/>
      <c r="K157" s="75"/>
      <c r="L157" s="216">
        <f ca="1">L158+L159</f>
        <v>3000</v>
      </c>
      <c r="M157" s="217">
        <f ca="1">M158+M159</f>
        <v>5930</v>
      </c>
      <c r="N157" s="217">
        <f ca="1">N158+N159</f>
        <v>0</v>
      </c>
      <c r="O157" s="217">
        <f ca="1">IF(L157&gt;0,N157*100/L157,0)</f>
        <v>0</v>
      </c>
      <c r="P157" s="217">
        <f ca="1">IF(M157&gt;0,N157*100/M157,0)</f>
        <v>0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882"/>
      <c r="B158" s="870"/>
      <c r="C158" s="870"/>
      <c r="D158" s="870"/>
      <c r="E158" s="267" t="s">
        <v>20</v>
      </c>
      <c r="F158" s="870"/>
      <c r="G158" s="869"/>
      <c r="H158" s="268" t="s">
        <v>14</v>
      </c>
      <c r="I158" s="875"/>
      <c r="J158" s="875"/>
      <c r="K158" s="874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11"/>
      <c r="B159" s="70"/>
      <c r="C159" s="70"/>
      <c r="D159" s="70"/>
      <c r="E159" s="78" t="s">
        <v>21</v>
      </c>
      <c r="F159" s="70"/>
      <c r="G159" s="72"/>
      <c r="H159" s="218" t="s">
        <v>14</v>
      </c>
      <c r="I159" s="74"/>
      <c r="J159" s="74"/>
      <c r="K159" s="75"/>
      <c r="L159" s="134">
        <f ca="1">L162+L165</f>
        <v>3000</v>
      </c>
      <c r="M159" s="135">
        <f ca="1">M162+M165</f>
        <v>5930</v>
      </c>
      <c r="N159" s="135">
        <f ca="1">N162+N165</f>
        <v>0</v>
      </c>
      <c r="O159" s="135">
        <f ca="1">IF(L159&gt;0,N159*100/L159,0)</f>
        <v>0</v>
      </c>
      <c r="P159" s="135">
        <f ca="1">IF(M159&gt;0,N159*100/M159,0)</f>
        <v>0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x14ac:dyDescent="0.25">
      <c r="A160" s="211"/>
      <c r="B160" s="70"/>
      <c r="C160" s="70"/>
      <c r="D160" s="911" t="s">
        <v>22</v>
      </c>
      <c r="E160" s="70"/>
      <c r="F160" s="70"/>
      <c r="G160" s="72"/>
      <c r="H160" s="220" t="s">
        <v>14</v>
      </c>
      <c r="I160" s="221"/>
      <c r="J160" s="221"/>
      <c r="K160" s="222"/>
      <c r="L160" s="134">
        <f ca="1">L161+L162</f>
        <v>3000</v>
      </c>
      <c r="M160" s="135">
        <f ca="1">M161+M162</f>
        <v>5930</v>
      </c>
      <c r="N160" s="135">
        <f ca="1">N161+N162</f>
        <v>0</v>
      </c>
      <c r="O160" s="135">
        <f ca="1">IF(L160&gt;0,N160*100/L160,0)</f>
        <v>0</v>
      </c>
      <c r="P160" s="135">
        <f ca="1">IF(M160&gt;0,N160*100/M160,0)</f>
        <v>0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882"/>
      <c r="B161" s="870"/>
      <c r="C161" s="870"/>
      <c r="D161" s="870"/>
      <c r="E161" s="267" t="s">
        <v>36</v>
      </c>
      <c r="F161" s="870"/>
      <c r="G161" s="869"/>
      <c r="H161" s="275" t="s">
        <v>14</v>
      </c>
      <c r="I161" s="876"/>
      <c r="J161" s="876"/>
      <c r="K161" s="88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11"/>
      <c r="B162" s="70"/>
      <c r="C162" s="70"/>
      <c r="D162" s="70"/>
      <c r="E162" s="78" t="s">
        <v>37</v>
      </c>
      <c r="F162" s="70"/>
      <c r="G162" s="72"/>
      <c r="H162" s="220" t="s">
        <v>14</v>
      </c>
      <c r="I162" s="221"/>
      <c r="J162" s="221"/>
      <c r="K162" s="222"/>
      <c r="L162" s="134">
        <f ca="1">IFERROR(__xludf.DUMMYFUNCTION("IMPORTRANGE(""https://docs.google.com/spreadsheets/d/1-uDff_7J0KD5mKrp0Vvzr7lt3OU09vwQwhkpOPPYv2Y/edit?usp=sharing"",""งบพรบ!CA53"")"),3000)</f>
        <v>3000</v>
      </c>
      <c r="M162" s="135">
        <f ca="1">IFERROR(__xludf.DUMMYFUNCTION("IMPORTRANGE(""https://docs.google.com/spreadsheets/d/1-uDff_7J0KD5mKrp0Vvzr7lt3OU09vwQwhkpOPPYv2Y/edit?usp=sharing"",""งบพรบ!CF53"")"),5930)</f>
        <v>5930</v>
      </c>
      <c r="N162" s="135">
        <f ca="1">IFERROR(__xludf.DUMMYFUNCTION("IMPORTRANGE(""https://docs.google.com/spreadsheets/d/1-uDff_7J0KD5mKrp0Vvzr7lt3OU09vwQwhkpOPPYv2Y/edit?usp=sharing"",""งบพรบ!CH53"")"),0)</f>
        <v>0</v>
      </c>
      <c r="O162" s="135">
        <f ca="1">IF(L162&gt;0,N162*100/L162,0)</f>
        <v>0</v>
      </c>
      <c r="P162" s="135">
        <f ca="1">IF(M162&gt;0,N162*100/M162,0)</f>
        <v>0</v>
      </c>
      <c r="Q162" s="135">
        <f ca="1">IFERROR(__xludf.DUMMYFUNCTION("IMPORTRANGE(""https://docs.google.com/spreadsheets/d/1ItG2mGa2ceCfYo0BwxsXqNm01IGEUdYcSSLTEv9YCik/edit?usp=sharing"",""เบิกจ่ายกองทุน!AG53"")"),0)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IFERROR(__xludf.DUMMYFUNCTION("IMPORTRANGE(""https://docs.google.com/spreadsheets/d/1ItG2mGa2ceCfYo0BwxsXqNm01IGEUdYcSSLTEv9YCik/edit?usp=sharing"",""เบิกจ่ายกองทุน!AH53"")"),0)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IFERROR(__xludf.DUMMYFUNCTION("IMPORTRANGE(""https://docs.google.com/spreadsheets/d/1ItG2mGa2ceCfYo0BwxsXqNm01IGEUdYcSSLTEv9YCik/edit?usp=sharing"",""เบิกจ่ายกองทุน!AI53"")"),0)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x14ac:dyDescent="0.25">
      <c r="A163" s="211"/>
      <c r="B163" s="70"/>
      <c r="C163" s="70"/>
      <c r="D163" s="911" t="s">
        <v>23</v>
      </c>
      <c r="E163" s="70"/>
      <c r="F163" s="70"/>
      <c r="G163" s="72"/>
      <c r="H163" s="223" t="s">
        <v>14</v>
      </c>
      <c r="I163" s="221"/>
      <c r="J163" s="221"/>
      <c r="K163" s="222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882"/>
      <c r="B164" s="870"/>
      <c r="C164" s="870"/>
      <c r="D164" s="870"/>
      <c r="E164" s="267" t="s">
        <v>20</v>
      </c>
      <c r="F164" s="870"/>
      <c r="G164" s="869"/>
      <c r="H164" s="275" t="s">
        <v>14</v>
      </c>
      <c r="I164" s="876"/>
      <c r="J164" s="876"/>
      <c r="K164" s="88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11"/>
      <c r="B165" s="70"/>
      <c r="C165" s="70"/>
      <c r="D165" s="70"/>
      <c r="E165" s="78" t="s">
        <v>21</v>
      </c>
      <c r="F165" s="70"/>
      <c r="G165" s="72"/>
      <c r="H165" s="223" t="s">
        <v>14</v>
      </c>
      <c r="I165" s="221"/>
      <c r="J165" s="221"/>
      <c r="K165" s="222"/>
      <c r="L165" s="134">
        <f ca="1">IFERROR(__xludf.DUMMYFUNCTION("IMPORTRANGE(""https://docs.google.com/spreadsheets/d/1-uDff_7J0KD5mKrp0Vvzr7lt3OU09vwQwhkpOPPYv2Y/edit?usp=sharing"",""งบพรบ!CD53"")"),0)</f>
        <v>0</v>
      </c>
      <c r="M165" s="135">
        <f ca="1">IFERROR(__xludf.DUMMYFUNCTION("IMPORTRANGE(""https://docs.google.com/spreadsheets/d/1-uDff_7J0KD5mKrp0Vvzr7lt3OU09vwQwhkpOPPYv2Y/edit?usp=sharing"",""งบพรบ!CG53"")"),0)</f>
        <v>0</v>
      </c>
      <c r="N165" s="135">
        <f ca="1">IFERROR(__xludf.DUMMYFUNCTION("IMPORTRANGE(""https://docs.google.com/spreadsheets/d/1-uDff_7J0KD5mKrp0Vvzr7lt3OU09vwQwhkpOPPYv2Y/edit?usp=sharing"",""งบพรบ!CI53"")"),0)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x14ac:dyDescent="0.3">
      <c r="A166" s="224"/>
      <c r="B166" s="225"/>
      <c r="C166" s="212" t="s">
        <v>18</v>
      </c>
      <c r="D166" s="909" t="s">
        <v>38</v>
      </c>
      <c r="E166" s="227"/>
      <c r="F166" s="227"/>
      <c r="G166" s="228"/>
      <c r="H166" s="318"/>
      <c r="I166" s="74"/>
      <c r="J166" s="74"/>
      <c r="K166" s="75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11"/>
      <c r="B167" s="70"/>
      <c r="C167" s="70"/>
      <c r="D167" s="78" t="s">
        <v>69</v>
      </c>
      <c r="E167" s="70"/>
      <c r="F167" s="70"/>
      <c r="G167" s="72"/>
      <c r="H167" s="223" t="s">
        <v>35</v>
      </c>
      <c r="I167" s="241">
        <f ca="1">IFERROR(__xludf.DUMMYFUNCTION("IMPORTRANGE(""https://docs.google.com/spreadsheets/d/1eHaY18a8A9IcSdp1K8H6x8fbOy06t2VsZHhMHf-1x7Y/edit?usp=sharing"",""แผน!Z53"")"),15)</f>
        <v>15</v>
      </c>
      <c r="J167" s="967">
        <v>15</v>
      </c>
      <c r="K167" s="91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882"/>
      <c r="B168" s="870"/>
      <c r="C168" s="870"/>
      <c r="D168" s="267" t="s">
        <v>70</v>
      </c>
      <c r="E168" s="870"/>
      <c r="F168" s="870"/>
      <c r="G168" s="869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966"/>
      <c r="B169" s="964"/>
      <c r="C169" s="964"/>
      <c r="D169" s="965" t="s">
        <v>71</v>
      </c>
      <c r="E169" s="964"/>
      <c r="F169" s="964"/>
      <c r="G169" s="963"/>
      <c r="H169" s="962" t="s">
        <v>35</v>
      </c>
      <c r="I169" s="924">
        <f ca="1">I167</f>
        <v>15</v>
      </c>
      <c r="J169" s="961">
        <v>0</v>
      </c>
      <c r="K169" s="960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342" t="s">
        <v>72</v>
      </c>
      <c r="B170" s="343"/>
      <c r="C170" s="343"/>
      <c r="D170" s="343"/>
      <c r="E170" s="344"/>
      <c r="F170" s="344"/>
      <c r="G170" s="344"/>
      <c r="H170" s="344"/>
      <c r="I170" s="345"/>
      <c r="J170" s="345"/>
      <c r="K170" s="346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351" t="s">
        <v>73</v>
      </c>
      <c r="B171" s="352"/>
      <c r="C171" s="352"/>
      <c r="D171" s="353"/>
      <c r="E171" s="353"/>
      <c r="F171" s="353"/>
      <c r="G171" s="354"/>
      <c r="H171" s="354"/>
      <c r="I171" s="355"/>
      <c r="J171" s="355"/>
      <c r="K171" s="356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359"/>
      <c r="B172" s="360" t="s">
        <v>74</v>
      </c>
      <c r="C172" s="361"/>
      <c r="D172" s="227"/>
      <c r="E172" s="227"/>
      <c r="F172" s="227"/>
      <c r="G172" s="228"/>
      <c r="H172" s="362" t="s">
        <v>35</v>
      </c>
      <c r="I172" s="363">
        <f ca="1">I183+I184</f>
        <v>7</v>
      </c>
      <c r="J172" s="363">
        <f>J183+J184</f>
        <v>7</v>
      </c>
      <c r="K172" s="3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11"/>
      <c r="B173" s="70"/>
      <c r="C173" s="212" t="s">
        <v>18</v>
      </c>
      <c r="D173" s="912" t="s">
        <v>19</v>
      </c>
      <c r="E173" s="70"/>
      <c r="F173" s="70"/>
      <c r="G173" s="72"/>
      <c r="H173" s="214" t="s">
        <v>14</v>
      </c>
      <c r="I173" s="74"/>
      <c r="J173" s="74"/>
      <c r="K173" s="75"/>
      <c r="L173" s="216">
        <f ca="1">L174+L175</f>
        <v>19590</v>
      </c>
      <c r="M173" s="217">
        <f ca="1">M174+M175</f>
        <v>39250</v>
      </c>
      <c r="N173" s="217">
        <f ca="1">N174+N175</f>
        <v>31410</v>
      </c>
      <c r="O173" s="217">
        <f ca="1">IF(L173&gt;0,N173*100/L173,0)</f>
        <v>160.33690658499233</v>
      </c>
      <c r="P173" s="217">
        <f ca="1">IF(M173&gt;0,N173*100/M173,0)</f>
        <v>80.025477707006374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882"/>
      <c r="B174" s="870"/>
      <c r="C174" s="870"/>
      <c r="D174" s="870"/>
      <c r="E174" s="267" t="s">
        <v>20</v>
      </c>
      <c r="F174" s="870"/>
      <c r="G174" s="869"/>
      <c r="H174" s="268" t="s">
        <v>14</v>
      </c>
      <c r="I174" s="875"/>
      <c r="J174" s="875"/>
      <c r="K174" s="874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11"/>
      <c r="B175" s="70"/>
      <c r="C175" s="70"/>
      <c r="D175" s="70"/>
      <c r="E175" s="78" t="s">
        <v>21</v>
      </c>
      <c r="F175" s="70"/>
      <c r="G175" s="72"/>
      <c r="H175" s="218" t="s">
        <v>14</v>
      </c>
      <c r="I175" s="74"/>
      <c r="J175" s="74"/>
      <c r="K175" s="75"/>
      <c r="L175" s="134">
        <f ca="1">L178+L181</f>
        <v>19590</v>
      </c>
      <c r="M175" s="135">
        <f ca="1">M178+M181</f>
        <v>39250</v>
      </c>
      <c r="N175" s="135">
        <f ca="1">N178+N181</f>
        <v>31410</v>
      </c>
      <c r="O175" s="135">
        <f ca="1">IF(L175&gt;0,N175*100/L175,0)</f>
        <v>160.33690658499233</v>
      </c>
      <c r="P175" s="135">
        <f ca="1">IF(M175&gt;0,N175*100/M175,0)</f>
        <v>80.025477707006374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11"/>
      <c r="B176" s="70"/>
      <c r="C176" s="70"/>
      <c r="D176" s="911" t="s">
        <v>22</v>
      </c>
      <c r="E176" s="70"/>
      <c r="F176" s="70"/>
      <c r="G176" s="72"/>
      <c r="H176" s="220" t="s">
        <v>14</v>
      </c>
      <c r="I176" s="221"/>
      <c r="J176" s="221"/>
      <c r="K176" s="222"/>
      <c r="L176" s="134">
        <f ca="1">L177+L178</f>
        <v>19590</v>
      </c>
      <c r="M176" s="135">
        <f ca="1">M177+M178</f>
        <v>39250</v>
      </c>
      <c r="N176" s="135">
        <f ca="1">N177+N178</f>
        <v>31410</v>
      </c>
      <c r="O176" s="135">
        <f ca="1">IF(L176&gt;0,N176*100/L176,0)</f>
        <v>160.33690658499233</v>
      </c>
      <c r="P176" s="135">
        <f ca="1">IF(M176&gt;0,N176*100/M176,0)</f>
        <v>80.025477707006374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882"/>
      <c r="B177" s="870"/>
      <c r="C177" s="870"/>
      <c r="D177" s="870"/>
      <c r="E177" s="267" t="s">
        <v>36</v>
      </c>
      <c r="F177" s="870"/>
      <c r="G177" s="869"/>
      <c r="H177" s="275" t="s">
        <v>14</v>
      </c>
      <c r="I177" s="876"/>
      <c r="J177" s="876"/>
      <c r="K177" s="88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11"/>
      <c r="B178" s="70"/>
      <c r="C178" s="70"/>
      <c r="D178" s="70"/>
      <c r="E178" s="78" t="s">
        <v>37</v>
      </c>
      <c r="F178" s="70"/>
      <c r="G178" s="72"/>
      <c r="H178" s="220" t="s">
        <v>14</v>
      </c>
      <c r="I178" s="221"/>
      <c r="J178" s="221"/>
      <c r="K178" s="222"/>
      <c r="L178" s="134">
        <f ca="1">IFERROR(__xludf.DUMMYFUNCTION("IMPORTRANGE(""https://docs.google.com/spreadsheets/d/1-uDff_7J0KD5mKrp0Vvzr7lt3OU09vwQwhkpOPPYv2Y/edit?usp=sharing"",""งบพรบ!CK53"")"),19590)</f>
        <v>19590</v>
      </c>
      <c r="M178" s="135">
        <f ca="1">IFERROR(__xludf.DUMMYFUNCTION("IMPORTRANGE(""https://docs.google.com/spreadsheets/d/1-uDff_7J0KD5mKrp0Vvzr7lt3OU09vwQwhkpOPPYv2Y/edit?usp=sharing"",""งบพรบ!CP53"")"),39250)</f>
        <v>39250</v>
      </c>
      <c r="N178" s="135">
        <f ca="1">IFERROR(__xludf.DUMMYFUNCTION("IMPORTRANGE(""https://docs.google.com/spreadsheets/d/1-uDff_7J0KD5mKrp0Vvzr7lt3OU09vwQwhkpOPPYv2Y/edit?usp=sharing"",""งบพรบ!CR53"")"),31410)</f>
        <v>31410</v>
      </c>
      <c r="O178" s="135">
        <f ca="1">IF(L178&gt;0,N178*100/L178,0)</f>
        <v>160.33690658499233</v>
      </c>
      <c r="P178" s="135">
        <f ca="1">IF(M178&gt;0,N178*100/M178,0)</f>
        <v>80.025477707006374</v>
      </c>
      <c r="Q178" s="135">
        <f ca="1">IFERROR(__xludf.DUMMYFUNCTION("IMPORTRANGE(""https://docs.google.com/spreadsheets/d/1ItG2mGa2ceCfYo0BwxsXqNm01IGEUdYcSSLTEv9YCik/edit?usp=sharing"",""เบิกจ่ายกองทุน!BE53"")"),0)</f>
        <v>0</v>
      </c>
      <c r="R178" s="135">
        <f ca="1">IFERROR(__xludf.DUMMYFUNCTION("IMPORTRANGE(""https://docs.google.com/spreadsheets/d/1ItG2mGa2ceCfYo0BwxsXqNm01IGEUdYcSSLTEv9YCik/edit?usp=sharing"",""เบิกจ่ายกองทุน!BF53"")"),0)</f>
        <v>0</v>
      </c>
      <c r="S178" s="135">
        <f ca="1">IFERROR(__xludf.DUMMYFUNCTION("IMPORTRANGE(""https://docs.google.com/spreadsheets/d/1ItG2mGa2ceCfYo0BwxsXqNm01IGEUdYcSSLTEv9YCik/edit?usp=sharing"",""เบิกจ่ายกองทุน!BG53"")"),0)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11"/>
      <c r="B179" s="70"/>
      <c r="C179" s="70"/>
      <c r="D179" s="911" t="s">
        <v>23</v>
      </c>
      <c r="E179" s="70"/>
      <c r="F179" s="70"/>
      <c r="G179" s="72"/>
      <c r="H179" s="223" t="s">
        <v>14</v>
      </c>
      <c r="I179" s="221"/>
      <c r="J179" s="221"/>
      <c r="K179" s="222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882"/>
      <c r="B180" s="870"/>
      <c r="C180" s="870"/>
      <c r="D180" s="870"/>
      <c r="E180" s="267" t="s">
        <v>20</v>
      </c>
      <c r="F180" s="870"/>
      <c r="G180" s="869"/>
      <c r="H180" s="275" t="s">
        <v>14</v>
      </c>
      <c r="I180" s="876"/>
      <c r="J180" s="876"/>
      <c r="K180" s="88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11"/>
      <c r="B181" s="70"/>
      <c r="C181" s="70"/>
      <c r="D181" s="70"/>
      <c r="E181" s="78" t="s">
        <v>21</v>
      </c>
      <c r="F181" s="70"/>
      <c r="G181" s="72"/>
      <c r="H181" s="223" t="s">
        <v>14</v>
      </c>
      <c r="I181" s="221"/>
      <c r="J181" s="221"/>
      <c r="K181" s="222"/>
      <c r="L181" s="134">
        <f ca="1">IFERROR(__xludf.DUMMYFUNCTION("IMPORTRANGE(""https://docs.google.com/spreadsheets/d/1-uDff_7J0KD5mKrp0Vvzr7lt3OU09vwQwhkpOPPYv2Y/edit?usp=sharing"",""งบพรบ!CN53"")"),0)</f>
        <v>0</v>
      </c>
      <c r="M181" s="135">
        <f ca="1">IFERROR(__xludf.DUMMYFUNCTION("IMPORTRANGE(""https://docs.google.com/spreadsheets/d/1-uDff_7J0KD5mKrp0Vvzr7lt3OU09vwQwhkpOPPYv2Y/edit?usp=sharing"",""งบพรบ!CQ53"")"),0)</f>
        <v>0</v>
      </c>
      <c r="N181" s="135">
        <f ca="1">IFERROR(__xludf.DUMMYFUNCTION("IMPORTRANGE(""https://docs.google.com/spreadsheets/d/1-uDff_7J0KD5mKrp0Vvzr7lt3OU09vwQwhkpOPPYv2Y/edit?usp=sharing"",""งบพรบ!CS53"")"),0)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24"/>
      <c r="B182" s="225"/>
      <c r="C182" s="212" t="s">
        <v>18</v>
      </c>
      <c r="D182" s="909" t="s">
        <v>38</v>
      </c>
      <c r="E182" s="227"/>
      <c r="F182" s="227"/>
      <c r="G182" s="228"/>
      <c r="H182" s="318"/>
      <c r="I182" s="74"/>
      <c r="J182" s="74"/>
      <c r="K182" s="75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368"/>
      <c r="B183" s="70"/>
      <c r="C183" s="369"/>
      <c r="D183" s="369" t="s">
        <v>75</v>
      </c>
      <c r="E183" s="70"/>
      <c r="F183" s="70"/>
      <c r="G183" s="72"/>
      <c r="H183" s="370" t="s">
        <v>35</v>
      </c>
      <c r="I183" s="241">
        <f ca="1">IFERROR(__xludf.DUMMYFUNCTION("IMPORTRANGE(""https://docs.google.com/spreadsheets/d/1eHaY18a8A9IcSdp1K8H6x8fbOy06t2VsZHhMHf-1x7Y/edit?usp=sharing"",""แผน!AA53"")"),7)</f>
        <v>7</v>
      </c>
      <c r="J183" s="816">
        <v>7</v>
      </c>
      <c r="K183" s="91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873"/>
      <c r="B184" s="872"/>
      <c r="C184" s="573"/>
      <c r="D184" s="573" t="s">
        <v>76</v>
      </c>
      <c r="E184" s="870"/>
      <c r="F184" s="870"/>
      <c r="G184" s="869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359"/>
      <c r="B185" s="360" t="s">
        <v>77</v>
      </c>
      <c r="C185" s="361"/>
      <c r="D185" s="227"/>
      <c r="E185" s="227"/>
      <c r="F185" s="227"/>
      <c r="G185" s="228"/>
      <c r="H185" s="362" t="s">
        <v>35</v>
      </c>
      <c r="I185" s="363">
        <f ca="1">I230+I231</f>
        <v>30</v>
      </c>
      <c r="J185" s="363">
        <f>J230+J231</f>
        <v>30</v>
      </c>
      <c r="K185" s="3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11"/>
      <c r="B186" s="70"/>
      <c r="C186" s="212" t="s">
        <v>18</v>
      </c>
      <c r="D186" s="912" t="s">
        <v>19</v>
      </c>
      <c r="E186" s="70"/>
      <c r="F186" s="70"/>
      <c r="G186" s="72"/>
      <c r="H186" s="214" t="s">
        <v>14</v>
      </c>
      <c r="I186" s="74"/>
      <c r="J186" s="74"/>
      <c r="K186" s="75"/>
      <c r="L186" s="216">
        <f ca="1">L187+L188</f>
        <v>199100</v>
      </c>
      <c r="M186" s="217">
        <f ca="1">M187+M188</f>
        <v>172420</v>
      </c>
      <c r="N186" s="217">
        <f ca="1">N187+N188</f>
        <v>120585</v>
      </c>
      <c r="O186" s="217">
        <f ca="1">IF(L186&gt;0,N186*100/L186,0)</f>
        <v>60.565042692114517</v>
      </c>
      <c r="P186" s="217">
        <f ca="1">IF(M186&gt;0,N186*100/M186,0)</f>
        <v>69.93678227583807</v>
      </c>
      <c r="Q186" s="217">
        <f ca="1">Q187+Q188</f>
        <v>340200</v>
      </c>
      <c r="R186" s="217">
        <f ca="1">R187+R188</f>
        <v>354200</v>
      </c>
      <c r="S186" s="217">
        <f ca="1">S187+S188</f>
        <v>140700</v>
      </c>
      <c r="T186" s="217">
        <f ca="1">IF(Q186&gt;0,S186*100/Q186,0)</f>
        <v>41.358024691358025</v>
      </c>
      <c r="U186" s="217">
        <f ca="1">IF(R186&gt;0,S186*100/R186,0)</f>
        <v>39.723320158102766</v>
      </c>
    </row>
    <row r="187" spans="1:21" ht="18.75" hidden="1" x14ac:dyDescent="0.25">
      <c r="A187" s="882"/>
      <c r="B187" s="870"/>
      <c r="C187" s="870"/>
      <c r="D187" s="870"/>
      <c r="E187" s="267" t="s">
        <v>20</v>
      </c>
      <c r="F187" s="870"/>
      <c r="G187" s="869"/>
      <c r="H187" s="268" t="s">
        <v>14</v>
      </c>
      <c r="I187" s="875"/>
      <c r="J187" s="875"/>
      <c r="K187" s="874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11"/>
      <c r="B188" s="70"/>
      <c r="C188" s="70"/>
      <c r="D188" s="70"/>
      <c r="E188" s="78" t="s">
        <v>21</v>
      </c>
      <c r="F188" s="70"/>
      <c r="G188" s="72"/>
      <c r="H188" s="218" t="s">
        <v>14</v>
      </c>
      <c r="I188" s="74"/>
      <c r="J188" s="74"/>
      <c r="K188" s="75"/>
      <c r="L188" s="134">
        <f ca="1">L191+L194</f>
        <v>199100</v>
      </c>
      <c r="M188" s="135">
        <f ca="1">M191+M194</f>
        <v>172420</v>
      </c>
      <c r="N188" s="135">
        <f ca="1">N191+N194</f>
        <v>120585</v>
      </c>
      <c r="O188" s="135">
        <f ca="1">IF(L188&gt;0,N188*100/L188,0)</f>
        <v>60.565042692114517</v>
      </c>
      <c r="P188" s="135">
        <f ca="1">IF(M188&gt;0,N188*100/M188,0)</f>
        <v>69.93678227583807</v>
      </c>
      <c r="Q188" s="135">
        <f ca="1">Q191+Q194</f>
        <v>340200</v>
      </c>
      <c r="R188" s="135">
        <f ca="1">R191+R194</f>
        <v>354200</v>
      </c>
      <c r="S188" s="135">
        <f ca="1">S191+S194</f>
        <v>140700</v>
      </c>
      <c r="T188" s="135">
        <f ca="1">IF(Q188&gt;0,S188*100/Q188,0)</f>
        <v>41.358024691358025</v>
      </c>
      <c r="U188" s="135">
        <f ca="1">IF(R188&gt;0,S188*100/R188,0)</f>
        <v>39.723320158102766</v>
      </c>
    </row>
    <row r="189" spans="1:21" ht="18.75" x14ac:dyDescent="0.25">
      <c r="A189" s="211"/>
      <c r="B189" s="70"/>
      <c r="C189" s="70"/>
      <c r="D189" s="911" t="s">
        <v>22</v>
      </c>
      <c r="E189" s="70"/>
      <c r="F189" s="70"/>
      <c r="G189" s="72"/>
      <c r="H189" s="220" t="s">
        <v>14</v>
      </c>
      <c r="I189" s="221"/>
      <c r="J189" s="221"/>
      <c r="K189" s="222"/>
      <c r="L189" s="134">
        <f ca="1">L190+L191</f>
        <v>199100</v>
      </c>
      <c r="M189" s="135">
        <f ca="1">M190+M191</f>
        <v>172420</v>
      </c>
      <c r="N189" s="135">
        <f ca="1">N190+N191</f>
        <v>120585</v>
      </c>
      <c r="O189" s="135">
        <f ca="1">IF(L189&gt;0,N189*100/L189,0)</f>
        <v>60.565042692114517</v>
      </c>
      <c r="P189" s="135">
        <f ca="1">IF(M189&gt;0,N189*100/M189,0)</f>
        <v>69.93678227583807</v>
      </c>
      <c r="Q189" s="135">
        <f ca="1">Q190+Q191</f>
        <v>340200</v>
      </c>
      <c r="R189" s="135">
        <f ca="1">R190+R191</f>
        <v>354200</v>
      </c>
      <c r="S189" s="135">
        <f ca="1">S190+S191</f>
        <v>140700</v>
      </c>
      <c r="T189" s="135">
        <f ca="1">IF(Q189&gt;0,S189*100/Q189,0)</f>
        <v>41.358024691358025</v>
      </c>
      <c r="U189" s="135">
        <f ca="1">IF(R189&gt;0,S189*100/R189,0)</f>
        <v>39.723320158102766</v>
      </c>
    </row>
    <row r="190" spans="1:21" ht="18.75" hidden="1" x14ac:dyDescent="0.25">
      <c r="A190" s="882"/>
      <c r="B190" s="870"/>
      <c r="C190" s="870"/>
      <c r="D190" s="870"/>
      <c r="E190" s="267" t="s">
        <v>36</v>
      </c>
      <c r="F190" s="870"/>
      <c r="G190" s="869"/>
      <c r="H190" s="275" t="s">
        <v>14</v>
      </c>
      <c r="I190" s="876"/>
      <c r="J190" s="876"/>
      <c r="K190" s="88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11"/>
      <c r="B191" s="70"/>
      <c r="C191" s="70"/>
      <c r="D191" s="70"/>
      <c r="E191" s="78" t="s">
        <v>37</v>
      </c>
      <c r="F191" s="70"/>
      <c r="G191" s="72"/>
      <c r="H191" s="220" t="s">
        <v>14</v>
      </c>
      <c r="I191" s="221"/>
      <c r="J191" s="221"/>
      <c r="K191" s="222"/>
      <c r="L191" s="134">
        <f ca="1">IFERROR(__xludf.DUMMYFUNCTION("IMPORTRANGE(""https://docs.google.com/spreadsheets/d/1-uDff_7J0KD5mKrp0Vvzr7lt3OU09vwQwhkpOPPYv2Y/edit?usp=sharing"",""งบพรบ!CU53"")"),199100)</f>
        <v>199100</v>
      </c>
      <c r="M191" s="135">
        <f ca="1">IFERROR(__xludf.DUMMYFUNCTION("IMPORTRANGE(""https://docs.google.com/spreadsheets/d/1-uDff_7J0KD5mKrp0Vvzr7lt3OU09vwQwhkpOPPYv2Y/edit?usp=sharing"",""งบพรบ!CZ53"")"),172420)</f>
        <v>172420</v>
      </c>
      <c r="N191" s="135">
        <f ca="1">IFERROR(__xludf.DUMMYFUNCTION("IMPORTRANGE(""https://docs.google.com/spreadsheets/d/1-uDff_7J0KD5mKrp0Vvzr7lt3OU09vwQwhkpOPPYv2Y/edit?usp=sharing"",""งบพรบ!DB53"")"),120585)</f>
        <v>120585</v>
      </c>
      <c r="O191" s="135">
        <f ca="1">IF(L191&gt;0,N191*100/L191,0)</f>
        <v>60.565042692114517</v>
      </c>
      <c r="P191" s="135">
        <f ca="1">IF(M191&gt;0,N191*100/M191,0)</f>
        <v>69.93678227583807</v>
      </c>
      <c r="Q191" s="135">
        <f ca="1">IFERROR(__xludf.DUMMYFUNCTION("IMPORTRANGE(""https://docs.google.com/spreadsheets/d/1ItG2mGa2ceCfYo0BwxsXqNm01IGEUdYcSSLTEv9YCik/edit?usp=sharing"",""เบิกจ่ายกองทุน!AV53"")"),340200)</f>
        <v>340200</v>
      </c>
      <c r="R191" s="135">
        <f ca="1">IFERROR(__xludf.DUMMYFUNCTION("IMPORTRANGE(""https://docs.google.com/spreadsheets/d/1ItG2mGa2ceCfYo0BwxsXqNm01IGEUdYcSSLTEv9YCik/edit?usp=sharing"",""เบิกจ่ายกองทุน!AW53"")"),354200)</f>
        <v>354200</v>
      </c>
      <c r="S191" s="135">
        <f ca="1">IFERROR(__xludf.DUMMYFUNCTION("IMPORTRANGE(""https://docs.google.com/spreadsheets/d/1ItG2mGa2ceCfYo0BwxsXqNm01IGEUdYcSSLTEv9YCik/edit?usp=sharing"",""เบิกจ่ายกองทุน!AX53"")"),140700)</f>
        <v>140700</v>
      </c>
      <c r="T191" s="135">
        <f ca="1">IF(Q191&gt;0,S191*100/Q191,0)</f>
        <v>41.358024691358025</v>
      </c>
      <c r="U191" s="135">
        <f ca="1">IF(R191&gt;0,S191*100/R191,0)</f>
        <v>39.723320158102766</v>
      </c>
    </row>
    <row r="192" spans="1:21" ht="18.75" x14ac:dyDescent="0.25">
      <c r="A192" s="211"/>
      <c r="B192" s="70"/>
      <c r="C192" s="70"/>
      <c r="D192" s="911" t="s">
        <v>23</v>
      </c>
      <c r="E192" s="70"/>
      <c r="F192" s="70"/>
      <c r="G192" s="72"/>
      <c r="H192" s="223" t="s">
        <v>14</v>
      </c>
      <c r="I192" s="221"/>
      <c r="J192" s="221"/>
      <c r="K192" s="222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>Q193+Q194</f>
        <v>0</v>
      </c>
      <c r="R192" s="135">
        <f>R193+R194</f>
        <v>0</v>
      </c>
      <c r="S192" s="135">
        <f>S193+S194</f>
        <v>0</v>
      </c>
      <c r="T192" s="135">
        <f>IF(Q192&gt;0,S192*100/Q192,0)</f>
        <v>0</v>
      </c>
      <c r="U192" s="135">
        <f>IF(R192&gt;0,S192*100/R192,0)</f>
        <v>0</v>
      </c>
    </row>
    <row r="193" spans="1:21" ht="18.75" hidden="1" x14ac:dyDescent="0.25">
      <c r="A193" s="882"/>
      <c r="B193" s="870"/>
      <c r="C193" s="870"/>
      <c r="D193" s="870"/>
      <c r="E193" s="267" t="s">
        <v>20</v>
      </c>
      <c r="F193" s="870"/>
      <c r="G193" s="869"/>
      <c r="H193" s="275" t="s">
        <v>14</v>
      </c>
      <c r="I193" s="876"/>
      <c r="J193" s="876"/>
      <c r="K193" s="88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11"/>
      <c r="B194" s="70"/>
      <c r="C194" s="70"/>
      <c r="D194" s="70"/>
      <c r="E194" s="78" t="s">
        <v>21</v>
      </c>
      <c r="F194" s="70"/>
      <c r="G194" s="72"/>
      <c r="H194" s="223" t="s">
        <v>14</v>
      </c>
      <c r="I194" s="221"/>
      <c r="J194" s="221"/>
      <c r="K194" s="222"/>
      <c r="L194" s="134">
        <f ca="1">IFERROR(__xludf.DUMMYFUNCTION("IMPORTRANGE(""https://docs.google.com/spreadsheets/d/1-uDff_7J0KD5mKrp0Vvzr7lt3OU09vwQwhkpOPPYv2Y/edit?usp=sharing"",""งบพรบ!CX53"")"),0)</f>
        <v>0</v>
      </c>
      <c r="M194" s="135">
        <f ca="1">IFERROR(__xludf.DUMMYFUNCTION("IMPORTRANGE(""https://docs.google.com/spreadsheets/d/1-uDff_7J0KD5mKrp0Vvzr7lt3OU09vwQwhkpOPPYv2Y/edit?usp=sharing"",""งบพรบ!DA53"")"),0)</f>
        <v>0</v>
      </c>
      <c r="N194" s="135">
        <f ca="1">IFERROR(__xludf.DUMMYFUNCTION("IMPORTRANGE(""https://docs.google.com/spreadsheets/d/1-uDff_7J0KD5mKrp0Vvzr7lt3OU09vwQwhkpOPPYv2Y/edit?usp=sharing"",""งบพรบ!DC53"")"),0)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v>0</v>
      </c>
      <c r="R194" s="77">
        <v>0</v>
      </c>
      <c r="S194" s="77">
        <v>0</v>
      </c>
      <c r="T194" s="135">
        <f>IF(Q194&gt;0,S194*100/Q194,0)</f>
        <v>0</v>
      </c>
      <c r="U194" s="135">
        <f>IF(R194&gt;0,S194*100/R194,0)</f>
        <v>0</v>
      </c>
    </row>
    <row r="195" spans="1:21" ht="19.5" x14ac:dyDescent="0.3">
      <c r="A195" s="372"/>
      <c r="B195" s="373"/>
      <c r="C195" s="374" t="s">
        <v>78</v>
      </c>
      <c r="D195" s="375"/>
      <c r="E195" s="375"/>
      <c r="F195" s="375"/>
      <c r="G195" s="376"/>
      <c r="H195" s="377" t="s">
        <v>79</v>
      </c>
      <c r="I195" s="378">
        <f ca="1">I198</f>
        <v>4</v>
      </c>
      <c r="J195" s="378">
        <f>J198</f>
        <v>2</v>
      </c>
      <c r="K195" s="379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11"/>
      <c r="B196" s="70"/>
      <c r="C196" s="212" t="s">
        <v>18</v>
      </c>
      <c r="D196" s="958" t="s">
        <v>19</v>
      </c>
      <c r="E196" s="70"/>
      <c r="F196" s="70"/>
      <c r="G196" s="72"/>
      <c r="H196" s="384" t="s">
        <v>14</v>
      </c>
      <c r="I196" s="74"/>
      <c r="J196" s="74"/>
      <c r="K196" s="75"/>
      <c r="L196" s="216">
        <f ca="1">IFERROR(__xludf.DUMMYFUNCTION("IMPORTRANGE(""https://docs.google.com/spreadsheets/d/1eHaY18a8A9IcSdp1K8H6x8fbOy06t2VsZHhMHf-1x7Y/edit?usp=sharing"",""แผน!AB53"")"),6000)</f>
        <v>6000</v>
      </c>
      <c r="M196" s="90"/>
      <c r="N196" s="959">
        <v>3660</v>
      </c>
      <c r="O196" s="217">
        <f ca="1">IF(L196&gt;0,N196*100/L196,0)</f>
        <v>61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24"/>
      <c r="B197" s="225"/>
      <c r="C197" s="212" t="s">
        <v>18</v>
      </c>
      <c r="D197" s="909" t="s">
        <v>38</v>
      </c>
      <c r="E197" s="227"/>
      <c r="F197" s="227"/>
      <c r="G197" s="228"/>
      <c r="H197" s="229"/>
      <c r="I197" s="74"/>
      <c r="J197" s="74"/>
      <c r="K197" s="75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24"/>
      <c r="B198" s="225"/>
      <c r="C198" s="225"/>
      <c r="D198" s="238" t="s">
        <v>80</v>
      </c>
      <c r="E198" s="233"/>
      <c r="F198" s="233"/>
      <c r="G198" s="229"/>
      <c r="H198" s="239" t="s">
        <v>79</v>
      </c>
      <c r="I198" s="241">
        <f ca="1">IFERROR(__xludf.DUMMYFUNCTION("IMPORTRANGE(""https://docs.google.com/spreadsheets/d/1eHaY18a8A9IcSdp1K8H6x8fbOy06t2VsZHhMHf-1x7Y/edit?usp=sharing"",""แผน!AE53"")"),4)</f>
        <v>4</v>
      </c>
      <c r="J198" s="816">
        <v>2</v>
      </c>
      <c r="K198" s="91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24"/>
      <c r="B199" s="225"/>
      <c r="C199" s="225"/>
      <c r="D199" s="238" t="s">
        <v>81</v>
      </c>
      <c r="E199" s="233"/>
      <c r="F199" s="233"/>
      <c r="G199" s="229"/>
      <c r="H199" s="370" t="s">
        <v>35</v>
      </c>
      <c r="I199" s="74"/>
      <c r="J199" s="241">
        <f>J200+J201</f>
        <v>47</v>
      </c>
      <c r="K199" s="75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24"/>
      <c r="B200" s="225"/>
      <c r="C200" s="225"/>
      <c r="D200" s="225"/>
      <c r="E200" s="238" t="s">
        <v>82</v>
      </c>
      <c r="F200" s="233"/>
      <c r="G200" s="229"/>
      <c r="H200" s="370" t="s">
        <v>35</v>
      </c>
      <c r="I200" s="74"/>
      <c r="J200" s="816">
        <v>47</v>
      </c>
      <c r="K200" s="75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24"/>
      <c r="B201" s="225"/>
      <c r="C201" s="225"/>
      <c r="D201" s="225"/>
      <c r="E201" s="238" t="s">
        <v>83</v>
      </c>
      <c r="F201" s="233"/>
      <c r="G201" s="229"/>
      <c r="H201" s="370" t="s">
        <v>35</v>
      </c>
      <c r="I201" s="74"/>
      <c r="J201" s="816">
        <v>0</v>
      </c>
      <c r="K201" s="75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372"/>
      <c r="B202" s="373"/>
      <c r="C202" s="374" t="s">
        <v>84</v>
      </c>
      <c r="D202" s="375"/>
      <c r="E202" s="375"/>
      <c r="F202" s="375"/>
      <c r="G202" s="376"/>
      <c r="H202" s="386" t="s">
        <v>85</v>
      </c>
      <c r="I202" s="378">
        <f ca="1">I209</f>
        <v>3</v>
      </c>
      <c r="J202" s="378">
        <f>J209</f>
        <v>0</v>
      </c>
      <c r="K202" s="379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11"/>
      <c r="B203" s="70"/>
      <c r="C203" s="212" t="s">
        <v>18</v>
      </c>
      <c r="D203" s="958" t="s">
        <v>19</v>
      </c>
      <c r="E203" s="70"/>
      <c r="F203" s="70"/>
      <c r="G203" s="72"/>
      <c r="H203" s="384" t="s">
        <v>14</v>
      </c>
      <c r="I203" s="221"/>
      <c r="J203" s="221"/>
      <c r="K203" s="222"/>
      <c r="L203" s="216">
        <f ca="1">L204+L205+L206+L207</f>
        <v>5000</v>
      </c>
      <c r="M203" s="90"/>
      <c r="N203" s="217">
        <f>N204+N205+N206+N207</f>
        <v>0</v>
      </c>
      <c r="O203" s="217">
        <f ca="1">IF(L203&gt;0,N203*100/L203,0)</f>
        <v>0</v>
      </c>
      <c r="P203" s="217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11"/>
      <c r="B204" s="371"/>
      <c r="C204" s="70"/>
      <c r="D204" s="390" t="s">
        <v>316</v>
      </c>
      <c r="E204" s="70"/>
      <c r="F204" s="70"/>
      <c r="G204" s="72"/>
      <c r="H204" s="220" t="s">
        <v>14</v>
      </c>
      <c r="I204" s="221"/>
      <c r="J204" s="221"/>
      <c r="K204" s="222"/>
      <c r="L204" s="134">
        <f ca="1">IFERROR(__xludf.DUMMYFUNCTION("IMPORTRANGE(""https://docs.google.com/spreadsheets/d/1eHaY18a8A9IcSdp1K8H6x8fbOy06t2VsZHhMHf-1x7Y/edit?usp=sharing"",""แผน!AG53"")"),1000)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368"/>
      <c r="B205" s="371"/>
      <c r="C205" s="70"/>
      <c r="D205" s="269" t="s">
        <v>317</v>
      </c>
      <c r="E205" s="70"/>
      <c r="F205" s="70"/>
      <c r="G205" s="72"/>
      <c r="H205" s="73" t="s">
        <v>14</v>
      </c>
      <c r="I205" s="74"/>
      <c r="J205" s="74"/>
      <c r="K205" s="75"/>
      <c r="L205" s="134">
        <f ca="1">IFERROR(__xludf.DUMMYFUNCTION("IMPORTRANGE(""https://docs.google.com/spreadsheets/d/1eHaY18a8A9IcSdp1K8H6x8fbOy06t2VsZHhMHf-1x7Y/edit?usp=sharing"",""แผน!AH53"")"),0)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368"/>
      <c r="B206" s="371"/>
      <c r="C206" s="70"/>
      <c r="D206" s="269" t="s">
        <v>88</v>
      </c>
      <c r="E206" s="70"/>
      <c r="F206" s="70"/>
      <c r="G206" s="72"/>
      <c r="H206" s="73" t="s">
        <v>14</v>
      </c>
      <c r="I206" s="74"/>
      <c r="J206" s="74"/>
      <c r="K206" s="75"/>
      <c r="L206" s="134">
        <f ca="1">IFERROR(__xludf.DUMMYFUNCTION("IMPORTRANGE(""https://docs.google.com/spreadsheets/d/1eHaY18a8A9IcSdp1K8H6x8fbOy06t2VsZHhMHf-1x7Y/edit?usp=sharing"",""แผน!AI53"")"),0)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IFERROR(__xludf.DUMMYFUNCTION("IMPORTRANGE(""https://docs.google.com/spreadsheets/d/1eHaY18a8A9IcSdp1K8H6x8fbOy06t2VsZHhMHf-1x7Y/edit?usp=sharing"",""แผน!LV53"")"),42000)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368"/>
      <c r="B207" s="371"/>
      <c r="C207" s="70"/>
      <c r="D207" s="269" t="s">
        <v>89</v>
      </c>
      <c r="E207" s="70"/>
      <c r="F207" s="70"/>
      <c r="G207" s="72"/>
      <c r="H207" s="73" t="s">
        <v>14</v>
      </c>
      <c r="I207" s="74"/>
      <c r="J207" s="74"/>
      <c r="K207" s="75"/>
      <c r="L207" s="134">
        <f ca="1">IFERROR(__xludf.DUMMYFUNCTION("IMPORTRANGE(""https://docs.google.com/spreadsheets/d/1eHaY18a8A9IcSdp1K8H6x8fbOy06t2VsZHhMHf-1x7Y/edit?usp=sharing"",""แผน!AJ53"")"),4000)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24"/>
      <c r="B208" s="225"/>
      <c r="C208" s="212" t="s">
        <v>18</v>
      </c>
      <c r="D208" s="909" t="s">
        <v>38</v>
      </c>
      <c r="E208" s="227"/>
      <c r="F208" s="227"/>
      <c r="G208" s="228"/>
      <c r="H208" s="229"/>
      <c r="I208" s="221"/>
      <c r="J208" s="221"/>
      <c r="K208" s="222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24"/>
      <c r="B209" s="225"/>
      <c r="C209" s="225"/>
      <c r="D209" s="232" t="s">
        <v>90</v>
      </c>
      <c r="E209" s="233"/>
      <c r="F209" s="233"/>
      <c r="G209" s="229"/>
      <c r="H209" s="392" t="s">
        <v>85</v>
      </c>
      <c r="I209" s="241">
        <f ca="1">IFERROR(__xludf.DUMMYFUNCTION("IMPORTRANGE(""https://docs.google.com/spreadsheets/d/1eHaY18a8A9IcSdp1K8H6x8fbOy06t2VsZHhMHf-1x7Y/edit?usp=sharing"",""แผน!AK53"")"),3)</f>
        <v>3</v>
      </c>
      <c r="J209" s="816">
        <v>0</v>
      </c>
      <c r="K209" s="242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24"/>
      <c r="B210" s="225"/>
      <c r="C210" s="225"/>
      <c r="D210" s="238" t="s">
        <v>50</v>
      </c>
      <c r="E210" s="233"/>
      <c r="F210" s="233"/>
      <c r="G210" s="229"/>
      <c r="H210" s="229"/>
      <c r="I210" s="74"/>
      <c r="J210" s="74"/>
      <c r="K210" s="222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24"/>
      <c r="B211" s="225"/>
      <c r="C211" s="225"/>
      <c r="D211" s="233"/>
      <c r="E211" s="238" t="s">
        <v>91</v>
      </c>
      <c r="F211" s="233"/>
      <c r="G211" s="229"/>
      <c r="H211" s="392" t="s">
        <v>85</v>
      </c>
      <c r="I211" s="241">
        <f ca="1">IFERROR(__xludf.DUMMYFUNCTION("IMPORTRANGE(""https://docs.google.com/spreadsheets/d/1eHaY18a8A9IcSdp1K8H6x8fbOy06t2VsZHhMHf-1x7Y/edit?usp=sharing"",""แผน!JX53"")"),1)</f>
        <v>1</v>
      </c>
      <c r="J211" s="816">
        <v>0</v>
      </c>
      <c r="K211" s="242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24"/>
      <c r="B212" s="225"/>
      <c r="C212" s="225"/>
      <c r="D212" s="233"/>
      <c r="E212" s="238" t="s">
        <v>92</v>
      </c>
      <c r="F212" s="233"/>
      <c r="G212" s="233"/>
      <c r="H212" s="239" t="s">
        <v>93</v>
      </c>
      <c r="I212" s="241">
        <f ca="1">IFERROR(__xludf.DUMMYFUNCTION("IMPORTRANGE(""https://docs.google.com/spreadsheets/d/1eHaY18a8A9IcSdp1K8H6x8fbOy06t2VsZHhMHf-1x7Y/edit?usp=sharing"",""แผน!JY53"")"),0)</f>
        <v>0</v>
      </c>
      <c r="J212" s="816">
        <v>0</v>
      </c>
      <c r="K212" s="242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372"/>
      <c r="B213" s="373"/>
      <c r="C213" s="374" t="s">
        <v>94</v>
      </c>
      <c r="D213" s="375"/>
      <c r="E213" s="375"/>
      <c r="F213" s="375"/>
      <c r="G213" s="376"/>
      <c r="H213" s="386" t="s">
        <v>85</v>
      </c>
      <c r="I213" s="378">
        <f ca="1">I220</f>
        <v>6</v>
      </c>
      <c r="J213" s="378">
        <f>J220</f>
        <v>6</v>
      </c>
      <c r="K213" s="379">
        <f ca="1">IF(I213&gt;0,J213*100/I213,0)</f>
        <v>100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11"/>
      <c r="B214" s="70"/>
      <c r="C214" s="212" t="s">
        <v>18</v>
      </c>
      <c r="D214" s="958" t="s">
        <v>19</v>
      </c>
      <c r="E214" s="70"/>
      <c r="F214" s="70"/>
      <c r="G214" s="72"/>
      <c r="H214" s="384" t="s">
        <v>14</v>
      </c>
      <c r="I214" s="221"/>
      <c r="J214" s="221"/>
      <c r="K214" s="222"/>
      <c r="L214" s="216">
        <f ca="1">L215+L216+L217</f>
        <v>18000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298200</v>
      </c>
      <c r="R214" s="90"/>
      <c r="S214" s="266">
        <f>S215+S216+S217</f>
        <v>175580</v>
      </c>
      <c r="T214" s="266">
        <f ca="1">IF(Q214&gt;0,S214*100/Q214,0)</f>
        <v>58.879946344735075</v>
      </c>
      <c r="U214" s="266">
        <f>IF(R214&gt;0,S214*100/R214,0)</f>
        <v>0</v>
      </c>
    </row>
    <row r="215" spans="1:21" ht="18.75" x14ac:dyDescent="0.25">
      <c r="A215" s="211"/>
      <c r="B215" s="371"/>
      <c r="C215" s="70"/>
      <c r="D215" s="78" t="s">
        <v>86</v>
      </c>
      <c r="E215" s="70"/>
      <c r="F215" s="70"/>
      <c r="G215" s="72"/>
      <c r="H215" s="220" t="s">
        <v>14</v>
      </c>
      <c r="I215" s="221"/>
      <c r="J215" s="221"/>
      <c r="K215" s="222"/>
      <c r="L215" s="134">
        <f ca="1">IFERROR(__xludf.DUMMYFUNCTION("IMPORTRANGE(""https://docs.google.com/spreadsheets/d/1eHaY18a8A9IcSdp1K8H6x8fbOy06t2VsZHhMHf-1x7Y/edit?usp=sharing"",""แผน!AM53"")"),3000)</f>
        <v>3000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368"/>
      <c r="B216" s="371"/>
      <c r="C216" s="371"/>
      <c r="D216" s="78" t="s">
        <v>95</v>
      </c>
      <c r="E216" s="70"/>
      <c r="F216" s="70"/>
      <c r="G216" s="72"/>
      <c r="H216" s="220" t="s">
        <v>14</v>
      </c>
      <c r="I216" s="74"/>
      <c r="J216" s="74"/>
      <c r="K216" s="75"/>
      <c r="L216" s="134">
        <f ca="1">IFERROR(__xludf.DUMMYFUNCTION("IMPORTRANGE(""https://docs.google.com/spreadsheets/d/1eHaY18a8A9IcSdp1K8H6x8fbOy06t2VsZHhMHf-1x7Y/edit?usp=sharing"",""แผน!AN53"")"),15000)</f>
        <v>15000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368"/>
      <c r="B217" s="371"/>
      <c r="C217" s="371"/>
      <c r="D217" s="78" t="s">
        <v>88</v>
      </c>
      <c r="E217" s="70"/>
      <c r="F217" s="70"/>
      <c r="G217" s="72"/>
      <c r="H217" s="220" t="s">
        <v>14</v>
      </c>
      <c r="I217" s="74"/>
      <c r="J217" s="74"/>
      <c r="K217" s="75"/>
      <c r="L217" s="134">
        <f ca="1">IFERROR(__xludf.DUMMYFUNCTION("IMPORTRANGE(""https://docs.google.com/spreadsheets/d/1eHaY18a8A9IcSdp1K8H6x8fbOy06t2VsZHhMHf-1x7Y/edit?usp=sharing"",""แผน!AO53"")"),0)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IFERROR(__xludf.DUMMYFUNCTION("IMPORTRANGE(""https://docs.google.com/spreadsheets/d/1eHaY18a8A9IcSdp1K8H6x8fbOy06t2VsZHhMHf-1x7Y/edit?usp=sharing"",""แผน!LY53"")"),298200)</f>
        <v>298200</v>
      </c>
      <c r="R217" s="90"/>
      <c r="S217" s="391">
        <v>175580</v>
      </c>
      <c r="T217" s="231"/>
      <c r="U217" s="90"/>
    </row>
    <row r="218" spans="1:21" ht="19.5" x14ac:dyDescent="0.3">
      <c r="A218" s="224"/>
      <c r="B218" s="225"/>
      <c r="C218" s="394" t="s">
        <v>18</v>
      </c>
      <c r="D218" s="909" t="s">
        <v>38</v>
      </c>
      <c r="E218" s="227"/>
      <c r="F218" s="227"/>
      <c r="G218" s="228"/>
      <c r="H218" s="229"/>
      <c r="I218" s="221"/>
      <c r="J218" s="74"/>
      <c r="K218" s="75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24"/>
      <c r="B219" s="225"/>
      <c r="C219" s="225"/>
      <c r="D219" s="232" t="s">
        <v>96</v>
      </c>
      <c r="E219" s="233"/>
      <c r="F219" s="233"/>
      <c r="G219" s="229"/>
      <c r="H219" s="392" t="s">
        <v>85</v>
      </c>
      <c r="I219" s="241">
        <f ca="1">IFERROR(__xludf.DUMMYFUNCTION("IMPORTRANGE(""https://docs.google.com/spreadsheets/d/1eHaY18a8A9IcSdp1K8H6x8fbOy06t2VsZHhMHf-1x7Y/edit?usp=sharing"",""แผน!AP53"")"),6)</f>
        <v>6</v>
      </c>
      <c r="J219" s="816">
        <v>0</v>
      </c>
      <c r="K219" s="91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24"/>
      <c r="B220" s="225"/>
      <c r="C220" s="225"/>
      <c r="D220" s="232" t="s">
        <v>97</v>
      </c>
      <c r="E220" s="233"/>
      <c r="F220" s="233"/>
      <c r="G220" s="229"/>
      <c r="H220" s="392" t="s">
        <v>85</v>
      </c>
      <c r="I220" s="241">
        <f ca="1">IFERROR(__xludf.DUMMYFUNCTION("IMPORTRANGE(""https://docs.google.com/spreadsheets/d/1eHaY18a8A9IcSdp1K8H6x8fbOy06t2VsZHhMHf-1x7Y/edit?usp=sharing"",""แผน!AP53"")"),6)</f>
        <v>6</v>
      </c>
      <c r="J220" s="816">
        <v>6</v>
      </c>
      <c r="K220" s="91">
        <f ca="1">IF(I220&gt;0,J220*100/I220,0)</f>
        <v>100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372"/>
      <c r="B221" s="373"/>
      <c r="C221" s="374" t="s">
        <v>98</v>
      </c>
      <c r="D221" s="375"/>
      <c r="E221" s="375"/>
      <c r="F221" s="375"/>
      <c r="G221" s="376"/>
      <c r="H221" s="377" t="s">
        <v>99</v>
      </c>
      <c r="I221" s="378">
        <f ca="1">I229</f>
        <v>40000</v>
      </c>
      <c r="J221" s="378">
        <f>J229</f>
        <v>0</v>
      </c>
      <c r="K221" s="379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11"/>
      <c r="B222" s="70"/>
      <c r="C222" s="212" t="s">
        <v>18</v>
      </c>
      <c r="D222" s="958" t="s">
        <v>19</v>
      </c>
      <c r="E222" s="70"/>
      <c r="F222" s="70"/>
      <c r="G222" s="72"/>
      <c r="H222" s="384" t="s">
        <v>14</v>
      </c>
      <c r="I222" s="221"/>
      <c r="J222" s="221"/>
      <c r="K222" s="222"/>
      <c r="L222" s="216">
        <f ca="1">L223+L224+L225</f>
        <v>6500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11"/>
      <c r="B223" s="371"/>
      <c r="C223" s="70"/>
      <c r="D223" s="78" t="s">
        <v>319</v>
      </c>
      <c r="E223" s="70"/>
      <c r="F223" s="70"/>
      <c r="G223" s="72"/>
      <c r="H223" s="220" t="s">
        <v>14</v>
      </c>
      <c r="I223" s="221"/>
      <c r="J223" s="221"/>
      <c r="K223" s="222"/>
      <c r="L223" s="134">
        <f ca="1">IFERROR(__xludf.DUMMYFUNCTION("IMPORTRANGE(""https://docs.google.com/spreadsheets/d/1eHaY18a8A9IcSdp1K8H6x8fbOy06t2VsZHhMHf-1x7Y/edit?usp=sharing"",""แผน!AR53"")"),2500)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368"/>
      <c r="B224" s="371"/>
      <c r="C224" s="371"/>
      <c r="D224" s="78" t="s">
        <v>317</v>
      </c>
      <c r="E224" s="70"/>
      <c r="F224" s="70"/>
      <c r="G224" s="72"/>
      <c r="H224" s="220" t="s">
        <v>14</v>
      </c>
      <c r="I224" s="74"/>
      <c r="J224" s="74"/>
      <c r="K224" s="75"/>
      <c r="L224" s="134">
        <f ca="1">IFERROR(__xludf.DUMMYFUNCTION("IMPORTRANGE(""https://docs.google.com/spreadsheets/d/1eHaY18a8A9IcSdp1K8H6x8fbOy06t2VsZHhMHf-1x7Y/edit?usp=sharing"",""แผน!AS53"")"),4000)</f>
        <v>4000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368"/>
      <c r="B225" s="371"/>
      <c r="C225" s="371"/>
      <c r="D225" s="78" t="s">
        <v>88</v>
      </c>
      <c r="E225" s="70"/>
      <c r="F225" s="70"/>
      <c r="G225" s="72"/>
      <c r="H225" s="220" t="s">
        <v>14</v>
      </c>
      <c r="I225" s="74"/>
      <c r="J225" s="74"/>
      <c r="K225" s="75"/>
      <c r="L225" s="134">
        <f ca="1">IFERROR(__xludf.DUMMYFUNCTION("IMPORTRANGE(""https://docs.google.com/spreadsheets/d/1eHaY18a8A9IcSdp1K8H6x8fbOy06t2VsZHhMHf-1x7Y/edit?usp=sharing"",""แผน!AT53"")"),0)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24"/>
      <c r="B226" s="225"/>
      <c r="C226" s="394" t="s">
        <v>18</v>
      </c>
      <c r="D226" s="909" t="s">
        <v>38</v>
      </c>
      <c r="E226" s="227"/>
      <c r="F226" s="227"/>
      <c r="G226" s="228"/>
      <c r="H226" s="229"/>
      <c r="I226" s="221"/>
      <c r="J226" s="221"/>
      <c r="K226" s="222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24"/>
      <c r="B227" s="225"/>
      <c r="C227" s="225"/>
      <c r="D227" s="78" t="s">
        <v>101</v>
      </c>
      <c r="E227" s="233"/>
      <c r="F227" s="233"/>
      <c r="G227" s="229"/>
      <c r="H227" s="229"/>
      <c r="I227" s="74"/>
      <c r="J227" s="74"/>
      <c r="K227" s="222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24"/>
      <c r="B228" s="225"/>
      <c r="C228" s="225"/>
      <c r="D228" s="225"/>
      <c r="E228" s="232" t="s">
        <v>102</v>
      </c>
      <c r="F228" s="233"/>
      <c r="G228" s="229"/>
      <c r="H228" s="239" t="s">
        <v>99</v>
      </c>
      <c r="I228" s="241">
        <f ca="1">IFERROR(__xludf.DUMMYFUNCTION("IMPORTRANGE(""https://docs.google.com/spreadsheets/d/1eHaY18a8A9IcSdp1K8H6x8fbOy06t2VsZHhMHf-1x7Y/edit?usp=sharing"",""แผน!AV53"")"),40000)</f>
        <v>40000</v>
      </c>
      <c r="J228" s="816">
        <v>40000</v>
      </c>
      <c r="K228" s="242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24"/>
      <c r="B229" s="225"/>
      <c r="C229" s="225"/>
      <c r="D229" s="225"/>
      <c r="E229" s="232" t="s">
        <v>103</v>
      </c>
      <c r="F229" s="233"/>
      <c r="G229" s="229"/>
      <c r="H229" s="239" t="s">
        <v>99</v>
      </c>
      <c r="I229" s="241">
        <f ca="1">IFERROR(__xludf.DUMMYFUNCTION("IMPORTRANGE(""https://docs.google.com/spreadsheets/d/1eHaY18a8A9IcSdp1K8H6x8fbOy06t2VsZHhMHf-1x7Y/edit?usp=sharing"",""แผน!AV53"")"),40000)</f>
        <v>40000</v>
      </c>
      <c r="J229" s="816">
        <v>0</v>
      </c>
      <c r="K229" s="242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24"/>
      <c r="B230" s="225"/>
      <c r="C230" s="225"/>
      <c r="D230" s="78" t="s">
        <v>104</v>
      </c>
      <c r="E230" s="233"/>
      <c r="F230" s="233"/>
      <c r="G230" s="229"/>
      <c r="H230" s="239" t="s">
        <v>35</v>
      </c>
      <c r="I230" s="241">
        <f ca="1">IFERROR(__xludf.DUMMYFUNCTION("IMPORTRANGE(""https://docs.google.com/spreadsheets/d/1eHaY18a8A9IcSdp1K8H6x8fbOy06t2VsZHhMHf-1x7Y/edit?usp=sharing"",""แผน!AU53"")"),0)</f>
        <v>0</v>
      </c>
      <c r="J230" s="816">
        <v>0</v>
      </c>
      <c r="K230" s="242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947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30</v>
      </c>
      <c r="J231" s="943">
        <f>J242+J253</f>
        <v>30</v>
      </c>
      <c r="K231" s="942">
        <f ca="1">IF(I231&gt;0,J231*100/I231,0)</f>
        <v>100</v>
      </c>
      <c r="L231" s="957"/>
      <c r="M231" s="956"/>
      <c r="N231" s="956"/>
      <c r="O231" s="956"/>
      <c r="P231" s="956"/>
      <c r="Q231" s="956"/>
      <c r="R231" s="956"/>
      <c r="S231" s="956"/>
      <c r="T231" s="956"/>
      <c r="U231" s="956"/>
    </row>
    <row r="232" spans="1:21" ht="19.5" hidden="1" x14ac:dyDescent="0.3">
      <c r="A232" s="882"/>
      <c r="B232" s="870"/>
      <c r="C232" s="853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955">
        <f ca="1">L243+L254</f>
        <v>131600</v>
      </c>
      <c r="M232" s="874"/>
      <c r="N232" s="954">
        <f>N243+N254</f>
        <v>107865</v>
      </c>
      <c r="O232" s="874"/>
      <c r="P232" s="874"/>
      <c r="Q232" s="874"/>
      <c r="R232" s="874"/>
      <c r="S232" s="874"/>
      <c r="T232" s="874"/>
      <c r="U232" s="874"/>
    </row>
    <row r="233" spans="1:21" ht="18.75" hidden="1" x14ac:dyDescent="0.25">
      <c r="A233" s="882"/>
      <c r="B233" s="872"/>
      <c r="C233" s="870"/>
      <c r="D233" s="953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219">
        <f ca="1">L244+L255</f>
        <v>10000</v>
      </c>
      <c r="M233" s="874"/>
      <c r="N233" s="136">
        <f>N244+N255</f>
        <v>6265</v>
      </c>
      <c r="O233" s="874"/>
      <c r="P233" s="874"/>
      <c r="Q233" s="952">
        <v>0</v>
      </c>
      <c r="R233" s="951">
        <v>0</v>
      </c>
      <c r="S233" s="951">
        <v>0</v>
      </c>
      <c r="T233" s="874"/>
      <c r="U233" s="874"/>
    </row>
    <row r="234" spans="1:21" ht="18.75" hidden="1" x14ac:dyDescent="0.25">
      <c r="A234" s="873"/>
      <c r="B234" s="872"/>
      <c r="C234" s="872"/>
      <c r="D234" s="267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219">
        <f ca="1">L245+L256</f>
        <v>0</v>
      </c>
      <c r="M234" s="874"/>
      <c r="N234" s="136">
        <f>N245+N256</f>
        <v>0</v>
      </c>
      <c r="O234" s="874"/>
      <c r="P234" s="874"/>
      <c r="Q234" s="79">
        <v>0</v>
      </c>
      <c r="R234" s="80">
        <v>0</v>
      </c>
      <c r="S234" s="80">
        <v>0</v>
      </c>
      <c r="T234" s="874"/>
      <c r="U234" s="874"/>
    </row>
    <row r="235" spans="1:21" ht="18.75" hidden="1" x14ac:dyDescent="0.25">
      <c r="A235" s="873"/>
      <c r="B235" s="872"/>
      <c r="C235" s="872"/>
      <c r="D235" s="267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219">
        <f ca="1">L246+L257</f>
        <v>55600</v>
      </c>
      <c r="M235" s="874"/>
      <c r="N235" s="136">
        <f>N246+N257</f>
        <v>55600</v>
      </c>
      <c r="O235" s="874"/>
      <c r="P235" s="874"/>
      <c r="Q235" s="79">
        <v>0</v>
      </c>
      <c r="R235" s="80">
        <v>0</v>
      </c>
      <c r="S235" s="80">
        <v>0</v>
      </c>
      <c r="T235" s="874"/>
      <c r="U235" s="874"/>
    </row>
    <row r="236" spans="1:21" ht="18.75" hidden="1" x14ac:dyDescent="0.25">
      <c r="A236" s="873"/>
      <c r="B236" s="872"/>
      <c r="C236" s="872"/>
      <c r="D236" s="267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219">
        <f ca="1">L247+L258</f>
        <v>66000</v>
      </c>
      <c r="M236" s="874"/>
      <c r="N236" s="136">
        <f>N247+N258</f>
        <v>46000</v>
      </c>
      <c r="O236" s="874"/>
      <c r="P236" s="874"/>
      <c r="Q236" s="79">
        <v>0</v>
      </c>
      <c r="R236" s="80">
        <v>0</v>
      </c>
      <c r="S236" s="80">
        <v>0</v>
      </c>
      <c r="T236" s="874"/>
      <c r="U236" s="874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877"/>
      <c r="I237" s="876"/>
      <c r="J237" s="875"/>
      <c r="K237" s="874"/>
      <c r="L237" s="950"/>
      <c r="M237" s="874"/>
      <c r="N237" s="874"/>
      <c r="O237" s="881"/>
      <c r="P237" s="881"/>
      <c r="Q237" s="874"/>
      <c r="R237" s="874"/>
      <c r="S237" s="874"/>
      <c r="T237" s="881"/>
      <c r="U237" s="88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936" t="s">
        <v>35</v>
      </c>
      <c r="I238" s="574">
        <f ca="1">I249+I260</f>
        <v>30</v>
      </c>
      <c r="J238" s="574">
        <f>J249+J260</f>
        <v>30</v>
      </c>
      <c r="K238" s="80">
        <f ca="1">IF(I238&gt;0,J238*100/I238,0)</f>
        <v>100</v>
      </c>
      <c r="L238" s="950"/>
      <c r="M238" s="874"/>
      <c r="N238" s="874"/>
      <c r="O238" s="874"/>
      <c r="P238" s="874"/>
      <c r="Q238" s="874"/>
      <c r="R238" s="874"/>
      <c r="S238" s="874"/>
      <c r="T238" s="874"/>
      <c r="U238" s="874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877"/>
      <c r="I239" s="875"/>
      <c r="J239" s="875"/>
      <c r="K239" s="874"/>
      <c r="L239" s="950"/>
      <c r="M239" s="874"/>
      <c r="N239" s="874"/>
      <c r="O239" s="881"/>
      <c r="P239" s="881"/>
      <c r="Q239" s="874"/>
      <c r="R239" s="874"/>
      <c r="S239" s="874"/>
      <c r="T239" s="881"/>
      <c r="U239" s="88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936" t="s">
        <v>35</v>
      </c>
      <c r="I240" s="574">
        <f ca="1">I251+I262</f>
        <v>30</v>
      </c>
      <c r="J240" s="574">
        <f>J251+J262</f>
        <v>30</v>
      </c>
      <c r="K240" s="80">
        <f ca="1">IF(I240&gt;0,J240*100/I240,0)</f>
        <v>100</v>
      </c>
      <c r="L240" s="950"/>
      <c r="M240" s="874"/>
      <c r="N240" s="874"/>
      <c r="O240" s="874"/>
      <c r="P240" s="874"/>
      <c r="Q240" s="874"/>
      <c r="R240" s="874"/>
      <c r="S240" s="874"/>
      <c r="T240" s="874"/>
      <c r="U240" s="874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936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950"/>
      <c r="M241" s="874"/>
      <c r="N241" s="874"/>
      <c r="O241" s="874"/>
      <c r="P241" s="874"/>
      <c r="Q241" s="874"/>
      <c r="R241" s="874"/>
      <c r="S241" s="874"/>
      <c r="T241" s="874"/>
      <c r="U241" s="874"/>
    </row>
    <row r="242" spans="1:21" ht="19.5" x14ac:dyDescent="0.3">
      <c r="A242" s="372"/>
      <c r="B242" s="373"/>
      <c r="C242" s="374" t="s">
        <v>318</v>
      </c>
      <c r="D242" s="375"/>
      <c r="E242" s="375"/>
      <c r="F242" s="375"/>
      <c r="G242" s="376"/>
      <c r="H242" s="377" t="s">
        <v>35</v>
      </c>
      <c r="I242" s="378">
        <f ca="1">I249</f>
        <v>30</v>
      </c>
      <c r="J242" s="378">
        <f>J249</f>
        <v>30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131600</v>
      </c>
      <c r="M243" s="90"/>
      <c r="N243" s="217">
        <f>N244+N245+N246+N247</f>
        <v>107865</v>
      </c>
      <c r="O243" s="217">
        <f ca="1">IF(L243&gt;0,N243*100/L243,0)</f>
        <v>81.964285714285708</v>
      </c>
      <c r="P243" s="217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390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IFERROR(__xludf.DUMMYFUNCTION("IMPORTRANGE(""https://docs.google.com/spreadsheets/d/1eHaY18a8A9IcSdp1K8H6x8fbOy06t2VsZHhMHf-1x7Y/edit?usp=sharing"",""แผน!AX53"")"),10000)</f>
        <v>10000</v>
      </c>
      <c r="M244" s="90"/>
      <c r="N244" s="391">
        <v>6265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269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IFERROR(__xludf.DUMMYFUNCTION("IMPORTRANGE(""https://docs.google.com/spreadsheets/d/1eHaY18a8A9IcSdp1K8H6x8fbOy06t2VsZHhMHf-1x7Y/edit?usp=sharing"",""แผน!AY53"")"),0)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269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IFERROR(__xludf.DUMMYFUNCTION("IMPORTRANGE(""https://docs.google.com/spreadsheets/d/1eHaY18a8A9IcSdp1K8H6x8fbOy06t2VsZHhMHf-1x7Y/edit?usp=sharing"",""แผน!AZ53"")"),55600)</f>
        <v>55600</v>
      </c>
      <c r="M246" s="90"/>
      <c r="N246" s="391">
        <v>55600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IFERROR(__xludf.DUMMYFUNCTION("IMPORTRANGE(""https://docs.google.com/spreadsheets/d/1eHaY18a8A9IcSdp1K8H6x8fbOy06t2VsZHhMHf-1x7Y/edit?usp=sharing"",""แผน!BA53"")"),66000)</f>
        <v>66000</v>
      </c>
      <c r="M247" s="90"/>
      <c r="N247" s="391">
        <v>46000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IFERROR(__xludf.DUMMYFUNCTION("IMPORTRANGE(""https://docs.google.com/spreadsheets/d/1eHaY18a8A9IcSdp1K8H6x8fbOy06t2VsZHhMHf-1x7Y/edit?usp=sharing"",""แผน!BG53"")"),30)</f>
        <v>30</v>
      </c>
      <c r="J249" s="816">
        <v>30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IFERROR(__xludf.DUMMYFUNCTION("IMPORTRANGE(""https://docs.google.com/spreadsheets/d/1eHaY18a8A9IcSdp1K8H6x8fbOy06t2VsZHhMHf-1x7Y/edit?usp=sharing"",""แผน!JZ53"")"),30)</f>
        <v>30</v>
      </c>
      <c r="J251" s="816">
        <v>30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IFERROR(__xludf.DUMMYFUNCTION("IMPORTRANGE(""https://docs.google.com/spreadsheets/d/1eHaY18a8A9IcSdp1K8H6x8fbOy06t2VsZHhMHf-1x7Y/edit?usp=sharing"",""แผน!KA53"")"),1)</f>
        <v>1</v>
      </c>
      <c r="J252" s="816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949"/>
      <c r="B253" s="948"/>
      <c r="C253" s="947" t="s">
        <v>112</v>
      </c>
      <c r="D253" s="946"/>
      <c r="E253" s="946"/>
      <c r="F253" s="946"/>
      <c r="G253" s="945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882"/>
      <c r="B254" s="870"/>
      <c r="C254" s="853" t="s">
        <v>18</v>
      </c>
      <c r="D254" s="941" t="s">
        <v>19</v>
      </c>
      <c r="E254" s="870"/>
      <c r="F254" s="870"/>
      <c r="G254" s="869"/>
      <c r="H254" s="684" t="s">
        <v>14</v>
      </c>
      <c r="I254" s="876"/>
      <c r="J254" s="876"/>
      <c r="K254" s="881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882"/>
      <c r="B255" s="872"/>
      <c r="C255" s="870"/>
      <c r="D255" s="390" t="s">
        <v>316</v>
      </c>
      <c r="E255" s="870"/>
      <c r="F255" s="870"/>
      <c r="G255" s="869"/>
      <c r="H255" s="275" t="s">
        <v>14</v>
      </c>
      <c r="I255" s="876"/>
      <c r="J255" s="876"/>
      <c r="K255" s="881"/>
      <c r="L255" s="134">
        <f ca="1">IFERROR(__xludf.DUMMYFUNCTION("IMPORTRANGE(""https://docs.google.com/spreadsheets/d/1eHaY18a8A9IcSdp1K8H6x8fbOy06t2VsZHhMHf-1x7Y/edit?usp=sharing"",""แผน!BB53"")"),0)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873"/>
      <c r="B256" s="872"/>
      <c r="C256" s="872"/>
      <c r="D256" s="269" t="s">
        <v>87</v>
      </c>
      <c r="E256" s="870"/>
      <c r="F256" s="870"/>
      <c r="G256" s="869"/>
      <c r="H256" s="275" t="s">
        <v>14</v>
      </c>
      <c r="I256" s="875"/>
      <c r="J256" s="875"/>
      <c r="K256" s="874"/>
      <c r="L256" s="134">
        <f ca="1">IFERROR(__xludf.DUMMYFUNCTION("IMPORTRANGE(""https://docs.google.com/spreadsheets/d/1eHaY18a8A9IcSdp1K8H6x8fbOy06t2VsZHhMHf-1x7Y/edit?usp=sharing"",""แผน!BC53"")"),0)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873"/>
      <c r="B257" s="872"/>
      <c r="C257" s="872"/>
      <c r="D257" s="269" t="s">
        <v>88</v>
      </c>
      <c r="E257" s="870"/>
      <c r="F257" s="870"/>
      <c r="G257" s="869"/>
      <c r="H257" s="275" t="s">
        <v>14</v>
      </c>
      <c r="I257" s="875"/>
      <c r="J257" s="875"/>
      <c r="K257" s="874"/>
      <c r="L257" s="134">
        <f ca="1">IFERROR(__xludf.DUMMYFUNCTION("IMPORTRANGE(""https://docs.google.com/spreadsheets/d/1eHaY18a8A9IcSdp1K8H6x8fbOy06t2VsZHhMHf-1x7Y/edit?usp=sharing"",""แผน!BD53"")"),0)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873"/>
      <c r="B258" s="872"/>
      <c r="C258" s="872"/>
      <c r="D258" s="269" t="s">
        <v>89</v>
      </c>
      <c r="E258" s="870"/>
      <c r="F258" s="870"/>
      <c r="G258" s="869"/>
      <c r="H258" s="275" t="s">
        <v>14</v>
      </c>
      <c r="I258" s="875"/>
      <c r="J258" s="875"/>
      <c r="K258" s="874"/>
      <c r="L258" s="134">
        <f ca="1">IFERROR(__xludf.DUMMYFUNCTION("IMPORTRANGE(""https://docs.google.com/spreadsheets/d/1eHaY18a8A9IcSdp1K8H6x8fbOy06t2VsZHhMHf-1x7Y/edit?usp=sharing"",""แผน!BE53"")"),0)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880"/>
      <c r="B259" s="871"/>
      <c r="C259" s="940" t="s">
        <v>18</v>
      </c>
      <c r="D259" s="846" t="s">
        <v>38</v>
      </c>
      <c r="E259" s="879"/>
      <c r="F259" s="879"/>
      <c r="G259" s="878"/>
      <c r="H259" s="877"/>
      <c r="I259" s="876"/>
      <c r="J259" s="875"/>
      <c r="K259" s="874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880"/>
      <c r="B260" s="871"/>
      <c r="C260" s="871"/>
      <c r="D260" s="310" t="s">
        <v>108</v>
      </c>
      <c r="E260" s="937"/>
      <c r="F260" s="937"/>
      <c r="G260" s="877"/>
      <c r="H260" s="936" t="s">
        <v>35</v>
      </c>
      <c r="I260" s="574">
        <f ca="1">IFERROR(__xludf.DUMMYFUNCTION("IMPORTRANGE(""https://docs.google.com/spreadsheets/d/1eHaY18a8A9IcSdp1K8H6x8fbOy06t2VsZHhMHf-1x7Y/edit?usp=sharing"",""แผน!BH53"")"),0)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880"/>
      <c r="B261" s="871"/>
      <c r="C261" s="871"/>
      <c r="D261" s="939" t="s">
        <v>43</v>
      </c>
      <c r="E261" s="937"/>
      <c r="F261" s="937"/>
      <c r="G261" s="877"/>
      <c r="H261" s="877"/>
      <c r="I261" s="875"/>
      <c r="J261" s="875"/>
      <c r="K261" s="874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880"/>
      <c r="B262" s="871"/>
      <c r="C262" s="871"/>
      <c r="D262" s="871"/>
      <c r="E262" s="938" t="s">
        <v>109</v>
      </c>
      <c r="F262" s="937"/>
      <c r="G262" s="877"/>
      <c r="H262" s="936" t="s">
        <v>35</v>
      </c>
      <c r="I262" s="87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880"/>
      <c r="B263" s="871"/>
      <c r="C263" s="871"/>
      <c r="D263" s="871"/>
      <c r="E263" s="938" t="s">
        <v>110</v>
      </c>
      <c r="F263" s="937"/>
      <c r="G263" s="877"/>
      <c r="H263" s="936" t="s">
        <v>61</v>
      </c>
      <c r="I263" s="87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363">
        <f ca="1">I276</f>
        <v>24</v>
      </c>
      <c r="J265" s="363">
        <f>J276</f>
        <v>24</v>
      </c>
      <c r="K265" s="364">
        <f ca="1">IF(I265&gt;0,J265*100/I265,0)</f>
        <v>100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0</v>
      </c>
      <c r="M266" s="217">
        <f ca="1">M267+M268</f>
        <v>5000</v>
      </c>
      <c r="N266" s="217">
        <f ca="1">N267+N268</f>
        <v>0</v>
      </c>
      <c r="O266" s="217">
        <f ca="1">IF(L266&gt;0,N266*100/L266,0)</f>
        <v>0</v>
      </c>
      <c r="P266" s="217">
        <f ca="1">IF(M266&gt;0,N266*100/M266,0)</f>
        <v>0</v>
      </c>
      <c r="Q266" s="217">
        <f ca="1">Q267+Q268</f>
        <v>53440</v>
      </c>
      <c r="R266" s="217">
        <f ca="1">R267+R268</f>
        <v>53440</v>
      </c>
      <c r="S266" s="217">
        <f ca="1">S267+S268</f>
        <v>10440</v>
      </c>
      <c r="T266" s="217">
        <f ca="1">IF(Q266&gt;0,S266*100/Q266,0)</f>
        <v>19.535928143712574</v>
      </c>
      <c r="U266" s="217">
        <f ca="1">IF(R266&gt;0,S266*100/R266,0)</f>
        <v>19.535928143712574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0</v>
      </c>
      <c r="M268" s="135">
        <f ca="1">M271+M274</f>
        <v>5000</v>
      </c>
      <c r="N268" s="135">
        <f ca="1">N271+N274</f>
        <v>0</v>
      </c>
      <c r="O268" s="135">
        <f ca="1">IF(L268&gt;0,N268*100/L268,0)</f>
        <v>0</v>
      </c>
      <c r="P268" s="135">
        <f ca="1">IF(M268&gt;0,N268*100/M268,0)</f>
        <v>0</v>
      </c>
      <c r="Q268" s="135">
        <f ca="1">Q271+Q274</f>
        <v>53440</v>
      </c>
      <c r="R268" s="135">
        <f ca="1">R271+R274</f>
        <v>53440</v>
      </c>
      <c r="S268" s="135">
        <f ca="1">S271+S274</f>
        <v>10440</v>
      </c>
      <c r="T268" s="135">
        <f ca="1">IF(Q268&gt;0,S268*100/Q268,0)</f>
        <v>19.535928143712574</v>
      </c>
      <c r="U268" s="135">
        <f ca="1">IF(R268&gt;0,S268*100/R268,0)</f>
        <v>19.535928143712574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0</v>
      </c>
      <c r="M269" s="135">
        <f ca="1">M270+M271</f>
        <v>5000</v>
      </c>
      <c r="N269" s="135">
        <f ca="1">N270+N271</f>
        <v>0</v>
      </c>
      <c r="O269" s="135">
        <f ca="1">IF(L269&gt;0,N269*100/L269,0)</f>
        <v>0</v>
      </c>
      <c r="P269" s="135">
        <f ca="1">IF(M269&gt;0,N269*100/M269,0)</f>
        <v>0</v>
      </c>
      <c r="Q269" s="135">
        <f ca="1">Q270+Q271</f>
        <v>53440</v>
      </c>
      <c r="R269" s="135">
        <f ca="1">R270+R271</f>
        <v>53440</v>
      </c>
      <c r="S269" s="135">
        <f ca="1">S270+S271</f>
        <v>10440</v>
      </c>
      <c r="T269" s="135">
        <f ca="1">IF(Q269&gt;0,S269*100/Q269,0)</f>
        <v>19.535928143712574</v>
      </c>
      <c r="U269" s="135">
        <f ca="1">IF(R269&gt;0,S269*100/R269,0)</f>
        <v>19.535928143712574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IFERROR(__xludf.DUMMYFUNCTION("IMPORTRANGE(""https://docs.google.com/spreadsheets/d/1-uDff_7J0KD5mKrp0Vvzr7lt3OU09vwQwhkpOPPYv2Y/edit?usp=sharing"",""งบพรบ!DE53"")"),0)</f>
        <v>0</v>
      </c>
      <c r="M271" s="135">
        <f ca="1">IFERROR(__xludf.DUMMYFUNCTION("IMPORTRANGE(""https://docs.google.com/spreadsheets/d/1-uDff_7J0KD5mKrp0Vvzr7lt3OU09vwQwhkpOPPYv2Y/edit?usp=sharing"",""งบพรบ!DJ53"")"),5000)</f>
        <v>5000</v>
      </c>
      <c r="N271" s="135">
        <f ca="1">IFERROR(__xludf.DUMMYFUNCTION("IMPORTRANGE(""https://docs.google.com/spreadsheets/d/1-uDff_7J0KD5mKrp0Vvzr7lt3OU09vwQwhkpOPPYv2Y/edit?usp=sharing"",""งบพรบ!DL53"")"),0)</f>
        <v>0</v>
      </c>
      <c r="O271" s="135">
        <f ca="1">IF(L271&gt;0,N271*100/L271,0)</f>
        <v>0</v>
      </c>
      <c r="P271" s="135">
        <f ca="1">IF(M271&gt;0,N271*100/M271,0)</f>
        <v>0</v>
      </c>
      <c r="Q271" s="135">
        <f ca="1">IFERROR(__xludf.DUMMYFUNCTION("IMPORTRANGE(""https://docs.google.com/spreadsheets/d/1ItG2mGa2ceCfYo0BwxsXqNm01IGEUdYcSSLTEv9YCik/edit?usp=sharing"",""เบิกจ่ายกองทุน!AJ53"")"),53440)</f>
        <v>53440</v>
      </c>
      <c r="R271" s="135">
        <f ca="1">IFERROR(__xludf.DUMMYFUNCTION("IMPORTRANGE(""https://docs.google.com/spreadsheets/d/1ItG2mGa2ceCfYo0BwxsXqNm01IGEUdYcSSLTEv9YCik/edit?usp=sharing"",""เบิกจ่ายกองทุน!AK53"")"),53440)</f>
        <v>53440</v>
      </c>
      <c r="S271" s="135">
        <f ca="1">IFERROR(__xludf.DUMMYFUNCTION("IMPORTRANGE(""https://docs.google.com/spreadsheets/d/1ItG2mGa2ceCfYo0BwxsXqNm01IGEUdYcSSLTEv9YCik/edit?usp=sharing"",""เบิกจ่ายกองทุน!AL53"")"),10440)</f>
        <v>10440</v>
      </c>
      <c r="T271" s="135">
        <f ca="1">IF(Q271&gt;0,S271*100/Q271,0)</f>
        <v>19.535928143712574</v>
      </c>
      <c r="U271" s="135">
        <f ca="1">IF(R271&gt;0,S271*100/R271,0)</f>
        <v>19.535928143712574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IFERROR(__xludf.DUMMYFUNCTION("IMPORTRANGE(""https://docs.google.com/spreadsheets/d/1-uDff_7J0KD5mKrp0Vvzr7lt3OU09vwQwhkpOPPYv2Y/edit?usp=sharing"",""งบพรบ!DH53"")"),0)</f>
        <v>0</v>
      </c>
      <c r="M274" s="135">
        <f ca="1">IFERROR(__xludf.DUMMYFUNCTION("IMPORTRANGE(""https://docs.google.com/spreadsheets/d/1-uDff_7J0KD5mKrp0Vvzr7lt3OU09vwQwhkpOPPYv2Y/edit?usp=sharing"",""งบพรบ!DK53"")"),0)</f>
        <v>0</v>
      </c>
      <c r="N274" s="135">
        <f ca="1">IFERROR(__xludf.DUMMYFUNCTION("IMPORTRANGE(""https://docs.google.com/spreadsheets/d/1-uDff_7J0KD5mKrp0Vvzr7lt3OU09vwQwhkpOPPYv2Y/edit?usp=sharing"",""งบพรบ!DM53"")"),0)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IFERROR(__xludf.DUMMYFUNCTION("IMPORTRANGE(""https://docs.google.com/spreadsheets/d/1eHaY18a8A9IcSdp1K8H6x8fbOy06t2VsZHhMHf-1x7Y/edit?usp=sharing"",""แผน!EC53"")"),24)</f>
        <v>24</v>
      </c>
      <c r="J276" s="931">
        <v>24</v>
      </c>
      <c r="K276" s="88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930"/>
      <c r="B277" s="929"/>
      <c r="C277" s="929"/>
      <c r="D277" s="928" t="s">
        <v>116</v>
      </c>
      <c r="E277" s="927"/>
      <c r="F277" s="927"/>
      <c r="G277" s="926"/>
      <c r="H277" s="925" t="s">
        <v>35</v>
      </c>
      <c r="I277" s="924">
        <v>0</v>
      </c>
      <c r="J277" s="924">
        <v>0</v>
      </c>
      <c r="K277" s="923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446" t="s">
        <v>117</v>
      </c>
      <c r="B278" s="447"/>
      <c r="C278" s="447"/>
      <c r="D278" s="447"/>
      <c r="E278" s="448"/>
      <c r="F278" s="448"/>
      <c r="G278" s="448"/>
      <c r="H278" s="448"/>
      <c r="I278" s="449"/>
      <c r="J278" s="449"/>
      <c r="K278" s="450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456" t="s">
        <v>118</v>
      </c>
      <c r="B279" s="457"/>
      <c r="C279" s="458"/>
      <c r="D279" s="457"/>
      <c r="E279" s="457"/>
      <c r="F279" s="457"/>
      <c r="G279" s="457"/>
      <c r="H279" s="457"/>
      <c r="I279" s="459"/>
      <c r="J279" s="460"/>
      <c r="K279" s="461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464"/>
      <c r="B280" s="465" t="s">
        <v>119</v>
      </c>
      <c r="C280" s="466"/>
      <c r="D280" s="467"/>
      <c r="E280" s="466"/>
      <c r="F280" s="466"/>
      <c r="G280" s="468"/>
      <c r="H280" s="469" t="s">
        <v>35</v>
      </c>
      <c r="I280" s="470">
        <f ca="1">I293</f>
        <v>0</v>
      </c>
      <c r="J280" s="470">
        <f>J293</f>
        <v>0</v>
      </c>
      <c r="K280" s="471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464"/>
      <c r="B281" s="466"/>
      <c r="C281" s="466"/>
      <c r="D281" s="467"/>
      <c r="E281" s="466"/>
      <c r="F281" s="466"/>
      <c r="G281" s="468"/>
      <c r="H281" s="469" t="s">
        <v>46</v>
      </c>
      <c r="I281" s="470">
        <f ca="1">I292</f>
        <v>0</v>
      </c>
      <c r="J281" s="470">
        <f>J292</f>
        <v>0</v>
      </c>
      <c r="K281" s="471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11"/>
      <c r="B282" s="70"/>
      <c r="C282" s="212" t="s">
        <v>18</v>
      </c>
      <c r="D282" s="912" t="s">
        <v>19</v>
      </c>
      <c r="E282" s="70"/>
      <c r="F282" s="70"/>
      <c r="G282" s="72"/>
      <c r="H282" s="214" t="s">
        <v>14</v>
      </c>
      <c r="I282" s="74"/>
      <c r="J282" s="74"/>
      <c r="K282" s="75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882"/>
      <c r="B283" s="870"/>
      <c r="C283" s="870"/>
      <c r="D283" s="870"/>
      <c r="E283" s="267" t="s">
        <v>20</v>
      </c>
      <c r="F283" s="870"/>
      <c r="G283" s="869"/>
      <c r="H283" s="268" t="s">
        <v>14</v>
      </c>
      <c r="I283" s="875"/>
      <c r="J283" s="875"/>
      <c r="K283" s="874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11"/>
      <c r="B284" s="70"/>
      <c r="C284" s="70"/>
      <c r="D284" s="70"/>
      <c r="E284" s="78" t="s">
        <v>21</v>
      </c>
      <c r="F284" s="70"/>
      <c r="G284" s="72"/>
      <c r="H284" s="218" t="s">
        <v>14</v>
      </c>
      <c r="I284" s="74"/>
      <c r="J284" s="74"/>
      <c r="K284" s="75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11"/>
      <c r="B285" s="70"/>
      <c r="C285" s="70"/>
      <c r="D285" s="911" t="s">
        <v>22</v>
      </c>
      <c r="E285" s="70"/>
      <c r="F285" s="70"/>
      <c r="G285" s="72"/>
      <c r="H285" s="220" t="s">
        <v>14</v>
      </c>
      <c r="I285" s="221"/>
      <c r="J285" s="221"/>
      <c r="K285" s="222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882"/>
      <c r="B286" s="870"/>
      <c r="C286" s="870"/>
      <c r="D286" s="870"/>
      <c r="E286" s="267" t="s">
        <v>36</v>
      </c>
      <c r="F286" s="870"/>
      <c r="G286" s="869"/>
      <c r="H286" s="275" t="s">
        <v>14</v>
      </c>
      <c r="I286" s="876"/>
      <c r="J286" s="876"/>
      <c r="K286" s="88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11"/>
      <c r="B287" s="70"/>
      <c r="C287" s="70"/>
      <c r="D287" s="70"/>
      <c r="E287" s="78" t="s">
        <v>37</v>
      </c>
      <c r="F287" s="70"/>
      <c r="G287" s="72"/>
      <c r="H287" s="220" t="s">
        <v>14</v>
      </c>
      <c r="I287" s="221"/>
      <c r="J287" s="221"/>
      <c r="K287" s="222"/>
      <c r="L287" s="134">
        <f ca="1">IFERROR(__xludf.DUMMYFUNCTION("IMPORTRANGE(""https://docs.google.com/spreadsheets/d/1-uDff_7J0KD5mKrp0Vvzr7lt3OU09vwQwhkpOPPYv2Y/edit?usp=sharing"",""งบพรบ!DO53"")"),0)</f>
        <v>0</v>
      </c>
      <c r="M287" s="135">
        <f ca="1">IFERROR(__xludf.DUMMYFUNCTION("IMPORTRANGE(""https://docs.google.com/spreadsheets/d/1-uDff_7J0KD5mKrp0Vvzr7lt3OU09vwQwhkpOPPYv2Y/edit?usp=sharing"",""งบพรบ!DT53"")"),0)</f>
        <v>0</v>
      </c>
      <c r="N287" s="135">
        <f ca="1">IFERROR(__xludf.DUMMYFUNCTION("IMPORTRANGE(""https://docs.google.com/spreadsheets/d/1-uDff_7J0KD5mKrp0Vvzr7lt3OU09vwQwhkpOPPYv2Y/edit?usp=sharing"",""งบพรบ!DV53"")"),0)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11"/>
      <c r="B288" s="70"/>
      <c r="C288" s="70"/>
      <c r="D288" s="911" t="s">
        <v>23</v>
      </c>
      <c r="E288" s="70"/>
      <c r="F288" s="70"/>
      <c r="G288" s="72"/>
      <c r="H288" s="223" t="s">
        <v>14</v>
      </c>
      <c r="I288" s="221"/>
      <c r="J288" s="221"/>
      <c r="K288" s="222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882"/>
      <c r="B289" s="870"/>
      <c r="C289" s="870"/>
      <c r="D289" s="870"/>
      <c r="E289" s="267" t="s">
        <v>20</v>
      </c>
      <c r="F289" s="870"/>
      <c r="G289" s="869"/>
      <c r="H289" s="275" t="s">
        <v>14</v>
      </c>
      <c r="I289" s="876"/>
      <c r="J289" s="876"/>
      <c r="K289" s="88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11"/>
      <c r="B290" s="70"/>
      <c r="C290" s="70"/>
      <c r="D290" s="70"/>
      <c r="E290" s="78" t="s">
        <v>21</v>
      </c>
      <c r="F290" s="70"/>
      <c r="G290" s="72"/>
      <c r="H290" s="223" t="s">
        <v>14</v>
      </c>
      <c r="I290" s="221"/>
      <c r="J290" s="221"/>
      <c r="K290" s="222"/>
      <c r="L290" s="134">
        <f ca="1">IFERROR(__xludf.DUMMYFUNCTION("IMPORTRANGE(""https://docs.google.com/spreadsheets/d/1-uDff_7J0KD5mKrp0Vvzr7lt3OU09vwQwhkpOPPYv2Y/edit?usp=sharing"",""งบพรบ!DR53"")"),0)</f>
        <v>0</v>
      </c>
      <c r="M290" s="135">
        <f ca="1">IFERROR(__xludf.DUMMYFUNCTION("IMPORTRANGE(""https://docs.google.com/spreadsheets/d/1-uDff_7J0KD5mKrp0Vvzr7lt3OU09vwQwhkpOPPYv2Y/edit?usp=sharing"",""งบพรบ!DU53"")"),0)</f>
        <v>0</v>
      </c>
      <c r="N290" s="135">
        <f ca="1">IFERROR(__xludf.DUMMYFUNCTION("IMPORTRANGE(""https://docs.google.com/spreadsheets/d/1-uDff_7J0KD5mKrp0Vvzr7lt3OU09vwQwhkpOPPYv2Y/edit?usp=sharing"",""งบพรบ!DW53"")"),0)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24"/>
      <c r="B291" s="225"/>
      <c r="C291" s="212" t="s">
        <v>18</v>
      </c>
      <c r="D291" s="909" t="s">
        <v>38</v>
      </c>
      <c r="E291" s="227"/>
      <c r="F291" s="227"/>
      <c r="G291" s="228"/>
      <c r="H291" s="229"/>
      <c r="I291" s="221"/>
      <c r="J291" s="221"/>
      <c r="K291" s="222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24"/>
      <c r="B292" s="225"/>
      <c r="C292" s="225"/>
      <c r="D292" s="238" t="s">
        <v>120</v>
      </c>
      <c r="E292" s="225"/>
      <c r="F292" s="233"/>
      <c r="G292" s="229"/>
      <c r="H292" s="244" t="s">
        <v>46</v>
      </c>
      <c r="I292" s="241">
        <f ca="1">IFERROR(__xludf.DUMMYFUNCTION("IMPORTRANGE(""https://docs.google.com/spreadsheets/d/1eHaY18a8A9IcSdp1K8H6x8fbOy06t2VsZHhMHf-1x7Y/edit?usp=sharing"",""แผน!EE53"")"),0)</f>
        <v>0</v>
      </c>
      <c r="J292" s="816">
        <v>0</v>
      </c>
      <c r="K292" s="242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24"/>
      <c r="B293" s="225"/>
      <c r="C293" s="225"/>
      <c r="D293" s="238" t="s">
        <v>121</v>
      </c>
      <c r="E293" s="225"/>
      <c r="F293" s="233"/>
      <c r="G293" s="229"/>
      <c r="H293" s="234" t="s">
        <v>35</v>
      </c>
      <c r="I293" s="235">
        <f ca="1">IFERROR(__xludf.DUMMYFUNCTION("IMPORTRANGE(""https://docs.google.com/spreadsheets/d/1eHaY18a8A9IcSdp1K8H6x8fbOy06t2VsZHhMHf-1x7Y/edit?usp=sharing"",""แผน!ED53"")"),0)</f>
        <v>0</v>
      </c>
      <c r="J293" s="235">
        <f>J296</f>
        <v>0</v>
      </c>
      <c r="K293" s="236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24"/>
      <c r="B294" s="225"/>
      <c r="C294" s="225"/>
      <c r="D294" s="233"/>
      <c r="E294" s="475" t="s">
        <v>122</v>
      </c>
      <c r="F294" s="233"/>
      <c r="G294" s="229"/>
      <c r="H294" s="229"/>
      <c r="I294" s="221"/>
      <c r="J294" s="74"/>
      <c r="K294" s="222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24"/>
      <c r="B295" s="225"/>
      <c r="C295" s="225"/>
      <c r="D295" s="233"/>
      <c r="E295" s="238" t="s">
        <v>123</v>
      </c>
      <c r="F295" s="233"/>
      <c r="G295" s="229"/>
      <c r="H295" s="239" t="s">
        <v>35</v>
      </c>
      <c r="I295" s="243">
        <f ca="1">IFERROR(__xludf.DUMMYFUNCTION("IMPORTRANGE(""https://docs.google.com/spreadsheets/d/1eHaY18a8A9IcSdp1K8H6x8fbOy06t2VsZHhMHf-1x7Y/edit?usp=sharing"",""แผน!ED53"")"),0)</f>
        <v>0</v>
      </c>
      <c r="J295" s="816">
        <v>0</v>
      </c>
      <c r="K295" s="242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24"/>
      <c r="B296" s="225"/>
      <c r="C296" s="225"/>
      <c r="D296" s="233"/>
      <c r="E296" s="238" t="s">
        <v>124</v>
      </c>
      <c r="F296" s="233"/>
      <c r="G296" s="229"/>
      <c r="H296" s="239" t="s">
        <v>35</v>
      </c>
      <c r="I296" s="243">
        <f ca="1">IFERROR(__xludf.DUMMYFUNCTION("IMPORTRANGE(""https://docs.google.com/spreadsheets/d/1eHaY18a8A9IcSdp1K8H6x8fbOy06t2VsZHhMHf-1x7Y/edit?usp=sharing"",""แผน!ED53"")"),0)</f>
        <v>0</v>
      </c>
      <c r="J296" s="816">
        <v>0</v>
      </c>
      <c r="K296" s="242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9.5" hidden="1" x14ac:dyDescent="0.3">
      <c r="A297" s="476"/>
      <c r="B297" s="477"/>
      <c r="C297" s="477"/>
      <c r="D297" s="24"/>
      <c r="E297" s="25"/>
      <c r="F297" s="24"/>
      <c r="G297" s="27"/>
      <c r="H297" s="27"/>
      <c r="I297" s="29"/>
      <c r="J297" s="29"/>
      <c r="K297" s="30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8.75" hidden="1" x14ac:dyDescent="0.25">
      <c r="A298" s="476"/>
      <c r="B298" s="477"/>
      <c r="C298" s="477"/>
      <c r="D298" s="24"/>
      <c r="E298" s="34"/>
      <c r="F298" s="24"/>
      <c r="G298" s="27"/>
      <c r="H298" s="35"/>
      <c r="I298" s="478"/>
      <c r="J298" s="478"/>
      <c r="K298" s="36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8.75" hidden="1" x14ac:dyDescent="0.25">
      <c r="A299" s="479"/>
      <c r="B299" s="480"/>
      <c r="C299" s="480"/>
      <c r="D299" s="481"/>
      <c r="E299" s="482"/>
      <c r="F299" s="481"/>
      <c r="G299" s="483"/>
      <c r="H299" s="484"/>
      <c r="I299" s="485"/>
      <c r="J299" s="485"/>
      <c r="K299" s="486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488" t="s">
        <v>125</v>
      </c>
      <c r="B300" s="489"/>
      <c r="C300" s="489"/>
      <c r="D300" s="489"/>
      <c r="E300" s="490"/>
      <c r="F300" s="490"/>
      <c r="G300" s="490"/>
      <c r="H300" s="490"/>
      <c r="I300" s="491"/>
      <c r="J300" s="491"/>
      <c r="K300" s="492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497" t="s">
        <v>126</v>
      </c>
      <c r="B301" s="498"/>
      <c r="C301" s="498"/>
      <c r="D301" s="499"/>
      <c r="E301" s="499"/>
      <c r="F301" s="499"/>
      <c r="G301" s="500"/>
      <c r="H301" s="500"/>
      <c r="I301" s="501"/>
      <c r="J301" s="501"/>
      <c r="K301" s="502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505"/>
      <c r="B302" s="506" t="s">
        <v>127</v>
      </c>
      <c r="C302" s="507"/>
      <c r="D302" s="507"/>
      <c r="E302" s="507"/>
      <c r="F302" s="507"/>
      <c r="G302" s="508"/>
      <c r="H302" s="509" t="s">
        <v>35</v>
      </c>
      <c r="I302" s="510">
        <f ca="1">I314</f>
        <v>30</v>
      </c>
      <c r="J302" s="510">
        <f>J314</f>
        <v>30</v>
      </c>
      <c r="K302" s="511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11"/>
      <c r="B303" s="70"/>
      <c r="C303" s="212" t="s">
        <v>18</v>
      </c>
      <c r="D303" s="912" t="s">
        <v>19</v>
      </c>
      <c r="E303" s="70"/>
      <c r="F303" s="70"/>
      <c r="G303" s="72"/>
      <c r="H303" s="214" t="s">
        <v>14</v>
      </c>
      <c r="I303" s="74"/>
      <c r="J303" s="74"/>
      <c r="K303" s="75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260958.39</v>
      </c>
      <c r="R303" s="217">
        <f ca="1">R304+R305</f>
        <v>260958</v>
      </c>
      <c r="S303" s="217">
        <f ca="1">S304+S305</f>
        <v>6125</v>
      </c>
      <c r="T303" s="217">
        <f ca="1">IF(Q303&gt;0,S303*100/Q303,0)</f>
        <v>2.347117484898646</v>
      </c>
      <c r="U303" s="217">
        <f ca="1">IF(R303&gt;0,S303*100/R303,0)</f>
        <v>2.3471209926501584</v>
      </c>
    </row>
    <row r="304" spans="1:21" ht="18.75" hidden="1" x14ac:dyDescent="0.25">
      <c r="A304" s="882"/>
      <c r="B304" s="870"/>
      <c r="C304" s="870"/>
      <c r="D304" s="870"/>
      <c r="E304" s="267" t="s">
        <v>20</v>
      </c>
      <c r="F304" s="870"/>
      <c r="G304" s="869"/>
      <c r="H304" s="268" t="s">
        <v>14</v>
      </c>
      <c r="I304" s="875"/>
      <c r="J304" s="875"/>
      <c r="K304" s="874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11"/>
      <c r="B305" s="70"/>
      <c r="C305" s="70"/>
      <c r="D305" s="70"/>
      <c r="E305" s="78" t="s">
        <v>21</v>
      </c>
      <c r="F305" s="70"/>
      <c r="G305" s="72"/>
      <c r="H305" s="218" t="s">
        <v>14</v>
      </c>
      <c r="I305" s="74"/>
      <c r="J305" s="74"/>
      <c r="K305" s="75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260958.39</v>
      </c>
      <c r="R305" s="135">
        <f ca="1">R308+R311</f>
        <v>260958</v>
      </c>
      <c r="S305" s="135">
        <f ca="1">S308+S311</f>
        <v>6125</v>
      </c>
      <c r="T305" s="135">
        <f ca="1">IF(Q305&gt;0,S305*100/Q305,0)</f>
        <v>2.347117484898646</v>
      </c>
      <c r="U305" s="135">
        <f ca="1">IF(R305&gt;0,S305*100/R305,0)</f>
        <v>2.3471209926501584</v>
      </c>
    </row>
    <row r="306" spans="1:21" ht="18.75" x14ac:dyDescent="0.25">
      <c r="A306" s="211"/>
      <c r="B306" s="70"/>
      <c r="C306" s="70"/>
      <c r="D306" s="911" t="s">
        <v>22</v>
      </c>
      <c r="E306" s="70"/>
      <c r="F306" s="70"/>
      <c r="G306" s="72"/>
      <c r="H306" s="220" t="s">
        <v>14</v>
      </c>
      <c r="I306" s="221"/>
      <c r="J306" s="221"/>
      <c r="K306" s="222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260958.39</v>
      </c>
      <c r="R306" s="135">
        <f ca="1">R307+R308</f>
        <v>260958</v>
      </c>
      <c r="S306" s="135">
        <f ca="1">S307+S308</f>
        <v>6125</v>
      </c>
      <c r="T306" s="135">
        <f ca="1">IF(Q306&gt;0,S306*100/Q306,0)</f>
        <v>2.347117484898646</v>
      </c>
      <c r="U306" s="135">
        <f ca="1">IF(R306&gt;0,S306*100/R306,0)</f>
        <v>2.3471209926501584</v>
      </c>
    </row>
    <row r="307" spans="1:21" ht="18.75" hidden="1" x14ac:dyDescent="0.25">
      <c r="A307" s="882"/>
      <c r="B307" s="870"/>
      <c r="C307" s="870"/>
      <c r="D307" s="870"/>
      <c r="E307" s="267" t="s">
        <v>36</v>
      </c>
      <c r="F307" s="870"/>
      <c r="G307" s="869"/>
      <c r="H307" s="275" t="s">
        <v>14</v>
      </c>
      <c r="I307" s="876"/>
      <c r="J307" s="876"/>
      <c r="K307" s="88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11"/>
      <c r="B308" s="70"/>
      <c r="C308" s="70"/>
      <c r="D308" s="70"/>
      <c r="E308" s="78" t="s">
        <v>37</v>
      </c>
      <c r="F308" s="70"/>
      <c r="G308" s="72"/>
      <c r="H308" s="220" t="s">
        <v>14</v>
      </c>
      <c r="I308" s="221"/>
      <c r="J308" s="221"/>
      <c r="K308" s="222"/>
      <c r="L308" s="134">
        <f ca="1">IFERROR(__xludf.DUMMYFUNCTION("IMPORTRANGE(""https://docs.google.com/spreadsheets/d/1-uDff_7J0KD5mKrp0Vvzr7lt3OU09vwQwhkpOPPYv2Y/edit?usp=sharing"",""งบพรบ!DY53"")"),0)</f>
        <v>0</v>
      </c>
      <c r="M308" s="135">
        <f ca="1">IFERROR(__xludf.DUMMYFUNCTION("IMPORTRANGE(""https://docs.google.com/spreadsheets/d/1-uDff_7J0KD5mKrp0Vvzr7lt3OU09vwQwhkpOPPYv2Y/edit?usp=sharing"",""งบพรบ!ED53"")"),0)</f>
        <v>0</v>
      </c>
      <c r="N308" s="135">
        <f ca="1">IFERROR(__xludf.DUMMYFUNCTION("IMPORTRANGE(""https://docs.google.com/spreadsheets/d/1-uDff_7J0KD5mKrp0Vvzr7lt3OU09vwQwhkpOPPYv2Y/edit?usp=sharing"",""งบพรบ!EF53"")"),0)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IFERROR(__xludf.DUMMYFUNCTION("IMPORTRANGE(""https://docs.google.com/spreadsheets/d/1ItG2mGa2ceCfYo0BwxsXqNm01IGEUdYcSSLTEv9YCik/edit?usp=sharing"",""เบิกจ่ายกองทุน!AP53"")"),260958.39)</f>
        <v>260958.39</v>
      </c>
      <c r="R308" s="135">
        <f ca="1">IFERROR(__xludf.DUMMYFUNCTION("IMPORTRANGE(""https://docs.google.com/spreadsheets/d/1ItG2mGa2ceCfYo0BwxsXqNm01IGEUdYcSSLTEv9YCik/edit?usp=sharing"",""เบิกจ่ายกองทุน!AQ53"")"),260958)</f>
        <v>260958</v>
      </c>
      <c r="S308" s="135">
        <f ca="1">IFERROR(__xludf.DUMMYFUNCTION("IMPORTRANGE(""https://docs.google.com/spreadsheets/d/1ItG2mGa2ceCfYo0BwxsXqNm01IGEUdYcSSLTEv9YCik/edit?usp=sharing"",""เบิกจ่ายกองทุน!AR53"")"),6125)</f>
        <v>6125</v>
      </c>
      <c r="T308" s="135">
        <f ca="1">IF(Q308&gt;0,S308*100/Q308,0)</f>
        <v>2.347117484898646</v>
      </c>
      <c r="U308" s="135">
        <f ca="1">IF(R308&gt;0,S308*100/R308,0)</f>
        <v>2.3471209926501584</v>
      </c>
    </row>
    <row r="309" spans="1:21" ht="18.75" x14ac:dyDescent="0.25">
      <c r="A309" s="211"/>
      <c r="B309" s="70"/>
      <c r="C309" s="70"/>
      <c r="D309" s="911" t="s">
        <v>23</v>
      </c>
      <c r="E309" s="70"/>
      <c r="F309" s="70"/>
      <c r="G309" s="72"/>
      <c r="H309" s="223" t="s">
        <v>14</v>
      </c>
      <c r="I309" s="221"/>
      <c r="J309" s="221"/>
      <c r="K309" s="222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882"/>
      <c r="B310" s="870"/>
      <c r="C310" s="870"/>
      <c r="D310" s="870"/>
      <c r="E310" s="267" t="s">
        <v>20</v>
      </c>
      <c r="F310" s="870"/>
      <c r="G310" s="869"/>
      <c r="H310" s="275" t="s">
        <v>14</v>
      </c>
      <c r="I310" s="876"/>
      <c r="J310" s="876"/>
      <c r="K310" s="88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11"/>
      <c r="B311" s="70"/>
      <c r="C311" s="70"/>
      <c r="D311" s="70"/>
      <c r="E311" s="78" t="s">
        <v>21</v>
      </c>
      <c r="F311" s="70"/>
      <c r="G311" s="72"/>
      <c r="H311" s="223" t="s">
        <v>14</v>
      </c>
      <c r="I311" s="221"/>
      <c r="J311" s="221"/>
      <c r="K311" s="222"/>
      <c r="L311" s="134">
        <f ca="1">IFERROR(__xludf.DUMMYFUNCTION("IMPORTRANGE(""https://docs.google.com/spreadsheets/d/1-uDff_7J0KD5mKrp0Vvzr7lt3OU09vwQwhkpOPPYv2Y/edit?usp=sharing"",""งบพรบ!EB53"")"),0)</f>
        <v>0</v>
      </c>
      <c r="M311" s="135">
        <f ca="1">IFERROR(__xludf.DUMMYFUNCTION("IMPORTRANGE(""https://docs.google.com/spreadsheets/d/1-uDff_7J0KD5mKrp0Vvzr7lt3OU09vwQwhkpOPPYv2Y/edit?usp=sharing"",""งบพรบ!EE53"")"),0)</f>
        <v>0</v>
      </c>
      <c r="N311" s="135">
        <f ca="1">IFERROR(__xludf.DUMMYFUNCTION("IMPORTRANGE(""https://docs.google.com/spreadsheets/d/1-uDff_7J0KD5mKrp0Vvzr7lt3OU09vwQwhkpOPPYv2Y/edit?usp=sharing"",""งบพรบ!EG53"")"),0)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24"/>
      <c r="B312" s="225"/>
      <c r="C312" s="212" t="s">
        <v>18</v>
      </c>
      <c r="D312" s="909" t="s">
        <v>38</v>
      </c>
      <c r="E312" s="227"/>
      <c r="F312" s="227"/>
      <c r="G312" s="228"/>
      <c r="H312" s="229"/>
      <c r="I312" s="74"/>
      <c r="J312" s="74"/>
      <c r="K312" s="75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476"/>
      <c r="B313" s="477"/>
      <c r="C313" s="477"/>
      <c r="D313" s="34"/>
      <c r="E313" s="24"/>
      <c r="F313" s="24"/>
      <c r="G313" s="27"/>
      <c r="H313" s="27"/>
      <c r="I313" s="29"/>
      <c r="J313" s="478"/>
      <c r="K313" s="30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24"/>
      <c r="B314" s="225"/>
      <c r="C314" s="225"/>
      <c r="D314" s="238" t="s">
        <v>121</v>
      </c>
      <c r="E314" s="233"/>
      <c r="F314" s="233"/>
      <c r="G314" s="229"/>
      <c r="H314" s="239" t="s">
        <v>35</v>
      </c>
      <c r="I314" s="241">
        <f ca="1">IFERROR(__xludf.DUMMYFUNCTION("IMPORTRANGE(""https://docs.google.com/spreadsheets/d/1eHaY18a8A9IcSdp1K8H6x8fbOy06t2VsZHhMHf-1x7Y/edit?usp=sharing"",""แผน!EF53"")"),30)</f>
        <v>30</v>
      </c>
      <c r="J314" s="816">
        <v>30</v>
      </c>
      <c r="K314" s="91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476"/>
      <c r="B315" s="477"/>
      <c r="C315" s="477"/>
      <c r="D315" s="34"/>
      <c r="E315" s="24"/>
      <c r="F315" s="24"/>
      <c r="G315" s="27"/>
      <c r="H315" s="35"/>
      <c r="I315" s="478"/>
      <c r="J315" s="478"/>
      <c r="K315" s="36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476"/>
      <c r="B316" s="477"/>
      <c r="C316" s="477"/>
      <c r="D316" s="34"/>
      <c r="E316" s="24"/>
      <c r="F316" s="24"/>
      <c r="G316" s="27"/>
      <c r="H316" s="35"/>
      <c r="I316" s="478"/>
      <c r="J316" s="478"/>
      <c r="K316" s="36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922"/>
      <c r="B317" s="921"/>
      <c r="C317" s="921"/>
      <c r="D317" s="920"/>
      <c r="E317" s="919"/>
      <c r="F317" s="919"/>
      <c r="G317" s="91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497" t="s">
        <v>131</v>
      </c>
      <c r="B318" s="498"/>
      <c r="C318" s="498"/>
      <c r="D318" s="499"/>
      <c r="E318" s="498"/>
      <c r="F318" s="498"/>
      <c r="G318" s="498"/>
      <c r="H318" s="499"/>
      <c r="I318" s="501"/>
      <c r="J318" s="501"/>
      <c r="K318" s="502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15"/>
      <c r="B319" s="506" t="s">
        <v>132</v>
      </c>
      <c r="C319" s="516"/>
      <c r="D319" s="517"/>
      <c r="E319" s="507"/>
      <c r="F319" s="507"/>
      <c r="G319" s="508"/>
      <c r="H319" s="509" t="s">
        <v>133</v>
      </c>
      <c r="I319" s="510">
        <f ca="1">I330</f>
        <v>1</v>
      </c>
      <c r="J319" s="510">
        <f>J330</f>
        <v>1</v>
      </c>
      <c r="K319" s="511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11"/>
      <c r="B320" s="70"/>
      <c r="C320" s="212" t="s">
        <v>18</v>
      </c>
      <c r="D320" s="912" t="s">
        <v>19</v>
      </c>
      <c r="E320" s="70"/>
      <c r="F320" s="70"/>
      <c r="G320" s="72"/>
      <c r="H320" s="214" t="s">
        <v>14</v>
      </c>
      <c r="I320" s="74"/>
      <c r="J320" s="74"/>
      <c r="K320" s="75"/>
      <c r="L320" s="216">
        <f ca="1">L321+L322</f>
        <v>20000</v>
      </c>
      <c r="M320" s="217">
        <f ca="1">M321+M322</f>
        <v>20000</v>
      </c>
      <c r="N320" s="217">
        <f ca="1">N321+N322</f>
        <v>16937</v>
      </c>
      <c r="O320" s="217">
        <f ca="1">IF(L320&gt;0,N320*100/L320,0)</f>
        <v>84.685000000000002</v>
      </c>
      <c r="P320" s="217">
        <f ca="1">IF(M320&gt;0,N320*100/M320,0)</f>
        <v>84.685000000000002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882"/>
      <c r="B321" s="870"/>
      <c r="C321" s="870"/>
      <c r="D321" s="870"/>
      <c r="E321" s="267" t="s">
        <v>20</v>
      </c>
      <c r="F321" s="870"/>
      <c r="G321" s="869"/>
      <c r="H321" s="268" t="s">
        <v>14</v>
      </c>
      <c r="I321" s="875"/>
      <c r="J321" s="875"/>
      <c r="K321" s="874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11"/>
      <c r="B322" s="70"/>
      <c r="C322" s="70"/>
      <c r="D322" s="70"/>
      <c r="E322" s="78" t="s">
        <v>21</v>
      </c>
      <c r="F322" s="70"/>
      <c r="G322" s="72"/>
      <c r="H322" s="218" t="s">
        <v>14</v>
      </c>
      <c r="I322" s="74"/>
      <c r="J322" s="74"/>
      <c r="K322" s="75"/>
      <c r="L322" s="134">
        <f ca="1">L325+L328</f>
        <v>20000</v>
      </c>
      <c r="M322" s="135">
        <f ca="1">M325+M328</f>
        <v>20000</v>
      </c>
      <c r="N322" s="135">
        <f ca="1">N325+N328</f>
        <v>16937</v>
      </c>
      <c r="O322" s="135">
        <f ca="1">IF(L322&gt;0,N322*100/L322,0)</f>
        <v>84.685000000000002</v>
      </c>
      <c r="P322" s="135">
        <f ca="1">IF(M322&gt;0,N322*100/M322,0)</f>
        <v>84.685000000000002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x14ac:dyDescent="0.25">
      <c r="A323" s="211"/>
      <c r="B323" s="70"/>
      <c r="C323" s="70"/>
      <c r="D323" s="911" t="s">
        <v>22</v>
      </c>
      <c r="E323" s="70"/>
      <c r="F323" s="70"/>
      <c r="G323" s="72"/>
      <c r="H323" s="220" t="s">
        <v>14</v>
      </c>
      <c r="I323" s="221"/>
      <c r="J323" s="221"/>
      <c r="K323" s="222"/>
      <c r="L323" s="134">
        <f ca="1">L324+L325</f>
        <v>20000</v>
      </c>
      <c r="M323" s="135">
        <f ca="1">M324+M325</f>
        <v>20000</v>
      </c>
      <c r="N323" s="135">
        <f ca="1">N324+N325</f>
        <v>16937</v>
      </c>
      <c r="O323" s="135">
        <f ca="1">IF(L323&gt;0,N323*100/L323,0)</f>
        <v>84.685000000000002</v>
      </c>
      <c r="P323" s="135">
        <f ca="1">IF(M323&gt;0,N323*100/M323,0)</f>
        <v>84.685000000000002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882"/>
      <c r="B324" s="870"/>
      <c r="C324" s="870"/>
      <c r="D324" s="870"/>
      <c r="E324" s="267" t="s">
        <v>36</v>
      </c>
      <c r="F324" s="870"/>
      <c r="G324" s="869"/>
      <c r="H324" s="275" t="s">
        <v>14</v>
      </c>
      <c r="I324" s="876"/>
      <c r="J324" s="876"/>
      <c r="K324" s="88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11"/>
      <c r="B325" s="70"/>
      <c r="C325" s="70"/>
      <c r="D325" s="70"/>
      <c r="E325" s="78" t="s">
        <v>37</v>
      </c>
      <c r="F325" s="70"/>
      <c r="G325" s="72"/>
      <c r="H325" s="220" t="s">
        <v>14</v>
      </c>
      <c r="I325" s="221"/>
      <c r="J325" s="221"/>
      <c r="K325" s="222"/>
      <c r="L325" s="134">
        <f ca="1">IFERROR(__xludf.DUMMYFUNCTION("IMPORTRANGE(""https://docs.google.com/spreadsheets/d/1-uDff_7J0KD5mKrp0Vvzr7lt3OU09vwQwhkpOPPYv2Y/edit?usp=sharing"",""งบพรบ!EI53"")"),20000)</f>
        <v>20000</v>
      </c>
      <c r="M325" s="135">
        <f ca="1">IFERROR(__xludf.DUMMYFUNCTION("IMPORTRANGE(""https://docs.google.com/spreadsheets/d/1-uDff_7J0KD5mKrp0Vvzr7lt3OU09vwQwhkpOPPYv2Y/edit?usp=sharing"",""งบพรบ!EN53"")"),20000)</f>
        <v>20000</v>
      </c>
      <c r="N325" s="135">
        <f ca="1">IFERROR(__xludf.DUMMYFUNCTION("IMPORTRANGE(""https://docs.google.com/spreadsheets/d/1-uDff_7J0KD5mKrp0Vvzr7lt3OU09vwQwhkpOPPYv2Y/edit?usp=sharing"",""งบพรบ!EP53"")"),16937)</f>
        <v>16937</v>
      </c>
      <c r="O325" s="135">
        <f ca="1">IF(L325&gt;0,N325*100/L325,0)</f>
        <v>84.685000000000002</v>
      </c>
      <c r="P325" s="135">
        <f ca="1">IF(M325&gt;0,N325*100/M325,0)</f>
        <v>84.685000000000002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x14ac:dyDescent="0.25">
      <c r="A326" s="211"/>
      <c r="B326" s="70"/>
      <c r="C326" s="70"/>
      <c r="D326" s="911" t="s">
        <v>23</v>
      </c>
      <c r="E326" s="70"/>
      <c r="F326" s="70"/>
      <c r="G326" s="72"/>
      <c r="H326" s="223" t="s">
        <v>14</v>
      </c>
      <c r="I326" s="221"/>
      <c r="J326" s="221"/>
      <c r="K326" s="222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882"/>
      <c r="B327" s="870"/>
      <c r="C327" s="870"/>
      <c r="D327" s="870"/>
      <c r="E327" s="267" t="s">
        <v>20</v>
      </c>
      <c r="F327" s="870"/>
      <c r="G327" s="869"/>
      <c r="H327" s="275" t="s">
        <v>14</v>
      </c>
      <c r="I327" s="876"/>
      <c r="J327" s="876"/>
      <c r="K327" s="88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11"/>
      <c r="B328" s="70"/>
      <c r="C328" s="70"/>
      <c r="D328" s="70"/>
      <c r="E328" s="78" t="s">
        <v>21</v>
      </c>
      <c r="F328" s="70"/>
      <c r="G328" s="72"/>
      <c r="H328" s="223" t="s">
        <v>14</v>
      </c>
      <c r="I328" s="221"/>
      <c r="J328" s="221"/>
      <c r="K328" s="222"/>
      <c r="L328" s="134">
        <f ca="1">IFERROR(__xludf.DUMMYFUNCTION("IMPORTRANGE(""https://docs.google.com/spreadsheets/d/1-uDff_7J0KD5mKrp0Vvzr7lt3OU09vwQwhkpOPPYv2Y/edit?usp=sharing"",""งบพรบ!EL53"")"),0)</f>
        <v>0</v>
      </c>
      <c r="M328" s="135">
        <f ca="1">IFERROR(__xludf.DUMMYFUNCTION("IMPORTRANGE(""https://docs.google.com/spreadsheets/d/1-uDff_7J0KD5mKrp0Vvzr7lt3OU09vwQwhkpOPPYv2Y/edit?usp=sharing"",""งบพรบ!EO53"")"),0)</f>
        <v>0</v>
      </c>
      <c r="N328" s="135">
        <f ca="1">IFERROR(__xludf.DUMMYFUNCTION("IMPORTRANGE(""https://docs.google.com/spreadsheets/d/1-uDff_7J0KD5mKrp0Vvzr7lt3OU09vwQwhkpOPPYv2Y/edit?usp=sharing"",""งบพรบ!EQ53"")"),0)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x14ac:dyDescent="0.3">
      <c r="A329" s="224"/>
      <c r="B329" s="225"/>
      <c r="C329" s="212" t="s">
        <v>18</v>
      </c>
      <c r="D329" s="909" t="s">
        <v>38</v>
      </c>
      <c r="E329" s="227"/>
      <c r="F329" s="227"/>
      <c r="G329" s="228"/>
      <c r="H329" s="229"/>
      <c r="I329" s="221"/>
      <c r="J329" s="74"/>
      <c r="K329" s="75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24"/>
      <c r="B330" s="225"/>
      <c r="C330" s="225"/>
      <c r="D330" s="232" t="s">
        <v>134</v>
      </c>
      <c r="E330" s="233"/>
      <c r="F330" s="233"/>
      <c r="G330" s="229"/>
      <c r="H330" s="73" t="s">
        <v>133</v>
      </c>
      <c r="I330" s="241">
        <f ca="1">IFERROR(__xludf.DUMMYFUNCTION("IMPORTRANGE(""https://docs.google.com/spreadsheets/d/1eHaY18a8A9IcSdp1K8H6x8fbOy06t2VsZHhMHf-1x7Y/edit?usp=sharing"",""แผน!EJ53"")"),1)</f>
        <v>1</v>
      </c>
      <c r="J330" s="816">
        <v>1</v>
      </c>
      <c r="K330" s="91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497" t="s">
        <v>135</v>
      </c>
      <c r="B331" s="498"/>
      <c r="C331" s="498"/>
      <c r="D331" s="499"/>
      <c r="E331" s="498"/>
      <c r="F331" s="498"/>
      <c r="G331" s="498"/>
      <c r="H331" s="499"/>
      <c r="I331" s="501"/>
      <c r="J331" s="501"/>
      <c r="K331" s="502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505"/>
      <c r="B332" s="506" t="s">
        <v>136</v>
      </c>
      <c r="C332" s="517"/>
      <c r="D332" s="507"/>
      <c r="E332" s="507"/>
      <c r="F332" s="507"/>
      <c r="G332" s="508"/>
      <c r="H332" s="509" t="s">
        <v>35</v>
      </c>
      <c r="I332" s="518">
        <f ca="1">I344</f>
        <v>1060</v>
      </c>
      <c r="J332" s="519">
        <f ca="1">J344+J347+J348+J349+J353+J354</f>
        <v>4902</v>
      </c>
      <c r="K332" s="520">
        <f ca="1">IF(I332&gt;0,J332*100/I332,0)</f>
        <v>462.45283018867923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11"/>
      <c r="B333" s="70"/>
      <c r="C333" s="212" t="s">
        <v>18</v>
      </c>
      <c r="D333" s="912" t="s">
        <v>19</v>
      </c>
      <c r="E333" s="70"/>
      <c r="F333" s="70"/>
      <c r="G333" s="72"/>
      <c r="H333" s="214" t="s">
        <v>14</v>
      </c>
      <c r="I333" s="74"/>
      <c r="J333" s="74"/>
      <c r="K333" s="75"/>
      <c r="L333" s="216">
        <f ca="1">L334+L335</f>
        <v>106000</v>
      </c>
      <c r="M333" s="217">
        <f ca="1">M334+M335</f>
        <v>111000</v>
      </c>
      <c r="N333" s="217">
        <f ca="1">N334+N335</f>
        <v>86947</v>
      </c>
      <c r="O333" s="217">
        <f ca="1">IF(L333&gt;0,N333*100/L333,0)</f>
        <v>82.025471698113208</v>
      </c>
      <c r="P333" s="217">
        <f ca="1">IF(M333&gt;0,N333*100/M333,0)</f>
        <v>78.330630630630637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882"/>
      <c r="B334" s="870"/>
      <c r="C334" s="870"/>
      <c r="D334" s="870"/>
      <c r="E334" s="267" t="s">
        <v>20</v>
      </c>
      <c r="F334" s="870"/>
      <c r="G334" s="869"/>
      <c r="H334" s="268" t="s">
        <v>14</v>
      </c>
      <c r="I334" s="875"/>
      <c r="J334" s="875"/>
      <c r="K334" s="874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11"/>
      <c r="B335" s="70"/>
      <c r="C335" s="70"/>
      <c r="D335" s="70"/>
      <c r="E335" s="78" t="s">
        <v>21</v>
      </c>
      <c r="F335" s="70"/>
      <c r="G335" s="72"/>
      <c r="H335" s="218" t="s">
        <v>14</v>
      </c>
      <c r="I335" s="74"/>
      <c r="J335" s="74"/>
      <c r="K335" s="75"/>
      <c r="L335" s="134">
        <f ca="1">L338+L341</f>
        <v>106000</v>
      </c>
      <c r="M335" s="135">
        <f ca="1">M338+M341</f>
        <v>111000</v>
      </c>
      <c r="N335" s="135">
        <f ca="1">N338+N341</f>
        <v>86947</v>
      </c>
      <c r="O335" s="135">
        <f ca="1">IF(L335&gt;0,N335*100/L335,0)</f>
        <v>82.025471698113208</v>
      </c>
      <c r="P335" s="135">
        <f ca="1">IF(M335&gt;0,N335*100/M335,0)</f>
        <v>78.330630630630637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11"/>
      <c r="B336" s="70"/>
      <c r="C336" s="70"/>
      <c r="D336" s="911" t="s">
        <v>22</v>
      </c>
      <c r="E336" s="70"/>
      <c r="F336" s="70"/>
      <c r="G336" s="72"/>
      <c r="H336" s="220" t="s">
        <v>14</v>
      </c>
      <c r="I336" s="221"/>
      <c r="J336" s="221"/>
      <c r="K336" s="222"/>
      <c r="L336" s="134">
        <f ca="1">L337+L338</f>
        <v>106000</v>
      </c>
      <c r="M336" s="135">
        <f ca="1">M337+M338</f>
        <v>111000</v>
      </c>
      <c r="N336" s="135">
        <f ca="1">N337+N338</f>
        <v>86947</v>
      </c>
      <c r="O336" s="135">
        <f ca="1">IF(L336&gt;0,N336*100/L336,0)</f>
        <v>82.025471698113208</v>
      </c>
      <c r="P336" s="135">
        <f ca="1">IF(M336&gt;0,N336*100/M336,0)</f>
        <v>78.330630630630637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882"/>
      <c r="B337" s="870"/>
      <c r="C337" s="870"/>
      <c r="D337" s="870"/>
      <c r="E337" s="267" t="s">
        <v>36</v>
      </c>
      <c r="F337" s="870"/>
      <c r="G337" s="869"/>
      <c r="H337" s="275" t="s">
        <v>14</v>
      </c>
      <c r="I337" s="876"/>
      <c r="J337" s="876"/>
      <c r="K337" s="88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11"/>
      <c r="B338" s="70"/>
      <c r="C338" s="70"/>
      <c r="D338" s="70"/>
      <c r="E338" s="78" t="s">
        <v>37</v>
      </c>
      <c r="F338" s="70"/>
      <c r="G338" s="72"/>
      <c r="H338" s="220" t="s">
        <v>14</v>
      </c>
      <c r="I338" s="221"/>
      <c r="J338" s="221"/>
      <c r="K338" s="222"/>
      <c r="L338" s="134">
        <f ca="1">IFERROR(__xludf.DUMMYFUNCTION("IMPORTRANGE(""https://docs.google.com/spreadsheets/d/1-uDff_7J0KD5mKrp0Vvzr7lt3OU09vwQwhkpOPPYv2Y/edit?usp=sharing"",""งบพรบ!ES53"")"),106000)</f>
        <v>106000</v>
      </c>
      <c r="M338" s="135">
        <f ca="1">IFERROR(__xludf.DUMMYFUNCTION("IMPORTRANGE(""https://docs.google.com/spreadsheets/d/1-uDff_7J0KD5mKrp0Vvzr7lt3OU09vwQwhkpOPPYv2Y/edit?usp=sharing"",""งบพรบ!EX53"")"),111000)</f>
        <v>111000</v>
      </c>
      <c r="N338" s="135">
        <f ca="1">IFERROR(__xludf.DUMMYFUNCTION("IMPORTRANGE(""https://docs.google.com/spreadsheets/d/1-uDff_7J0KD5mKrp0Vvzr7lt3OU09vwQwhkpOPPYv2Y/edit?usp=sharing"",""งบพรบ!EZ53"")"),86947)</f>
        <v>86947</v>
      </c>
      <c r="O338" s="135">
        <f ca="1">IF(L338&gt;0,N338*100/L338,0)</f>
        <v>82.025471698113208</v>
      </c>
      <c r="P338" s="135">
        <f ca="1">IF(M338&gt;0,N338*100/M338,0)</f>
        <v>78.330630630630637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11"/>
      <c r="B339" s="70"/>
      <c r="C339" s="70"/>
      <c r="D339" s="911" t="s">
        <v>23</v>
      </c>
      <c r="E339" s="70"/>
      <c r="F339" s="70"/>
      <c r="G339" s="72"/>
      <c r="H339" s="223" t="s">
        <v>14</v>
      </c>
      <c r="I339" s="221"/>
      <c r="J339" s="221"/>
      <c r="K339" s="222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882"/>
      <c r="B340" s="870"/>
      <c r="C340" s="870"/>
      <c r="D340" s="870"/>
      <c r="E340" s="267" t="s">
        <v>20</v>
      </c>
      <c r="F340" s="870"/>
      <c r="G340" s="869"/>
      <c r="H340" s="275" t="s">
        <v>14</v>
      </c>
      <c r="I340" s="876"/>
      <c r="J340" s="876"/>
      <c r="K340" s="88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11"/>
      <c r="B341" s="70"/>
      <c r="C341" s="70"/>
      <c r="D341" s="70"/>
      <c r="E341" s="78" t="s">
        <v>21</v>
      </c>
      <c r="F341" s="70"/>
      <c r="G341" s="72"/>
      <c r="H341" s="223" t="s">
        <v>14</v>
      </c>
      <c r="I341" s="221"/>
      <c r="J341" s="221"/>
      <c r="K341" s="222"/>
      <c r="L341" s="134">
        <f ca="1">IFERROR(__xludf.DUMMYFUNCTION("IMPORTRANGE(""https://docs.google.com/spreadsheets/d/1-uDff_7J0KD5mKrp0Vvzr7lt3OU09vwQwhkpOPPYv2Y/edit?usp=sharing"",""งบพรบ!EV53"")"),0)</f>
        <v>0</v>
      </c>
      <c r="M341" s="135">
        <f ca="1">IFERROR(__xludf.DUMMYFUNCTION("IMPORTRANGE(""https://docs.google.com/spreadsheets/d/1-uDff_7J0KD5mKrp0Vvzr7lt3OU09vwQwhkpOPPYv2Y/edit?usp=sharing"",""งบพรบ!EY53"")"),0)</f>
        <v>0</v>
      </c>
      <c r="N341" s="135">
        <f ca="1">IFERROR(__xludf.DUMMYFUNCTION("IMPORTRANGE(""https://docs.google.com/spreadsheets/d/1-uDff_7J0KD5mKrp0Vvzr7lt3OU09vwQwhkpOPPYv2Y/edit?usp=sharing"",""งบพรบ!FA53"")"),0)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24"/>
      <c r="B342" s="225"/>
      <c r="C342" s="212" t="s">
        <v>18</v>
      </c>
      <c r="D342" s="360" t="s">
        <v>38</v>
      </c>
      <c r="E342" s="227"/>
      <c r="F342" s="227"/>
      <c r="G342" s="227"/>
      <c r="H342" s="521"/>
      <c r="I342" s="522"/>
      <c r="J342" s="522"/>
      <c r="K342" s="523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1586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IFERROR(__xludf.DUMMYFUNCTION("IMPORTRANGE(""https://docs.google.com/spreadsheets/d/1eHaY18a8A9IcSdp1K8H6x8fbOy06t2VsZHhMHf-1x7Y/edit?usp=sharing"",""แผน!EK53"")"),1060)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IFERROR(__xludf.DUMMYFUNCTION("IMPORTRANGE(""https://docs.google.com/spreadsheets/d/1awYsYK3VOup2i3Pq_Yjnu8DRu_mYwSBnCR2QPthd0rU/edit?usp=sharing"",""ศูนย์ยกเว้นโฉนด!D53"")"),1513)</f>
        <v>1513</v>
      </c>
      <c r="K344" s="77">
        <f ca="1">IF(I344&gt;0,J344*100/I344,0)</f>
        <v>142.73584905660377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IFERROR(__xludf.DUMMYFUNCTION("IMPORTRANGE(""https://docs.google.com/spreadsheets/d/1eHaY18a8A9IcSdp1K8H6x8fbOy06t2VsZHhMHf-1x7Y/edit?usp=sharing"",""แผน!EL53"")"),3)</f>
        <v>3</v>
      </c>
      <c r="J346" s="295">
        <f ca="1">IFERROR(__xludf.DUMMYFUNCTION("IMPORTRANGE(""https://docs.google.com/spreadsheets/d/1awYsYK3VOup2i3Pq_Yjnu8DRu_mYwSBnCR2QPthd0rU/edit?usp=sharing"",""ศูนย์รวม!E53"")"),0)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IFERROR(__xludf.DUMMYFUNCTION("IMPORTRANGE(""https://docs.google.com/spreadsheets/d/1awYsYK3VOup2i3Pq_Yjnu8DRu_mYwSBnCR2QPthd0rU/edit?usp=sharing"",""ศูนย์ยกเว้นโฉนด!F53"")"),0)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IFERROR(__xludf.DUMMYFUNCTION("IMPORTRANGE(""https://docs.google.com/spreadsheets/d/1awYsYK3VOup2i3Pq_Yjnu8DRu_mYwSBnCR2QPthd0rU/edit?usp=sharing"",""ศูนย์ยกเว้นโฉนด!G53"")"),13)</f>
        <v>13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IFERROR(__xludf.DUMMYFUNCTION("IMPORTRANGE(""https://docs.google.com/spreadsheets/d/1awYsYK3VOup2i3Pq_Yjnu8DRu_mYwSBnCR2QPthd0rU/edit?usp=sharing"",""ศูนย์ยกเว้นโฉนด!H53"")"),60)</f>
        <v>60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3349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IFERROR(__xludf.DUMMYFUNCTION("IMPORTRANGE(""https://docs.google.com/spreadsheets/d/1awYsYK3VOup2i3Pq_Yjnu8DRu_mYwSBnCR2QPthd0rU/edit?usp=sharing"",""โฉนดM3!G53"")"),33)</f>
        <v>33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IFERROR(__xludf.DUMMYFUNCTION("IMPORTRANGE(""https://docs.google.com/spreadsheets/d/1awYsYK3VOup2i3Pq_Yjnu8DRu_mYwSBnCR2QPthd0rU/edit?usp=sharing"",""โฉนดM3!H53"")"),3316)</f>
        <v>3316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IFERROR(__xludf.DUMMYFUNCTION("IMPORTRANGE(""https://docs.google.com/spreadsheets/d/1awYsYK3VOup2i3Pq_Yjnu8DRu_mYwSBnCR2QPthd0rU/edit?usp=sharing"",""โฉนดM3!I53"")"),0)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505"/>
      <c r="B355" s="506" t="s">
        <v>149</v>
      </c>
      <c r="C355" s="517"/>
      <c r="D355" s="507"/>
      <c r="E355" s="507"/>
      <c r="F355" s="507"/>
      <c r="G355" s="508"/>
      <c r="H355" s="508"/>
      <c r="I355" s="546"/>
      <c r="J355" s="546"/>
      <c r="K355" s="512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11"/>
      <c r="B356" s="70"/>
      <c r="C356" s="212" t="s">
        <v>18</v>
      </c>
      <c r="D356" s="912" t="s">
        <v>19</v>
      </c>
      <c r="E356" s="70"/>
      <c r="F356" s="70"/>
      <c r="G356" s="72"/>
      <c r="H356" s="214" t="s">
        <v>14</v>
      </c>
      <c r="I356" s="74"/>
      <c r="J356" s="74"/>
      <c r="K356" s="75"/>
      <c r="L356" s="216">
        <f ca="1">L357+L358</f>
        <v>756670</v>
      </c>
      <c r="M356" s="217">
        <f ca="1">M357+M358</f>
        <v>802845</v>
      </c>
      <c r="N356" s="217">
        <f ca="1">N357+N358</f>
        <v>251953</v>
      </c>
      <c r="O356" s="217">
        <f ca="1">IF(L356&gt;0,N356*100/L356,0)</f>
        <v>33.297606618473047</v>
      </c>
      <c r="P356" s="217">
        <f ca="1">IF(M356&gt;0,N356*100/M356,0)</f>
        <v>31.382520910013763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882"/>
      <c r="B357" s="870"/>
      <c r="C357" s="870"/>
      <c r="D357" s="870"/>
      <c r="E357" s="267" t="s">
        <v>20</v>
      </c>
      <c r="F357" s="870"/>
      <c r="G357" s="869"/>
      <c r="H357" s="268" t="s">
        <v>14</v>
      </c>
      <c r="I357" s="875"/>
      <c r="J357" s="875"/>
      <c r="K357" s="874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11"/>
      <c r="B358" s="70"/>
      <c r="C358" s="70"/>
      <c r="D358" s="70"/>
      <c r="E358" s="78" t="s">
        <v>21</v>
      </c>
      <c r="F358" s="70"/>
      <c r="G358" s="72"/>
      <c r="H358" s="218" t="s">
        <v>14</v>
      </c>
      <c r="I358" s="74"/>
      <c r="J358" s="74"/>
      <c r="K358" s="75"/>
      <c r="L358" s="134">
        <f ca="1">L361+L364</f>
        <v>756670</v>
      </c>
      <c r="M358" s="135">
        <f ca="1">M361+M364</f>
        <v>802845</v>
      </c>
      <c r="N358" s="135">
        <f ca="1">N361+N364</f>
        <v>251953</v>
      </c>
      <c r="O358" s="135">
        <f ca="1">IF(L358&gt;0,N358*100/L358,0)</f>
        <v>33.297606618473047</v>
      </c>
      <c r="P358" s="135">
        <f ca="1">IF(M358&gt;0,N358*100/M358,0)</f>
        <v>31.382520910013763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11"/>
      <c r="B359" s="70"/>
      <c r="C359" s="70"/>
      <c r="D359" s="911" t="s">
        <v>22</v>
      </c>
      <c r="E359" s="70"/>
      <c r="F359" s="70"/>
      <c r="G359" s="72"/>
      <c r="H359" s="220" t="s">
        <v>14</v>
      </c>
      <c r="I359" s="221"/>
      <c r="J359" s="221"/>
      <c r="K359" s="222"/>
      <c r="L359" s="134">
        <f ca="1">L360+L361</f>
        <v>756670</v>
      </c>
      <c r="M359" s="135">
        <f ca="1">M360+M361</f>
        <v>802845</v>
      </c>
      <c r="N359" s="135">
        <f ca="1">N360+N361</f>
        <v>251953</v>
      </c>
      <c r="O359" s="135">
        <f ca="1">IF(L359&gt;0,N359*100/L359,0)</f>
        <v>33.297606618473047</v>
      </c>
      <c r="P359" s="135">
        <f ca="1">IF(M359&gt;0,N359*100/M359,0)</f>
        <v>31.382520910013763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882"/>
      <c r="B360" s="870"/>
      <c r="C360" s="870"/>
      <c r="D360" s="870"/>
      <c r="E360" s="267" t="s">
        <v>36</v>
      </c>
      <c r="F360" s="870"/>
      <c r="G360" s="869"/>
      <c r="H360" s="275" t="s">
        <v>14</v>
      </c>
      <c r="I360" s="876"/>
      <c r="J360" s="876"/>
      <c r="K360" s="88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11"/>
      <c r="B361" s="70"/>
      <c r="C361" s="70"/>
      <c r="D361" s="70"/>
      <c r="E361" s="78" t="s">
        <v>37</v>
      </c>
      <c r="F361" s="70"/>
      <c r="G361" s="72"/>
      <c r="H361" s="220" t="s">
        <v>14</v>
      </c>
      <c r="I361" s="221"/>
      <c r="J361" s="221"/>
      <c r="K361" s="222"/>
      <c r="L361" s="134">
        <f ca="1">IFERROR(__xludf.DUMMYFUNCTION("IMPORTRANGE(""https://docs.google.com/spreadsheets/d/1-uDff_7J0KD5mKrp0Vvzr7lt3OU09vwQwhkpOPPYv2Y/edit?usp=sharing"",""งบพรบ!FC53"")"),756670)</f>
        <v>756670</v>
      </c>
      <c r="M361" s="135">
        <f ca="1">IFERROR(__xludf.DUMMYFUNCTION("IMPORTRANGE(""https://docs.google.com/spreadsheets/d/1-uDff_7J0KD5mKrp0Vvzr7lt3OU09vwQwhkpOPPYv2Y/edit?usp=sharing"",""งบพรบ!FH53"")"),802845)</f>
        <v>802845</v>
      </c>
      <c r="N361" s="135">
        <f ca="1">IFERROR(__xludf.DUMMYFUNCTION("IMPORTRANGE(""https://docs.google.com/spreadsheets/d/1-uDff_7J0KD5mKrp0Vvzr7lt3OU09vwQwhkpOPPYv2Y/edit?usp=sharing"",""งบพรบ!FJ53"")"),251953)</f>
        <v>251953</v>
      </c>
      <c r="O361" s="135">
        <f ca="1">IF(L361&gt;0,N361*100/L361,0)</f>
        <v>33.297606618473047</v>
      </c>
      <c r="P361" s="135">
        <f ca="1">IF(M361&gt;0,N361*100/M361,0)</f>
        <v>31.382520910013763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11"/>
      <c r="B362" s="70"/>
      <c r="C362" s="70"/>
      <c r="D362" s="911" t="s">
        <v>23</v>
      </c>
      <c r="E362" s="70"/>
      <c r="F362" s="70"/>
      <c r="G362" s="72"/>
      <c r="H362" s="223" t="s">
        <v>14</v>
      </c>
      <c r="I362" s="221"/>
      <c r="J362" s="221"/>
      <c r="K362" s="222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882"/>
      <c r="B363" s="870"/>
      <c r="C363" s="870"/>
      <c r="D363" s="870"/>
      <c r="E363" s="267" t="s">
        <v>20</v>
      </c>
      <c r="F363" s="870"/>
      <c r="G363" s="869"/>
      <c r="H363" s="275" t="s">
        <v>14</v>
      </c>
      <c r="I363" s="876"/>
      <c r="J363" s="876"/>
      <c r="K363" s="88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11"/>
      <c r="B364" s="70"/>
      <c r="C364" s="70"/>
      <c r="D364" s="70"/>
      <c r="E364" s="78" t="s">
        <v>21</v>
      </c>
      <c r="F364" s="70"/>
      <c r="G364" s="72"/>
      <c r="H364" s="223" t="s">
        <v>14</v>
      </c>
      <c r="I364" s="221"/>
      <c r="J364" s="221"/>
      <c r="K364" s="222"/>
      <c r="L364" s="134">
        <f ca="1">IFERROR(__xludf.DUMMYFUNCTION("IMPORTRANGE(""https://docs.google.com/spreadsheets/d/1-uDff_7J0KD5mKrp0Vvzr7lt3OU09vwQwhkpOPPYv2Y/edit?usp=sharing"",""งบพรบ!FF53"")"),0)</f>
        <v>0</v>
      </c>
      <c r="M364" s="135">
        <f ca="1">IFERROR(__xludf.DUMMYFUNCTION("IMPORTRANGE(""https://docs.google.com/spreadsheets/d/1-uDff_7J0KD5mKrp0Vvzr7lt3OU09vwQwhkpOPPYv2Y/edit?usp=sharing"",""งบพรบ!FI53"")"),0)</f>
        <v>0</v>
      </c>
      <c r="N364" s="135">
        <f ca="1">IFERROR(__xludf.DUMMYFUNCTION("IMPORTRANGE(""https://docs.google.com/spreadsheets/d/1-uDff_7J0KD5mKrp0Vvzr7lt3OU09vwQwhkpOPPYv2Y/edit?usp=sharing"",""งบพรบ!FK53"")"),0)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372"/>
      <c r="B365" s="373"/>
      <c r="C365" s="375"/>
      <c r="D365" s="910" t="s">
        <v>150</v>
      </c>
      <c r="E365" s="375"/>
      <c r="F365" s="375"/>
      <c r="G365" s="376"/>
      <c r="H365" s="386" t="s">
        <v>35</v>
      </c>
      <c r="I365" s="548">
        <f ca="1">I371</f>
        <v>210</v>
      </c>
      <c r="J365" s="548">
        <f ca="1">J371</f>
        <v>116</v>
      </c>
      <c r="K365" s="549">
        <f ca="1">IF(I365&gt;0,J365*100/I365,0)</f>
        <v>55.238095238095241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24"/>
      <c r="B366" s="225"/>
      <c r="C366" s="212" t="s">
        <v>18</v>
      </c>
      <c r="D366" s="909" t="s">
        <v>38</v>
      </c>
      <c r="E366" s="227"/>
      <c r="F366" s="227"/>
      <c r="G366" s="228"/>
      <c r="H366" s="229"/>
      <c r="I366" s="74"/>
      <c r="J366" s="74"/>
      <c r="K366" s="75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24"/>
      <c r="B367" s="233"/>
      <c r="C367" s="225"/>
      <c r="D367" s="233"/>
      <c r="E367" s="232" t="s">
        <v>151</v>
      </c>
      <c r="F367" s="233"/>
      <c r="G367" s="229"/>
      <c r="H367" s="244" t="s">
        <v>35</v>
      </c>
      <c r="I367" s="241">
        <v>0</v>
      </c>
      <c r="J367" s="241">
        <f ca="1">IFERROR(__xludf.DUMMYFUNCTION("IMPORTRANGE(""https://docs.google.com/spreadsheets/d/1tdoBKaGub7dwA3U6UFTqxio9LNnvDCQjHKmttSEBsFQ/edit?usp=sharing"",""จัดที่ดิน!AB53"")"),74)</f>
        <v>74</v>
      </c>
      <c r="K367" s="91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24"/>
      <c r="B368" s="233"/>
      <c r="C368" s="225"/>
      <c r="D368" s="233"/>
      <c r="E368" s="233"/>
      <c r="F368" s="233"/>
      <c r="G368" s="229"/>
      <c r="H368" s="244" t="s">
        <v>46</v>
      </c>
      <c r="I368" s="241">
        <f ca="1">IFERROR(__xludf.DUMMYFUNCTION("IMPORTRANGE(""https://docs.google.com/spreadsheets/d/1eHaY18a8A9IcSdp1K8H6x8fbOy06t2VsZHhMHf-1x7Y/edit?usp=sharing"",""แผน!EW53"")"),880)</f>
        <v>880</v>
      </c>
      <c r="J368" s="908">
        <f ca="1">IFERROR(__xludf.DUMMYFUNCTION("IMPORTRANGE(""https://docs.google.com/spreadsheets/d/1tdoBKaGub7dwA3U6UFTqxio9LNnvDCQjHKmttSEBsFQ/edit?usp=sharing"",""จัดที่ดิน!AC53"")"),721.19)</f>
        <v>721.19</v>
      </c>
      <c r="K368" s="91">
        <f ca="1">IF(I368&gt;0,J368*100/I368,0)</f>
        <v>81.953409090909091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24"/>
      <c r="B369" s="233"/>
      <c r="C369" s="225"/>
      <c r="D369" s="233"/>
      <c r="E369" s="232" t="s">
        <v>152</v>
      </c>
      <c r="F369" s="233"/>
      <c r="G369" s="229"/>
      <c r="H369" s="239" t="s">
        <v>35</v>
      </c>
      <c r="I369" s="241">
        <f ca="1">IFERROR(__xludf.DUMMYFUNCTION("IMPORTRANGE(""https://docs.google.com/spreadsheets/d/1eHaY18a8A9IcSdp1K8H6x8fbOy06t2VsZHhMHf-1x7Y/edit?usp=sharing"",""แผน!EX53"")"),210)</f>
        <v>210</v>
      </c>
      <c r="J369" s="241">
        <f ca="1">IFERROR(__xludf.DUMMYFUNCTION("IMPORTRANGE(""https://docs.google.com/spreadsheets/d/1tdoBKaGub7dwA3U6UFTqxio9LNnvDCQjHKmttSEBsFQ/edit?usp=sharing"",""จัดที่ดิน!AD53"")"),119)</f>
        <v>119</v>
      </c>
      <c r="K369" s="91">
        <f ca="1">IF(I369&gt;0,J369*100/I369,0)</f>
        <v>56.666666666666664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24"/>
      <c r="B370" s="233"/>
      <c r="C370" s="225"/>
      <c r="D370" s="233"/>
      <c r="E370" s="233"/>
      <c r="F370" s="233"/>
      <c r="G370" s="229"/>
      <c r="H370" s="239" t="s">
        <v>46</v>
      </c>
      <c r="I370" s="241">
        <v>0</v>
      </c>
      <c r="J370" s="908">
        <f ca="1">IFERROR(__xludf.DUMMYFUNCTION("IMPORTRANGE(""https://docs.google.com/spreadsheets/d/1tdoBKaGub7dwA3U6UFTqxio9LNnvDCQjHKmttSEBsFQ/edit?usp=sharing"",""จัดที่ดิน!AE53"")"),1997.58)</f>
        <v>1997.58</v>
      </c>
      <c r="K370" s="91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24"/>
      <c r="B371" s="233"/>
      <c r="C371" s="225"/>
      <c r="D371" s="233"/>
      <c r="E371" s="232" t="s">
        <v>153</v>
      </c>
      <c r="F371" s="233"/>
      <c r="G371" s="229"/>
      <c r="H371" s="239" t="s">
        <v>35</v>
      </c>
      <c r="I371" s="241">
        <f ca="1">IFERROR(__xludf.DUMMYFUNCTION("IMPORTRANGE(""https://docs.google.com/spreadsheets/d/1eHaY18a8A9IcSdp1K8H6x8fbOy06t2VsZHhMHf-1x7Y/edit?usp=sharing"",""แผน!EY53"")"),210)</f>
        <v>210</v>
      </c>
      <c r="J371" s="241">
        <f ca="1">IFERROR(__xludf.DUMMYFUNCTION("IMPORTRANGE(""https://docs.google.com/spreadsheets/d/1tdoBKaGub7dwA3U6UFTqxio9LNnvDCQjHKmttSEBsFQ/edit?usp=sharing"",""จัดที่ดิน!AF53"")"),116)</f>
        <v>116</v>
      </c>
      <c r="K371" s="91">
        <f ca="1">IF(I371&gt;0,J371*100/I371,0)</f>
        <v>55.238095238095241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550"/>
      <c r="B372" s="440"/>
      <c r="C372" s="438"/>
      <c r="D372" s="440"/>
      <c r="E372" s="440"/>
      <c r="F372" s="440"/>
      <c r="G372" s="441"/>
      <c r="H372" s="551" t="s">
        <v>46</v>
      </c>
      <c r="I372" s="341">
        <v>0</v>
      </c>
      <c r="J372" s="907">
        <f ca="1">IFERROR(__xludf.DUMMYFUNCTION("IMPORTRANGE(""https://docs.google.com/spreadsheets/d/1tdoBKaGub7dwA3U6UFTqxio9LNnvDCQjHKmttSEBsFQ/edit?usp=sharing"",""จัดที่ดิน!AG53"")"),2029.5)</f>
        <v>2029.5</v>
      </c>
      <c r="K372" s="183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9.5" x14ac:dyDescent="0.3">
      <c r="A373" s="552"/>
      <c r="B373" s="553"/>
      <c r="C373" s="554"/>
      <c r="D373" s="5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556"/>
      <c r="F373" s="556"/>
      <c r="G373" s="556"/>
      <c r="H373" s="557"/>
      <c r="I373" s="558"/>
      <c r="J373" s="558"/>
      <c r="K373" s="559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315</v>
      </c>
      <c r="C374" s="562"/>
      <c r="D374" s="563"/>
      <c r="E374" s="564"/>
      <c r="F374" s="564"/>
      <c r="G374" s="565"/>
      <c r="H374" s="566" t="s">
        <v>46</v>
      </c>
      <c r="I374" s="906">
        <f>I385</f>
        <v>0</v>
      </c>
      <c r="J374" s="906">
        <f>J385</f>
        <v>0</v>
      </c>
      <c r="K374" s="568">
        <f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>L376+L377</f>
        <v>0</v>
      </c>
      <c r="M375" s="217">
        <f>M376+M377</f>
        <v>0</v>
      </c>
      <c r="N375" s="217">
        <f>N376+N377</f>
        <v>0</v>
      </c>
      <c r="O375" s="217">
        <f>IF(L375&gt;0,N375*100/L375,0)</f>
        <v>0</v>
      </c>
      <c r="P375" s="217">
        <f>IF(M375&gt;0,N375*100/M375,0)</f>
        <v>0</v>
      </c>
      <c r="Q375" s="217">
        <f ca="1">Q376+Q377</f>
        <v>0</v>
      </c>
      <c r="R375" s="217">
        <f ca="1">R376+R377</f>
        <v>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>L380+L383</f>
        <v>0</v>
      </c>
      <c r="M377" s="135">
        <f>M380+M383</f>
        <v>0</v>
      </c>
      <c r="N377" s="135">
        <f>N380+N383</f>
        <v>0</v>
      </c>
      <c r="O377" s="135">
        <f>IF(L377&gt;0,N377*100/L377,0)</f>
        <v>0</v>
      </c>
      <c r="P377" s="135">
        <f>IF(M377&gt;0,N377*100/M377,0)</f>
        <v>0</v>
      </c>
      <c r="Q377" s="135">
        <f ca="1">Q380+Q383</f>
        <v>0</v>
      </c>
      <c r="R377" s="135">
        <f ca="1">R380+R383</f>
        <v>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>L379+L380</f>
        <v>0</v>
      </c>
      <c r="M378" s="135">
        <f>M379+M380</f>
        <v>0</v>
      </c>
      <c r="N378" s="135">
        <f>N379+N380</f>
        <v>0</v>
      </c>
      <c r="O378" s="135">
        <f>IF(L378&gt;0,N378*100/L378,0)</f>
        <v>0</v>
      </c>
      <c r="P378" s="135">
        <f>IF(M378&gt;0,N378*100/M378,0)</f>
        <v>0</v>
      </c>
      <c r="Q378" s="135">
        <f ca="1">Q379+Q380</f>
        <v>0</v>
      </c>
      <c r="R378" s="135">
        <f ca="1">R379+R380</f>
        <v>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135">
        <f>IF(L380&gt;0,N380*100/L380,0)</f>
        <v>0</v>
      </c>
      <c r="P380" s="135">
        <f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IFERROR(__xludf.DUMMYFUNCTION("IMPORTRANGE(""https://docs.google.com/spreadsheets/d/1ItG2mGa2ceCfYo0BwxsXqNm01IGEUdYcSSLTEv9YCik/edit?usp=sharing"",""เบิกจ่ายกองทุน!AY53"")"),0)</f>
        <v>0</v>
      </c>
      <c r="R380" s="135">
        <f ca="1">IFERROR(__xludf.DUMMYFUNCTION("IMPORTRANGE(""https://docs.google.com/spreadsheets/d/1ItG2mGa2ceCfYo0BwxsXqNm01IGEUdYcSSLTEv9YCik/edit?usp=sharing"",""เบิกจ่ายกองทุน!AZ53"")"),0)</f>
        <v>0</v>
      </c>
      <c r="S380" s="135">
        <f ca="1">IFERROR(__xludf.DUMMYFUNCTION("IMPORTRANGE(""https://docs.google.com/spreadsheets/d/1ItG2mGa2ceCfYo0BwxsXqNm01IGEUdYcSSLTEv9YCik/edit?usp=sharing"",""เบิกจ่ายกองทุน!BA53"")"),0)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>L382+L383</f>
        <v>0</v>
      </c>
      <c r="M381" s="135">
        <f>M382+M383</f>
        <v>0</v>
      </c>
      <c r="N381" s="135">
        <f>N382+N383</f>
        <v>0</v>
      </c>
      <c r="O381" s="135">
        <f>IF(L381&gt;0,N381*100/L381,0)</f>
        <v>0</v>
      </c>
      <c r="P381" s="135">
        <f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135">
        <f>IF(L383&gt;0,N383*100/L383,0)</f>
        <v>0</v>
      </c>
      <c r="P383" s="135">
        <f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2.75" hidden="1" x14ac:dyDescent="0.2">
      <c r="A385" s="594"/>
      <c r="B385" s="575"/>
      <c r="C385" s="575"/>
      <c r="D385" s="575"/>
      <c r="E385" s="595"/>
      <c r="F385" s="595"/>
      <c r="G385" s="596"/>
      <c r="H385" s="576"/>
      <c r="I385" s="577">
        <v>0</v>
      </c>
      <c r="J385" s="577">
        <v>0</v>
      </c>
      <c r="K385" s="578"/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2.75" hidden="1" x14ac:dyDescent="0.2">
      <c r="A386" s="575"/>
      <c r="B386" s="575"/>
      <c r="C386" s="575"/>
      <c r="D386" s="575"/>
      <c r="E386" s="575"/>
      <c r="F386" s="575"/>
      <c r="G386" s="576"/>
      <c r="H386" s="576"/>
      <c r="I386" s="577">
        <v>0</v>
      </c>
      <c r="J386" s="577">
        <v>0</v>
      </c>
      <c r="K386" s="578"/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2.75" hidden="1" x14ac:dyDescent="0.2">
      <c r="A387" s="575"/>
      <c r="B387" s="575"/>
      <c r="C387" s="575"/>
      <c r="D387" s="575"/>
      <c r="E387" s="575"/>
      <c r="F387" s="575"/>
      <c r="G387" s="576"/>
      <c r="H387" s="576"/>
      <c r="I387" s="577">
        <v>0</v>
      </c>
      <c r="J387" s="577">
        <v>0</v>
      </c>
      <c r="K387" s="578"/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2.75" hidden="1" x14ac:dyDescent="0.2">
      <c r="A388" s="575"/>
      <c r="B388" s="575"/>
      <c r="C388" s="575"/>
      <c r="D388" s="575"/>
      <c r="E388" s="575"/>
      <c r="F388" s="575"/>
      <c r="G388" s="576"/>
      <c r="H388" s="576"/>
      <c r="I388" s="577">
        <v>0</v>
      </c>
      <c r="J388" s="577">
        <v>0</v>
      </c>
      <c r="K388" s="578"/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>
        <v>0</v>
      </c>
      <c r="J389" s="577">
        <v>0</v>
      </c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>
        <v>0</v>
      </c>
      <c r="J390" s="582">
        <v>0</v>
      </c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314</v>
      </c>
      <c r="C391" s="587"/>
      <c r="D391" s="588"/>
      <c r="E391" s="589"/>
      <c r="F391" s="589"/>
      <c r="G391" s="590"/>
      <c r="H391" s="591" t="s">
        <v>61</v>
      </c>
      <c r="I391" s="592">
        <f>I402</f>
        <v>0</v>
      </c>
      <c r="J391" s="592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>Q393+Q394</f>
        <v>0</v>
      </c>
      <c r="R392" s="217">
        <f>R393+R394</f>
        <v>0</v>
      </c>
      <c r="S392" s="217">
        <f>S393+S394</f>
        <v>0</v>
      </c>
      <c r="T392" s="217">
        <f>IF(Q392&gt;0,S392*100/Q392,0)</f>
        <v>0</v>
      </c>
      <c r="U392" s="217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>Q397+Q400</f>
        <v>0</v>
      </c>
      <c r="R394" s="135">
        <f>R397+R400</f>
        <v>0</v>
      </c>
      <c r="S394" s="135">
        <f>S397+S400</f>
        <v>0</v>
      </c>
      <c r="T394" s="135">
        <f>IF(Q394&gt;0,S394*100/Q394,0)</f>
        <v>0</v>
      </c>
      <c r="U394" s="135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>Q396+Q397</f>
        <v>0</v>
      </c>
      <c r="R395" s="135">
        <f>R396+R397</f>
        <v>0</v>
      </c>
      <c r="S395" s="135">
        <f>S396+S397</f>
        <v>0</v>
      </c>
      <c r="T395" s="135">
        <f>IF(Q395&gt;0,S395*100/Q395,0)</f>
        <v>0</v>
      </c>
      <c r="U395" s="135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v>0</v>
      </c>
      <c r="R397" s="77">
        <v>0</v>
      </c>
      <c r="S397" s="77">
        <v>0</v>
      </c>
      <c r="T397" s="135">
        <f>IF(Q397&gt;0,S397*100/Q397,0)</f>
        <v>0</v>
      </c>
      <c r="U397" s="135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313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5" t="s">
        <v>19</v>
      </c>
      <c r="E413" s="804"/>
      <c r="F413" s="804"/>
      <c r="G413" s="805"/>
      <c r="H413" s="601" t="s">
        <v>14</v>
      </c>
      <c r="I413" s="265"/>
      <c r="J413" s="265"/>
      <c r="K413" s="90"/>
      <c r="L413" s="216">
        <f>L414+L415</f>
        <v>0</v>
      </c>
      <c r="M413" s="217">
        <f>M414+M415</f>
        <v>0</v>
      </c>
      <c r="N413" s="217">
        <f>N414+N415</f>
        <v>0</v>
      </c>
      <c r="O413" s="217">
        <f>IF(L413&gt;0,N413*100/L413,0)</f>
        <v>0</v>
      </c>
      <c r="P413" s="217">
        <f>IF(M413&gt;0,N413*100/M413,0)</f>
        <v>0</v>
      </c>
      <c r="Q413" s="217">
        <f ca="1">Q414+Q415</f>
        <v>0</v>
      </c>
      <c r="R413" s="217">
        <f ca="1">R414+R415</f>
        <v>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1" t="s">
        <v>159</v>
      </c>
      <c r="F414" s="271"/>
      <c r="G414" s="311"/>
      <c r="H414" s="306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>L418+L421</f>
        <v>0</v>
      </c>
      <c r="M415" s="135">
        <f>M418+M421</f>
        <v>0</v>
      </c>
      <c r="N415" s="135">
        <f>N418+N421</f>
        <v>0</v>
      </c>
      <c r="O415" s="135">
        <f>IF(L415&gt;0,N415*100/L415,0)</f>
        <v>0</v>
      </c>
      <c r="P415" s="135">
        <f>IF(M415&gt;0,N415*100/M415,0)</f>
        <v>0</v>
      </c>
      <c r="Q415" s="135">
        <f ca="1">Q418+Q421</f>
        <v>0</v>
      </c>
      <c r="R415" s="135">
        <f ca="1">R418+R421</f>
        <v>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>L417+L418</f>
        <v>0</v>
      </c>
      <c r="M416" s="135">
        <f>M417+M418</f>
        <v>0</v>
      </c>
      <c r="N416" s="135">
        <f>N417+N418</f>
        <v>0</v>
      </c>
      <c r="O416" s="135">
        <f>IF(L416&gt;0,N416*100/L416,0)</f>
        <v>0</v>
      </c>
      <c r="P416" s="135">
        <f>IF(M416&gt;0,N416*100/M416,0)</f>
        <v>0</v>
      </c>
      <c r="Q416" s="135">
        <f ca="1">Q417+Q418</f>
        <v>0</v>
      </c>
      <c r="R416" s="135">
        <f ca="1">R417+R418</f>
        <v>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1" t="s">
        <v>159</v>
      </c>
      <c r="F417" s="271"/>
      <c r="G417" s="311"/>
      <c r="H417" s="306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135">
        <f>IF(L418&gt;0,N418*100/L418,0)</f>
        <v>0</v>
      </c>
      <c r="P418" s="135">
        <f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IFERROR(__xludf.DUMMYFUNCTION("IMPORTRANGE(""https://docs.google.com/spreadsheets/d/1ItG2mGa2ceCfYo0BwxsXqNm01IGEUdYcSSLTEv9YCik/edit?usp=sharing"",""เบิกจ่ายกองทุน!BH53"")"),0)</f>
        <v>0</v>
      </c>
      <c r="R418" s="135">
        <f ca="1">IFERROR(__xludf.DUMMYFUNCTION("IMPORTRANGE(""https://docs.google.com/spreadsheets/d/1ItG2mGa2ceCfYo0BwxsXqNm01IGEUdYcSSLTEv9YCik/edit?usp=sharing"",""เบิกจ่ายกองทุน!BI53"")"),0)</f>
        <v>0</v>
      </c>
      <c r="S418" s="135">
        <f ca="1">IFERROR(__xludf.DUMMYFUNCTION("IMPORTRANGE(""https://docs.google.com/spreadsheets/d/1ItG2mGa2ceCfYo0BwxsXqNm01IGEUdYcSSLTEv9YCik/edit?usp=sharing"",""เบิกจ่ายกองทุน!BJ53"")"),0)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>L420+L421</f>
        <v>0</v>
      </c>
      <c r="M419" s="135">
        <f>M420+M421</f>
        <v>0</v>
      </c>
      <c r="N419" s="135">
        <f>N420+N421</f>
        <v>0</v>
      </c>
      <c r="O419" s="135">
        <f>IF(L419&gt;0,N419*100/L419,0)</f>
        <v>0</v>
      </c>
      <c r="P419" s="135">
        <f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1" t="s">
        <v>20</v>
      </c>
      <c r="F420" s="271"/>
      <c r="G420" s="311"/>
      <c r="H420" s="306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135">
        <f>IF(L421&gt;0,N421*100/L421,0)</f>
        <v>0</v>
      </c>
      <c r="P421" s="135">
        <f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IFERROR(__xludf.DUMMYFUNCTION("IMPORTRANGE(""https://docs.google.com/spreadsheets/d/1eHaY18a8A9IcSdp1K8H6x8fbOy06t2VsZHhMHf-1x7Y/edit?usp=sharing"",""แผน!HJ53"")"),0)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IFERROR(__xludf.DUMMYFUNCTION("IMPORTRANGE(""https://docs.google.com/spreadsheets/d/1eHaY18a8A9IcSdp1K8H6x8fbOy06t2VsZHhMHf-1x7Y/edit?usp=sharing"",""แผน!HK53"")"),0)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IFERROR(__xludf.DUMMYFUNCTION("IMPORTRANGE(""https://docs.google.com/spreadsheets/d/1eHaY18a8A9IcSdp1K8H6x8fbOy06t2VsZHhMHf-1x7Y/edit?usp=sharing"",""แผน!HJ53"")"),0)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IFERROR(__xludf.DUMMYFUNCTION("IMPORTRANGE(""https://docs.google.com/spreadsheets/d/1eHaY18a8A9IcSdp1K8H6x8fbOy06t2VsZHhMHf-1x7Y/edit?usp=sharing"",""แผน!HK53"")"),0)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IFERROR(__xludf.DUMMYFUNCTION("IMPORTRANGE(""https://docs.google.com/spreadsheets/d/1eHaY18a8A9IcSdp1K8H6x8fbOy06t2VsZHhMHf-1x7Y/edit?usp=sharing"",""แผน!HJ53"")"),0)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IFERROR(__xludf.DUMMYFUNCTION("IMPORTRANGE(""https://docs.google.com/spreadsheets/d/1eHaY18a8A9IcSdp1K8H6x8fbOy06t2VsZHhMHf-1x7Y/edit?usp=sharing"",""แผน!HK53"")"),0)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IFERROR(__xludf.DUMMYFUNCTION("IMPORTRANGE(""https://docs.google.com/spreadsheets/d/1eHaY18a8A9IcSdp1K8H6x8fbOy06t2VsZHhMHf-1x7Y/edit?usp=sharing"",""แผน!HL53"")"),0)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IFERROR(__xludf.DUMMYFUNCTION("IMPORTRANGE(""https://docs.google.com/spreadsheets/d/1eHaY18a8A9IcSdp1K8H6x8fbOy06t2VsZHhMHf-1x7Y/edit?usp=sharing"",""แผน!HM53"")"),0)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30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16">
        <f>L494+L495</f>
        <v>0</v>
      </c>
      <c r="M493" s="217">
        <f>M494+M495</f>
        <v>0</v>
      </c>
      <c r="N493" s="217">
        <f>N494+N495</f>
        <v>0</v>
      </c>
      <c r="O493" s="217">
        <f>IF(L493&gt;0,N493*100/L493,0)</f>
        <v>0</v>
      </c>
      <c r="P493" s="217">
        <f>IF(M493&gt;0,N493*100/M493,0)</f>
        <v>0</v>
      </c>
      <c r="Q493" s="217">
        <f ca="1">Q494+Q495</f>
        <v>460185</v>
      </c>
      <c r="R493" s="217">
        <f ca="1">R494+R495</f>
        <v>460185</v>
      </c>
      <c r="S493" s="217">
        <f ca="1">S494+S495</f>
        <v>26840</v>
      </c>
      <c r="T493" s="217">
        <f ca="1">IF(Q493&gt;0,S493*100/Q493,0)</f>
        <v>5.8324369547029997</v>
      </c>
      <c r="U493" s="217">
        <f ca="1">IF(R493&gt;0,S493*100/R493,0)</f>
        <v>5.8324369547029997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>L498+L501</f>
        <v>0</v>
      </c>
      <c r="M495" s="135">
        <f>M498+M501</f>
        <v>0</v>
      </c>
      <c r="N495" s="135">
        <f>N498+N501</f>
        <v>0</v>
      </c>
      <c r="O495" s="135">
        <f>IF(L495&gt;0,N495*100/L495,0)</f>
        <v>0</v>
      </c>
      <c r="P495" s="135">
        <f>IF(M495&gt;0,N495*100/M495,0)</f>
        <v>0</v>
      </c>
      <c r="Q495" s="135">
        <f ca="1">Q498+Q501</f>
        <v>460185</v>
      </c>
      <c r="R495" s="135">
        <f ca="1">R498+R501</f>
        <v>460185</v>
      </c>
      <c r="S495" s="135">
        <f ca="1">S498+S501</f>
        <v>26840</v>
      </c>
      <c r="T495" s="135">
        <f ca="1">IF(Q495&gt;0,S495*100/Q495,0)</f>
        <v>5.8324369547029997</v>
      </c>
      <c r="U495" s="135">
        <f ca="1">IF(R495&gt;0,S495*100/R495,0)</f>
        <v>5.8324369547029997</v>
      </c>
    </row>
    <row r="496" spans="1:21" ht="18.75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>L497+L498</f>
        <v>0</v>
      </c>
      <c r="M496" s="135">
        <f>M497+M498</f>
        <v>0</v>
      </c>
      <c r="N496" s="135">
        <f>N497+N498</f>
        <v>0</v>
      </c>
      <c r="O496" s="135">
        <f>IF(L496&gt;0,N496*100/L496,0)</f>
        <v>0</v>
      </c>
      <c r="P496" s="135">
        <f>IF(M496&gt;0,N496*100/M496,0)</f>
        <v>0</v>
      </c>
      <c r="Q496" s="135">
        <f ca="1">Q497+Q498</f>
        <v>460185</v>
      </c>
      <c r="R496" s="135">
        <f ca="1">R497+R498</f>
        <v>460185</v>
      </c>
      <c r="S496" s="135">
        <f ca="1">S497+S498</f>
        <v>26840</v>
      </c>
      <c r="T496" s="135">
        <f ca="1">IF(Q496&gt;0,S496*100/Q496,0)</f>
        <v>5.8324369547029997</v>
      </c>
      <c r="U496" s="135">
        <f ca="1">IF(R496&gt;0,S496*100/R496,0)</f>
        <v>5.8324369547029997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135">
        <f>IF(L498&gt;0,N498*100/L498,0)</f>
        <v>0</v>
      </c>
      <c r="P498" s="135">
        <f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IFERROR(__xludf.DUMMYFUNCTION("IMPORTRANGE(""https://docs.google.com/spreadsheets/d/1ItG2mGa2ceCfYo0BwxsXqNm01IGEUdYcSSLTEv9YCik/edit?usp=sharing"",""เบิกจ่ายกองทุน!X53"")"),460185)</f>
        <v>460185</v>
      </c>
      <c r="R498" s="135">
        <f ca="1">IFERROR(__xludf.DUMMYFUNCTION("IMPORTRANGE(""https://docs.google.com/spreadsheets/d/1ItG2mGa2ceCfYo0BwxsXqNm01IGEUdYcSSLTEv9YCik/edit?usp=sharing"",""เบิกจ่ายกองทุน!Y53"")"),460185)</f>
        <v>460185</v>
      </c>
      <c r="S498" s="135">
        <f ca="1">IFERROR(__xludf.DUMMYFUNCTION("IMPORTRANGE(""https://docs.google.com/spreadsheets/d/1ItG2mGa2ceCfYo0BwxsXqNm01IGEUdYcSSLTEv9YCik/edit?usp=sharing"",""เบิกจ่ายกองทุน!Z53"")"),26840)</f>
        <v>26840</v>
      </c>
      <c r="T498" s="135">
        <f ca="1">IF(Q498&gt;0,S498*100/Q498,0)</f>
        <v>5.8324369547029997</v>
      </c>
      <c r="U498" s="135">
        <f ca="1">IF(R498&gt;0,S498*100/R498,0)</f>
        <v>5.8324369547029997</v>
      </c>
    </row>
    <row r="499" spans="1:21" ht="18.75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>L500+L501</f>
        <v>0</v>
      </c>
      <c r="M499" s="135">
        <f>M500+M501</f>
        <v>0</v>
      </c>
      <c r="N499" s="135">
        <f>N500+N501</f>
        <v>0</v>
      </c>
      <c r="O499" s="135">
        <f>IF(L499&gt;0,N499*100/L499,0)</f>
        <v>0</v>
      </c>
      <c r="P499" s="135">
        <f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135">
        <f>IF(L501&gt;0,N501*100/L501,0)</f>
        <v>0</v>
      </c>
      <c r="P501" s="135">
        <f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IFERROR(__xludf.DUMMYFUNCTION("IMPORTRANGE(""https://docs.google.com/spreadsheets/d/1eHaY18a8A9IcSdp1K8H6x8fbOy06t2VsZHhMHf-1x7Y/edit?usp=sharing"",""แผน!GX53"")"),30)</f>
        <v>30</v>
      </c>
      <c r="J503" s="603">
        <f ca="1">IF(AND(J504=I503,J505=I503,J506=I503,J507=I503),I503,0)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IFERROR(__xludf.DUMMYFUNCTION("IMPORTRANGE(""https://docs.google.com/spreadsheets/d/1eHaY18a8A9IcSdp1K8H6x8fbOy06t2VsZHhMHf-1x7Y/edit?usp=sharing"",""แผน!GY53"")"),0)</f>
        <v>0</v>
      </c>
      <c r="J504" s="296">
        <v>30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IFERROR(__xludf.DUMMYFUNCTION("IMPORTRANGE(""https://docs.google.com/spreadsheets/d/1eHaY18a8A9IcSdp1K8H6x8fbOy06t2VsZHhMHf-1x7Y/edit?usp=sharing"",""แผน!GZ53"")"),0)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IFERROR(__xludf.DUMMYFUNCTION("IMPORTRANGE(""https://docs.google.com/spreadsheets/d/1eHaY18a8A9IcSdp1K8H6x8fbOy06t2VsZHhMHf-1x7Y/edit?usp=sharing"",""แผน!HA53"")"),0)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IFERROR(__xludf.DUMMYFUNCTION("IMPORTRANGE(""https://docs.google.com/spreadsheets/d/1eHaY18a8A9IcSdp1K8H6x8fbOy06t2VsZHhMHf-1x7Y/edit?usp=sharing"",""แผน!HB53"")"),0)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IFERROR(__xludf.DUMMYFUNCTION("IMPORTRANGE(""https://docs.google.com/spreadsheets/d/1eHaY18a8A9IcSdp1K8H6x8fbOy06t2VsZHhMHf-1x7Y/edit?usp=sharing"",""แผน!HC53"")"),0)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899" t="s">
        <v>206</v>
      </c>
      <c r="B510" s="898"/>
      <c r="C510" s="898"/>
      <c r="D510" s="898"/>
      <c r="E510" s="897"/>
      <c r="F510" s="897"/>
      <c r="G510" s="897"/>
      <c r="H510" s="897"/>
      <c r="I510" s="896"/>
      <c r="J510" s="896"/>
      <c r="K510" s="895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892"/>
      <c r="C511" s="892"/>
      <c r="D511" s="893"/>
      <c r="E511" s="892"/>
      <c r="F511" s="892"/>
      <c r="G511" s="892"/>
      <c r="H511" s="891"/>
      <c r="I511" s="890"/>
      <c r="J511" s="890"/>
      <c r="K511" s="889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888"/>
      <c r="B512" s="857" t="s">
        <v>208</v>
      </c>
      <c r="C512" s="887"/>
      <c r="D512" s="886"/>
      <c r="E512" s="886"/>
      <c r="F512" s="886"/>
      <c r="G512" s="885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882"/>
      <c r="B513" s="870"/>
      <c r="C513" s="853" t="s">
        <v>18</v>
      </c>
      <c r="D513" s="822" t="s">
        <v>19</v>
      </c>
      <c r="E513" s="870"/>
      <c r="F513" s="870"/>
      <c r="G513" s="869"/>
      <c r="H513" s="852" t="s">
        <v>14</v>
      </c>
      <c r="I513" s="875"/>
      <c r="J513" s="875"/>
      <c r="K513" s="874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882"/>
      <c r="B514" s="870"/>
      <c r="C514" s="870"/>
      <c r="D514" s="870"/>
      <c r="E514" s="267" t="s">
        <v>20</v>
      </c>
      <c r="F514" s="870"/>
      <c r="G514" s="869"/>
      <c r="H514" s="268" t="s">
        <v>14</v>
      </c>
      <c r="I514" s="875"/>
      <c r="J514" s="875"/>
      <c r="K514" s="874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882"/>
      <c r="B515" s="870"/>
      <c r="C515" s="870"/>
      <c r="D515" s="870"/>
      <c r="E515" s="267" t="s">
        <v>21</v>
      </c>
      <c r="F515" s="870"/>
      <c r="G515" s="869"/>
      <c r="H515" s="268" t="s">
        <v>14</v>
      </c>
      <c r="I515" s="875"/>
      <c r="J515" s="875"/>
      <c r="K515" s="874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882"/>
      <c r="B516" s="870"/>
      <c r="C516" s="870"/>
      <c r="D516" s="851" t="s">
        <v>22</v>
      </c>
      <c r="E516" s="870"/>
      <c r="F516" s="870"/>
      <c r="G516" s="869"/>
      <c r="H516" s="275" t="s">
        <v>14</v>
      </c>
      <c r="I516" s="876"/>
      <c r="J516" s="876"/>
      <c r="K516" s="88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882"/>
      <c r="B517" s="870"/>
      <c r="C517" s="870"/>
      <c r="D517" s="870"/>
      <c r="E517" s="267" t="s">
        <v>36</v>
      </c>
      <c r="F517" s="870"/>
      <c r="G517" s="869"/>
      <c r="H517" s="275" t="s">
        <v>14</v>
      </c>
      <c r="I517" s="876"/>
      <c r="J517" s="876"/>
      <c r="K517" s="88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882"/>
      <c r="B518" s="870"/>
      <c r="C518" s="870"/>
      <c r="D518" s="870"/>
      <c r="E518" s="267" t="s">
        <v>37</v>
      </c>
      <c r="F518" s="870"/>
      <c r="G518" s="869"/>
      <c r="H518" s="275" t="s">
        <v>14</v>
      </c>
      <c r="I518" s="876"/>
      <c r="J518" s="876"/>
      <c r="K518" s="881"/>
      <c r="L518" s="134">
        <f ca="1">IFERROR(__xludf.DUMMYFUNCTION("IMPORTRANGE(""https://docs.google.com/spreadsheets/d/1-uDff_7J0KD5mKrp0Vvzr7lt3OU09vwQwhkpOPPYv2Y/edit?usp=sharing"",""งบพรบ!FM53"")"),0)</f>
        <v>0</v>
      </c>
      <c r="M518" s="135">
        <f ca="1">IFERROR(__xludf.DUMMYFUNCTION("IMPORTRANGE(""https://docs.google.com/spreadsheets/d/1-uDff_7J0KD5mKrp0Vvzr7lt3OU09vwQwhkpOPPYv2Y/edit?usp=sharing"",""งบพรบ!FR53"")"),0)</f>
        <v>0</v>
      </c>
      <c r="N518" s="135">
        <f ca="1">IFERROR(__xludf.DUMMYFUNCTION("IMPORTRANGE(""https://docs.google.com/spreadsheets/d/1-uDff_7J0KD5mKrp0Vvzr7lt3OU09vwQwhkpOPPYv2Y/edit?usp=sharing"",""งบพรบ!FT53"")"),0)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882"/>
      <c r="B519" s="870"/>
      <c r="C519" s="870"/>
      <c r="D519" s="851" t="s">
        <v>23</v>
      </c>
      <c r="E519" s="870"/>
      <c r="F519" s="870"/>
      <c r="G519" s="869"/>
      <c r="H519" s="687" t="s">
        <v>14</v>
      </c>
      <c r="I519" s="876"/>
      <c r="J519" s="876"/>
      <c r="K519" s="88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882"/>
      <c r="B520" s="870"/>
      <c r="C520" s="870"/>
      <c r="D520" s="870"/>
      <c r="E520" s="267" t="s">
        <v>20</v>
      </c>
      <c r="F520" s="870"/>
      <c r="G520" s="869"/>
      <c r="H520" s="275" t="s">
        <v>14</v>
      </c>
      <c r="I520" s="876"/>
      <c r="J520" s="876"/>
      <c r="K520" s="88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882"/>
      <c r="B521" s="870"/>
      <c r="C521" s="870"/>
      <c r="D521" s="870"/>
      <c r="E521" s="267" t="s">
        <v>21</v>
      </c>
      <c r="F521" s="870"/>
      <c r="G521" s="869"/>
      <c r="H521" s="687" t="s">
        <v>14</v>
      </c>
      <c r="I521" s="876"/>
      <c r="J521" s="876"/>
      <c r="K521" s="881"/>
      <c r="L521" s="134">
        <f ca="1">IFERROR(__xludf.DUMMYFUNCTION("IMPORTRANGE(""https://docs.google.com/spreadsheets/d/1-uDff_7J0KD5mKrp0Vvzr7lt3OU09vwQwhkpOPPYv2Y/edit?usp=sharing"",""งบพรบ!FP53"")"),0)</f>
        <v>0</v>
      </c>
      <c r="M521" s="135">
        <f ca="1">IFERROR(__xludf.DUMMYFUNCTION("IMPORTRANGE(""https://docs.google.com/spreadsheets/d/1-uDff_7J0KD5mKrp0Vvzr7lt3OU09vwQwhkpOPPYv2Y/edit?usp=sharing"",""งบพรบ!FS53"")"),0)</f>
        <v>0</v>
      </c>
      <c r="N521" s="135">
        <f ca="1">IFERROR(__xludf.DUMMYFUNCTION("IMPORTRANGE(""https://docs.google.com/spreadsheets/d/1-uDff_7J0KD5mKrp0Vvzr7lt3OU09vwQwhkpOPPYv2Y/edit?usp=sharing"",""งบพรบ!FU53"")"),0)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880"/>
      <c r="B522" s="871"/>
      <c r="C522" s="853" t="s">
        <v>18</v>
      </c>
      <c r="D522" s="846" t="s">
        <v>38</v>
      </c>
      <c r="E522" s="879"/>
      <c r="F522" s="879"/>
      <c r="G522" s="878"/>
      <c r="H522" s="877"/>
      <c r="I522" s="876"/>
      <c r="J522" s="875"/>
      <c r="K522" s="874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873"/>
      <c r="B523" s="870"/>
      <c r="C523" s="872"/>
      <c r="D523" s="310" t="s">
        <v>209</v>
      </c>
      <c r="E523" s="871"/>
      <c r="F523" s="870"/>
      <c r="G523" s="869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866"/>
      <c r="B524" s="862"/>
      <c r="C524" s="865"/>
      <c r="D524" s="864" t="s">
        <v>210</v>
      </c>
      <c r="E524" s="863"/>
      <c r="F524" s="862"/>
      <c r="G524" s="861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857" t="s">
        <v>312</v>
      </c>
      <c r="C533" s="664"/>
      <c r="D533" s="665"/>
      <c r="E533" s="665"/>
      <c r="F533" s="665"/>
      <c r="G533" s="666"/>
      <c r="H533" s="856" t="s">
        <v>61</v>
      </c>
      <c r="I533" s="855">
        <f>I545</f>
        <v>0</v>
      </c>
      <c r="J533" s="855">
        <f>J545</f>
        <v>0</v>
      </c>
      <c r="K533" s="854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853" t="s">
        <v>18</v>
      </c>
      <c r="D534" s="822" t="s">
        <v>19</v>
      </c>
      <c r="E534" s="260"/>
      <c r="F534" s="260"/>
      <c r="G534" s="263"/>
      <c r="H534" s="852" t="s">
        <v>14</v>
      </c>
      <c r="I534" s="265"/>
      <c r="J534" s="265"/>
      <c r="K534" s="90"/>
      <c r="L534" s="216">
        <f>L535+L536</f>
        <v>0</v>
      </c>
      <c r="M534" s="217">
        <f>M535+M536</f>
        <v>0</v>
      </c>
      <c r="N534" s="217">
        <f>N535+N536</f>
        <v>0</v>
      </c>
      <c r="O534" s="217">
        <f>IF(L534&gt;0,N534*100/L534,0)</f>
        <v>0</v>
      </c>
      <c r="P534" s="217">
        <f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3" t="s">
        <v>21</v>
      </c>
      <c r="F536" s="260"/>
      <c r="G536" s="263"/>
      <c r="H536" s="268" t="s">
        <v>14</v>
      </c>
      <c r="I536" s="265"/>
      <c r="J536" s="265"/>
      <c r="K536" s="90"/>
      <c r="L536" s="134">
        <f>L539+L542</f>
        <v>0</v>
      </c>
      <c r="M536" s="135">
        <f>M539+M542</f>
        <v>0</v>
      </c>
      <c r="N536" s="135">
        <f>N539+N542</f>
        <v>0</v>
      </c>
      <c r="O536" s="135">
        <f>IF(L536&gt;0,N536*100/L536,0)</f>
        <v>0</v>
      </c>
      <c r="P536" s="135">
        <f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60"/>
      <c r="C537" s="271"/>
      <c r="D537" s="851" t="s">
        <v>22</v>
      </c>
      <c r="E537" s="271"/>
      <c r="F537" s="260"/>
      <c r="G537" s="263"/>
      <c r="H537" s="275" t="s">
        <v>14</v>
      </c>
      <c r="I537" s="274"/>
      <c r="J537" s="274"/>
      <c r="K537" s="231"/>
      <c r="L537" s="134">
        <f>L538+L539</f>
        <v>0</v>
      </c>
      <c r="M537" s="135">
        <f>M538+M539</f>
        <v>0</v>
      </c>
      <c r="N537" s="135">
        <f>N538+N539</f>
        <v>0</v>
      </c>
      <c r="O537" s="135">
        <f>IF(L537&gt;0,N537*100/L537,0)</f>
        <v>0</v>
      </c>
      <c r="P537" s="135">
        <f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7" t="s">
        <v>37</v>
      </c>
      <c r="F539" s="260"/>
      <c r="G539" s="263"/>
      <c r="H539" s="275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135">
        <f>IF(L539&gt;0,N539*100/L539,0)</f>
        <v>0</v>
      </c>
      <c r="P539" s="135">
        <f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60"/>
      <c r="C540" s="260"/>
      <c r="D540" s="851" t="s">
        <v>23</v>
      </c>
      <c r="E540" s="260"/>
      <c r="F540" s="260"/>
      <c r="G540" s="263"/>
      <c r="H540" s="687" t="s">
        <v>14</v>
      </c>
      <c r="I540" s="274"/>
      <c r="J540" s="274"/>
      <c r="K540" s="231"/>
      <c r="L540" s="134">
        <f>L541+L542</f>
        <v>0</v>
      </c>
      <c r="M540" s="135">
        <f>M541+M542</f>
        <v>0</v>
      </c>
      <c r="N540" s="135">
        <f>N541+N542</f>
        <v>0</v>
      </c>
      <c r="O540" s="135">
        <f>IF(L540&gt;0,N540*100/L540,0)</f>
        <v>0</v>
      </c>
      <c r="P540" s="135">
        <f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7" t="s">
        <v>21</v>
      </c>
      <c r="F542" s="260"/>
      <c r="G542" s="263"/>
      <c r="H542" s="68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135">
        <f>IF(L542&gt;0,N542*100/L542,0)</f>
        <v>0</v>
      </c>
      <c r="P542" s="135">
        <f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850" t="s">
        <v>18</v>
      </c>
      <c r="D543" s="846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857" t="s">
        <v>311</v>
      </c>
      <c r="C554" s="664"/>
      <c r="D554" s="665"/>
      <c r="E554" s="665"/>
      <c r="F554" s="665"/>
      <c r="G554" s="666"/>
      <c r="H554" s="856" t="s">
        <v>61</v>
      </c>
      <c r="I554" s="855">
        <f>I566</f>
        <v>0</v>
      </c>
      <c r="J554" s="855">
        <f>J566</f>
        <v>0</v>
      </c>
      <c r="K554" s="854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853" t="s">
        <v>18</v>
      </c>
      <c r="D555" s="822" t="s">
        <v>19</v>
      </c>
      <c r="E555" s="260"/>
      <c r="F555" s="260"/>
      <c r="G555" s="263"/>
      <c r="H555" s="852" t="s">
        <v>14</v>
      </c>
      <c r="I555" s="265"/>
      <c r="J555" s="265"/>
      <c r="K555" s="90"/>
      <c r="L555" s="216">
        <f>L556+L557</f>
        <v>0</v>
      </c>
      <c r="M555" s="217">
        <f>M556+M557</f>
        <v>0</v>
      </c>
      <c r="N555" s="217">
        <f>N556+N557</f>
        <v>0</v>
      </c>
      <c r="O555" s="217">
        <f>IF(L555&gt;0,N555*100/L555,0)</f>
        <v>0</v>
      </c>
      <c r="P555" s="217">
        <f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3" t="s">
        <v>21</v>
      </c>
      <c r="F557" s="260"/>
      <c r="G557" s="263"/>
      <c r="H557" s="268" t="s">
        <v>14</v>
      </c>
      <c r="I557" s="265"/>
      <c r="J557" s="265"/>
      <c r="K557" s="90"/>
      <c r="L557" s="134">
        <f>L560+L563</f>
        <v>0</v>
      </c>
      <c r="M557" s="135">
        <f>M560+M563</f>
        <v>0</v>
      </c>
      <c r="N557" s="135">
        <f>N560+N563</f>
        <v>0</v>
      </c>
      <c r="O557" s="135">
        <f>IF(L557&gt;0,N557*100/L557,0)</f>
        <v>0</v>
      </c>
      <c r="P557" s="135">
        <f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60"/>
      <c r="C558" s="271"/>
      <c r="D558" s="851" t="s">
        <v>22</v>
      </c>
      <c r="E558" s="271"/>
      <c r="F558" s="260"/>
      <c r="G558" s="263"/>
      <c r="H558" s="275" t="s">
        <v>14</v>
      </c>
      <c r="I558" s="274"/>
      <c r="J558" s="274"/>
      <c r="K558" s="231"/>
      <c r="L558" s="134">
        <f>L559+L560</f>
        <v>0</v>
      </c>
      <c r="M558" s="135">
        <f>M559+M560</f>
        <v>0</v>
      </c>
      <c r="N558" s="135">
        <f>N559+N560</f>
        <v>0</v>
      </c>
      <c r="O558" s="135">
        <f>IF(L558&gt;0,N558*100/L558,0)</f>
        <v>0</v>
      </c>
      <c r="P558" s="135">
        <f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7" t="s">
        <v>37</v>
      </c>
      <c r="F560" s="260"/>
      <c r="G560" s="263"/>
      <c r="H560" s="275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135">
        <f>IF(L560&gt;0,N560*100/L560,0)</f>
        <v>0</v>
      </c>
      <c r="P560" s="135">
        <f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60"/>
      <c r="C561" s="260"/>
      <c r="D561" s="851" t="s">
        <v>23</v>
      </c>
      <c r="E561" s="260"/>
      <c r="F561" s="260"/>
      <c r="G561" s="263"/>
      <c r="H561" s="687" t="s">
        <v>14</v>
      </c>
      <c r="I561" s="274"/>
      <c r="J561" s="274"/>
      <c r="K561" s="231"/>
      <c r="L561" s="134">
        <f>L562+L563</f>
        <v>0</v>
      </c>
      <c r="M561" s="135">
        <f>M562+M563</f>
        <v>0</v>
      </c>
      <c r="N561" s="135">
        <f>N562+N563</f>
        <v>0</v>
      </c>
      <c r="O561" s="135">
        <f>IF(L561&gt;0,N561*100/L561,0)</f>
        <v>0</v>
      </c>
      <c r="P561" s="135">
        <f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7" t="s">
        <v>21</v>
      </c>
      <c r="F563" s="260"/>
      <c r="G563" s="263"/>
      <c r="H563" s="68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135">
        <f>IF(L563&gt;0,N563*100/L563,0)</f>
        <v>0</v>
      </c>
      <c r="P563" s="135">
        <f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850" t="s">
        <v>18</v>
      </c>
      <c r="D564" s="846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857" t="s">
        <v>310</v>
      </c>
      <c r="C575" s="664"/>
      <c r="D575" s="665"/>
      <c r="E575" s="665"/>
      <c r="F575" s="665"/>
      <c r="G575" s="666"/>
      <c r="H575" s="856" t="s">
        <v>61</v>
      </c>
      <c r="I575" s="855">
        <f>I587</f>
        <v>0</v>
      </c>
      <c r="J575" s="855">
        <f>J587</f>
        <v>0</v>
      </c>
      <c r="K575" s="854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853" t="s">
        <v>18</v>
      </c>
      <c r="D576" s="822" t="s">
        <v>19</v>
      </c>
      <c r="E576" s="260"/>
      <c r="F576" s="260"/>
      <c r="G576" s="263"/>
      <c r="H576" s="852" t="s">
        <v>14</v>
      </c>
      <c r="I576" s="265"/>
      <c r="J576" s="265"/>
      <c r="K576" s="90"/>
      <c r="L576" s="216">
        <f>L577+L578</f>
        <v>0</v>
      </c>
      <c r="M576" s="217">
        <f>M577+M578</f>
        <v>0</v>
      </c>
      <c r="N576" s="217">
        <f>N577+N578</f>
        <v>0</v>
      </c>
      <c r="O576" s="217">
        <f>IF(L576&gt;0,N576*100/L576,0)</f>
        <v>0</v>
      </c>
      <c r="P576" s="217">
        <f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3" t="s">
        <v>21</v>
      </c>
      <c r="F578" s="260"/>
      <c r="G578" s="263"/>
      <c r="H578" s="268" t="s">
        <v>14</v>
      </c>
      <c r="I578" s="265"/>
      <c r="J578" s="265"/>
      <c r="K578" s="90"/>
      <c r="L578" s="134">
        <f>L581+L584</f>
        <v>0</v>
      </c>
      <c r="M578" s="135">
        <f>M581+M584</f>
        <v>0</v>
      </c>
      <c r="N578" s="135">
        <f>N581+N584</f>
        <v>0</v>
      </c>
      <c r="O578" s="135">
        <f>IF(L578&gt;0,N578*100/L578,0)</f>
        <v>0</v>
      </c>
      <c r="P578" s="135">
        <f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851" t="s">
        <v>22</v>
      </c>
      <c r="E579" s="271"/>
      <c r="F579" s="260"/>
      <c r="G579" s="263"/>
      <c r="H579" s="275" t="s">
        <v>14</v>
      </c>
      <c r="I579" s="274"/>
      <c r="J579" s="274"/>
      <c r="K579" s="231"/>
      <c r="L579" s="134">
        <f>L580+L581</f>
        <v>0</v>
      </c>
      <c r="M579" s="135">
        <f>M580+M581</f>
        <v>0</v>
      </c>
      <c r="N579" s="135">
        <f>N580+N581</f>
        <v>0</v>
      </c>
      <c r="O579" s="135">
        <f>IF(L579&gt;0,N579*100/L579,0)</f>
        <v>0</v>
      </c>
      <c r="P579" s="135">
        <f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7" t="s">
        <v>37</v>
      </c>
      <c r="F581" s="260"/>
      <c r="G581" s="263"/>
      <c r="H581" s="275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135">
        <f>IF(L581&gt;0,N581*100/L581,0)</f>
        <v>0</v>
      </c>
      <c r="P581" s="135">
        <f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60"/>
      <c r="C582" s="260"/>
      <c r="D582" s="851" t="s">
        <v>23</v>
      </c>
      <c r="E582" s="260"/>
      <c r="F582" s="260"/>
      <c r="G582" s="263"/>
      <c r="H582" s="687" t="s">
        <v>14</v>
      </c>
      <c r="I582" s="274"/>
      <c r="J582" s="274"/>
      <c r="K582" s="231"/>
      <c r="L582" s="134">
        <f>L583+L584</f>
        <v>0</v>
      </c>
      <c r="M582" s="135">
        <f>M583+M584</f>
        <v>0</v>
      </c>
      <c r="N582" s="135">
        <f>N583+N584</f>
        <v>0</v>
      </c>
      <c r="O582" s="135">
        <f>IF(L582&gt;0,N582*100/L582,0)</f>
        <v>0</v>
      </c>
      <c r="P582" s="135">
        <f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7" t="s">
        <v>21</v>
      </c>
      <c r="F584" s="260"/>
      <c r="G584" s="263"/>
      <c r="H584" s="68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135">
        <f>IF(L584&gt;0,N584*100/L584,0)</f>
        <v>0</v>
      </c>
      <c r="P584" s="135">
        <f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850" t="s">
        <v>18</v>
      </c>
      <c r="D585" s="846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309</v>
      </c>
      <c r="C597" s="303"/>
      <c r="D597" s="255"/>
      <c r="E597" s="254"/>
      <c r="F597" s="254"/>
      <c r="G597" s="254"/>
      <c r="H597" s="678" t="s">
        <v>99</v>
      </c>
      <c r="I597" s="849"/>
      <c r="J597" s="848"/>
      <c r="K597" s="847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848"/>
      <c r="J598" s="848"/>
      <c r="K598" s="847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263"/>
      <c r="H599" s="684" t="s">
        <v>14</v>
      </c>
      <c r="I599" s="265"/>
      <c r="J599" s="265"/>
      <c r="K599" s="90"/>
      <c r="L599" s="216">
        <f>L600+L601</f>
        <v>0</v>
      </c>
      <c r="M599" s="217">
        <f>M600+M601</f>
        <v>0</v>
      </c>
      <c r="N599" s="217">
        <f>N600+N601</f>
        <v>0</v>
      </c>
      <c r="O599" s="217">
        <f>IF(L599&gt;0,N599*100/L599,0)</f>
        <v>0</v>
      </c>
      <c r="P599" s="217">
        <f>IF(M599&gt;0,N599*100/M599,0)</f>
        <v>0</v>
      </c>
      <c r="Q599" s="217">
        <f>Q600+Q601</f>
        <v>0</v>
      </c>
      <c r="R599" s="217">
        <f>R600+R601</f>
        <v>0</v>
      </c>
      <c r="S599" s="217">
        <f>S600+S601</f>
        <v>0</v>
      </c>
      <c r="T599" s="217">
        <f>IF(Q599&gt;0,S599*100/Q599,0)</f>
        <v>0</v>
      </c>
      <c r="U599" s="217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219">
        <f>L603+L606</f>
        <v>0</v>
      </c>
      <c r="M600" s="136">
        <f>M603+M606</f>
        <v>0</v>
      </c>
      <c r="N600" s="136">
        <f>N603+N606</f>
        <v>0</v>
      </c>
      <c r="O600" s="136">
        <f>IF(L600&gt;0,N600*100/L600,0)</f>
        <v>0</v>
      </c>
      <c r="P600" s="136">
        <f>IF(M600&gt;0,N600*100/M600,0)</f>
        <v>0</v>
      </c>
      <c r="Q600" s="136">
        <f>Q603+Q606</f>
        <v>0</v>
      </c>
      <c r="R600" s="136">
        <f>R603+R606</f>
        <v>0</v>
      </c>
      <c r="S600" s="136">
        <f>S603+S606</f>
        <v>0</v>
      </c>
      <c r="T600" s="136">
        <f>IF(Q600&gt;0,S600*100/Q600,0)</f>
        <v>0</v>
      </c>
      <c r="U600" s="136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134">
        <f>L604+L607</f>
        <v>0</v>
      </c>
      <c r="M601" s="135">
        <f>M604+M607</f>
        <v>0</v>
      </c>
      <c r="N601" s="135">
        <f>N604+N607</f>
        <v>0</v>
      </c>
      <c r="O601" s="135">
        <f>IF(L601&gt;0,N601*100/L601,0)</f>
        <v>0</v>
      </c>
      <c r="P601" s="135">
        <f>IF(M601&gt;0,N601*100/M601,0)</f>
        <v>0</v>
      </c>
      <c r="Q601" s="135">
        <f>Q604+Q607</f>
        <v>0</v>
      </c>
      <c r="R601" s="135">
        <f>R604+R607</f>
        <v>0</v>
      </c>
      <c r="S601" s="135">
        <f>S604+S607</f>
        <v>0</v>
      </c>
      <c r="T601" s="135">
        <f>IF(Q601&gt;0,S601*100/Q601,0)</f>
        <v>0</v>
      </c>
      <c r="U601" s="135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134">
        <f>L603+L604</f>
        <v>0</v>
      </c>
      <c r="M602" s="135">
        <f>M603+M604</f>
        <v>0</v>
      </c>
      <c r="N602" s="135">
        <f>N603+N604</f>
        <v>0</v>
      </c>
      <c r="O602" s="135">
        <f>IF(L602&gt;0,N602*100/L602,0)</f>
        <v>0</v>
      </c>
      <c r="P602" s="135">
        <f>IF(M602&gt;0,N602*100/M602,0)</f>
        <v>0</v>
      </c>
      <c r="Q602" s="135">
        <f>Q603+Q604</f>
        <v>0</v>
      </c>
      <c r="R602" s="135">
        <f>R603+R604</f>
        <v>0</v>
      </c>
      <c r="S602" s="135">
        <f>S603+S604</f>
        <v>0</v>
      </c>
      <c r="T602" s="135">
        <f>IF(Q602&gt;0,S602*100/Q602,0)</f>
        <v>0</v>
      </c>
      <c r="U602" s="135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136">
        <f>IF(L603&gt;0,N603*100/L603,0)</f>
        <v>0</v>
      </c>
      <c r="P603" s="136">
        <f>IF(M603&gt;0,N603*100/M603,0)</f>
        <v>0</v>
      </c>
      <c r="Q603" s="80">
        <v>0</v>
      </c>
      <c r="R603" s="80">
        <v>0</v>
      </c>
      <c r="S603" s="80">
        <v>0</v>
      </c>
      <c r="T603" s="136">
        <f>IF(Q603&gt;0,S603*100/Q603,0)</f>
        <v>0</v>
      </c>
      <c r="U603" s="136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135">
        <f>IF(L604&gt;0,N604*100/L604,0)</f>
        <v>0</v>
      </c>
      <c r="P604" s="135">
        <f>IF(M604&gt;0,N604*100/M604,0)</f>
        <v>0</v>
      </c>
      <c r="Q604" s="77">
        <v>0</v>
      </c>
      <c r="R604" s="77">
        <v>0</v>
      </c>
      <c r="S604" s="77">
        <v>0</v>
      </c>
      <c r="T604" s="135">
        <f>IF(Q604&gt;0,S604*100/Q604,0)</f>
        <v>0</v>
      </c>
      <c r="U604" s="135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134">
        <f>L606+L607</f>
        <v>0</v>
      </c>
      <c r="M605" s="135">
        <f>M606+M607</f>
        <v>0</v>
      </c>
      <c r="N605" s="135">
        <f>N606+N607</f>
        <v>0</v>
      </c>
      <c r="O605" s="135">
        <f>IF(L605&gt;0,N605*100/L605,0)</f>
        <v>0</v>
      </c>
      <c r="P605" s="135">
        <f>IF(M605&gt;0,N605*100/M605,0)</f>
        <v>0</v>
      </c>
      <c r="Q605" s="135">
        <f>Q606+Q607</f>
        <v>0</v>
      </c>
      <c r="R605" s="135">
        <f>R606+R607</f>
        <v>0</v>
      </c>
      <c r="S605" s="135">
        <f>S606+S607</f>
        <v>0</v>
      </c>
      <c r="T605" s="135">
        <f>IF(Q605&gt;0,S605*100/Q605,0)</f>
        <v>0</v>
      </c>
      <c r="U605" s="135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136">
        <f>IF(L606&gt;0,N606*100/L606,0)</f>
        <v>0</v>
      </c>
      <c r="P606" s="136">
        <f>IF(M606&gt;0,N606*100/M606,0)</f>
        <v>0</v>
      </c>
      <c r="Q606" s="80">
        <v>0</v>
      </c>
      <c r="R606" s="80">
        <v>0</v>
      </c>
      <c r="S606" s="80">
        <v>0</v>
      </c>
      <c r="T606" s="136">
        <f>IF(Q606&gt;0,S606*100/Q606,0)</f>
        <v>0</v>
      </c>
      <c r="U606" s="136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135">
        <f>IF(L607&gt;0,N607*100/L607,0)</f>
        <v>0</v>
      </c>
      <c r="P607" s="135">
        <f>IF(M607&gt;0,N607*100/M607,0)</f>
        <v>0</v>
      </c>
      <c r="Q607" s="77">
        <v>0</v>
      </c>
      <c r="R607" s="77">
        <v>0</v>
      </c>
      <c r="S607" s="77">
        <v>0</v>
      </c>
      <c r="T607" s="135">
        <f>IF(Q607&gt;0,S607*100/Q607,0)</f>
        <v>0</v>
      </c>
      <c r="U607" s="135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574"/>
      <c r="J609" s="574"/>
      <c r="K609" s="845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844"/>
      <c r="J610" s="844"/>
      <c r="K610" s="843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574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842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100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11825</v>
      </c>
      <c r="R616" s="217">
        <f ca="1">R617+R618</f>
        <v>11825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11825</v>
      </c>
      <c r="R618" s="135">
        <f ca="1">R621+R624</f>
        <v>11825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11825</v>
      </c>
      <c r="R619" s="135">
        <f ca="1">R620+R621</f>
        <v>11825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IFERROR(__xludf.DUMMYFUNCTION("IMPORTRANGE(""https://docs.google.com/spreadsheets/d/1ItG2mGa2ceCfYo0BwxsXqNm01IGEUdYcSSLTEv9YCik/edit?usp=sharing"",""เบิกจ่ายกองทุน!F53"")"),11825)</f>
        <v>11825</v>
      </c>
      <c r="R621" s="135">
        <f ca="1">IFERROR(__xludf.DUMMYFUNCTION("IMPORTRANGE(""https://docs.google.com/spreadsheets/d/1ItG2mGa2ceCfYo0BwxsXqNm01IGEUdYcSSLTEv9YCik/edit?usp=sharing"",""เบิกจ่ายกองทุน!G53"")"),11825)</f>
        <v>11825</v>
      </c>
      <c r="S621" s="135">
        <f ca="1">IFERROR(__xludf.DUMMYFUNCTION("IMPORTRANGE(""https://docs.google.com/spreadsheets/d/1ItG2mGa2ceCfYo0BwxsXqNm01IGEUdYcSSLTEv9YCik/edit?usp=sharing"",""เบิกจ่ายกองทุน!H53"")"),0)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841">
        <f ca="1">IFERROR(__xludf.DUMMYFUNCTION("IMPORTRANGE(""https://docs.google.com/spreadsheets/d/1eHaY18a8A9IcSdp1K8H6x8fbOy06t2VsZHhMHf-1x7Y/edit?usp=sharing"",""แผน!ID53"")"),100)</f>
        <v>100</v>
      </c>
      <c r="J626" s="840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824">
        <f ca="1">IFERROR(__xludf.DUMMYFUNCTION("IMPORTRANGE(""https://docs.google.com/spreadsheets/d/1eHaY18a8A9IcSdp1K8H6x8fbOy06t2VsZHhMHf-1x7Y/edit?usp=sharing"",""แผน!IC53"")"),0)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824">
        <f ca="1">IFERROR(__xludf.DUMMYFUNCTION("IMPORTRANGE(""https://docs.google.com/spreadsheets/d/1eHaY18a8A9IcSdp1K8H6x8fbOy06t2VsZHhMHf-1x7Y/edit?usp=sharing"",""แผน!IC53"")"),0)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839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839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839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839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839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839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828">
        <f ca="1">IFERROR(__xludf.DUMMYFUNCTION("IMPORTRANGE(""https://docs.google.com/spreadsheets/d/1eHaY18a8A9IcSdp1K8H6x8fbOy06t2VsZHhMHf-1x7Y/edit?usp=sharing"",""แผน!IE53"")"),0)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839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839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839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839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839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7720</v>
      </c>
      <c r="R642" s="217">
        <f ca="1">R643+R644</f>
        <v>7720</v>
      </c>
      <c r="S642" s="217">
        <f ca="1">S643+S644</f>
        <v>0</v>
      </c>
      <c r="T642" s="217">
        <f ca="1">IF(Q642&gt;0,S642*100/Q642,0)</f>
        <v>0</v>
      </c>
      <c r="U642" s="217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7720</v>
      </c>
      <c r="R644" s="135">
        <f ca="1">R647+R650</f>
        <v>7720</v>
      </c>
      <c r="S644" s="135">
        <f ca="1">S647+S650</f>
        <v>0</v>
      </c>
      <c r="T644" s="135">
        <f ca="1">IF(Q644&gt;0,S644*100/Q644,0)</f>
        <v>0</v>
      </c>
      <c r="U644" s="135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7720</v>
      </c>
      <c r="R645" s="135">
        <f ca="1">R646+R647</f>
        <v>7720</v>
      </c>
      <c r="S645" s="135">
        <f ca="1">S646+S647</f>
        <v>0</v>
      </c>
      <c r="T645" s="135">
        <f ca="1">IF(Q645&gt;0,S645*100/Q645,0)</f>
        <v>0</v>
      </c>
      <c r="U645" s="135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IFERROR(__xludf.DUMMYFUNCTION("IMPORTRANGE(""https://docs.google.com/spreadsheets/d/1ItG2mGa2ceCfYo0BwxsXqNm01IGEUdYcSSLTEv9YCik/edit?usp=sharing"",""เบิกจ่ายกองทุน!I53"")"),7720)</f>
        <v>7720</v>
      </c>
      <c r="R647" s="135">
        <f ca="1">IFERROR(__xludf.DUMMYFUNCTION("IMPORTRANGE(""https://docs.google.com/spreadsheets/d/1ItG2mGa2ceCfYo0BwxsXqNm01IGEUdYcSSLTEv9YCik/edit?usp=sharing"",""เบิกจ่ายกองทุน!J53"")"),7720)</f>
        <v>7720</v>
      </c>
      <c r="S647" s="135">
        <f ca="1">IFERROR(__xludf.DUMMYFUNCTION("IMPORTRANGE(""https://docs.google.com/spreadsheets/d/1ItG2mGa2ceCfYo0BwxsXqNm01IGEUdYcSSLTEv9YCik/edit?usp=sharing"",""เบิกจ่ายกองทุน!K53"")"),0)</f>
        <v>0</v>
      </c>
      <c r="T647" s="135">
        <f ca="1">IF(Q647&gt;0,S647*100/Q647,0)</f>
        <v>0</v>
      </c>
      <c r="U647" s="135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IFERROR(__xludf.DUMMYFUNCTION("IMPORTRANGE(""https://docs.google.com/spreadsheets/d/1eHaY18a8A9IcSdp1K8H6x8fbOy06t2VsZHhMHf-1x7Y/edit?usp=sharing"",""แผน!IF53"")"),0)</f>
        <v>0</v>
      </c>
      <c r="J652" s="295">
        <f ca="1">IFERROR(__xludf.DUMMYFUNCTION("IMPORTRANGE(""https://docs.google.com/spreadsheets/d/1tdoBKaGub7dwA3U6UFTqxio9LNnvDCQjHKmttSEBsFQ/edit?usp=sharing"",""จัดที่ดิน!AU53"")"),0)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IFERROR(__xludf.DUMMYFUNCTION("IMPORTRANGE(""https://docs.google.com/spreadsheets/d/1eHaY18a8A9IcSdp1K8H6x8fbOy06t2VsZHhMHf-1x7Y/edit?usp=sharing"",""แผน!IG53"")"),0)</f>
        <v>0</v>
      </c>
      <c r="J653" s="295">
        <f ca="1">IFERROR(__xludf.DUMMYFUNCTION("IMPORTRANGE(""https://docs.google.com/spreadsheets/d/1tdoBKaGub7dwA3U6UFTqxio9LNnvDCQjHKmttSEBsFQ/edit?usp=sharing"",""จัดที่ดิน!AW53"")"),0)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IFERROR(__xludf.DUMMYFUNCTION("IMPORTRANGE(""https://docs.google.com/spreadsheets/d/1eHaY18a8A9IcSdp1K8H6x8fbOy06t2VsZHhMHf-1x7Y/edit?usp=sharing"",""แผน!IH53"")"),0)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IFERROR(__xludf.DUMMYFUNCTION("IMPORTRANGE(""https://docs.google.com/spreadsheets/d/1eHaY18a8A9IcSdp1K8H6x8fbOy06t2VsZHhMHf-1x7Y/edit?usp=sharing"",""แผน!II53"")"),0)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IFERROR(__xludf.DUMMYFUNCTION("IMPORTRANGE(""https://docs.google.com/spreadsheets/d/1eHaY18a8A9IcSdp1K8H6x8fbOy06t2VsZHhMHf-1x7Y/edit?usp=sharing"",""แผน!IJ53"")"),0)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IFERROR(__xludf.DUMMYFUNCTION("IMPORTRANGE(""https://docs.google.com/spreadsheets/d/1eHaY18a8A9IcSdp1K8H6x8fbOy06t2VsZHhMHf-1x7Y/edit?usp=sharing"",""แผน!IK53"")"),0)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IFERROR(__xludf.DUMMYFUNCTION("IMPORTRANGE(""https://docs.google.com/spreadsheets/d/1tdoBKaGub7dwA3U6UFTqxio9LNnvDCQjHKmttSEBsFQ/edit?usp=sharing"",""จัดที่ดิน!AY53"")"),0)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IFERROR(__xludf.DUMMYFUNCTION("IMPORTRANGE(""https://docs.google.com/spreadsheets/d/1tdoBKaGub7dwA3U6UFTqxio9LNnvDCQjHKmttSEBsFQ/edit?usp=sharing"",""จัดที่ดิน!AZ53"")"),0)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IFERROR(__xludf.DUMMYFUNCTION("IMPORTRANGE(""https://docs.google.com/spreadsheets/d/1eHaY18a8A9IcSdp1K8H6x8fbOy06t2VsZHhMHf-1x7Y/edit?usp=sharing"",""แผน!IL53"")"),0)</f>
        <v>0</v>
      </c>
      <c r="J673" s="295">
        <f ca="1">IFERROR(__xludf.DUMMYFUNCTION("IMPORTRANGE(""https://docs.google.com/spreadsheets/d/1tdoBKaGub7dwA3U6UFTqxio9LNnvDCQjHKmttSEBsFQ/edit?usp=sharing"",""จัดที่ดิน!BA53"")"),0)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IFERROR(__xludf.DUMMYFUNCTION("IMPORTRANGE(""https://docs.google.com/spreadsheets/d/1eHaY18a8A9IcSdp1K8H6x8fbOy06t2VsZHhMHf-1x7Y/edit?usp=sharing"",""แผน!IM53"")"),6)</f>
        <v>6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IFERROR(__xludf.DUMMYFUNCTION("IMPORTRANGE(""https://docs.google.com/spreadsheets/d/1eHaY18a8A9IcSdp1K8H6x8fbOy06t2VsZHhMHf-1x7Y/edit?usp=sharing"",""แผน!IN53"")"),60)</f>
        <v>60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IFERROR(__xludf.DUMMYFUNCTION("IMPORTRANGE(""https://docs.google.com/spreadsheets/d/1eHaY18a8A9IcSdp1K8H6x8fbOy06t2VsZHhMHf-1x7Y/edit?usp=sharing"",""แผน!IO53"")"),3)</f>
        <v>3</v>
      </c>
      <c r="J676" s="295">
        <f ca="1">IFERROR(__xludf.DUMMYFUNCTION("IMPORTRANGE(""https://docs.google.com/spreadsheets/d/1tdoBKaGub7dwA3U6UFTqxio9LNnvDCQjHKmttSEBsFQ/edit?usp=sharing"",""จัดที่ดิน!BF53"")"),0)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IFERROR(__xludf.DUMMYFUNCTION("IMPORTRANGE(""https://docs.google.com/spreadsheets/d/1tdoBKaGub7dwA3U6UFTqxio9LNnvDCQjHKmttSEBsFQ/edit?usp=sharing"",""จัดที่ดิน!BG53"")"),0)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IFERROR(__xludf.DUMMYFUNCTION("IMPORTRANGE(""https://docs.google.com/spreadsheets/d/1eHaY18a8A9IcSdp1K8H6x8fbOy06t2VsZHhMHf-1x7Y/edit?usp=sharing"",""แผน!IP53"")"),30)</f>
        <v>30</v>
      </c>
      <c r="J678" s="295">
        <f ca="1">IFERROR(__xludf.DUMMYFUNCTION("IMPORTRANGE(""https://docs.google.com/spreadsheets/d/1tdoBKaGub7dwA3U6UFTqxio9LNnvDCQjHKmttSEBsFQ/edit?usp=sharing"",""จัดที่ดิน!BH53"")"),0)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IFERROR(__xludf.DUMMYFUNCTION("IMPORTRANGE(""https://docs.google.com/spreadsheets/d/1eHaY18a8A9IcSdp1K8H6x8fbOy06t2VsZHhMHf-1x7Y/edit?usp=sharing"",""แผน!IQ53"")"),3)</f>
        <v>3</v>
      </c>
      <c r="J679" s="295">
        <f ca="1">IFERROR(__xludf.DUMMYFUNCTION("IMPORTRANGE(""https://docs.google.com/spreadsheets/d/1tdoBKaGub7dwA3U6UFTqxio9LNnvDCQjHKmttSEBsFQ/edit?usp=sharing"",""จัดที่ดิน!BK53"")"),0)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IFERROR(__xludf.DUMMYFUNCTION("IMPORTRANGE(""https://docs.google.com/spreadsheets/d/1tdoBKaGub7dwA3U6UFTqxio9LNnvDCQjHKmttSEBsFQ/edit?usp=sharing"",""จัดที่ดิน!BL53"")"),0)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IFERROR(__xludf.DUMMYFUNCTION("IMPORTRANGE(""https://docs.google.com/spreadsheets/d/1eHaY18a8A9IcSdp1K8H6x8fbOy06t2VsZHhMHf-1x7Y/edit?usp=sharing"",""แผน!IR53"")"),30)</f>
        <v>30</v>
      </c>
      <c r="J681" s="295">
        <f ca="1">IFERROR(__xludf.DUMMYFUNCTION("IMPORTRANGE(""https://docs.google.com/spreadsheets/d/1tdoBKaGub7dwA3U6UFTqxio9LNnvDCQjHKmttSEBsFQ/edit?usp=sharing"",""จัดที่ดิน!BM53"")"),0)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IFERROR(__xludf.DUMMYFUNCTION("IMPORTRANGE(""https://docs.google.com/spreadsheets/d/1eHaY18a8A9IcSdp1K8H6x8fbOy06t2VsZHhMHf-1x7Y/edit?usp=sharing"",""แผน!IS53"")"),30)</f>
        <v>30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50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173940</v>
      </c>
      <c r="R690" s="217">
        <f ca="1">R691+R692</f>
        <v>173940</v>
      </c>
      <c r="S690" s="217">
        <f ca="1">S691+S692</f>
        <v>54525</v>
      </c>
      <c r="T690" s="217">
        <f ca="1">IF(Q690&gt;0,S690*100/Q690,0)</f>
        <v>31.347016212487066</v>
      </c>
      <c r="U690" s="217">
        <f ca="1">IF(R690&gt;0,S690*100/R690,0)</f>
        <v>31.347016212487066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173940</v>
      </c>
      <c r="R692" s="135">
        <f ca="1">R695+R698</f>
        <v>173940</v>
      </c>
      <c r="S692" s="135">
        <f ca="1">S695+S698</f>
        <v>54525</v>
      </c>
      <c r="T692" s="135">
        <f ca="1">IF(Q692&gt;0,S692*100/Q692,0)</f>
        <v>31.347016212487066</v>
      </c>
      <c r="U692" s="135">
        <f ca="1">IF(R692&gt;0,S692*100/R692,0)</f>
        <v>31.347016212487066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173940</v>
      </c>
      <c r="R693" s="135">
        <f ca="1">R694+R695</f>
        <v>173940</v>
      </c>
      <c r="S693" s="135">
        <f ca="1">S694+S695</f>
        <v>54525</v>
      </c>
      <c r="T693" s="135">
        <f ca="1">IF(Q693&gt;0,S693*100/Q693,0)</f>
        <v>31.347016212487066</v>
      </c>
      <c r="U693" s="135">
        <f ca="1">IF(R693&gt;0,S693*100/R693,0)</f>
        <v>31.347016212487066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IFERROR(__xludf.DUMMYFUNCTION("IMPORTRANGE(""https://docs.google.com/spreadsheets/d/1ItG2mGa2ceCfYo0BwxsXqNm01IGEUdYcSSLTEv9YCik/edit?usp=sharing"",""เบิกจ่ายกองทุน!L53"")"),173940)</f>
        <v>173940</v>
      </c>
      <c r="R695" s="135">
        <f ca="1">IFERROR(__xludf.DUMMYFUNCTION("IMPORTRANGE(""https://docs.google.com/spreadsheets/d/1ItG2mGa2ceCfYo0BwxsXqNm01IGEUdYcSSLTEv9YCik/edit?usp=sharing"",""เบิกจ่ายกองทุน!M53"")"),173940)</f>
        <v>173940</v>
      </c>
      <c r="S695" s="135">
        <f ca="1">IFERROR(__xludf.DUMMYFUNCTION("IMPORTRANGE(""https://docs.google.com/spreadsheets/d/1ItG2mGa2ceCfYo0BwxsXqNm01IGEUdYcSSLTEv9YCik/edit?usp=sharing"",""เบิกจ่ายกองทุน!N53"")"),54525)</f>
        <v>54525</v>
      </c>
      <c r="T695" s="135">
        <f ca="1">IF(Q695&gt;0,S695*100/Q695,0)</f>
        <v>31.347016212487066</v>
      </c>
      <c r="U695" s="135">
        <f ca="1">IF(R695&gt;0,S695*100/R695,0)</f>
        <v>31.347016212487066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836">
        <f ca="1">IFERROR(__xludf.DUMMYFUNCTION("IMPORTRANGE(""https://docs.google.com/spreadsheets/d/1eHaY18a8A9IcSdp1K8H6x8fbOy06t2VsZHhMHf-1x7Y/edit?usp=sharing"",""แผน!LC53"")"),0)</f>
        <v>0</v>
      </c>
      <c r="J700" s="770">
        <v>0</v>
      </c>
      <c r="K700" s="835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832"/>
      <c r="B701" s="831"/>
      <c r="C701" s="831"/>
      <c r="D701" s="830"/>
      <c r="E701" s="749" t="s">
        <v>259</v>
      </c>
      <c r="F701" s="830"/>
      <c r="G701" s="829"/>
      <c r="H701" s="264" t="s">
        <v>35</v>
      </c>
      <c r="I701" s="834">
        <f ca="1">I703+I705</f>
        <v>56</v>
      </c>
      <c r="J701" s="833">
        <f ca="1">J703+J705</f>
        <v>22</v>
      </c>
      <c r="K701" s="217">
        <f ca="1">IF(I701&gt;0,J701*100/I701,0)</f>
        <v>39.285714285714285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832"/>
      <c r="B702" s="831"/>
      <c r="C702" s="831"/>
      <c r="D702" s="830"/>
      <c r="E702" s="830"/>
      <c r="F702" s="830"/>
      <c r="G702" s="829"/>
      <c r="H702" s="264" t="s">
        <v>46</v>
      </c>
      <c r="I702" s="828">
        <v>0</v>
      </c>
      <c r="J702" s="827">
        <f ca="1">J704+J706</f>
        <v>19.559999999999999</v>
      </c>
      <c r="K702" s="217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825">
        <f ca="1">IFERROR(__xludf.DUMMYFUNCTION("IMPORTRANGE(""https://docs.google.com/spreadsheets/d/1eHaY18a8A9IcSdp1K8H6x8fbOy06t2VsZHhMHf-1x7Y/edit?usp=sharing"",""แผน!LJ53"")"),50)</f>
        <v>50</v>
      </c>
      <c r="J703" s="604">
        <f ca="1">IFERROR(__xludf.DUMMYFUNCTION("IMPORTRANGE(""https://docs.google.com/spreadsheets/d/1tdoBKaGub7dwA3U6UFTqxio9LNnvDCQjHKmttSEBsFQ/edit?usp=sharing"",""จัดที่ดิน!AP53"")"),22)</f>
        <v>22</v>
      </c>
      <c r="K703" s="135">
        <f ca="1">IF(I703&gt;0,J703*100/I703,0)</f>
        <v>44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824">
        <v>0</v>
      </c>
      <c r="J704" s="605">
        <f ca="1">IFERROR(__xludf.DUMMYFUNCTION("IMPORTRANGE(""https://docs.google.com/spreadsheets/d/1tdoBKaGub7dwA3U6UFTqxio9LNnvDCQjHKmttSEBsFQ/edit?usp=sharing"",""จัดที่ดิน!AQ53"")"),19.56)</f>
        <v>19.559999999999999</v>
      </c>
      <c r="K704" s="135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825">
        <f ca="1">IFERROR(__xludf.DUMMYFUNCTION("IMPORTRANGE(""https://docs.google.com/spreadsheets/d/1eHaY18a8A9IcSdp1K8H6x8fbOy06t2VsZHhMHf-1x7Y/edit?usp=sharing"",""แผน!LK53"")"),6)</f>
        <v>6</v>
      </c>
      <c r="J705" s="604">
        <f ca="1">IFERROR(__xludf.DUMMYFUNCTION("IMPORTRANGE(""https://docs.google.com/spreadsheets/d/1tdoBKaGub7dwA3U6UFTqxio9LNnvDCQjHKmttSEBsFQ/edit?usp=sharing"",""จัดที่ดิน!AR53"")"),0)</f>
        <v>0</v>
      </c>
      <c r="K705" s="826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824">
        <v>0</v>
      </c>
      <c r="J706" s="604">
        <f ca="1">IFERROR(__xludf.DUMMYFUNCTION("IMPORTRANGE(""https://docs.google.com/spreadsheets/d/1tdoBKaGub7dwA3U6UFTqxio9LNnvDCQjHKmttSEBsFQ/edit?usp=sharing"",""จัดที่ดิน!AS53"")"),0)</f>
        <v>0</v>
      </c>
      <c r="K706" s="135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825">
        <f ca="1">IFERROR(__xludf.DUMMYFUNCTION("IMPORTRANGE(""https://docs.google.com/spreadsheets/d/1eHaY18a8A9IcSdp1K8H6x8fbOy06t2VsZHhMHf-1x7Y/edit?usp=sharing"",""แผน!LJ53"")"),50)</f>
        <v>50</v>
      </c>
      <c r="J707" s="604">
        <f ca="1">IFERROR(__xludf.DUMMYFUNCTION("IMPORTRANGE(""https://docs.google.com/spreadsheets/d/1tdoBKaGub7dwA3U6UFTqxio9LNnvDCQjHKmttSEBsFQ/edit?usp=sharing"",""จัดที่ดิน!BN53"")"),0)</f>
        <v>0</v>
      </c>
      <c r="K707" s="135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824">
        <v>0</v>
      </c>
      <c r="J708" s="604">
        <f ca="1">IFERROR(__xludf.DUMMYFUNCTION("IMPORTRANGE(""https://docs.google.com/spreadsheets/d/1tdoBKaGub7dwA3U6UFTqxio9LNnvDCQjHKmttSEBsFQ/edit?usp=sharing"",""จัดที่ดิน!BO53"")"),0)</f>
        <v>0</v>
      </c>
      <c r="K708" s="135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825">
        <f ca="1">IFERROR(__xludf.DUMMYFUNCTION("IMPORTRANGE(""https://docs.google.com/spreadsheets/d/1eHaY18a8A9IcSdp1K8H6x8fbOy06t2VsZHhMHf-1x7Y/edit?usp=sharing"",""แผน!LK53"")"),6)</f>
        <v>6</v>
      </c>
      <c r="J709" s="604">
        <f ca="1">IFERROR(__xludf.DUMMYFUNCTION("IMPORTRANGE(""https://docs.google.com/spreadsheets/d/1tdoBKaGub7dwA3U6UFTqxio9LNnvDCQjHKmttSEBsFQ/edit?usp=sharing"",""จัดที่ดิน!BP53"")"),0)</f>
        <v>0</v>
      </c>
      <c r="K709" s="135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824">
        <v>0</v>
      </c>
      <c r="J710" s="604">
        <f ca="1">IFERROR(__xludf.DUMMYFUNCTION("IMPORTRANGE(""https://docs.google.com/spreadsheets/d/1tdoBKaGub7dwA3U6UFTqxio9LNnvDCQjHKmttSEBsFQ/edit?usp=sharing"",""จัดที่ดิน!BQ53"")"),0)</f>
        <v>0</v>
      </c>
      <c r="K710" s="135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308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IFERROR(__xludf.DUMMYFUNCTION("IMPORTRANGE(""https://docs.google.com/spreadsheets/d/1eHaY18a8A9IcSdp1K8H6x8fbOy06t2VsZHhMHf-1x7Y/edit?usp=sharing"",""แผน!GA53"")"),128)</f>
        <v>128</v>
      </c>
      <c r="J726" s="760">
        <f>J742+J746+J749</f>
        <v>128</v>
      </c>
      <c r="K726" s="746">
        <f ca="1">IF(I726&gt;0,J726*100/I726,0)</f>
        <v>100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IFERROR(__xludf.DUMMYFUNCTION("IMPORTRANGE(""https://docs.google.com/spreadsheets/d/1eHaY18a8A9IcSdp1K8H6x8fbOy06t2VsZHhMHf-1x7Y/edit?usp=sharing"",""แผน!FZ53"")"),1250)</f>
        <v>1250</v>
      </c>
      <c r="J727" s="760">
        <f>J752+J755</f>
        <v>1100</v>
      </c>
      <c r="K727" s="746">
        <f ca="1">IF(I727&gt;0,J727*100/I727,0)</f>
        <v>88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1008470</v>
      </c>
      <c r="R728" s="217">
        <f ca="1">R729+R730</f>
        <v>1008470</v>
      </c>
      <c r="S728" s="217">
        <f ca="1">S729+S730</f>
        <v>58730</v>
      </c>
      <c r="T728" s="217">
        <f ca="1">IF(Q728&gt;0,S728*100/Q728,0)</f>
        <v>5.823673485577161</v>
      </c>
      <c r="U728" s="217">
        <f ca="1">IF(R728&gt;0,S728*100/R728,0)</f>
        <v>5.823673485577161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1008470</v>
      </c>
      <c r="R730" s="135">
        <f ca="1">R733+R736</f>
        <v>1008470</v>
      </c>
      <c r="S730" s="135">
        <f ca="1">S733+S736</f>
        <v>58730</v>
      </c>
      <c r="T730" s="135">
        <f ca="1">IF(Q730&gt;0,S730*100/Q730,0)</f>
        <v>5.823673485577161</v>
      </c>
      <c r="U730" s="135">
        <f ca="1">IF(R730&gt;0,S730*100/R730,0)</f>
        <v>5.823673485577161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1008470</v>
      </c>
      <c r="R731" s="135">
        <f ca="1">R732+R733</f>
        <v>1008470</v>
      </c>
      <c r="S731" s="135">
        <f ca="1">S732+S733</f>
        <v>58730</v>
      </c>
      <c r="T731" s="135">
        <f ca="1">IF(Q731&gt;0,S731*100/Q731,0)</f>
        <v>5.823673485577161</v>
      </c>
      <c r="U731" s="135">
        <f ca="1">IF(R731&gt;0,S731*100/R731,0)</f>
        <v>5.823673485577161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IFERROR(__xludf.DUMMYFUNCTION("IMPORTRANGE(""https://docs.google.com/spreadsheets/d/1ItG2mGa2ceCfYo0BwxsXqNm01IGEUdYcSSLTEv9YCik/edit?usp=sharing"",""เบิกจ่ายกองทุน!O53"")"),1008470)</f>
        <v>1008470</v>
      </c>
      <c r="R733" s="135">
        <f ca="1">IFERROR(__xludf.DUMMYFUNCTION("IMPORTRANGE(""https://docs.google.com/spreadsheets/d/1ItG2mGa2ceCfYo0BwxsXqNm01IGEUdYcSSLTEv9YCik/edit?usp=sharing"",""เบิกจ่ายกองทุน!P53"")"),1008470)</f>
        <v>1008470</v>
      </c>
      <c r="S733" s="135">
        <f ca="1">IFERROR(__xludf.DUMMYFUNCTION("IMPORTRANGE(""https://docs.google.com/spreadsheets/d/1ItG2mGa2ceCfYo0BwxsXqNm01IGEUdYcSSLTEv9YCik/edit?usp=sharing"",""เบิกจ่ายกองทุน!Q53"")"),58730)</f>
        <v>58730</v>
      </c>
      <c r="T733" s="135">
        <f ca="1">IF(Q733&gt;0,S733*100/Q733,0)</f>
        <v>5.823673485577161</v>
      </c>
      <c r="U733" s="135">
        <f ca="1">IF(R733&gt;0,S733*100/R733,0)</f>
        <v>5.823673485577161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IFERROR(__xludf.DUMMYFUNCTION("IMPORTRANGE(""https://docs.google.com/spreadsheets/d/1eHaY18a8A9IcSdp1K8H6x8fbOy06t2VsZHhMHf-1x7Y/edit?usp=sharing"",""แผน!GB53"")"),1000)</f>
        <v>1000</v>
      </c>
      <c r="J740" s="816">
        <v>1000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IFERROR(__xludf.DUMMYFUNCTION("IMPORTRANGE(""https://docs.google.com/spreadsheets/d/1eHaY18a8A9IcSdp1K8H6x8fbOy06t2VsZHhMHf-1x7Y/edit?usp=sharing"",""แผน!GC53"")"),100)</f>
        <v>100</v>
      </c>
      <c r="J742" s="816">
        <v>100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IFERROR(__xludf.DUMMYFUNCTION("IMPORTRANGE(""https://docs.google.com/spreadsheets/d/1eHaY18a8A9IcSdp1K8H6x8fbOy06t2VsZHhMHf-1x7Y/edit?usp=sharing"",""แผน!GD53"")"),250)</f>
        <v>250</v>
      </c>
      <c r="J744" s="816">
        <v>250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IFERROR(__xludf.DUMMYFUNCTION("IMPORTRANGE(""https://docs.google.com/spreadsheets/d/1eHaY18a8A9IcSdp1K8H6x8fbOy06t2VsZHhMHf-1x7Y/edit?usp=sharing"",""แผน!GE53"")"),25)</f>
        <v>25</v>
      </c>
      <c r="J746" s="816">
        <v>25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IFERROR(__xludf.DUMMYFUNCTION("IMPORTRANGE(""https://docs.google.com/spreadsheets/d/1eHaY18a8A9IcSdp1K8H6x8fbOy06t2VsZHhMHf-1x7Y/edit?usp=sharing"",""แผน!GF53"")"),3)</f>
        <v>3</v>
      </c>
      <c r="J749" s="816">
        <v>3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IFERROR(__xludf.DUMMYFUNCTION("IMPORTRANGE(""https://docs.google.com/spreadsheets/d/1eHaY18a8A9IcSdp1K8H6x8fbOy06t2VsZHhMHf-1x7Y/edit?usp=sharing"",""แผน!GB53"")"),1000)</f>
        <v>1000</v>
      </c>
      <c r="J752" s="816">
        <v>1000</v>
      </c>
      <c r="K752" s="91">
        <f ca="1">IF(I752&gt;0,J752*100/I752,0)</f>
        <v>100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IFERROR(__xludf.DUMMYFUNCTION("IMPORTRANGE(""https://docs.google.com/spreadsheets/d/1eHaY18a8A9IcSdp1K8H6x8fbOy06t2VsZHhMHf-1x7Y/edit?usp=sharing"",""แผน!GD53"")"),250)</f>
        <v>250</v>
      </c>
      <c r="J755" s="816">
        <v>100</v>
      </c>
      <c r="K755" s="91">
        <f ca="1">IF(I755&gt;0,J755*100/I755,0)</f>
        <v>40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25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815">
        <v>3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85</v>
      </c>
      <c r="J758" s="760">
        <f>J772</f>
        <v>75</v>
      </c>
      <c r="K758" s="746">
        <f ca="1">IF(I758&gt;0,J758*100/I758,0)</f>
        <v>88.235294117647058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220</v>
      </c>
      <c r="J759" s="760">
        <f>J774</f>
        <v>220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574850</v>
      </c>
      <c r="R760" s="217">
        <f ca="1">R761+R762</f>
        <v>574850</v>
      </c>
      <c r="S760" s="217">
        <f ca="1">S761+S762</f>
        <v>72890</v>
      </c>
      <c r="T760" s="217">
        <f ca="1">IF(Q760&gt;0,S760*100/Q760,0)</f>
        <v>12.679829520744542</v>
      </c>
      <c r="U760" s="217">
        <f ca="1">IF(R760&gt;0,S760*100/R760,0)</f>
        <v>12.679829520744542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574850</v>
      </c>
      <c r="R762" s="135">
        <f ca="1">R765+R768</f>
        <v>574850</v>
      </c>
      <c r="S762" s="135">
        <f ca="1">S765+S768</f>
        <v>72890</v>
      </c>
      <c r="T762" s="135">
        <f ca="1">IF(Q762&gt;0,S762*100/Q762,0)</f>
        <v>12.679829520744542</v>
      </c>
      <c r="U762" s="135">
        <f ca="1">IF(R762&gt;0,S762*100/R762,0)</f>
        <v>12.679829520744542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574850</v>
      </c>
      <c r="R763" s="135">
        <f ca="1">R764+R765</f>
        <v>574850</v>
      </c>
      <c r="S763" s="135">
        <f ca="1">S764+S765</f>
        <v>72890</v>
      </c>
      <c r="T763" s="135">
        <f ca="1">IF(Q763&gt;0,S763*100/Q763,0)</f>
        <v>12.679829520744542</v>
      </c>
      <c r="U763" s="135">
        <f ca="1">IF(R763&gt;0,S763*100/R763,0)</f>
        <v>12.679829520744542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IFERROR(__xludf.DUMMYFUNCTION("IMPORTRANGE(""https://docs.google.com/spreadsheets/d/1ItG2mGa2ceCfYo0BwxsXqNm01IGEUdYcSSLTEv9YCik/edit?usp=sharing"",""เบิกจ่ายกองทุน!U53"")"),574850)</f>
        <v>574850</v>
      </c>
      <c r="R765" s="135">
        <f ca="1">IFERROR(__xludf.DUMMYFUNCTION("IMPORTRANGE(""https://docs.google.com/spreadsheets/d/1ItG2mGa2ceCfYo0BwxsXqNm01IGEUdYcSSLTEv9YCik/edit?usp=sharing"",""เบิกจ่ายกองทุน!V53"")"),574850)</f>
        <v>574850</v>
      </c>
      <c r="S765" s="135">
        <f ca="1">IFERROR(__xludf.DUMMYFUNCTION("IMPORTRANGE(""https://docs.google.com/spreadsheets/d/1ItG2mGa2ceCfYo0BwxsXqNm01IGEUdYcSSLTEv9YCik/edit?usp=sharing"",""เบิกจ่ายกองทุน!W53"")"),72890)</f>
        <v>72890</v>
      </c>
      <c r="T765" s="135">
        <f ca="1">IF(Q765&gt;0,S765*100/Q765,0)</f>
        <v>12.679829520744542</v>
      </c>
      <c r="U765" s="135">
        <f ca="1">IF(R765&gt;0,S765*100/R765,0)</f>
        <v>12.679829520744542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IFERROR(__xludf.DUMMYFUNCTION("IMPORTRANGE(""https://docs.google.com/spreadsheets/d/1eHaY18a8A9IcSdp1K8H6x8fbOy06t2VsZHhMHf-1x7Y/edit?usp=sharing"",""แผน!FQ53"")"),85)</f>
        <v>85</v>
      </c>
      <c r="J772" s="296">
        <v>75</v>
      </c>
      <c r="K772" s="77">
        <f ca="1">IF(I772&gt;0,J772*100/I772,0)</f>
        <v>88.235294117647058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IFERROR(__xludf.DUMMYFUNCTION("IMPORTRANGE(""https://docs.google.com/spreadsheets/d/1eHaY18a8A9IcSdp1K8H6x8fbOy06t2VsZHhMHf-1x7Y/edit?usp=sharing"",""แผน!FR53"")"),220)</f>
        <v>220</v>
      </c>
      <c r="J774" s="296">
        <v>220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IFERROR(__xludf.DUMMYFUNCTION("IMPORTRANGE(""https://docs.google.com/spreadsheets/d/1eHaY18a8A9IcSdp1K8H6x8fbOy06t2VsZHhMHf-1x7Y/edit?usp=sharing"",""แผน!FS53"")"),220)</f>
        <v>220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IFERROR(__xludf.DUMMYFUNCTION("IMPORTRANGE(""https://docs.google.com/spreadsheets/d/1eHaY18a8A9IcSdp1K8H6x8fbOy06t2VsZHhMHf-1x7Y/edit?usp=sharing"",""แผน!FT53"")"),85)</f>
        <v>85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774" t="s">
        <v>292</v>
      </c>
      <c r="B777" s="775"/>
      <c r="C777" s="775"/>
      <c r="D777" s="775"/>
      <c r="E777" s="776"/>
      <c r="F777" s="776"/>
      <c r="G777" s="777"/>
      <c r="H777" s="778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533"/>
      <c r="B778" s="571" t="s">
        <v>293</v>
      </c>
      <c r="C778" s="271"/>
      <c r="D778" s="271"/>
      <c r="E778" s="260"/>
      <c r="F778" s="260"/>
      <c r="G778" s="263"/>
      <c r="H778" s="270" t="s">
        <v>14</v>
      </c>
      <c r="I778" s="295">
        <f ca="1">IFERROR(__xludf.DUMMYFUNCTION("IMPORTRANGE(""https://docs.google.com/spreadsheets/d/10OvvATaaLtwErnr3qtWFcTmtbfpFEt5Bsqel9sXx0uE/edit?usp=sharing"",""งานกองทุน!D53"")"),1905000)</f>
        <v>1905000</v>
      </c>
      <c r="J778" s="295">
        <f ca="1">IFERROR(__xludf.DUMMYFUNCTION("IMPORTRANGE(""https://docs.google.com/spreadsheets/d/10OvvATaaLtwErnr3qtWFcTmtbfpFEt5Bsqel9sXx0uE/edit?usp=sharing"",""งานกองทุน!F53"")"),231000)</f>
        <v>231000</v>
      </c>
      <c r="K778" s="77">
        <f ca="1">IF(I778&gt;0,J778*100/I778,0)</f>
        <v>12.125984251968504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533"/>
      <c r="B779" s="271"/>
      <c r="C779" s="271"/>
      <c r="D779" s="271"/>
      <c r="E779" s="260"/>
      <c r="F779" s="260"/>
      <c r="G779" s="263"/>
      <c r="H779" s="270" t="s">
        <v>35</v>
      </c>
      <c r="I779" s="295">
        <f ca="1">IFERROR(__xludf.DUMMYFUNCTION("IMPORTRANGE(""https://docs.google.com/spreadsheets/d/10OvvATaaLtwErnr3qtWFcTmtbfpFEt5Bsqel9sXx0uE/edit?usp=sharing"",""งานกองทุน!C53"")"),104)</f>
        <v>104</v>
      </c>
      <c r="J779" s="295">
        <f ca="1">IFERROR(__xludf.DUMMYFUNCTION("IMPORTRANGE(""https://docs.google.com/spreadsheets/d/10OvvATaaLtwErnr3qtWFcTmtbfpFEt5Bsqel9sXx0uE/edit?usp=sharing"",""งานกองทุน!E53"")"),14)</f>
        <v>14</v>
      </c>
      <c r="K779" s="77">
        <f ca="1">IF(I779&gt;0,J779*100/I779,0)</f>
        <v>13.461538461538462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533"/>
      <c r="B780" s="571" t="s">
        <v>294</v>
      </c>
      <c r="C780" s="271"/>
      <c r="D780" s="271"/>
      <c r="E780" s="260"/>
      <c r="F780" s="260"/>
      <c r="G780" s="263"/>
      <c r="H780" s="270" t="s">
        <v>14</v>
      </c>
      <c r="I780" s="295">
        <f ca="1">IFERROR(__xludf.DUMMYFUNCTION("IMPORTRANGE(""https://docs.google.com/spreadsheets/d/10OvvATaaLtwErnr3qtWFcTmtbfpFEt5Bsqel9sXx0uE/edit?usp=sharing"",""งานกองทุน!I53"")"),19129709.33)</f>
        <v>19129709.329999998</v>
      </c>
      <c r="J780" s="295">
        <f ca="1">IFERROR(__xludf.DUMMYFUNCTION("IMPORTRANGE(""https://docs.google.com/spreadsheets/d/10OvvATaaLtwErnr3qtWFcTmtbfpFEt5Bsqel9sXx0uE/edit?usp=sharing"",""งานกองทุน!K53"")"),793368.18)</f>
        <v>793368.18</v>
      </c>
      <c r="K780" s="77">
        <f ca="1">IF(I780&gt;0,J780*100/I780,0)</f>
        <v>4.1473091217115741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533"/>
      <c r="B781" s="271"/>
      <c r="C781" s="271"/>
      <c r="D781" s="271"/>
      <c r="E781" s="260"/>
      <c r="F781" s="260"/>
      <c r="G781" s="263"/>
      <c r="H781" s="270" t="s">
        <v>35</v>
      </c>
      <c r="I781" s="295">
        <f ca="1">IFERROR(__xludf.DUMMYFUNCTION("IMPORTRANGE(""https://docs.google.com/spreadsheets/d/10OvvATaaLtwErnr3qtWFcTmtbfpFEt5Bsqel9sXx0uE/edit?usp=sharing"",""งานกองทุน!H53"")"),654)</f>
        <v>654</v>
      </c>
      <c r="J781" s="295">
        <f ca="1">IFERROR(__xludf.DUMMYFUNCTION("IMPORTRANGE(""https://docs.google.com/spreadsheets/d/10OvvATaaLtwErnr3qtWFcTmtbfpFEt5Bsqel9sXx0uE/edit?usp=sharing"",""งานกองทุน!J53"")"),66)</f>
        <v>66</v>
      </c>
      <c r="K781" s="77">
        <f ca="1">IF(I781&gt;0,J781*100/I781,0)</f>
        <v>10.091743119266056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533"/>
      <c r="B782" s="571" t="s">
        <v>295</v>
      </c>
      <c r="C782" s="271"/>
      <c r="D782" s="271"/>
      <c r="E782" s="260"/>
      <c r="F782" s="260"/>
      <c r="G782" s="263"/>
      <c r="H782" s="270" t="s">
        <v>14</v>
      </c>
      <c r="I782" s="295">
        <f ca="1">IFERROR(__xludf.DUMMYFUNCTION("IMPORTRANGE(""https://docs.google.com/spreadsheets/d/10OvvATaaLtwErnr3qtWFcTmtbfpFEt5Bsqel9sXx0uE/edit?usp=sharing"",""งานกองทุน!N53"")"),894930.13)</f>
        <v>894930.13</v>
      </c>
      <c r="J782" s="295">
        <f ca="1">IFERROR(__xludf.DUMMYFUNCTION("IMPORTRANGE(""https://docs.google.com/spreadsheets/d/10OvvATaaLtwErnr3qtWFcTmtbfpFEt5Bsqel9sXx0uE/edit?usp=sharing"",""งานกองทุน!P53"")"),89544.09)</f>
        <v>89544.09</v>
      </c>
      <c r="K782" s="77">
        <f ca="1">IF(I782&gt;0,J782*100/I782,0)</f>
        <v>10.005707372932008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533"/>
      <c r="B783" s="271"/>
      <c r="C783" s="271"/>
      <c r="D783" s="271"/>
      <c r="E783" s="260"/>
      <c r="F783" s="260"/>
      <c r="G783" s="263"/>
      <c r="H783" s="270" t="s">
        <v>35</v>
      </c>
      <c r="I783" s="295">
        <f ca="1">IFERROR(__xludf.DUMMYFUNCTION("IMPORTRANGE(""https://docs.google.com/spreadsheets/d/10OvvATaaLtwErnr3qtWFcTmtbfpFEt5Bsqel9sXx0uE/edit?usp=sharing"",""งานกองทุน!M53"")"),262)</f>
        <v>262</v>
      </c>
      <c r="J783" s="295">
        <f ca="1">IFERROR(__xludf.DUMMYFUNCTION("IMPORTRANGE(""https://docs.google.com/spreadsheets/d/10OvvATaaLtwErnr3qtWFcTmtbfpFEt5Bsqel9sXx0uE/edit?usp=sharing"",""งานกองทุน!O53"")"),34)</f>
        <v>34</v>
      </c>
      <c r="K783" s="77">
        <f ca="1">IF(I783&gt;0,J783*100/I783,0)</f>
        <v>12.977099236641221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533"/>
      <c r="B784" s="571" t="s">
        <v>296</v>
      </c>
      <c r="C784" s="271"/>
      <c r="D784" s="271"/>
      <c r="E784" s="260"/>
      <c r="F784" s="260"/>
      <c r="G784" s="263"/>
      <c r="H784" s="270" t="s">
        <v>14</v>
      </c>
      <c r="I784" s="295">
        <f ca="1">IFERROR(__xludf.DUMMYFUNCTION("IMPORTRANGE(""https://docs.google.com/spreadsheets/d/10OvvATaaLtwErnr3qtWFcTmtbfpFEt5Bsqel9sXx0uE/edit?usp=sharing"",""งานกองทุน!S53"")"),2436000)</f>
        <v>2436000</v>
      </c>
      <c r="J784" s="295">
        <f ca="1">IFERROR(__xludf.DUMMYFUNCTION("IMPORTRANGE(""https://docs.google.com/spreadsheets/d/10OvvATaaLtwErnr3qtWFcTmtbfpFEt5Bsqel9sXx0uE/edit?usp=sharing"",""งานกองทุน!U53"")"),1500000)</f>
        <v>1500000</v>
      </c>
      <c r="K784" s="77">
        <f ca="1">IF(I784&gt;0,J784*100/I784,0)</f>
        <v>61.576354679802954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608"/>
      <c r="B785" s="609"/>
      <c r="C785" s="609"/>
      <c r="D785" s="609"/>
      <c r="E785" s="617"/>
      <c r="F785" s="617"/>
      <c r="G785" s="618"/>
      <c r="H785" s="611" t="s">
        <v>35</v>
      </c>
      <c r="I785" s="773">
        <f ca="1">IFERROR(__xludf.DUMMYFUNCTION("IMPORTRANGE(""https://docs.google.com/spreadsheets/d/10OvvATaaLtwErnr3qtWFcTmtbfpFEt5Bsqel9sXx0uE/edit?usp=sharing"",""งานกองทุน!R53"")"),87)</f>
        <v>87</v>
      </c>
      <c r="J785" s="773">
        <f ca="1">IFERROR(__xludf.DUMMYFUNCTION("IMPORTRANGE(""https://docs.google.com/spreadsheets/d/10OvvATaaLtwErnr3qtWFcTmtbfpFEt5Bsqel9sXx0uE/edit?usp=sharing"",""งานกองทุน!T53"")"),30)</f>
        <v>30</v>
      </c>
      <c r="K785" s="185">
        <f ca="1">IF(I785&gt;0,J785*100/I785,0)</f>
        <v>34.482758620689658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782"/>
      <c r="B786" s="782"/>
      <c r="C786" s="782"/>
      <c r="D786" s="782"/>
      <c r="E786" s="291"/>
      <c r="F786" s="291"/>
      <c r="G786" s="291"/>
      <c r="H786" s="782"/>
      <c r="I786" s="783"/>
      <c r="J786" s="783"/>
      <c r="K786" s="784"/>
      <c r="L786" s="784"/>
      <c r="M786" s="784"/>
      <c r="N786" s="784"/>
      <c r="O786" s="784"/>
      <c r="P786" s="784"/>
      <c r="Q786" s="784"/>
      <c r="R786" s="784"/>
      <c r="S786" s="784"/>
      <c r="T786" s="784"/>
      <c r="U786" s="784"/>
    </row>
    <row r="787" spans="1:21" ht="16.5" x14ac:dyDescent="0.25">
      <c r="A787" s="785" t="s">
        <v>297</v>
      </c>
      <c r="B787" s="782"/>
      <c r="C787" s="782"/>
      <c r="D787" s="782"/>
      <c r="E787" s="291"/>
      <c r="F787" s="291"/>
      <c r="G787" s="291"/>
      <c r="H787" s="782"/>
      <c r="I787" s="783"/>
      <c r="J787" s="783"/>
      <c r="K787" s="784"/>
      <c r="L787" s="784"/>
      <c r="M787" s="784"/>
      <c r="N787" s="784"/>
      <c r="O787" s="784"/>
      <c r="P787" s="784"/>
      <c r="Q787" s="784"/>
      <c r="R787" s="784"/>
      <c r="S787" s="784"/>
      <c r="T787" s="784"/>
      <c r="U787" s="784"/>
    </row>
    <row r="788" spans="1:21" ht="16.5" x14ac:dyDescent="0.25">
      <c r="A788" s="785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782"/>
      <c r="C788" s="782"/>
      <c r="D788" s="782"/>
      <c r="E788" s="291"/>
      <c r="F788" s="291"/>
      <c r="G788" s="291"/>
      <c r="H788" s="782"/>
      <c r="I788" s="783"/>
      <c r="J788" s="783"/>
      <c r="K788" s="784"/>
      <c r="L788" s="784"/>
      <c r="M788" s="784"/>
      <c r="N788" s="784"/>
      <c r="O788" s="784"/>
      <c r="P788" s="784"/>
      <c r="Q788" s="784"/>
      <c r="R788" s="784"/>
      <c r="S788" s="784"/>
      <c r="T788" s="784"/>
      <c r="U788" s="784"/>
    </row>
    <row r="789" spans="1:21" ht="16.5" x14ac:dyDescent="0.25">
      <c r="A789" s="78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782"/>
      <c r="C789" s="782"/>
      <c r="D789" s="782"/>
      <c r="E789" s="291"/>
      <c r="F789" s="291"/>
      <c r="G789" s="291"/>
      <c r="H789" s="782"/>
      <c r="I789" s="783"/>
      <c r="J789" s="783"/>
      <c r="K789" s="784"/>
      <c r="L789" s="784"/>
      <c r="M789" s="784"/>
      <c r="N789" s="784"/>
      <c r="O789" s="784"/>
      <c r="P789" s="784"/>
      <c r="Q789" s="784"/>
      <c r="R789" s="784"/>
      <c r="S789" s="784"/>
      <c r="T789" s="784"/>
      <c r="U789" s="784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F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339F-9A7B-4C31-B15D-61C1C994A2FF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331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1046">
        <f ca="1">L19+L20</f>
        <v>1453437</v>
      </c>
      <c r="M18" s="1045">
        <f ca="1">M19+M20</f>
        <v>1565137</v>
      </c>
      <c r="N18" s="1045">
        <f ca="1">N19+N20</f>
        <v>1222674.3000000003</v>
      </c>
      <c r="O18" s="1045">
        <f ca="1">IF(L18&gt;0,N18*100/L18,0)</f>
        <v>84.122965082077883</v>
      </c>
      <c r="P18" s="1045">
        <f ca="1">IF(M18&gt;0,N18*100/M18,0)</f>
        <v>78.119314794807124</v>
      </c>
      <c r="Q18" s="1045">
        <f ca="1">Q19+Q20</f>
        <v>1192439.3900000001</v>
      </c>
      <c r="R18" s="1045">
        <f ca="1">R19+R20</f>
        <v>1198439</v>
      </c>
      <c r="S18" s="1045">
        <f ca="1">S19+S20</f>
        <v>219270</v>
      </c>
      <c r="T18" s="1045">
        <f ca="1">IF(Q18&gt;0,S18*100/Q18,0)</f>
        <v>18.388355990152252</v>
      </c>
      <c r="U18" s="1045">
        <f ca="1">IF(R18&gt;0,S18*100/R18,0)</f>
        <v>18.296300437485762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1037">
        <f>L22+L25</f>
        <v>0</v>
      </c>
      <c r="M19" s="1036">
        <f>M22+M25</f>
        <v>0</v>
      </c>
      <c r="N19" s="1036">
        <f>N22+N25</f>
        <v>0</v>
      </c>
      <c r="O19" s="1036">
        <f>IF(L19&gt;0,N19*100/L19,0)</f>
        <v>0</v>
      </c>
      <c r="P19" s="1036">
        <f>IF(M19&gt;0,N19*100/M19,0)</f>
        <v>0</v>
      </c>
      <c r="Q19" s="1036">
        <f>Q22+Q25</f>
        <v>0</v>
      </c>
      <c r="R19" s="1036">
        <f>R22+R25</f>
        <v>0</v>
      </c>
      <c r="S19" s="1036">
        <f>S22+S25</f>
        <v>0</v>
      </c>
      <c r="T19" s="1036">
        <f>IF(Q19&gt;0,S19*100/Q19,0)</f>
        <v>0</v>
      </c>
      <c r="U19" s="103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1035">
        <f ca="1">L23+L26</f>
        <v>1453437</v>
      </c>
      <c r="M20" s="1034">
        <f ca="1">M23+M26</f>
        <v>1565137</v>
      </c>
      <c r="N20" s="1034">
        <f ca="1">N23+N26</f>
        <v>1222674.3000000003</v>
      </c>
      <c r="O20" s="1034">
        <f ca="1">IF(L20&gt;0,N20*100/L20,0)</f>
        <v>84.122965082077883</v>
      </c>
      <c r="P20" s="1034">
        <f ca="1">IF(M20&gt;0,N20*100/M20,0)</f>
        <v>78.119314794807124</v>
      </c>
      <c r="Q20" s="1034">
        <f ca="1">Q23+Q26</f>
        <v>1192439.3900000001</v>
      </c>
      <c r="R20" s="1034">
        <f ca="1">R23+R26</f>
        <v>1198439</v>
      </c>
      <c r="S20" s="1034">
        <f ca="1">S23+S26</f>
        <v>219270</v>
      </c>
      <c r="T20" s="1034">
        <f ca="1">IF(Q20&gt;0,S20*100/Q20,0)</f>
        <v>18.388355990152252</v>
      </c>
      <c r="U20" s="1034">
        <f ca="1">IF(R20&gt;0,S20*100/R20,0)</f>
        <v>18.296300437485762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1453437</v>
      </c>
      <c r="M21" s="135">
        <f ca="1">M22+M23</f>
        <v>1565137</v>
      </c>
      <c r="N21" s="135">
        <f ca="1">N22+N23</f>
        <v>1222674.3000000003</v>
      </c>
      <c r="O21" s="135">
        <f ca="1">IF(L21&gt;0,N21*100/L21,0)</f>
        <v>84.122965082077883</v>
      </c>
      <c r="P21" s="135">
        <f ca="1">IF(M21&gt;0,N21*100/M21,0)</f>
        <v>78.119314794807124</v>
      </c>
      <c r="Q21" s="135">
        <f ca="1">Q22+Q23</f>
        <v>1192439.3900000001</v>
      </c>
      <c r="R21" s="135">
        <f ca="1">R22+R23</f>
        <v>1198439</v>
      </c>
      <c r="S21" s="135">
        <f ca="1">S22+S23</f>
        <v>219270</v>
      </c>
      <c r="T21" s="135">
        <f ca="1">IF(Q21&gt;0,S21*100/Q21,0)</f>
        <v>18.388355990152252</v>
      </c>
      <c r="U21" s="135">
        <f ca="1">IF(R21&gt;0,S21*100/R21,0)</f>
        <v>18.296300437485762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1453437</v>
      </c>
      <c r="M23" s="135">
        <f ca="1">M49+M64+M77+M99+M130+M144+M162+M191+M178+M271+M287+M308+M325+M338+M361+M518</f>
        <v>1565137</v>
      </c>
      <c r="N23" s="135">
        <f ca="1">N49+N64+N77+N99+N130+N144+N162+N191+N178+N271+N287+N308+N325+N338+N361+N518</f>
        <v>1222674.3000000003</v>
      </c>
      <c r="O23" s="135">
        <f ca="1">IF(L23&gt;0,N23*100/L23,0)</f>
        <v>84.122965082077883</v>
      </c>
      <c r="P23" s="135">
        <f ca="1">IF(M23&gt;0,N23*100/M23,0)</f>
        <v>78.119314794807124</v>
      </c>
      <c r="Q23" s="135">
        <f ca="1">Q77+Q99+Q122+Q144+Q162+Q178+Q191+Q271+Q287+Q308+Q338+Q380+Q397+Q418+Q498+Q604+Q621+Q647+Q695+Q719+Q733+Q765</f>
        <v>1192439.3900000001</v>
      </c>
      <c r="R23" s="135">
        <f ca="1">R77+R99+R122+R144+R162+R178+R191+R271+R287+R308+R338+R380+R397+R418+R498+R604+R621+R647+R695+R719+R733+R765</f>
        <v>1198439</v>
      </c>
      <c r="S23" s="135">
        <f ca="1">S77+S99+S122+S144+S162+S178+S191+S271+S287+S308+S338+S380+S397+S418+S498+S604+S621+S647+S695+S719+S733+S765</f>
        <v>219270</v>
      </c>
      <c r="T23" s="135">
        <f ca="1">IF(Q23&gt;0,S23*100/Q23,0)</f>
        <v>18.388355990152252</v>
      </c>
      <c r="U23" s="135">
        <f ca="1">IF(R23&gt;0,S23*100/R23,0)</f>
        <v>18.296300437485762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0</v>
      </c>
      <c r="M24" s="135">
        <f ca="1">M25+M26</f>
        <v>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>Q25+Q26</f>
        <v>0</v>
      </c>
      <c r="R24" s="135">
        <f>R25+R26</f>
        <v>0</v>
      </c>
      <c r="S24" s="135">
        <f>S25+S26</f>
        <v>0</v>
      </c>
      <c r="T24" s="135">
        <f>IF(Q24&gt;0,S24*100/Q24,0)</f>
        <v>0</v>
      </c>
      <c r="U24" s="135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0</v>
      </c>
      <c r="M26" s="135">
        <f ca="1">M52+M67+M80+M102+M133+M147+M165+M194+M181+M274+M290+M311+M328+M341+M364+M521</f>
        <v>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>Q80+Q102+Q125+Q147+Q165+Q181+Q194+Q274+Q290+Q311+Q341+Q383+Q400+Q421+Q501+Q607+Q624+Q650+Q698+Q722+Q736+Q768</f>
        <v>0</v>
      </c>
      <c r="R26" s="136">
        <f>R80+R102+R125+R147+R165+R181+R194+R274+R290+R311+R341+R383+R400+R421+R501+R607+R624+R650+R698+R722+R736+R768</f>
        <v>0</v>
      </c>
      <c r="S26" s="136">
        <f>S80+S102+S125+S147+S165+S181+S194+S274+S290+S311+S341+S383+S400+S421+S501+S607+S624+S650+S698+S722+S736+S768</f>
        <v>0</v>
      </c>
      <c r="T26" s="135">
        <f>IF(Q26&gt;0,S26*100/Q26,0)</f>
        <v>0</v>
      </c>
      <c r="U26" s="135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021">
        <f ca="1">L44+L59+L72+L94+L125+L139+L157+L173+L186+L266+L282+L303+L320+L333+L356</f>
        <v>1453437</v>
      </c>
      <c r="M40" s="1020">
        <f ca="1">M44+M59+M72+M94+M125+M139+M157+M173+M186+M266+M282+M303+M320+M333+M356</f>
        <v>1565137</v>
      </c>
      <c r="N40" s="1020">
        <f ca="1">N44+N59+N72+N94+N125+N139+N157+N173+N186+N266+N282+N303+N320+N333+N356</f>
        <v>1222674.3000000003</v>
      </c>
      <c r="O40" s="1020">
        <f ca="1">IF(L40&gt;0,N40*100/L40,0)</f>
        <v>84.122965082077883</v>
      </c>
      <c r="P40" s="1020">
        <f ca="1">IF(M40&gt;0,N40*100/M40,0)</f>
        <v>78.119314794807124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013">
        <f ca="1">L45+L46</f>
        <v>202842</v>
      </c>
      <c r="M44" s="1012">
        <f ca="1">M45+M46</f>
        <v>296602</v>
      </c>
      <c r="N44" s="1012">
        <f ca="1">N45+N46</f>
        <v>245325</v>
      </c>
      <c r="O44" s="1012">
        <f ca="1">IF(L44&gt;0,N44*100/L44,0)</f>
        <v>120.94388736060579</v>
      </c>
      <c r="P44" s="1012">
        <f ca="1">IF(M44&gt;0,N44*100/M44,0)</f>
        <v>82.71184954922758</v>
      </c>
      <c r="Q44" s="1012">
        <f>Q45+Q46</f>
        <v>0</v>
      </c>
      <c r="R44" s="1012">
        <f>R45+R46</f>
        <v>0</v>
      </c>
      <c r="S44" s="1012">
        <f>S45+S46</f>
        <v>0</v>
      </c>
      <c r="T44" s="1012">
        <f>IF(Q44&gt;0,S44*100/Q44,0)</f>
        <v>0</v>
      </c>
      <c r="U44" s="1012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2">
        <f ca="1">L49+L52</f>
        <v>202842</v>
      </c>
      <c r="M46" s="133">
        <f ca="1">M49+M52</f>
        <v>296602</v>
      </c>
      <c r="N46" s="133">
        <f ca="1">N49+N52</f>
        <v>245325</v>
      </c>
      <c r="O46" s="133">
        <f ca="1">IF(L46&gt;0,N46*100/L46,0)</f>
        <v>120.94388736060579</v>
      </c>
      <c r="P46" s="133">
        <f ca="1">IF(M46&gt;0,N46*100/M46,0)</f>
        <v>82.71184954922758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202842</v>
      </c>
      <c r="M47" s="135">
        <f ca="1">M48+M49</f>
        <v>296602</v>
      </c>
      <c r="N47" s="135">
        <f ca="1">N48+N49</f>
        <v>245325</v>
      </c>
      <c r="O47" s="135">
        <f ca="1">IF(L47&gt;0,N47*100/L47,0)</f>
        <v>120.94388736060579</v>
      </c>
      <c r="P47" s="135">
        <f ca="1">IF(M47&gt;0,N47*100/M47,0)</f>
        <v>82.71184954922758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IFERROR(__xludf.DUMMYFUNCTION("IMPORTRANGE(""https://docs.google.com/spreadsheets/d/1-uDff_7J0KD5mKrp0Vvzr7lt3OU09vwQwhkpOPPYv2Y/edit?usp=sharing"",""งบพรบ!P54"")"),202842)</f>
        <v>202842</v>
      </c>
      <c r="M49" s="135">
        <f ca="1">IFERROR(__xludf.DUMMYFUNCTION("IMPORTRANGE(""https://docs.google.com/spreadsheets/d/1-uDff_7J0KD5mKrp0Vvzr7lt3OU09vwQwhkpOPPYv2Y/edit?usp=sharing"",""งบพรบ!V54"")"),296602)</f>
        <v>296602</v>
      </c>
      <c r="N49" s="135">
        <f ca="1">IFERROR(__xludf.DUMMYFUNCTION("IMPORTRANGE(""https://docs.google.com/spreadsheets/d/1-uDff_7J0KD5mKrp0Vvzr7lt3OU09vwQwhkpOPPYv2Y/edit?usp=sharing"",""งบพรบ!Y54"")"),245325)</f>
        <v>245325</v>
      </c>
      <c r="O49" s="135">
        <f ca="1">IF(L49&gt;0,N49*100/L49,0)</f>
        <v>120.94388736060579</v>
      </c>
      <c r="P49" s="135">
        <f ca="1">IF(M49&gt;0,N49*100/M49,0)</f>
        <v>82.71184954922758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IFERROR(__xludf.DUMMYFUNCTION("IMPORTRANGE(""https://docs.google.com/spreadsheets/d/1-uDff_7J0KD5mKrp0Vvzr7lt3OU09vwQwhkpOPPYv2Y/edit?usp=sharing"",""งบพรบ!S54"")"),0)</f>
        <v>0</v>
      </c>
      <c r="M52" s="135">
        <f ca="1">IFERROR(__xludf.DUMMYFUNCTION("IMPORTRANGE(""https://docs.google.com/spreadsheets/d/1-uDff_7J0KD5mKrp0Vvzr7lt3OU09vwQwhkpOPPYv2Y/edit?usp=sharing"",""งบพรบ!W54"")"),0)</f>
        <v>0</v>
      </c>
      <c r="N52" s="135">
        <f ca="1">IFERROR(__xludf.DUMMYFUNCTION("IMPORTRANGE(""https://docs.google.com/spreadsheets/d/1-uDff_7J0KD5mKrp0Vvzr7lt3OU09vwQwhkpOPPYv2Y/edit?usp=sharing"",""งบพรบ!Z54"")"),0)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68">
        <f ca="1">L60+L61</f>
        <v>419200</v>
      </c>
      <c r="M59" s="169">
        <f ca="1">M60+M61</f>
        <v>419200</v>
      </c>
      <c r="N59" s="169">
        <f ca="1">N60+N61</f>
        <v>359269.64</v>
      </c>
      <c r="O59" s="169">
        <f ca="1">IF(L59&gt;0,N59*100/L59,0)</f>
        <v>85.70363549618321</v>
      </c>
      <c r="P59" s="169">
        <f ca="1">IF(M59&gt;0,N59*100/M59,0)</f>
        <v>85.70363549618321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75">
        <f ca="1">L64+L67</f>
        <v>419200</v>
      </c>
      <c r="M61" s="176">
        <f ca="1">M64+M67</f>
        <v>419200</v>
      </c>
      <c r="N61" s="176">
        <f ca="1">N64+N67</f>
        <v>359269.64</v>
      </c>
      <c r="O61" s="176">
        <f ca="1">IF(L61&gt;0,N61*100/L61,0)</f>
        <v>85.70363549618321</v>
      </c>
      <c r="P61" s="176">
        <f ca="1">IF(M61&gt;0,N61*100/M61,0)</f>
        <v>85.70363549618321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419200</v>
      </c>
      <c r="M62" s="135">
        <f ca="1">M63+M64</f>
        <v>419200</v>
      </c>
      <c r="N62" s="135">
        <f ca="1">N63+N64</f>
        <v>359269.64</v>
      </c>
      <c r="O62" s="135">
        <f ca="1">IF(L62&gt;0,N62*100/L62,0)</f>
        <v>85.70363549618321</v>
      </c>
      <c r="P62" s="135">
        <f ca="1">IF(M62&gt;0,N62*100/M62,0)</f>
        <v>85.70363549618321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IFERROR(__xludf.DUMMYFUNCTION("IMPORTRANGE(""https://docs.google.com/spreadsheets/d/1-uDff_7J0KD5mKrp0Vvzr7lt3OU09vwQwhkpOPPYv2Y/edit?usp=sharing"",""งบพรบ!AC54"")"),419200)</f>
        <v>419200</v>
      </c>
      <c r="M64" s="135">
        <f ca="1">IFERROR(__xludf.DUMMYFUNCTION("IMPORTRANGE(""https://docs.google.com/spreadsheets/d/1-uDff_7J0KD5mKrp0Vvzr7lt3OU09vwQwhkpOPPYv2Y/edit?usp=sharing"",""งบพรบ!AH54"")"),419200)</f>
        <v>419200</v>
      </c>
      <c r="N64" s="135">
        <f ca="1">IFERROR(__xludf.DUMMYFUNCTION("IMPORTRANGE(""https://docs.google.com/spreadsheets/d/1-uDff_7J0KD5mKrp0Vvzr7lt3OU09vwQwhkpOPPYv2Y/edit?usp=sharing"",""งบพรบ!AJ54"")"),359269.64)</f>
        <v>359269.64</v>
      </c>
      <c r="O64" s="135">
        <f ca="1">IF(L64&gt;0,N64*100/L64,0)</f>
        <v>85.70363549618321</v>
      </c>
      <c r="P64" s="135">
        <f ca="1">IF(M64&gt;0,N64*100/M64,0)</f>
        <v>85.70363549618321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985">
        <f ca="1">IFERROR(__xludf.DUMMYFUNCTION("IMPORTRANGE(""https://docs.google.com/spreadsheets/d/1-uDff_7J0KD5mKrp0Vvzr7lt3OU09vwQwhkpOPPYv2Y/edit?usp=sharing"",""งบพรบ!AF54"")"),0)</f>
        <v>0</v>
      </c>
      <c r="M67" s="186">
        <f ca="1">IFERROR(__xludf.DUMMYFUNCTION("IMPORTRANGE(""https://docs.google.com/spreadsheets/d/1-uDff_7J0KD5mKrp0Vvzr7lt3OU09vwQwhkpOPPYv2Y/edit?usp=sharing"",""งบพรบ!AI54"")"),0)</f>
        <v>0</v>
      </c>
      <c r="N67" s="186">
        <f ca="1">IFERROR(__xludf.DUMMYFUNCTION("IMPORTRANGE(""https://docs.google.com/spreadsheets/d/1-uDff_7J0KD5mKrp0Vvzr7lt3OU09vwQwhkpOPPYv2Y/edit?usp=sharing"",""งบพรบ!AK54"")"),0)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hidden="1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IFERROR(__xludf.DUMMYFUNCTION("IMPORTRANGE(""https://docs.google.com/spreadsheets/d/1-uDff_7J0KD5mKrp0Vvzr7lt3OU09vwQwhkpOPPYv2Y/edit?usp=sharing"",""งบพรบ!AM54"")"),0)</f>
        <v>0</v>
      </c>
      <c r="M77" s="135">
        <f ca="1">IFERROR(__xludf.DUMMYFUNCTION("IMPORTRANGE(""https://docs.google.com/spreadsheets/d/1-uDff_7J0KD5mKrp0Vvzr7lt3OU09vwQwhkpOPPYv2Y/edit?usp=sharing"",""งบพรบ!AR54"")"),0)</f>
        <v>0</v>
      </c>
      <c r="N77" s="135">
        <f ca="1">IFERROR(__xludf.DUMMYFUNCTION("IMPORTRANGE(""https://docs.google.com/spreadsheets/d/1-uDff_7J0KD5mKrp0Vvzr7lt3OU09vwQwhkpOPPYv2Y/edit?usp=sharing"",""งบพรบ!AT54"")"),0)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IFERROR(__xludf.DUMMYFUNCTION("IMPORTRANGE(""https://docs.google.com/spreadsheets/d/1ItG2mGa2ceCfYo0BwxsXqNm01IGEUdYcSSLTEv9YCik/edit?usp=sharing"",""เบิกจ่ายกองทุน!AS54"")"),0)</f>
        <v>0</v>
      </c>
      <c r="R77" s="135">
        <f ca="1">IFERROR(__xludf.DUMMYFUNCTION("IMPORTRANGE(""https://docs.google.com/spreadsheets/d/1ItG2mGa2ceCfYo0BwxsXqNm01IGEUdYcSSLTEv9YCik/edit?usp=sharing"",""เบิกจ่ายกองทุน!AT54"")"),0)</f>
        <v>0</v>
      </c>
      <c r="S77" s="135">
        <f ca="1">IFERROR(__xludf.DUMMYFUNCTION("IMPORTRANGE(""https://docs.google.com/spreadsheets/d/1ItG2mGa2ceCfYo0BwxsXqNm01IGEUdYcSSLTEv9YCik/edit?usp=sharing"",""เบิกจ่ายกองทุน!AU54"")"),0)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>Q79+Q80</f>
        <v>0</v>
      </c>
      <c r="R78" s="135">
        <f>R79+R80</f>
        <v>0</v>
      </c>
      <c r="S78" s="135">
        <f>S79+S80</f>
        <v>0</v>
      </c>
      <c r="T78" s="135">
        <f>IF(Q78&gt;0,S78*100/Q78,0)</f>
        <v>0</v>
      </c>
      <c r="U78" s="135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IFERROR(__xludf.DUMMYFUNCTION("IMPORTRANGE(""https://docs.google.com/spreadsheets/d/1-uDff_7J0KD5mKrp0Vvzr7lt3OU09vwQwhkpOPPYv2Y/edit?usp=sharing"",""งบพรบ!AP54"")"),0)</f>
        <v>0</v>
      </c>
      <c r="M80" s="135">
        <f ca="1">IFERROR(__xludf.DUMMYFUNCTION("IMPORTRANGE(""https://docs.google.com/spreadsheets/d/1-uDff_7J0KD5mKrp0Vvzr7lt3OU09vwQwhkpOPPYv2Y/edit?usp=sharing"",""งบพรบ!AS54"")"),0)</f>
        <v>0</v>
      </c>
      <c r="N80" s="135">
        <f ca="1">IFERROR(__xludf.DUMMYFUNCTION("IMPORTRANGE(""https://docs.google.com/spreadsheets/d/1-uDff_7J0KD5mKrp0Vvzr7lt3OU09vwQwhkpOPPYv2Y/edit?usp=sharing"",""งบพรบ!AU54"")"),0)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v>0</v>
      </c>
      <c r="R80" s="77">
        <v>0</v>
      </c>
      <c r="S80" s="77">
        <v>0</v>
      </c>
      <c r="T80" s="135">
        <f>IF(Q80&gt;0,S80*100/Q80,0)</f>
        <v>0</v>
      </c>
      <c r="U80" s="135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IFERROR(__xludf.DUMMYFUNCTION("IMPORTRANGE(""https://docs.google.com/spreadsheets/d/1eHaY18a8A9IcSdp1K8H6x8fbOy06t2VsZHhMHf-1x7Y/edit?usp=sharing"",""แผน!H54"")"),0)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IFERROR(__xludf.DUMMYFUNCTION("IMPORTRANGE(""https://docs.google.com/spreadsheets/d/1eHaY18a8A9IcSdp1K8H6x8fbOy06t2VsZHhMHf-1x7Y/edit?usp=sharing"",""แผน!I54"")"),0)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IFERROR(__xludf.DUMMYFUNCTION("IMPORTRANGE(""https://docs.google.com/spreadsheets/d/1eHaY18a8A9IcSdp1K8H6x8fbOy06t2VsZHhMHf-1x7Y/edit?usp=sharing"",""แผน!F54"")"),0)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IFERROR(__xludf.DUMMYFUNCTION("IMPORTRANGE(""https://docs.google.com/spreadsheets/d/1eHaY18a8A9IcSdp1K8H6x8fbOy06t2VsZHhMHf-1x7Y/edit?usp=sharing"",""แผน!G54"")"),0)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IFERROR(__xludf.DUMMYFUNCTION("IMPORTRANGE(""https://docs.google.com/spreadsheets/d/1eHaY18a8A9IcSdp1K8H6x8fbOy06t2VsZHhMHf-1x7Y/edit?usp=sharing"",""แผน!D54"")"),0)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IFERROR(__xludf.DUMMYFUNCTION("IMPORTRANGE(""https://docs.google.com/spreadsheets/d/1eHaY18a8A9IcSdp1K8H6x8fbOy06t2VsZHhMHf-1x7Y/edit?usp=sharing"",""แผน!E54"")"),0)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IFERROR(__xludf.DUMMYFUNCTION("IMPORTRANGE(""https://docs.google.com/spreadsheets/d/1eHaY18a8A9IcSdp1K8H6x8fbOy06t2VsZHhMHf-1x7Y/edit?usp=sharing"",""แผน!J54"")"),0)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36</v>
      </c>
      <c r="K92" s="62">
        <f ca="1">IF(I92&gt;0,J92*100/I92,0)</f>
        <v>100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12</v>
      </c>
      <c r="K93" s="62">
        <f ca="1">IF(I93&gt;0,J93*100/I93,0)</f>
        <v>100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101304</v>
      </c>
      <c r="R94" s="217">
        <f ca="1">R95+R96</f>
        <v>101304</v>
      </c>
      <c r="S94" s="217">
        <f ca="1">S95+S96</f>
        <v>35220</v>
      </c>
      <c r="T94" s="217">
        <f ca="1">IF(Q94&gt;0,S94*100/Q94,0)</f>
        <v>34.766642975598202</v>
      </c>
      <c r="U94" s="217">
        <f ca="1">IF(R94&gt;0,S94*100/R94,0)</f>
        <v>34.766642975598202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101304</v>
      </c>
      <c r="R96" s="135">
        <f ca="1">R99+R102</f>
        <v>101304</v>
      </c>
      <c r="S96" s="135">
        <f ca="1">S99+S102</f>
        <v>35220</v>
      </c>
      <c r="T96" s="135">
        <f ca="1">IF(Q96&gt;0,S96*100/Q96,0)</f>
        <v>34.766642975598202</v>
      </c>
      <c r="U96" s="135">
        <f ca="1">IF(R96&gt;0,S96*100/R96,0)</f>
        <v>34.766642975598202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101304</v>
      </c>
      <c r="R97" s="135">
        <f ca="1">R98+R99</f>
        <v>101304</v>
      </c>
      <c r="S97" s="135">
        <f ca="1">S98+S99</f>
        <v>35220</v>
      </c>
      <c r="T97" s="135">
        <f ca="1">IF(Q97&gt;0,S97*100/Q97,0)</f>
        <v>34.766642975598202</v>
      </c>
      <c r="U97" s="135">
        <f ca="1">IF(R97&gt;0,S97*100/R97,0)</f>
        <v>34.766642975598202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IFERROR(__xludf.DUMMYFUNCTION("IMPORTRANGE(""https://docs.google.com/spreadsheets/d/1-uDff_7J0KD5mKrp0Vvzr7lt3OU09vwQwhkpOPPYv2Y/edit?usp=sharing"",""งบพรบ!AW54"")"),0)</f>
        <v>0</v>
      </c>
      <c r="M99" s="135">
        <f ca="1">IFERROR(__xludf.DUMMYFUNCTION("IMPORTRANGE(""https://docs.google.com/spreadsheets/d/1-uDff_7J0KD5mKrp0Vvzr7lt3OU09vwQwhkpOPPYv2Y/edit?usp=sharing"",""งบพรบ!BB54"")"),0)</f>
        <v>0</v>
      </c>
      <c r="N99" s="135">
        <f ca="1">IFERROR(__xludf.DUMMYFUNCTION("IMPORTRANGE(""https://docs.google.com/spreadsheets/d/1-uDff_7J0KD5mKrp0Vvzr7lt3OU09vwQwhkpOPPYv2Y/edit?usp=sharing"",""งบพรบ!BD54"")"),0)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IFERROR(__xludf.DUMMYFUNCTION("IMPORTRANGE(""https://docs.google.com/spreadsheets/d/1ItG2mGa2ceCfYo0BwxsXqNm01IGEUdYcSSLTEv9YCik/edit?usp=sharing"",""เบิกจ่ายกองทุน!AD54"")"),101304)</f>
        <v>101304</v>
      </c>
      <c r="R99" s="135">
        <f ca="1">IFERROR(__xludf.DUMMYFUNCTION("IMPORTRANGE(""https://docs.google.com/spreadsheets/d/1ItG2mGa2ceCfYo0BwxsXqNm01IGEUdYcSSLTEv9YCik/edit?usp=sharing"",""เบิกจ่ายกองทุน!AE54"")"),101304)</f>
        <v>101304</v>
      </c>
      <c r="S99" s="135">
        <f ca="1">IFERROR(__xludf.DUMMYFUNCTION("IMPORTRANGE(""https://docs.google.com/spreadsheets/d/1ItG2mGa2ceCfYo0BwxsXqNm01IGEUdYcSSLTEv9YCik/edit?usp=sharing"",""เบิกจ่ายกองทุน!AF54"")"),35220)</f>
        <v>35220</v>
      </c>
      <c r="T99" s="135">
        <f ca="1">IF(Q99&gt;0,S99*100/Q99,0)</f>
        <v>34.766642975598202</v>
      </c>
      <c r="U99" s="135">
        <f ca="1">IF(R99&gt;0,S99*100/R99,0)</f>
        <v>34.766642975598202</v>
      </c>
    </row>
    <row r="100" spans="1:21" ht="18.75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IFERROR(__xludf.DUMMYFUNCTION("IMPORTRANGE(""https://docs.google.com/spreadsheets/d/1-uDff_7J0KD5mKrp0Vvzr7lt3OU09vwQwhkpOPPYv2Y/edit?usp=sharing"",""งบพรบ!AZ54"")"),0)</f>
        <v>0</v>
      </c>
      <c r="M102" s="135">
        <f ca="1">IFERROR(__xludf.DUMMYFUNCTION("IMPORTRANGE(""https://docs.google.com/spreadsheets/d/1-uDff_7J0KD5mKrp0Vvzr7lt3OU09vwQwhkpOPPYv2Y/edit?usp=sharing"",""งบพรบ!BC54"")"),0)</f>
        <v>0</v>
      </c>
      <c r="N102" s="135">
        <f ca="1">IFERROR(__xludf.DUMMYFUNCTION("IMPORTRANGE(""https://docs.google.com/spreadsheets/d/1-uDff_7J0KD5mKrp0Vvzr7lt3OU09vwQwhkpOPPYv2Y/edit?usp=sharing"",""งบพรบ!BE54"")"),0)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IFERROR(__xludf.DUMMYFUNCTION("IMPORTRANGE(""https://docs.google.com/spreadsheets/d/1eHaY18a8A9IcSdp1K8H6x8fbOy06t2VsZHhMHf-1x7Y/edit?usp=sharing"",""แผน!N54"")"),36)</f>
        <v>36</v>
      </c>
      <c r="J108" s="296">
        <v>36</v>
      </c>
      <c r="K108" s="77">
        <f ca="1">IF(I108&gt;0,J108*100/I108,0)</f>
        <v>100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IFERROR(__xludf.DUMMYFUNCTION("IMPORTRANGE(""https://docs.google.com/spreadsheets/d/1eHaY18a8A9IcSdp1K8H6x8fbOy06t2VsZHhMHf-1x7Y/edit?usp=sharing"",""แผน!O54"")"),12)</f>
        <v>12</v>
      </c>
      <c r="J109" s="296">
        <v>12</v>
      </c>
      <c r="K109" s="77">
        <f ca="1">IF(I109&gt;0,J109*100/I109,0)</f>
        <v>100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766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IFERROR(__xludf.DUMMYFUNCTION("IMPORTRANGE(""https://docs.google.com/spreadsheets/d/1eHaY18a8A9IcSdp1K8H6x8fbOy06t2VsZHhMHf-1x7Y/edit?usp=sharing"",""แผน!N54"")"),36)</f>
        <v>36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IFERROR(__xludf.DUMMYFUNCTION("IMPORTRANGE(""https://docs.google.com/spreadsheets/d/1eHaY18a8A9IcSdp1K8H6x8fbOy06t2VsZHhMHf-1x7Y/edit?usp=sharing"",""แผน!O54"")"),12)</f>
        <v>12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6"/>
      <c r="H116" s="118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124100</v>
      </c>
      <c r="T117" s="217">
        <f ca="1">IF(Q117&gt;0,S117*100/Q117,0)</f>
        <v>59.27588842185709</v>
      </c>
      <c r="U117" s="217">
        <f ca="1">IF(R117&gt;0,S117*100/R117,0)</f>
        <v>59.27588842185709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124100</v>
      </c>
      <c r="T119" s="135">
        <f ca="1">IF(Q119&gt;0,S119*100/Q119,0)</f>
        <v>59.27588842185709</v>
      </c>
      <c r="U119" s="135">
        <f ca="1">IF(R119&gt;0,S119*100/R119,0)</f>
        <v>59.27588842185709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124100</v>
      </c>
      <c r="T120" s="135">
        <f ca="1">IF(Q120&gt;0,S120*100/Q120,0)</f>
        <v>59.27588842185709</v>
      </c>
      <c r="U120" s="135">
        <f ca="1">IF(R120&gt;0,S120*100/R120,0)</f>
        <v>59.27588842185709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IFERROR(__xludf.DUMMYFUNCTION("IMPORTRANGE(""https://docs.google.com/spreadsheets/d/1-uDff_7J0KD5mKrp0Vvzr7lt3OU09vwQwhkpOPPYv2Y/edit?usp=sharing"",""งบพรบ!BG54"")"),0)</f>
        <v>0</v>
      </c>
      <c r="M122" s="135">
        <f ca="1">IFERROR(__xludf.DUMMYFUNCTION("IMPORTRANGE(""https://docs.google.com/spreadsheets/d/1-uDff_7J0KD5mKrp0Vvzr7lt3OU09vwQwhkpOPPYv2Y/edit?usp=sharing"",""งบพรบ!BL54"")"),0)</f>
        <v>0</v>
      </c>
      <c r="N122" s="135">
        <f ca="1">IFERROR(__xludf.DUMMYFUNCTION("IMPORTRANGE(""https://docs.google.com/spreadsheets/d/1-uDff_7J0KD5mKrp0Vvzr7lt3OU09vwQwhkpOPPYv2Y/edit?usp=sharing"",""งบพรบ!BN54"")"),0)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IFERROR(__xludf.DUMMYFUNCTION("IMPORTRANGE(""https://docs.google.com/spreadsheets/d/1ItG2mGa2ceCfYo0BwxsXqNm01IGEUdYcSSLTEv9YCik/edit?usp=sharing"",""เบิกจ่ายกองทุน!R54"")"),209360)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IFERROR(__xludf.DUMMYFUNCTION("IMPORTRANGE(""https://docs.google.com/spreadsheets/d/1ItG2mGa2ceCfYo0BwxsXqNm01IGEUdYcSSLTEv9YCik/edit?usp=sharing"",""เบิกจ่ายกองทุน!S54"")"),209360)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IFERROR(__xludf.DUMMYFUNCTION("IMPORTRANGE(""https://docs.google.com/spreadsheets/d/1ItG2mGa2ceCfYo0BwxsXqNm01IGEUdYcSSLTEv9YCik/edit?usp=sharing"",""เบิกจ่ายกองทุน!T54"")"),124100)</f>
        <v>124100</v>
      </c>
      <c r="T122" s="135">
        <f ca="1">IF(Q122&gt;0,S122*100/Q122,0)</f>
        <v>59.27588842185709</v>
      </c>
      <c r="U122" s="135">
        <f ca="1">IF(R122&gt;0,S122*100/R122,0)</f>
        <v>59.27588842185709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>Q124+Q125</f>
        <v>0</v>
      </c>
      <c r="R123" s="135">
        <f>R124+R125</f>
        <v>0</v>
      </c>
      <c r="S123" s="135">
        <f>S124+S125</f>
        <v>0</v>
      </c>
      <c r="T123" s="135">
        <f>IF(Q123&gt;0,S123*100/Q123,0)</f>
        <v>0</v>
      </c>
      <c r="U123" s="135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IFERROR(__xludf.DUMMYFUNCTION("IMPORTRANGE(""https://docs.google.com/spreadsheets/d/1-uDff_7J0KD5mKrp0Vvzr7lt3OU09vwQwhkpOPPYv2Y/edit?usp=sharing"",""งบพรบ!BJ54"")"),0)</f>
        <v>0</v>
      </c>
      <c r="M125" s="135">
        <f ca="1">IFERROR(__xludf.DUMMYFUNCTION("IMPORTRANGE(""https://docs.google.com/spreadsheets/d/1-uDff_7J0KD5mKrp0Vvzr7lt3OU09vwQwhkpOPPYv2Y/edit?usp=sharing"",""งบพรบ!BM54"")"),0)</f>
        <v>0</v>
      </c>
      <c r="N125" s="135">
        <f ca="1">IFERROR(__xludf.DUMMYFUNCTION("IMPORTRANGE(""https://docs.google.com/spreadsheets/d/1-uDff_7J0KD5mKrp0Vvzr7lt3OU09vwQwhkpOPPYv2Y/edit?usp=sharing"",""งบพรบ!BO54"")"),0)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v>0</v>
      </c>
      <c r="R125" s="77">
        <v>0</v>
      </c>
      <c r="S125" s="77">
        <v>0</v>
      </c>
      <c r="T125" s="135">
        <f>IF(Q125&gt;0,S125*100/Q125,0)</f>
        <v>0</v>
      </c>
      <c r="U125" s="135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604">
        <f ca="1">IFERROR(__xludf.DUMMYFUNCTION("IMPORTRANGE(""https://docs.google.com/spreadsheets/d/1eHaY18a8A9IcSdp1K8H6x8fbOy06t2VsZHhMHf-1x7Y/edit?usp=sharing"",""แผน!FF54"")"),20)</f>
        <v>20</v>
      </c>
      <c r="J127" s="296">
        <v>20</v>
      </c>
      <c r="K127" s="135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604">
        <f ca="1">IFERROR(__xludf.DUMMYFUNCTION("IMPORTRANGE(""https://docs.google.com/spreadsheets/d/1eHaY18a8A9IcSdp1K8H6x8fbOy06t2VsZHhMHf-1x7Y/edit?usp=sharing"",""แผน!FG54"")"),0)</f>
        <v>0</v>
      </c>
      <c r="J128" s="296">
        <v>0</v>
      </c>
      <c r="K128" s="135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604">
        <f ca="1">IFERROR(__xludf.DUMMYFUNCTION("IMPORTRANGE(""https://docs.google.com/spreadsheets/d/1eHaY18a8A9IcSdp1K8H6x8fbOy06t2VsZHhMHf-1x7Y/edit?usp=sharing"",""แผน!FH54"")"),20)</f>
        <v>20</v>
      </c>
      <c r="J129" s="296">
        <v>20</v>
      </c>
      <c r="K129" s="135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604">
        <f ca="1">IFERROR(__xludf.DUMMYFUNCTION("IMPORTRANGE(""https://docs.google.com/spreadsheets/d/1eHaY18a8A9IcSdp1K8H6x8fbOy06t2VsZHhMHf-1x7Y/edit?usp=sharing"",""แผน!FI54"")"),0)</f>
        <v>0</v>
      </c>
      <c r="J130" s="296">
        <v>0</v>
      </c>
      <c r="K130" s="135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0</v>
      </c>
      <c r="M139" s="217">
        <f ca="1">M140+M141</f>
        <v>0</v>
      </c>
      <c r="N139" s="217">
        <f ca="1">N140+N141</f>
        <v>0</v>
      </c>
      <c r="O139" s="217">
        <f ca="1">IF(L139&gt;0,N139*100/L139,0)</f>
        <v>0</v>
      </c>
      <c r="P139" s="217">
        <f ca="1">IF(M139&gt;0,N139*100/M139,0)</f>
        <v>0</v>
      </c>
      <c r="Q139" s="217">
        <f ca="1">Q140+Q141</f>
        <v>0</v>
      </c>
      <c r="R139" s="217">
        <f ca="1">R140+R141</f>
        <v>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0</v>
      </c>
      <c r="M141" s="135">
        <f ca="1">M144+M147</f>
        <v>0</v>
      </c>
      <c r="N141" s="135">
        <f ca="1">N144+N147</f>
        <v>0</v>
      </c>
      <c r="O141" s="135">
        <f ca="1">IF(L141&gt;0,N141*100/L141,0)</f>
        <v>0</v>
      </c>
      <c r="P141" s="135">
        <f ca="1">IF(M141&gt;0,N141*100/M141,0)</f>
        <v>0</v>
      </c>
      <c r="Q141" s="135">
        <f ca="1">Q144+Q147</f>
        <v>0</v>
      </c>
      <c r="R141" s="135">
        <f ca="1">R144+R147</f>
        <v>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0</v>
      </c>
      <c r="M142" s="135">
        <f ca="1">M143+M144</f>
        <v>0</v>
      </c>
      <c r="N142" s="135">
        <f ca="1">N143+N144</f>
        <v>0</v>
      </c>
      <c r="O142" s="135">
        <f ca="1">IF(L142&gt;0,N142*100/L142,0)</f>
        <v>0</v>
      </c>
      <c r="P142" s="135">
        <f ca="1">IF(M142&gt;0,N142*100/M142,0)</f>
        <v>0</v>
      </c>
      <c r="Q142" s="135">
        <f ca="1">Q143+Q144</f>
        <v>0</v>
      </c>
      <c r="R142" s="135">
        <f ca="1">R143+R144</f>
        <v>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IFERROR(__xludf.DUMMYFUNCTION("IMPORTRANGE(""https://docs.google.com/spreadsheets/d/1-uDff_7J0KD5mKrp0Vvzr7lt3OU09vwQwhkpOPPYv2Y/edit?usp=sharing"",""งบพรบ!BQ54"")"),0)</f>
        <v>0</v>
      </c>
      <c r="M144" s="135">
        <f ca="1">IFERROR(__xludf.DUMMYFUNCTION("IMPORTRANGE(""https://docs.google.com/spreadsheets/d/1-uDff_7J0KD5mKrp0Vvzr7lt3OU09vwQwhkpOPPYv2Y/edit?usp=sharing"",""งบพรบ!BV54"")"),0)</f>
        <v>0</v>
      </c>
      <c r="N144" s="135">
        <f ca="1">IFERROR(__xludf.DUMMYFUNCTION("IMPORTRANGE(""https://docs.google.com/spreadsheets/d/1-uDff_7J0KD5mKrp0Vvzr7lt3OU09vwQwhkpOPPYv2Y/edit?usp=sharing"",""งบพรบ!BX54"")"),0)</f>
        <v>0</v>
      </c>
      <c r="O144" s="135">
        <f ca="1">IF(L144&gt;0,N144*100/L144,0)</f>
        <v>0</v>
      </c>
      <c r="P144" s="135">
        <f ca="1">IF(M144&gt;0,N144*100/M144,0)</f>
        <v>0</v>
      </c>
      <c r="Q144" s="135">
        <f ca="1">IFERROR(__xludf.DUMMYFUNCTION("IMPORTRANGE(""https://docs.google.com/spreadsheets/d/1ItG2mGa2ceCfYo0BwxsXqNm01IGEUdYcSSLTEv9YCik/edit?usp=sharing"",""เบิกจ่ายกองทุน!BB54"")"),0)</f>
        <v>0</v>
      </c>
      <c r="R144" s="135">
        <f ca="1">IFERROR(__xludf.DUMMYFUNCTION("IMPORTRANGE(""https://docs.google.com/spreadsheets/d/1ItG2mGa2ceCfYo0BwxsXqNm01IGEUdYcSSLTEv9YCik/edit?usp=sharing"",""เบิกจ่ายกองทุน!BC54"")"),0)</f>
        <v>0</v>
      </c>
      <c r="S144" s="135">
        <f ca="1">IFERROR(__xludf.DUMMYFUNCTION("IMPORTRANGE(""https://docs.google.com/spreadsheets/d/1ItG2mGa2ceCfYo0BwxsXqNm01IGEUdYcSSLTEv9YCik/edit?usp=sharing"",""เบิกจ่ายกองทุน!BD54"")"),0)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>Q146+Q147</f>
        <v>0</v>
      </c>
      <c r="R145" s="135">
        <f>R146+R147</f>
        <v>0</v>
      </c>
      <c r="S145" s="135">
        <f>S146+S147</f>
        <v>0</v>
      </c>
      <c r="T145" s="135">
        <f>IF(Q145&gt;0,S145*100/Q145,0)</f>
        <v>0</v>
      </c>
      <c r="U145" s="135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IFERROR(__xludf.DUMMYFUNCTION("IMPORTRANGE(""https://docs.google.com/spreadsheets/d/1-uDff_7J0KD5mKrp0Vvzr7lt3OU09vwQwhkpOPPYv2Y/edit?usp=sharing"",""งบพรบ!BT54"")"),0)</f>
        <v>0</v>
      </c>
      <c r="M147" s="135">
        <f ca="1">IFERROR(__xludf.DUMMYFUNCTION("IMPORTRANGE(""https://docs.google.com/spreadsheets/d/1-uDff_7J0KD5mKrp0Vvzr7lt3OU09vwQwhkpOPPYv2Y/edit?usp=sharing"",""งบพรบ!BW54"")"),0)</f>
        <v>0</v>
      </c>
      <c r="N147" s="135">
        <f ca="1">IFERROR(__xludf.DUMMYFUNCTION("IMPORTRANGE(""https://docs.google.com/spreadsheets/d/1-uDff_7J0KD5mKrp0Vvzr7lt3OU09vwQwhkpOPPYv2Y/edit?usp=sharing"",""งบพรบ!BY54"")"),0)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v>0</v>
      </c>
      <c r="R147" s="77">
        <v>0</v>
      </c>
      <c r="S147" s="77">
        <v>0</v>
      </c>
      <c r="T147" s="135">
        <f>IF(Q147&gt;0,S147*100/Q147,0)</f>
        <v>0</v>
      </c>
      <c r="U147" s="135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IFERROR(__xludf.DUMMYFUNCTION("IMPORTRANGE(""https://docs.google.com/spreadsheets/d/1eHaY18a8A9IcSdp1K8H6x8fbOy06t2VsZHhMHf-1x7Y/edit?usp=sharing"",""แผน!U54"")"),0)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IFERROR(__xludf.DUMMYFUNCTION("IMPORTRANGE(""https://docs.google.com/spreadsheets/d/1eHaY18a8A9IcSdp1K8H6x8fbOy06t2VsZHhMHf-1x7Y/edit?usp=sharing"",""แผน!V54"")"),0)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IFERROR(__xludf.DUMMYFUNCTION("IMPORTRANGE(""https://docs.google.com/spreadsheets/d/1eHaY18a8A9IcSdp1K8H6x8fbOy06t2VsZHhMHf-1x7Y/edit?usp=sharing"",""แผน!W54"")"),0)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IFERROR(__xludf.DUMMYFUNCTION("IMPORTRANGE(""https://docs.google.com/spreadsheets/d/1eHaY18a8A9IcSdp1K8H6x8fbOy06t2VsZHhMHf-1x7Y/edit?usp=sharing"",""แผน!X54"")"),0)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IFERROR(__xludf.DUMMYFUNCTION("IMPORTRANGE(""https://docs.google.com/spreadsheets/d/1eHaY18a8A9IcSdp1K8H6x8fbOy06t2VsZHhMHf-1x7Y/edit?usp=sharing"",""แผน!Y54"")"),0)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0</v>
      </c>
      <c r="M157" s="217">
        <f ca="1">M158+M159</f>
        <v>0</v>
      </c>
      <c r="N157" s="217">
        <f ca="1">N158+N159</f>
        <v>0</v>
      </c>
      <c r="O157" s="217">
        <f ca="1">IF(L157&gt;0,N157*100/L157,0)</f>
        <v>0</v>
      </c>
      <c r="P157" s="217">
        <f ca="1">IF(M157&gt;0,N157*100/M157,0)</f>
        <v>0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0</v>
      </c>
      <c r="M159" s="135">
        <f ca="1">M162+M165</f>
        <v>0</v>
      </c>
      <c r="N159" s="135">
        <f ca="1">N162+N165</f>
        <v>0</v>
      </c>
      <c r="O159" s="135">
        <f ca="1">IF(L159&gt;0,N159*100/L159,0)</f>
        <v>0</v>
      </c>
      <c r="P159" s="135">
        <f ca="1">IF(M159&gt;0,N159*100/M159,0)</f>
        <v>0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0</v>
      </c>
      <c r="M160" s="135">
        <f ca="1">M161+M162</f>
        <v>0</v>
      </c>
      <c r="N160" s="135">
        <f ca="1">N161+N162</f>
        <v>0</v>
      </c>
      <c r="O160" s="135">
        <f ca="1">IF(L160&gt;0,N160*100/L160,0)</f>
        <v>0</v>
      </c>
      <c r="P160" s="135">
        <f ca="1">IF(M160&gt;0,N160*100/M160,0)</f>
        <v>0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IFERROR(__xludf.DUMMYFUNCTION("IMPORTRANGE(""https://docs.google.com/spreadsheets/d/1-uDff_7J0KD5mKrp0Vvzr7lt3OU09vwQwhkpOPPYv2Y/edit?usp=sharing"",""งบพรบ!CA54"")"),0)</f>
        <v>0</v>
      </c>
      <c r="M162" s="135">
        <f ca="1">IFERROR(__xludf.DUMMYFUNCTION("IMPORTRANGE(""https://docs.google.com/spreadsheets/d/1-uDff_7J0KD5mKrp0Vvzr7lt3OU09vwQwhkpOPPYv2Y/edit?usp=sharing"",""งบพรบ!CF54"")"),0)</f>
        <v>0</v>
      </c>
      <c r="N162" s="135">
        <f ca="1">IFERROR(__xludf.DUMMYFUNCTION("IMPORTRANGE(""https://docs.google.com/spreadsheets/d/1-uDff_7J0KD5mKrp0Vvzr7lt3OU09vwQwhkpOPPYv2Y/edit?usp=sharing"",""งบพรบ!CH54"")"),0)</f>
        <v>0</v>
      </c>
      <c r="O162" s="135">
        <f ca="1">IF(L162&gt;0,N162*100/L162,0)</f>
        <v>0</v>
      </c>
      <c r="P162" s="135">
        <f ca="1">IF(M162&gt;0,N162*100/M162,0)</f>
        <v>0</v>
      </c>
      <c r="Q162" s="135">
        <f ca="1">IFERROR(__xludf.DUMMYFUNCTION("IMPORTRANGE(""https://docs.google.com/spreadsheets/d/1ItG2mGa2ceCfYo0BwxsXqNm01IGEUdYcSSLTEv9YCik/edit?usp=sharing"",""เบิกจ่ายกองทุน!AG54"")"),0)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IFERROR(__xludf.DUMMYFUNCTION("IMPORTRANGE(""https://docs.google.com/spreadsheets/d/1ItG2mGa2ceCfYo0BwxsXqNm01IGEUdYcSSLTEv9YCik/edit?usp=sharing"",""เบิกจ่ายกองทุน!AH54"")"),0)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IFERROR(__xludf.DUMMYFUNCTION("IMPORTRANGE(""https://docs.google.com/spreadsheets/d/1ItG2mGa2ceCfYo0BwxsXqNm01IGEUdYcSSLTEv9YCik/edit?usp=sharing"",""เบิกจ่ายกองทุน!AI54"")"),0)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IFERROR(__xludf.DUMMYFUNCTION("IMPORTRANGE(""https://docs.google.com/spreadsheets/d/1-uDff_7J0KD5mKrp0Vvzr7lt3OU09vwQwhkpOPPYv2Y/edit?usp=sharing"",""งบพรบ!CD54"")"),0)</f>
        <v>0</v>
      </c>
      <c r="M165" s="135">
        <f ca="1">IFERROR(__xludf.DUMMYFUNCTION("IMPORTRANGE(""https://docs.google.com/spreadsheets/d/1-uDff_7J0KD5mKrp0Vvzr7lt3OU09vwQwhkpOPPYv2Y/edit?usp=sharing"",""งบพรบ!CG54"")"),0)</f>
        <v>0</v>
      </c>
      <c r="N165" s="135">
        <f ca="1">IFERROR(__xludf.DUMMYFUNCTION("IMPORTRANGE(""https://docs.google.com/spreadsheets/d/1-uDff_7J0KD5mKrp0Vvzr7lt3OU09vwQwhkpOPPYv2Y/edit?usp=sharing"",""งบพรบ!CI54"")"),0)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IFERROR(__xludf.DUMMYFUNCTION("IMPORTRANGE(""https://docs.google.com/spreadsheets/d/1eHaY18a8A9IcSdp1K8H6x8fbOy06t2VsZHhMHf-1x7Y/edit?usp=sharing"",""แผน!Z54"")"),0)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IFERROR(__xludf.DUMMYFUNCTION("IMPORTRANGE(""https://docs.google.com/spreadsheets/d/1eHaY18a8A9IcSdp1K8H6x8fbOy06t2VsZHhMHf-1x7Y/edit?usp=sharing"",""แผน!Z54"")"),0)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IFERROR(__xludf.DUMMYFUNCTION("IMPORTRANGE(""https://docs.google.com/spreadsheets/d/1eHaY18a8A9IcSdp1K8H6x8fbOy06t2VsZHhMHf-1x7Y/edit?usp=sharing"",""แผน!Z54"")"),0)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19590</v>
      </c>
      <c r="M173" s="217">
        <f ca="1">M174+M175</f>
        <v>30530</v>
      </c>
      <c r="N173" s="217">
        <f ca="1">N174+N175</f>
        <v>30530</v>
      </c>
      <c r="O173" s="217">
        <f ca="1">IF(L173&gt;0,N173*100/L173,0)</f>
        <v>155.84481878509445</v>
      </c>
      <c r="P173" s="217">
        <f ca="1">IF(M173&gt;0,N173*100/M173,0)</f>
        <v>100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19590</v>
      </c>
      <c r="M175" s="135">
        <f ca="1">M178+M181</f>
        <v>30530</v>
      </c>
      <c r="N175" s="135">
        <f ca="1">N178+N181</f>
        <v>30530</v>
      </c>
      <c r="O175" s="135">
        <f ca="1">IF(L175&gt;0,N175*100/L175,0)</f>
        <v>155.84481878509445</v>
      </c>
      <c r="P175" s="135">
        <f ca="1">IF(M175&gt;0,N175*100/M175,0)</f>
        <v>100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19590</v>
      </c>
      <c r="M176" s="135">
        <f ca="1">M177+M178</f>
        <v>30530</v>
      </c>
      <c r="N176" s="135">
        <f ca="1">N177+N178</f>
        <v>30530</v>
      </c>
      <c r="O176" s="135">
        <f ca="1">IF(L176&gt;0,N176*100/L176,0)</f>
        <v>155.84481878509445</v>
      </c>
      <c r="P176" s="135">
        <f ca="1">IF(M176&gt;0,N176*100/M176,0)</f>
        <v>100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IFERROR(__xludf.DUMMYFUNCTION("IMPORTRANGE(""https://docs.google.com/spreadsheets/d/1-uDff_7J0KD5mKrp0Vvzr7lt3OU09vwQwhkpOPPYv2Y/edit?usp=sharing"",""งบพรบ!CK54"")"),19590)</f>
        <v>19590</v>
      </c>
      <c r="M178" s="135">
        <f ca="1">IFERROR(__xludf.DUMMYFUNCTION("IMPORTRANGE(""https://docs.google.com/spreadsheets/d/1-uDff_7J0KD5mKrp0Vvzr7lt3OU09vwQwhkpOPPYv2Y/edit?usp=sharing"",""งบพรบ!CP54"")"),30530)</f>
        <v>30530</v>
      </c>
      <c r="N178" s="135">
        <f ca="1">IFERROR(__xludf.DUMMYFUNCTION("IMPORTRANGE(""https://docs.google.com/spreadsheets/d/1-uDff_7J0KD5mKrp0Vvzr7lt3OU09vwQwhkpOPPYv2Y/edit?usp=sharing"",""งบพรบ!CR54"")"),30530)</f>
        <v>30530</v>
      </c>
      <c r="O178" s="135">
        <f ca="1">IF(L178&gt;0,N178*100/L178,0)</f>
        <v>155.84481878509445</v>
      </c>
      <c r="P178" s="135">
        <f ca="1">IF(M178&gt;0,N178*100/M178,0)</f>
        <v>100</v>
      </c>
      <c r="Q178" s="135">
        <f ca="1">IFERROR(__xludf.DUMMYFUNCTION("IMPORTRANGE(""https://docs.google.com/spreadsheets/d/1ItG2mGa2ceCfYo0BwxsXqNm01IGEUdYcSSLTEv9YCik/edit?usp=sharing"",""เบิกจ่ายกองทุน!BE54"")"),0)</f>
        <v>0</v>
      </c>
      <c r="R178" s="135">
        <f ca="1">IFERROR(__xludf.DUMMYFUNCTION("IMPORTRANGE(""https://docs.google.com/spreadsheets/d/1ItG2mGa2ceCfYo0BwxsXqNm01IGEUdYcSSLTEv9YCik/edit?usp=sharing"",""เบิกจ่ายกองทุน!BF54"")"),0)</f>
        <v>0</v>
      </c>
      <c r="S178" s="135">
        <f ca="1">IFERROR(__xludf.DUMMYFUNCTION("IMPORTRANGE(""https://docs.google.com/spreadsheets/d/1ItG2mGa2ceCfYo0BwxsXqNm01IGEUdYcSSLTEv9YCik/edit?usp=sharing"",""เบิกจ่ายกองทุน!BG54"")"),0)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IFERROR(__xludf.DUMMYFUNCTION("IMPORTRANGE(""https://docs.google.com/spreadsheets/d/1-uDff_7J0KD5mKrp0Vvzr7lt3OU09vwQwhkpOPPYv2Y/edit?usp=sharing"",""งบพรบ!CN54"")"),0)</f>
        <v>0</v>
      </c>
      <c r="M181" s="135">
        <f ca="1">IFERROR(__xludf.DUMMYFUNCTION("IMPORTRANGE(""https://docs.google.com/spreadsheets/d/1-uDff_7J0KD5mKrp0Vvzr7lt3OU09vwQwhkpOPPYv2Y/edit?usp=sharing"",""งบพรบ!CQ54"")"),0)</f>
        <v>0</v>
      </c>
      <c r="N181" s="135">
        <f ca="1">IFERROR(__xludf.DUMMYFUNCTION("IMPORTRANGE(""https://docs.google.com/spreadsheets/d/1-uDff_7J0KD5mKrp0Vvzr7lt3OU09vwQwhkpOPPYv2Y/edit?usp=sharing"",""งบพรบ!CS54"")"),0)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IFERROR(__xludf.DUMMYFUNCTION("IMPORTRANGE(""https://docs.google.com/spreadsheets/d/1eHaY18a8A9IcSdp1K8H6x8fbOy06t2VsZHhMHf-1x7Y/edit?usp=sharing"",""แผน!AA54"")"),7)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10</v>
      </c>
      <c r="J185" s="1165">
        <f>J230+J231</f>
        <v>10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263400</v>
      </c>
      <c r="M186" s="217">
        <f ca="1">M187+M188</f>
        <v>260400</v>
      </c>
      <c r="N186" s="217">
        <f ca="1">N187+N188</f>
        <v>171437.94</v>
      </c>
      <c r="O186" s="217">
        <f ca="1">IF(L186&gt;0,N186*100/L186,0)</f>
        <v>65.086537585421411</v>
      </c>
      <c r="P186" s="217">
        <f ca="1">IF(M186&gt;0,N186*100/M186,0)</f>
        <v>65.836382488479259</v>
      </c>
      <c r="Q186" s="217">
        <f ca="1">Q187+Q188</f>
        <v>63700</v>
      </c>
      <c r="R186" s="217">
        <f ca="1">R187+R188</f>
        <v>69700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263400</v>
      </c>
      <c r="M188" s="135">
        <f ca="1">M191+M194</f>
        <v>260400</v>
      </c>
      <c r="N188" s="135">
        <f ca="1">N191+N194</f>
        <v>171437.94</v>
      </c>
      <c r="O188" s="135">
        <f ca="1">IF(L188&gt;0,N188*100/L188,0)</f>
        <v>65.086537585421411</v>
      </c>
      <c r="P188" s="135">
        <f ca="1">IF(M188&gt;0,N188*100/M188,0)</f>
        <v>65.836382488479259</v>
      </c>
      <c r="Q188" s="135">
        <f ca="1">Q191+Q194</f>
        <v>63700</v>
      </c>
      <c r="R188" s="135">
        <f ca="1">R191+R194</f>
        <v>69700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263400</v>
      </c>
      <c r="M189" s="135">
        <f ca="1">M190+M191</f>
        <v>260400</v>
      </c>
      <c r="N189" s="135">
        <f ca="1">N190+N191</f>
        <v>171437.94</v>
      </c>
      <c r="O189" s="135">
        <f ca="1">IF(L189&gt;0,N189*100/L189,0)</f>
        <v>65.086537585421411</v>
      </c>
      <c r="P189" s="135">
        <f ca="1">IF(M189&gt;0,N189*100/M189,0)</f>
        <v>65.836382488479259</v>
      </c>
      <c r="Q189" s="135">
        <f ca="1">Q190+Q191</f>
        <v>63700</v>
      </c>
      <c r="R189" s="135">
        <f ca="1">R190+R191</f>
        <v>69700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IFERROR(__xludf.DUMMYFUNCTION("IMPORTRANGE(""https://docs.google.com/spreadsheets/d/1-uDff_7J0KD5mKrp0Vvzr7lt3OU09vwQwhkpOPPYv2Y/edit?usp=sharing"",""งบพรบ!CU54"")"),263400)</f>
        <v>263400</v>
      </c>
      <c r="M191" s="135">
        <f ca="1">IFERROR(__xludf.DUMMYFUNCTION("IMPORTRANGE(""https://docs.google.com/spreadsheets/d/1-uDff_7J0KD5mKrp0Vvzr7lt3OU09vwQwhkpOPPYv2Y/edit?usp=sharing"",""งบพรบ!CZ54"")"),260400)</f>
        <v>260400</v>
      </c>
      <c r="N191" s="135">
        <f ca="1">IFERROR(__xludf.DUMMYFUNCTION("IMPORTRANGE(""https://docs.google.com/spreadsheets/d/1-uDff_7J0KD5mKrp0Vvzr7lt3OU09vwQwhkpOPPYv2Y/edit?usp=sharing"",""งบพรบ!DB54"")"),171437.94)</f>
        <v>171437.94</v>
      </c>
      <c r="O191" s="135">
        <f ca="1">IF(L191&gt;0,N191*100/L191,0)</f>
        <v>65.086537585421411</v>
      </c>
      <c r="P191" s="135">
        <f ca="1">IF(M191&gt;0,N191*100/M191,0)</f>
        <v>65.836382488479259</v>
      </c>
      <c r="Q191" s="135">
        <f ca="1">IFERROR(__xludf.DUMMYFUNCTION("IMPORTRANGE(""https://docs.google.com/spreadsheets/d/1ItG2mGa2ceCfYo0BwxsXqNm01IGEUdYcSSLTEv9YCik/edit?usp=sharing"",""เบิกจ่ายกองทุน!AV54"")"),63700)</f>
        <v>63700</v>
      </c>
      <c r="R191" s="135">
        <f ca="1">IFERROR(__xludf.DUMMYFUNCTION("IMPORTRANGE(""https://docs.google.com/spreadsheets/d/1ItG2mGa2ceCfYo0BwxsXqNm01IGEUdYcSSLTEv9YCik/edit?usp=sharing"",""เบิกจ่ายกองทุน!AW54"")"),69700)</f>
        <v>69700</v>
      </c>
      <c r="S191" s="135">
        <f ca="1">IFERROR(__xludf.DUMMYFUNCTION("IMPORTRANGE(""https://docs.google.com/spreadsheets/d/1ItG2mGa2ceCfYo0BwxsXqNm01IGEUdYcSSLTEv9YCik/edit?usp=sharing"",""เบิกจ่ายกองทุน!AX54"")"),0)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>Q193+Q194</f>
        <v>0</v>
      </c>
      <c r="R192" s="135">
        <f>R193+R194</f>
        <v>0</v>
      </c>
      <c r="S192" s="135">
        <f>S193+S194</f>
        <v>0</v>
      </c>
      <c r="T192" s="135">
        <f>IF(Q192&gt;0,S192*100/Q192,0)</f>
        <v>0</v>
      </c>
      <c r="U192" s="135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IFERROR(__xludf.DUMMYFUNCTION("IMPORTRANGE(""https://docs.google.com/spreadsheets/d/1-uDff_7J0KD5mKrp0Vvzr7lt3OU09vwQwhkpOPPYv2Y/edit?usp=sharing"",""งบพรบ!CX54"")"),0)</f>
        <v>0</v>
      </c>
      <c r="M194" s="135">
        <f ca="1">IFERROR(__xludf.DUMMYFUNCTION("IMPORTRANGE(""https://docs.google.com/spreadsheets/d/1-uDff_7J0KD5mKrp0Vvzr7lt3OU09vwQwhkpOPPYv2Y/edit?usp=sharing"",""งบพรบ!DA54"")"),0)</f>
        <v>0</v>
      </c>
      <c r="N194" s="135">
        <f ca="1">IFERROR(__xludf.DUMMYFUNCTION("IMPORTRANGE(""https://docs.google.com/spreadsheets/d/1-uDff_7J0KD5mKrp0Vvzr7lt3OU09vwQwhkpOPPYv2Y/edit?usp=sharing"",""งบพรบ!DC54"")"),0)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v>0</v>
      </c>
      <c r="R194" s="77">
        <v>0</v>
      </c>
      <c r="S194" s="77">
        <v>0</v>
      </c>
      <c r="T194" s="135">
        <f>IF(Q194&gt;0,S194*100/Q194,0)</f>
        <v>0</v>
      </c>
      <c r="U194" s="135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IFERROR(__xludf.DUMMYFUNCTION("IMPORTRANGE(""https://docs.google.com/spreadsheets/d/1eHaY18a8A9IcSdp1K8H6x8fbOy06t2VsZHhMHf-1x7Y/edit?usp=sharing"",""แผน!AB54"")"),6000)</f>
        <v>6000</v>
      </c>
      <c r="M196" s="90"/>
      <c r="N196" s="959">
        <v>3000</v>
      </c>
      <c r="O196" s="217">
        <f ca="1">IF(L196&gt;0,N196*100/L196,0)</f>
        <v>50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IFERROR(__xludf.DUMMYFUNCTION("IMPORTRANGE(""https://docs.google.com/spreadsheets/d/1eHaY18a8A9IcSdp1K8H6x8fbOy06t2VsZHhMHf-1x7Y/edit?usp=sharing"",""แผน!AE54"")"),4)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174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174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2</v>
      </c>
      <c r="J202" s="542">
        <f>J209</f>
        <v>1</v>
      </c>
      <c r="K202" s="543">
        <f ca="1">IF(I202&gt;0,J202*100/I202,0)</f>
        <v>50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216">
        <f ca="1">L204+L205+L206+L207</f>
        <v>13000</v>
      </c>
      <c r="M203" s="90"/>
      <c r="N203" s="217">
        <f>N204+N205+N206+N207</f>
        <v>13000</v>
      </c>
      <c r="O203" s="217">
        <f ca="1">IF(L203&gt;0,N203*100/L203,0)</f>
        <v>100</v>
      </c>
      <c r="P203" s="217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IFERROR(__xludf.DUMMYFUNCTION("IMPORTRANGE(""https://docs.google.com/spreadsheets/d/1eHaY18a8A9IcSdp1K8H6x8fbOy06t2VsZHhMHf-1x7Y/edit?usp=sharing"",""แผน!AG54"")"),1000)</f>
        <v>1000</v>
      </c>
      <c r="M204" s="90"/>
      <c r="N204" s="391">
        <v>1000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IFERROR(__xludf.DUMMYFUNCTION("IMPORTRANGE(""https://docs.google.com/spreadsheets/d/1eHaY18a8A9IcSdp1K8H6x8fbOy06t2VsZHhMHf-1x7Y/edit?usp=sharing"",""แผน!AH54"")"),0)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>
        <f ca="1">IFERROR(__xludf.DUMMYFUNCTION("IMPORTRANGE(""https://docs.google.com/spreadsheets/d/1eHaY18a8A9IcSdp1K8H6x8fbOy06t2VsZHhMHf-1x7Y/edit?usp=sharing"",""แผน!AI54"")"),8000)</f>
        <v>8000</v>
      </c>
      <c r="M206" s="90"/>
      <c r="N206" s="391">
        <v>8000</v>
      </c>
      <c r="O206" s="231"/>
      <c r="P206" s="90"/>
      <c r="Q206" s="76">
        <f ca="1">IFERROR(__xludf.DUMMYFUNCTION("IMPORTRANGE(""https://docs.google.com/spreadsheets/d/1eHaY18a8A9IcSdp1K8H6x8fbOy06t2VsZHhMHf-1x7Y/edit?usp=sharing"",""แผน!LV54"")"),14000)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IFERROR(__xludf.DUMMYFUNCTION("IMPORTRANGE(""https://docs.google.com/spreadsheets/d/1eHaY18a8A9IcSdp1K8H6x8fbOy06t2VsZHhMHf-1x7Y/edit?usp=sharing"",""แผน!AJ54"")"),4000)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IFERROR(__xludf.DUMMYFUNCTION("IMPORTRANGE(""https://docs.google.com/spreadsheets/d/1eHaY18a8A9IcSdp1K8H6x8fbOy06t2VsZHhMHf-1x7Y/edit?usp=sharing"",""แผน!AK54"")"),2)</f>
        <v>2</v>
      </c>
      <c r="J209" s="296">
        <v>1</v>
      </c>
      <c r="K209" s="748">
        <f ca="1">IF(I209&gt;0,J209*100/I209,0)</f>
        <v>50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IFERROR(__xludf.DUMMYFUNCTION("IMPORTRANGE(""https://docs.google.com/spreadsheets/d/1eHaY18a8A9IcSdp1K8H6x8fbOy06t2VsZHhMHf-1x7Y/edit?usp=sharing"",""แผน!JX54"")"),1)</f>
        <v>1</v>
      </c>
      <c r="J211" s="296">
        <v>1</v>
      </c>
      <c r="K211" s="748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IFERROR(__xludf.DUMMYFUNCTION("IMPORTRANGE(""https://docs.google.com/spreadsheets/d/1eHaY18a8A9IcSdp1K8H6x8fbOy06t2VsZHhMHf-1x7Y/edit?usp=sharing"",""แผน!JY54"")"),0)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1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216">
        <f ca="1">L215+L216+L217</f>
        <v>6000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49700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IFERROR(__xludf.DUMMYFUNCTION("IMPORTRANGE(""https://docs.google.com/spreadsheets/d/1eHaY18a8A9IcSdp1K8H6x8fbOy06t2VsZHhMHf-1x7Y/edit?usp=sharing"",""แผน!AM54"")"),1000)</f>
        <v>1000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IFERROR(__xludf.DUMMYFUNCTION("IMPORTRANGE(""https://docs.google.com/spreadsheets/d/1eHaY18a8A9IcSdp1K8H6x8fbOy06t2VsZHhMHf-1x7Y/edit?usp=sharing"",""แผน!AN54"")"),5000)</f>
        <v>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IFERROR(__xludf.DUMMYFUNCTION("IMPORTRANGE(""https://docs.google.com/spreadsheets/d/1eHaY18a8A9IcSdp1K8H6x8fbOy06t2VsZHhMHf-1x7Y/edit?usp=sharing"",""แผน!AO54"")"),0)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IFERROR(__xludf.DUMMYFUNCTION("IMPORTRANGE(""https://docs.google.com/spreadsheets/d/1eHaY18a8A9IcSdp1K8H6x8fbOy06t2VsZHhMHf-1x7Y/edit?usp=sharing"",""แผน!LY54"")"),49700)</f>
        <v>49700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IFERROR(__xludf.DUMMYFUNCTION("IMPORTRANGE(""https://docs.google.com/spreadsheets/d/1eHaY18a8A9IcSdp1K8H6x8fbOy06t2VsZHhMHf-1x7Y/edit?usp=sharing"",""แผน!AP54"")"),1)</f>
        <v>1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IFERROR(__xludf.DUMMYFUNCTION("IMPORTRANGE(""https://docs.google.com/spreadsheets/d/1eHaY18a8A9IcSdp1K8H6x8fbOy06t2VsZHhMHf-1x7Y/edit?usp=sharing"",""แผน!AP54"")"),1)</f>
        <v>1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12800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216">
        <f ca="1">L223+L224+L225</f>
        <v>4500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IFERROR(__xludf.DUMMYFUNCTION("IMPORTRANGE(""https://docs.google.com/spreadsheets/d/1eHaY18a8A9IcSdp1K8H6x8fbOy06t2VsZHhMHf-1x7Y/edit?usp=sharing"",""แผน!AR54"")"),2500)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IFERROR(__xludf.DUMMYFUNCTION("IMPORTRANGE(""https://docs.google.com/spreadsheets/d/1eHaY18a8A9IcSdp1K8H6x8fbOy06t2VsZHhMHf-1x7Y/edit?usp=sharing"",""แผน!AS54"")"),2000)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IFERROR(__xludf.DUMMYFUNCTION("IMPORTRANGE(""https://docs.google.com/spreadsheets/d/1eHaY18a8A9IcSdp1K8H6x8fbOy06t2VsZHhMHf-1x7Y/edit?usp=sharing"",""แผน!AT54"")"),0)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IFERROR(__xludf.DUMMYFUNCTION("IMPORTRANGE(""https://docs.google.com/spreadsheets/d/1eHaY18a8A9IcSdp1K8H6x8fbOy06t2VsZHhMHf-1x7Y/edit?usp=sharing"",""แผน!AV54"")"),12800)</f>
        <v>12800</v>
      </c>
      <c r="J228" s="296">
        <v>12800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IFERROR(__xludf.DUMMYFUNCTION("IMPORTRANGE(""https://docs.google.com/spreadsheets/d/1eHaY18a8A9IcSdp1K8H6x8fbOy06t2VsZHhMHf-1x7Y/edit?usp=sharing"",""แผน!AV54"")"),12800)</f>
        <v>12800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IFERROR(__xludf.DUMMYFUNCTION("IMPORTRANGE(""https://docs.google.com/spreadsheets/d/1eHaY18a8A9IcSdp1K8H6x8fbOy06t2VsZHhMHf-1x7Y/edit?usp=sharing"",""แผน!AU54"")"),0)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10</v>
      </c>
      <c r="J231" s="943">
        <f>J242+J253</f>
        <v>10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955">
        <f ca="1">L243+L254</f>
        <v>57700</v>
      </c>
      <c r="M232" s="90"/>
      <c r="N232" s="954">
        <f>N243+N254</f>
        <v>30275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2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219">
        <f ca="1">L244+L255</f>
        <v>10000</v>
      </c>
      <c r="M233" s="90"/>
      <c r="N233" s="136">
        <f>N244+N255</f>
        <v>175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219">
        <f ca="1">L245+L256</f>
        <v>0</v>
      </c>
      <c r="M234" s="90"/>
      <c r="N234" s="136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219">
        <f ca="1">L246+L257</f>
        <v>27700</v>
      </c>
      <c r="M235" s="90"/>
      <c r="N235" s="136">
        <f>N246+N257</f>
        <v>27700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219">
        <f ca="1">L247+L258</f>
        <v>20000</v>
      </c>
      <c r="M236" s="90"/>
      <c r="N236" s="136">
        <f>N247+N258</f>
        <v>2400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10</v>
      </c>
      <c r="J238" s="574">
        <f>J249+J260</f>
        <v>10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10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156" t="s">
        <v>328</v>
      </c>
      <c r="D242" s="375"/>
      <c r="E242" s="375"/>
      <c r="F242" s="375"/>
      <c r="G242" s="376"/>
      <c r="H242" s="377" t="s">
        <v>35</v>
      </c>
      <c r="I242" s="378">
        <f ca="1">I249</f>
        <v>10</v>
      </c>
      <c r="J242" s="378">
        <f>J249</f>
        <v>10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57700</v>
      </c>
      <c r="M243" s="90"/>
      <c r="N243" s="217">
        <f>N244+N245+N246+N247</f>
        <v>30275</v>
      </c>
      <c r="O243" s="217">
        <f ca="1">IF(L243&gt;0,N243*100/L243,0)</f>
        <v>52.469670710571926</v>
      </c>
      <c r="P243" s="217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IFERROR(__xludf.DUMMYFUNCTION("IMPORTRANGE(""https://docs.google.com/spreadsheets/d/1eHaY18a8A9IcSdp1K8H6x8fbOy06t2VsZHhMHf-1x7Y/edit?usp=sharing"",""แผน!AX54"")"),10000)</f>
        <v>10000</v>
      </c>
      <c r="M244" s="90"/>
      <c r="N244" s="391">
        <v>175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IFERROR(__xludf.DUMMYFUNCTION("IMPORTRANGE(""https://docs.google.com/spreadsheets/d/1eHaY18a8A9IcSdp1K8H6x8fbOy06t2VsZHhMHf-1x7Y/edit?usp=sharing"",""แผน!AY54"")"),0)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IFERROR(__xludf.DUMMYFUNCTION("IMPORTRANGE(""https://docs.google.com/spreadsheets/d/1eHaY18a8A9IcSdp1K8H6x8fbOy06t2VsZHhMHf-1x7Y/edit?usp=sharing"",""แผน!AZ54"")"),27700)</f>
        <v>27700</v>
      </c>
      <c r="M246" s="90"/>
      <c r="N246" s="391">
        <v>27700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IFERROR(__xludf.DUMMYFUNCTION("IMPORTRANGE(""https://docs.google.com/spreadsheets/d/1eHaY18a8A9IcSdp1K8H6x8fbOy06t2VsZHhMHf-1x7Y/edit?usp=sharing"",""แผน!BA54"")"),20000)</f>
        <v>20000</v>
      </c>
      <c r="M247" s="90"/>
      <c r="N247" s="391">
        <v>2400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IFERROR(__xludf.DUMMYFUNCTION("IMPORTRANGE(""https://docs.google.com/spreadsheets/d/1eHaY18a8A9IcSdp1K8H6x8fbOy06t2VsZHhMHf-1x7Y/edit?usp=sharing"",""แผน!BG54"")"),10)</f>
        <v>10</v>
      </c>
      <c r="J249" s="816">
        <v>10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IFERROR(__xludf.DUMMYFUNCTION("IMPORTRANGE(""https://docs.google.com/spreadsheets/d/1eHaY18a8A9IcSdp1K8H6x8fbOy06t2VsZHhMHf-1x7Y/edit?usp=sharing"",""แผน!KD54"")"),10)</f>
        <v>10</v>
      </c>
      <c r="J251" s="816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23" t="s">
        <v>61</v>
      </c>
      <c r="I252" s="241">
        <f ca="1">IFERROR(__xludf.DUMMYFUNCTION("IMPORTRANGE(""https://docs.google.com/spreadsheets/d/1eHaY18a8A9IcSdp1K8H6x8fbOy06t2VsZHhMHf-1x7Y/edit?usp=sharing"",""แผน!KE54"")"),1)</f>
        <v>1</v>
      </c>
      <c r="J252" s="816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134">
        <f ca="1">IFERROR(__xludf.DUMMYFUNCTION("IMPORTRANGE(""https://docs.google.com/spreadsheets/d/1eHaY18a8A9IcSdp1K8H6x8fbOy06t2VsZHhMHf-1x7Y/edit?usp=sharing"",""แผน!BB54"")"),0)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134">
        <f ca="1">IFERROR(__xludf.DUMMYFUNCTION("IMPORTRANGE(""https://docs.google.com/spreadsheets/d/1eHaY18a8A9IcSdp1K8H6x8fbOy06t2VsZHhMHf-1x7Y/edit?usp=sharing"",""แผน!BC54"")"),0)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134">
        <f ca="1">IFERROR(__xludf.DUMMYFUNCTION("IMPORTRANGE(""https://docs.google.com/spreadsheets/d/1eHaY18a8A9IcSdp1K8H6x8fbOy06t2VsZHhMHf-1x7Y/edit?usp=sharing"",""แผน!BD54"")"),0)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134">
        <f ca="1">IFERROR(__xludf.DUMMYFUNCTION("IMPORTRANGE(""https://docs.google.com/spreadsheets/d/1eHaY18a8A9IcSdp1K8H6x8fbOy06t2VsZHhMHf-1x7Y/edit?usp=sharing"",""แผน!BE54"")"),0)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IFERROR(__xludf.DUMMYFUNCTION("IMPORTRANGE(""https://docs.google.com/spreadsheets/d/1eHaY18a8A9IcSdp1K8H6x8fbOy06t2VsZHhMHf-1x7Y/edit?usp=sharing"",""แผน!BH54"")"),0)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0</v>
      </c>
      <c r="M266" s="217">
        <f ca="1">M267+M268</f>
        <v>5000</v>
      </c>
      <c r="N266" s="217">
        <f ca="1">N267+N268</f>
        <v>0</v>
      </c>
      <c r="O266" s="217">
        <f ca="1">IF(L266&gt;0,N266*100/L266,0)</f>
        <v>0</v>
      </c>
      <c r="P266" s="217">
        <f ca="1">IF(M266&gt;0,N266*100/M266,0)</f>
        <v>0</v>
      </c>
      <c r="Q266" s="217">
        <f ca="1">Q267+Q268</f>
        <v>50660</v>
      </c>
      <c r="R266" s="217">
        <f ca="1">R267+R268</f>
        <v>50660</v>
      </c>
      <c r="S266" s="217">
        <f ca="1">S267+S268</f>
        <v>0</v>
      </c>
      <c r="T266" s="217">
        <f ca="1">IF(Q266&gt;0,S266*100/Q266,0)</f>
        <v>0</v>
      </c>
      <c r="U266" s="217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0</v>
      </c>
      <c r="M268" s="135">
        <f ca="1">M271+M274</f>
        <v>5000</v>
      </c>
      <c r="N268" s="135">
        <f ca="1">N271+N274</f>
        <v>0</v>
      </c>
      <c r="O268" s="135">
        <f ca="1">IF(L268&gt;0,N268*100/L268,0)</f>
        <v>0</v>
      </c>
      <c r="P268" s="135">
        <f ca="1">IF(M268&gt;0,N268*100/M268,0)</f>
        <v>0</v>
      </c>
      <c r="Q268" s="135">
        <f ca="1">Q271+Q274</f>
        <v>50660</v>
      </c>
      <c r="R268" s="135">
        <f ca="1">R271+R274</f>
        <v>50660</v>
      </c>
      <c r="S268" s="135">
        <f ca="1">S271+S274</f>
        <v>0</v>
      </c>
      <c r="T268" s="135">
        <f ca="1">IF(Q268&gt;0,S268*100/Q268,0)</f>
        <v>0</v>
      </c>
      <c r="U268" s="135">
        <f ca="1">IF(R268&gt;0,S268*100/R268,0)</f>
        <v>0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0</v>
      </c>
      <c r="M269" s="135">
        <f ca="1">M270+M271</f>
        <v>5000</v>
      </c>
      <c r="N269" s="135">
        <f ca="1">N270+N271</f>
        <v>0</v>
      </c>
      <c r="O269" s="135">
        <f ca="1">IF(L269&gt;0,N269*100/L269,0)</f>
        <v>0</v>
      </c>
      <c r="P269" s="135">
        <f ca="1">IF(M269&gt;0,N269*100/M269,0)</f>
        <v>0</v>
      </c>
      <c r="Q269" s="135">
        <f ca="1">Q270+Q271</f>
        <v>50660</v>
      </c>
      <c r="R269" s="135">
        <f ca="1">R270+R271</f>
        <v>50660</v>
      </c>
      <c r="S269" s="135">
        <f ca="1">S270+S271</f>
        <v>0</v>
      </c>
      <c r="T269" s="135">
        <f ca="1">IF(Q269&gt;0,S269*100/Q269,0)</f>
        <v>0</v>
      </c>
      <c r="U269" s="135">
        <f ca="1">IF(R269&gt;0,S269*100/R269,0)</f>
        <v>0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IFERROR(__xludf.DUMMYFUNCTION("IMPORTRANGE(""https://docs.google.com/spreadsheets/d/1-uDff_7J0KD5mKrp0Vvzr7lt3OU09vwQwhkpOPPYv2Y/edit?usp=sharing"",""งบพรบ!DE54"")"),0)</f>
        <v>0</v>
      </c>
      <c r="M271" s="135">
        <f ca="1">IFERROR(__xludf.DUMMYFUNCTION("IMPORTRANGE(""https://docs.google.com/spreadsheets/d/1-uDff_7J0KD5mKrp0Vvzr7lt3OU09vwQwhkpOPPYv2Y/edit?usp=sharing"",""งบพรบ!DJ54"")"),5000)</f>
        <v>5000</v>
      </c>
      <c r="N271" s="135">
        <f ca="1">IFERROR(__xludf.DUMMYFUNCTION("IMPORTRANGE(""https://docs.google.com/spreadsheets/d/1-uDff_7J0KD5mKrp0Vvzr7lt3OU09vwQwhkpOPPYv2Y/edit?usp=sharing"",""งบพรบ!DL54"")"),0)</f>
        <v>0</v>
      </c>
      <c r="O271" s="135">
        <f ca="1">IF(L271&gt;0,N271*100/L271,0)</f>
        <v>0</v>
      </c>
      <c r="P271" s="135">
        <f ca="1">IF(M271&gt;0,N271*100/M271,0)</f>
        <v>0</v>
      </c>
      <c r="Q271" s="135">
        <f ca="1">IFERROR(__xludf.DUMMYFUNCTION("IMPORTRANGE(""https://docs.google.com/spreadsheets/d/1ItG2mGa2ceCfYo0BwxsXqNm01IGEUdYcSSLTEv9YCik/edit?usp=sharing"",""เบิกจ่ายกองทุน!AJ54"")"),50660)</f>
        <v>50660</v>
      </c>
      <c r="R271" s="135">
        <f ca="1">IFERROR(__xludf.DUMMYFUNCTION("IMPORTRANGE(""https://docs.google.com/spreadsheets/d/1ItG2mGa2ceCfYo0BwxsXqNm01IGEUdYcSSLTEv9YCik/edit?usp=sharing"",""เบิกจ่ายกองทุน!AK54"")"),50660)</f>
        <v>50660</v>
      </c>
      <c r="S271" s="135">
        <f ca="1">IFERROR(__xludf.DUMMYFUNCTION("IMPORTRANGE(""https://docs.google.com/spreadsheets/d/1ItG2mGa2ceCfYo0BwxsXqNm01IGEUdYcSSLTEv9YCik/edit?usp=sharing"",""เบิกจ่ายกองทุน!AL54"")"),0)</f>
        <v>0</v>
      </c>
      <c r="T271" s="135">
        <f ca="1">IF(Q271&gt;0,S271*100/Q271,0)</f>
        <v>0</v>
      </c>
      <c r="U271" s="135">
        <f ca="1">IF(R271&gt;0,S271*100/R271,0)</f>
        <v>0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IFERROR(__xludf.DUMMYFUNCTION("IMPORTRANGE(""https://docs.google.com/spreadsheets/d/1-uDff_7J0KD5mKrp0Vvzr7lt3OU09vwQwhkpOPPYv2Y/edit?usp=sharing"",""งบพรบ!DH54"")"),0)</f>
        <v>0</v>
      </c>
      <c r="M274" s="135">
        <f ca="1">IFERROR(__xludf.DUMMYFUNCTION("IMPORTRANGE(""https://docs.google.com/spreadsheets/d/1-uDff_7J0KD5mKrp0Vvzr7lt3OU09vwQwhkpOPPYv2Y/edit?usp=sharing"",""งบพรบ!DK54"")"),0)</f>
        <v>0</v>
      </c>
      <c r="N274" s="135">
        <f ca="1">IFERROR(__xludf.DUMMYFUNCTION("IMPORTRANGE(""https://docs.google.com/spreadsheets/d/1-uDff_7J0KD5mKrp0Vvzr7lt3OU09vwQwhkpOPPYv2Y/edit?usp=sharing"",""งบพรบ!DM54"")"),0)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1148">
        <f ca="1">IFERROR(__xludf.DUMMYFUNCTION("IMPORTRANGE(""https://docs.google.com/spreadsheets/d/1eHaY18a8A9IcSdp1K8H6x8fbOy06t2VsZHhMHf-1x7Y/edit?usp=sharing"",""แผน!EC54"")"),22)</f>
        <v>22</v>
      </c>
      <c r="J276" s="931">
        <v>0</v>
      </c>
      <c r="K276" s="1147">
        <f ca="1">IF(I276&gt;0,J276*100/I276,0)</f>
        <v>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5"/>
      <c r="B277" s="737"/>
      <c r="C277" s="737"/>
      <c r="D277" s="1146" t="s">
        <v>116</v>
      </c>
      <c r="E277" s="738"/>
      <c r="F277" s="738"/>
      <c r="G277" s="739"/>
      <c r="H277" s="1145" t="s">
        <v>35</v>
      </c>
      <c r="I277" s="758">
        <v>0</v>
      </c>
      <c r="J277" s="758">
        <v>0</v>
      </c>
      <c r="K277" s="1144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IFERROR(__xludf.DUMMYFUNCTION("IMPORTRANGE(""https://docs.google.com/spreadsheets/d/1-uDff_7J0KD5mKrp0Vvzr7lt3OU09vwQwhkpOPPYv2Y/edit?usp=sharing"",""งบพรบ!DO54"")"),0)</f>
        <v>0</v>
      </c>
      <c r="M287" s="135">
        <f ca="1">IFERROR(__xludf.DUMMYFUNCTION("IMPORTRANGE(""https://docs.google.com/spreadsheets/d/1-uDff_7J0KD5mKrp0Vvzr7lt3OU09vwQwhkpOPPYv2Y/edit?usp=sharing"",""งบพรบ!DT54"")"),0)</f>
        <v>0</v>
      </c>
      <c r="N287" s="135">
        <f ca="1">IFERROR(__xludf.DUMMYFUNCTION("IMPORTRANGE(""https://docs.google.com/spreadsheets/d/1-uDff_7J0KD5mKrp0Vvzr7lt3OU09vwQwhkpOPPYv2Y/edit?usp=sharing"",""งบพรบ!DV54"")"),0)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IFERROR(__xludf.DUMMYFUNCTION("IMPORTRANGE(""https://docs.google.com/spreadsheets/d/1-uDff_7J0KD5mKrp0Vvzr7lt3OU09vwQwhkpOPPYv2Y/edit?usp=sharing"",""งบพรบ!DR54"")"),0)</f>
        <v>0</v>
      </c>
      <c r="M290" s="135">
        <f ca="1">IFERROR(__xludf.DUMMYFUNCTION("IMPORTRANGE(""https://docs.google.com/spreadsheets/d/1-uDff_7J0KD5mKrp0Vvzr7lt3OU09vwQwhkpOPPYv2Y/edit?usp=sharing"",""งบพรบ!DU54"")"),0)</f>
        <v>0</v>
      </c>
      <c r="N290" s="135">
        <f ca="1">IFERROR(__xludf.DUMMYFUNCTION("IMPORTRANGE(""https://docs.google.com/spreadsheets/d/1-uDff_7J0KD5mKrp0Vvzr7lt3OU09vwQwhkpOPPYv2Y/edit?usp=sharing"",""งบพรบ!DW54"")"),0)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IFERROR(__xludf.DUMMYFUNCTION("IMPORTRANGE(""https://docs.google.com/spreadsheets/d/1eHaY18a8A9IcSdp1K8H6x8fbOy06t2VsZHhMHf-1x7Y/edit?usp=sharing"",""แผน!EE54"")"),0)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IFERROR(__xludf.DUMMYFUNCTION("IMPORTRANGE(""https://docs.google.com/spreadsheets/d/1eHaY18a8A9IcSdp1K8H6x8fbOy06t2VsZHhMHf-1x7Y/edit?usp=sharing"",""แผน!ED54"")"),0)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IFERROR(__xludf.DUMMYFUNCTION("IMPORTRANGE(""https://docs.google.com/spreadsheets/d/1eHaY18a8A9IcSdp1K8H6x8fbOy06t2VsZHhMHf-1x7Y/edit?usp=sharing"",""แผน!ED54"")"),0)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IFERROR(__xludf.DUMMYFUNCTION("IMPORTRANGE(""https://docs.google.com/spreadsheets/d/1eHaY18a8A9IcSdp1K8H6x8fbOy06t2VsZHhMHf-1x7Y/edit?usp=sharing"",""แผน!ED54"")"),0)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228095.39</v>
      </c>
      <c r="R303" s="217">
        <f ca="1">R304+R305</f>
        <v>228095</v>
      </c>
      <c r="S303" s="217">
        <f ca="1">S304+S305</f>
        <v>0</v>
      </c>
      <c r="T303" s="217">
        <f ca="1">IF(Q303&gt;0,S303*100/Q303,0)</f>
        <v>0</v>
      </c>
      <c r="U303" s="217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228095.39</v>
      </c>
      <c r="R305" s="135">
        <f ca="1">R308+R311</f>
        <v>228095</v>
      </c>
      <c r="S305" s="135">
        <f ca="1">S308+S311</f>
        <v>0</v>
      </c>
      <c r="T305" s="135">
        <f ca="1">IF(Q305&gt;0,S305*100/Q305,0)</f>
        <v>0</v>
      </c>
      <c r="U305" s="135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228095.39</v>
      </c>
      <c r="R306" s="135">
        <f ca="1">R307+R308</f>
        <v>228095</v>
      </c>
      <c r="S306" s="135">
        <f ca="1">S307+S308</f>
        <v>0</v>
      </c>
      <c r="T306" s="135">
        <f ca="1">IF(Q306&gt;0,S306*100/Q306,0)</f>
        <v>0</v>
      </c>
      <c r="U306" s="135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IFERROR(__xludf.DUMMYFUNCTION("IMPORTRANGE(""https://docs.google.com/spreadsheets/d/1-uDff_7J0KD5mKrp0Vvzr7lt3OU09vwQwhkpOPPYv2Y/edit?usp=sharing"",""งบพรบ!DY54"")"),0)</f>
        <v>0</v>
      </c>
      <c r="M308" s="135">
        <f ca="1">IFERROR(__xludf.DUMMYFUNCTION("IMPORTRANGE(""https://docs.google.com/spreadsheets/d/1-uDff_7J0KD5mKrp0Vvzr7lt3OU09vwQwhkpOPPYv2Y/edit?usp=sharing"",""งบพรบ!ED54"")"),0)</f>
        <v>0</v>
      </c>
      <c r="N308" s="135">
        <f ca="1">IFERROR(__xludf.DUMMYFUNCTION("IMPORTRANGE(""https://docs.google.com/spreadsheets/d/1-uDff_7J0KD5mKrp0Vvzr7lt3OU09vwQwhkpOPPYv2Y/edit?usp=sharing"",""งบพรบ!EF54"")"),0)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IFERROR(__xludf.DUMMYFUNCTION("IMPORTRANGE(""https://docs.google.com/spreadsheets/d/1ItG2mGa2ceCfYo0BwxsXqNm01IGEUdYcSSLTEv9YCik/edit?usp=sharing"",""เบิกจ่ายกองทุน!AP54"")"),228095.39)</f>
        <v>228095.39</v>
      </c>
      <c r="R308" s="135">
        <f ca="1">IFERROR(__xludf.DUMMYFUNCTION("IMPORTRANGE(""https://docs.google.com/spreadsheets/d/1ItG2mGa2ceCfYo0BwxsXqNm01IGEUdYcSSLTEv9YCik/edit?usp=sharing"",""เบิกจ่ายกองทุน!AQ54"")"),228095)</f>
        <v>228095</v>
      </c>
      <c r="S308" s="135">
        <f ca="1">IFERROR(__xludf.DUMMYFUNCTION("IMPORTRANGE(""https://docs.google.com/spreadsheets/d/1ItG2mGa2ceCfYo0BwxsXqNm01IGEUdYcSSLTEv9YCik/edit?usp=sharing"",""เบิกจ่ายกองทุน!AR54"")"),0)</f>
        <v>0</v>
      </c>
      <c r="T308" s="135">
        <f ca="1">IF(Q308&gt;0,S308*100/Q308,0)</f>
        <v>0</v>
      </c>
      <c r="U308" s="135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IFERROR(__xludf.DUMMYFUNCTION("IMPORTRANGE(""https://docs.google.com/spreadsheets/d/1-uDff_7J0KD5mKrp0Vvzr7lt3OU09vwQwhkpOPPYv2Y/edit?usp=sharing"",""งบพรบ!EB54"")"),0)</f>
        <v>0</v>
      </c>
      <c r="M311" s="135">
        <f ca="1">IFERROR(__xludf.DUMMYFUNCTION("IMPORTRANGE(""https://docs.google.com/spreadsheets/d/1-uDff_7J0KD5mKrp0Vvzr7lt3OU09vwQwhkpOPPYv2Y/edit?usp=sharing"",""งบพรบ!EE54"")"),0)</f>
        <v>0</v>
      </c>
      <c r="N311" s="135">
        <f ca="1">IFERROR(__xludf.DUMMYFUNCTION("IMPORTRANGE(""https://docs.google.com/spreadsheets/d/1-uDff_7J0KD5mKrp0Vvzr7lt3OU09vwQwhkpOPPYv2Y/edit?usp=sharing"",""งบพรบ!EG54"")"),0)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594"/>
      <c r="B313" s="575"/>
      <c r="C313" s="575"/>
      <c r="D313" s="1111"/>
      <c r="E313" s="595"/>
      <c r="F313" s="595"/>
      <c r="G313" s="596"/>
      <c r="H313" s="596"/>
      <c r="I313" s="577"/>
      <c r="J313" s="1108"/>
      <c r="K313" s="578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IFERROR(__xludf.DUMMYFUNCTION("IMPORTRANGE(""https://docs.google.com/spreadsheets/d/1eHaY18a8A9IcSdp1K8H6x8fbOy06t2VsZHhMHf-1x7Y/edit?usp=sharing"",""แผน!EF54"")"),25)</f>
        <v>25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594"/>
      <c r="B315" s="575"/>
      <c r="C315" s="575"/>
      <c r="D315" s="1110"/>
      <c r="E315" s="595"/>
      <c r="F315" s="595"/>
      <c r="G315" s="596"/>
      <c r="H315" s="1109"/>
      <c r="I315" s="1108"/>
      <c r="J315" s="1108"/>
      <c r="K315" s="110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594"/>
      <c r="B316" s="575"/>
      <c r="C316" s="575"/>
      <c r="D316" s="1110"/>
      <c r="E316" s="595"/>
      <c r="F316" s="595"/>
      <c r="G316" s="596"/>
      <c r="H316" s="1109"/>
      <c r="I316" s="1108"/>
      <c r="J316" s="1108"/>
      <c r="K316" s="110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594"/>
      <c r="B317" s="575"/>
      <c r="C317" s="575"/>
      <c r="D317" s="419"/>
      <c r="E317" s="595"/>
      <c r="F317" s="595"/>
      <c r="G317" s="596"/>
      <c r="H317" s="1106"/>
      <c r="I317" s="424"/>
      <c r="J317" s="424"/>
      <c r="K317" s="42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0</v>
      </c>
      <c r="M320" s="217">
        <f ca="1">M321+M322</f>
        <v>0</v>
      </c>
      <c r="N320" s="217">
        <f ca="1">N321+N322</f>
        <v>0</v>
      </c>
      <c r="O320" s="217">
        <f ca="1">IF(L320&gt;0,N320*100/L320,0)</f>
        <v>0</v>
      </c>
      <c r="P320" s="217">
        <f ca="1">IF(M320&gt;0,N320*100/M320,0)</f>
        <v>0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0</v>
      </c>
      <c r="M322" s="135">
        <f ca="1">M325+M328</f>
        <v>0</v>
      </c>
      <c r="N322" s="135">
        <f ca="1">N325+N328</f>
        <v>0</v>
      </c>
      <c r="O322" s="135">
        <f ca="1">IF(L322&gt;0,N322*100/L322,0)</f>
        <v>0</v>
      </c>
      <c r="P322" s="135">
        <f ca="1">IF(M322&gt;0,N322*100/M322,0)</f>
        <v>0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0</v>
      </c>
      <c r="M323" s="135">
        <f ca="1">M324+M325</f>
        <v>0</v>
      </c>
      <c r="N323" s="135">
        <f ca="1">N324+N325</f>
        <v>0</v>
      </c>
      <c r="O323" s="135">
        <f ca="1">IF(L323&gt;0,N323*100/L323,0)</f>
        <v>0</v>
      </c>
      <c r="P323" s="135">
        <f ca="1">IF(M323&gt;0,N323*100/M323,0)</f>
        <v>0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IFERROR(__xludf.DUMMYFUNCTION("IMPORTRANGE(""https://docs.google.com/spreadsheets/d/1-uDff_7J0KD5mKrp0Vvzr7lt3OU09vwQwhkpOPPYv2Y/edit?usp=sharing"",""งบพรบ!EI54"")"),0)</f>
        <v>0</v>
      </c>
      <c r="M325" s="135">
        <f ca="1">IFERROR(__xludf.DUMMYFUNCTION("IMPORTRANGE(""https://docs.google.com/spreadsheets/d/1-uDff_7J0KD5mKrp0Vvzr7lt3OU09vwQwhkpOPPYv2Y/edit?usp=sharing"",""งบพรบ!EN54"")"),0)</f>
        <v>0</v>
      </c>
      <c r="N325" s="135">
        <f ca="1">IFERROR(__xludf.DUMMYFUNCTION("IMPORTRANGE(""https://docs.google.com/spreadsheets/d/1-uDff_7J0KD5mKrp0Vvzr7lt3OU09vwQwhkpOPPYv2Y/edit?usp=sharing"",""งบพรบ!EP54"")"),0)</f>
        <v>0</v>
      </c>
      <c r="O325" s="135">
        <f ca="1">IF(L325&gt;0,N325*100/L325,0)</f>
        <v>0</v>
      </c>
      <c r="P325" s="135">
        <f ca="1">IF(M325&gt;0,N325*100/M325,0)</f>
        <v>0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IFERROR(__xludf.DUMMYFUNCTION("IMPORTRANGE(""https://docs.google.com/spreadsheets/d/1-uDff_7J0KD5mKrp0Vvzr7lt3OU09vwQwhkpOPPYv2Y/edit?usp=sharing"",""งบพรบ!EL54"")"),0)</f>
        <v>0</v>
      </c>
      <c r="M328" s="135">
        <f ca="1">IFERROR(__xludf.DUMMYFUNCTION("IMPORTRANGE(""https://docs.google.com/spreadsheets/d/1-uDff_7J0KD5mKrp0Vvzr7lt3OU09vwQwhkpOPPYv2Y/edit?usp=sharing"",""งบพรบ!EO54"")"),0)</f>
        <v>0</v>
      </c>
      <c r="N328" s="135">
        <f ca="1">IFERROR(__xludf.DUMMYFUNCTION("IMPORTRANGE(""https://docs.google.com/spreadsheets/d/1-uDff_7J0KD5mKrp0Vvzr7lt3OU09vwQwhkpOPPYv2Y/edit?usp=sharing"",""งบพรบ!EQ54"")"),0)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IFERROR(__xludf.DUMMYFUNCTION("IMPORTRANGE(""https://docs.google.com/spreadsheets/d/1eHaY18a8A9IcSdp1K8H6x8fbOy06t2VsZHhMHf-1x7Y/edit?usp=sharing"",""แผน!EJ54"")"),0)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1060</v>
      </c>
      <c r="J332" s="519">
        <f ca="1">J344+J347+J348+J349+J353+J354</f>
        <v>8666</v>
      </c>
      <c r="K332" s="520">
        <f ca="1">IF(I332&gt;0,J332*100/I332,0)</f>
        <v>817.54716981132071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108000</v>
      </c>
      <c r="M333" s="217">
        <f ca="1">M334+M335</f>
        <v>113000</v>
      </c>
      <c r="N333" s="217">
        <f ca="1">N334+N335</f>
        <v>81543.320000000007</v>
      </c>
      <c r="O333" s="217">
        <f ca="1">IF(L333&gt;0,N333*100/L333,0)</f>
        <v>75.503074074074078</v>
      </c>
      <c r="P333" s="217">
        <f ca="1">IF(M333&gt;0,N333*100/M333,0)</f>
        <v>72.162230088495591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108000</v>
      </c>
      <c r="M335" s="135">
        <f ca="1">M338+M341</f>
        <v>113000</v>
      </c>
      <c r="N335" s="135">
        <f ca="1">N338+N341</f>
        <v>81543.320000000007</v>
      </c>
      <c r="O335" s="135">
        <f ca="1">IF(L335&gt;0,N335*100/L335,0)</f>
        <v>75.503074074074078</v>
      </c>
      <c r="P335" s="135">
        <f ca="1">IF(M335&gt;0,N335*100/M335,0)</f>
        <v>72.162230088495591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108000</v>
      </c>
      <c r="M336" s="135">
        <f ca="1">M337+M338</f>
        <v>113000</v>
      </c>
      <c r="N336" s="135">
        <f ca="1">N337+N338</f>
        <v>81543.320000000007</v>
      </c>
      <c r="O336" s="135">
        <f ca="1">IF(L336&gt;0,N336*100/L336,0)</f>
        <v>75.503074074074078</v>
      </c>
      <c r="P336" s="135">
        <f ca="1">IF(M336&gt;0,N336*100/M336,0)</f>
        <v>72.162230088495591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IFERROR(__xludf.DUMMYFUNCTION("IMPORTRANGE(""https://docs.google.com/spreadsheets/d/1-uDff_7J0KD5mKrp0Vvzr7lt3OU09vwQwhkpOPPYv2Y/edit?usp=sharing"",""งบพรบ!ES54"")"),108000)</f>
        <v>108000</v>
      </c>
      <c r="M338" s="135">
        <f ca="1">IFERROR(__xludf.DUMMYFUNCTION("IMPORTRANGE(""https://docs.google.com/spreadsheets/d/1-uDff_7J0KD5mKrp0Vvzr7lt3OU09vwQwhkpOPPYv2Y/edit?usp=sharing"",""งบพรบ!EX54"")"),113000)</f>
        <v>113000</v>
      </c>
      <c r="N338" s="135">
        <f ca="1">IFERROR(__xludf.DUMMYFUNCTION("IMPORTRANGE(""https://docs.google.com/spreadsheets/d/1-uDff_7J0KD5mKrp0Vvzr7lt3OU09vwQwhkpOPPYv2Y/edit?usp=sharing"",""งบพรบ!EZ54"")"),81543.32)</f>
        <v>81543.320000000007</v>
      </c>
      <c r="O338" s="135">
        <f ca="1">IF(L338&gt;0,N338*100/L338,0)</f>
        <v>75.503074074074078</v>
      </c>
      <c r="P338" s="135">
        <f ca="1">IF(M338&gt;0,N338*100/M338,0)</f>
        <v>72.162230088495591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IFERROR(__xludf.DUMMYFUNCTION("IMPORTRANGE(""https://docs.google.com/spreadsheets/d/1-uDff_7J0KD5mKrp0Vvzr7lt3OU09vwQwhkpOPPYv2Y/edit?usp=sharing"",""งบพรบ!EV54"")"),0)</f>
        <v>0</v>
      </c>
      <c r="M341" s="135">
        <f ca="1">IFERROR(__xludf.DUMMYFUNCTION("IMPORTRANGE(""https://docs.google.com/spreadsheets/d/1-uDff_7J0KD5mKrp0Vvzr7lt3OU09vwQwhkpOPPYv2Y/edit?usp=sharing"",""งบพรบ!EY54"")"),0)</f>
        <v>0</v>
      </c>
      <c r="N341" s="135">
        <f ca="1">IFERROR(__xludf.DUMMYFUNCTION("IMPORTRANGE(""https://docs.google.com/spreadsheets/d/1-uDff_7J0KD5mKrp0Vvzr7lt3OU09vwQwhkpOPPYv2Y/edit?usp=sharing"",""งบพรบ!FA54"")"),0)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6302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IFERROR(__xludf.DUMMYFUNCTION("IMPORTRANGE(""https://docs.google.com/spreadsheets/d/1eHaY18a8A9IcSdp1K8H6x8fbOy06t2VsZHhMHf-1x7Y/edit?usp=sharing"",""แผน!EK54"")"),1060)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IFERROR(__xludf.DUMMYFUNCTION("IMPORTRANGE(""https://docs.google.com/spreadsheets/d/1awYsYK3VOup2i3Pq_Yjnu8DRu_mYwSBnCR2QPthd0rU/edit?usp=sharing"",""ศูนย์ยกเว้นโฉนด!D54"")"),4638)</f>
        <v>4638</v>
      </c>
      <c r="K344" s="77">
        <f ca="1">IF(I344&gt;0,J344*100/I344,0)</f>
        <v>437.54716981132077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IFERROR(__xludf.DUMMYFUNCTION("IMPORTRANGE(""https://docs.google.com/spreadsheets/d/1eHaY18a8A9IcSdp1K8H6x8fbOy06t2VsZHhMHf-1x7Y/edit?usp=sharing"",""แผน!EL54"")"),4)</f>
        <v>4</v>
      </c>
      <c r="J346" s="295">
        <f ca="1">IFERROR(__xludf.DUMMYFUNCTION("IMPORTRANGE(""https://docs.google.com/spreadsheets/d/1awYsYK3VOup2i3Pq_Yjnu8DRu_mYwSBnCR2QPthd0rU/edit?usp=sharing"",""ศูนย์รวม!E54"")"),0)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IFERROR(__xludf.DUMMYFUNCTION("IMPORTRANGE(""https://docs.google.com/spreadsheets/d/1awYsYK3VOup2i3Pq_Yjnu8DRu_mYwSBnCR2QPthd0rU/edit?usp=sharing"",""ศูนย์ยกเว้นโฉนด!F54"")"),383)</f>
        <v>383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IFERROR(__xludf.DUMMYFUNCTION("IMPORTRANGE(""https://docs.google.com/spreadsheets/d/1awYsYK3VOup2i3Pq_Yjnu8DRu_mYwSBnCR2QPthd0rU/edit?usp=sharing"",""ศูนย์ยกเว้นโฉนด!G54"")"),1281)</f>
        <v>1281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IFERROR(__xludf.DUMMYFUNCTION("IMPORTRANGE(""https://docs.google.com/spreadsheets/d/1awYsYK3VOup2i3Pq_Yjnu8DRu_mYwSBnCR2QPthd0rU/edit?usp=sharing"",""ศูนย์ยกเว้นโฉนด!H54"")"),0)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3784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IFERROR(__xludf.DUMMYFUNCTION("IMPORTRANGE(""https://docs.google.com/spreadsheets/d/1awYsYK3VOup2i3Pq_Yjnu8DRu_mYwSBnCR2QPthd0rU/edit?usp=sharing"",""โฉนดM3!G54"")"),1420)</f>
        <v>1420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IFERROR(__xludf.DUMMYFUNCTION("IMPORTRANGE(""https://docs.google.com/spreadsheets/d/1awYsYK3VOup2i3Pq_Yjnu8DRu_mYwSBnCR2QPthd0rU/edit?usp=sharing"",""โฉนดM3!H54"")"),2364)</f>
        <v>2364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IFERROR(__xludf.DUMMYFUNCTION("IMPORTRANGE(""https://docs.google.com/spreadsheets/d/1awYsYK3VOup2i3Pq_Yjnu8DRu_mYwSBnCR2QPthd0rU/edit?usp=sharing"",""โฉนดM3!I54"")"),0)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440405</v>
      </c>
      <c r="M356" s="217">
        <f ca="1">M357+M358</f>
        <v>440405</v>
      </c>
      <c r="N356" s="217">
        <f ca="1">N357+N358</f>
        <v>334568.40000000002</v>
      </c>
      <c r="O356" s="217">
        <f ca="1">IF(L356&gt;0,N356*100/L356,0)</f>
        <v>75.968347316674439</v>
      </c>
      <c r="P356" s="217">
        <f ca="1">IF(M356&gt;0,N356*100/M356,0)</f>
        <v>75.968347316674439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440405</v>
      </c>
      <c r="M358" s="135">
        <f ca="1">M361+M364</f>
        <v>440405</v>
      </c>
      <c r="N358" s="135">
        <f ca="1">N361+N364</f>
        <v>334568.40000000002</v>
      </c>
      <c r="O358" s="135">
        <f ca="1">IF(L358&gt;0,N358*100/L358,0)</f>
        <v>75.968347316674439</v>
      </c>
      <c r="P358" s="135">
        <f ca="1">IF(M358&gt;0,N358*100/M358,0)</f>
        <v>75.968347316674439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440405</v>
      </c>
      <c r="M359" s="135">
        <f ca="1">M360+M361</f>
        <v>440405</v>
      </c>
      <c r="N359" s="135">
        <f ca="1">N360+N361</f>
        <v>334568.40000000002</v>
      </c>
      <c r="O359" s="135">
        <f ca="1">IF(L359&gt;0,N359*100/L359,0)</f>
        <v>75.968347316674439</v>
      </c>
      <c r="P359" s="135">
        <f ca="1">IF(M359&gt;0,N359*100/M359,0)</f>
        <v>75.968347316674439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IFERROR(__xludf.DUMMYFUNCTION("IMPORTRANGE(""https://docs.google.com/spreadsheets/d/1-uDff_7J0KD5mKrp0Vvzr7lt3OU09vwQwhkpOPPYv2Y/edit?usp=sharing"",""งบพรบ!FC54"")"),440405)</f>
        <v>440405</v>
      </c>
      <c r="M361" s="135">
        <f ca="1">IFERROR(__xludf.DUMMYFUNCTION("IMPORTRANGE(""https://docs.google.com/spreadsheets/d/1-uDff_7J0KD5mKrp0Vvzr7lt3OU09vwQwhkpOPPYv2Y/edit?usp=sharing"",""งบพรบ!FH54"")"),440405)</f>
        <v>440405</v>
      </c>
      <c r="N361" s="135">
        <f ca="1">IFERROR(__xludf.DUMMYFUNCTION("IMPORTRANGE(""https://docs.google.com/spreadsheets/d/1-uDff_7J0KD5mKrp0Vvzr7lt3OU09vwQwhkpOPPYv2Y/edit?usp=sharing"",""งบพรบ!FJ54"")"),334568.4)</f>
        <v>334568.40000000002</v>
      </c>
      <c r="O361" s="135">
        <f ca="1">IF(L361&gt;0,N361*100/L361,0)</f>
        <v>75.968347316674439</v>
      </c>
      <c r="P361" s="135">
        <f ca="1">IF(M361&gt;0,N361*100/M361,0)</f>
        <v>75.968347316674439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IFERROR(__xludf.DUMMYFUNCTION("IMPORTRANGE(""https://docs.google.com/spreadsheets/d/1-uDff_7J0KD5mKrp0Vvzr7lt3OU09vwQwhkpOPPYv2Y/edit?usp=sharing"",""งบพรบ!FF54"")"),0)</f>
        <v>0</v>
      </c>
      <c r="M364" s="135">
        <f ca="1">IFERROR(__xludf.DUMMYFUNCTION("IMPORTRANGE(""https://docs.google.com/spreadsheets/d/1-uDff_7J0KD5mKrp0Vvzr7lt3OU09vwQwhkpOPPYv2Y/edit?usp=sharing"",""งบพรบ!FI54"")"),0)</f>
        <v>0</v>
      </c>
      <c r="N364" s="135">
        <f ca="1">IFERROR(__xludf.DUMMYFUNCTION("IMPORTRANGE(""https://docs.google.com/spreadsheets/d/1-uDff_7J0KD5mKrp0Vvzr7lt3OU09vwQwhkpOPPYv2Y/edit?usp=sharing"",""งบพรบ!FK54"")"),0)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119</v>
      </c>
      <c r="J365" s="542">
        <f ca="1">J371</f>
        <v>69</v>
      </c>
      <c r="K365" s="543">
        <f ca="1">IF(I365&gt;0,J365*100/I365,0)</f>
        <v>57.983193277310924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IFERROR(__xludf.DUMMYFUNCTION("IMPORTRANGE(""https://docs.google.com/spreadsheets/d/1tdoBKaGub7dwA3U6UFTqxio9LNnvDCQjHKmttSEBsFQ/edit?usp=sharing"",""จัดที่ดิน!AB54"")"),94)</f>
        <v>94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IFERROR(__xludf.DUMMYFUNCTION("IMPORTRANGE(""https://docs.google.com/spreadsheets/d/1eHaY18a8A9IcSdp1K8H6x8fbOy06t2VsZHhMHf-1x7Y/edit?usp=sharing"",""แผน!EW54"")"),450)</f>
        <v>450</v>
      </c>
      <c r="J368" s="1094">
        <f ca="1">IFERROR(__xludf.DUMMYFUNCTION("IMPORTRANGE(""https://docs.google.com/spreadsheets/d/1tdoBKaGub7dwA3U6UFTqxio9LNnvDCQjHKmttSEBsFQ/edit?usp=sharing"",""จัดที่ดิน!AC54"")"),948.86)</f>
        <v>948.86</v>
      </c>
      <c r="K368" s="77">
        <f ca="1">IF(I368&gt;0,J368*100/I368,0)</f>
        <v>210.85777777777778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IFERROR(__xludf.DUMMYFUNCTION("IMPORTRANGE(""https://docs.google.com/spreadsheets/d/1eHaY18a8A9IcSdp1K8H6x8fbOy06t2VsZHhMHf-1x7Y/edit?usp=sharing"",""แผน!EX54"")"),119)</f>
        <v>119</v>
      </c>
      <c r="J369" s="295">
        <f ca="1">IFERROR(__xludf.DUMMYFUNCTION("IMPORTRANGE(""https://docs.google.com/spreadsheets/d/1tdoBKaGub7dwA3U6UFTqxio9LNnvDCQjHKmttSEBsFQ/edit?usp=sharing"",""จัดที่ดิน!AD54"")"),70)</f>
        <v>70</v>
      </c>
      <c r="K369" s="77">
        <f ca="1">IF(I369&gt;0,J369*100/I369,0)</f>
        <v>58.823529411764703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IFERROR(__xludf.DUMMYFUNCTION("IMPORTRANGE(""https://docs.google.com/spreadsheets/d/1tdoBKaGub7dwA3U6UFTqxio9LNnvDCQjHKmttSEBsFQ/edit?usp=sharing"",""จัดที่ดิน!AE54"")"),932.06)</f>
        <v>932.06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IFERROR(__xludf.DUMMYFUNCTION("IMPORTRANGE(""https://docs.google.com/spreadsheets/d/1eHaY18a8A9IcSdp1K8H6x8fbOy06t2VsZHhMHf-1x7Y/edit?usp=sharing"",""แผน!EY54"")"),119)</f>
        <v>119</v>
      </c>
      <c r="J371" s="295">
        <f ca="1">IFERROR(__xludf.DUMMYFUNCTION("IMPORTRANGE(""https://docs.google.com/spreadsheets/d/1tdoBKaGub7dwA3U6UFTqxio9LNnvDCQjHKmttSEBsFQ/edit?usp=sharing"",""จัดที่ดิน!AF54"")"),69)</f>
        <v>69</v>
      </c>
      <c r="K371" s="77">
        <f ca="1">IF(I371&gt;0,J371*100/I371,0)</f>
        <v>57.983193277310924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IFERROR(__xludf.DUMMYFUNCTION("IMPORTRANGE(""https://docs.google.com/spreadsheets/d/1tdoBKaGub7dwA3U6UFTqxio9LNnvDCQjHKmttSEBsFQ/edit?usp=sharing"",""จัดที่ดิน!AG54"")"),921.6)</f>
        <v>921.6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906">
        <f ca="1">I386+I388</f>
        <v>1000</v>
      </c>
      <c r="J374" s="906">
        <f ca="1">J386+J388</f>
        <v>0</v>
      </c>
      <c r="K374" s="1092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>L376+L377</f>
        <v>0</v>
      </c>
      <c r="M375" s="217">
        <f>M376+M377</f>
        <v>0</v>
      </c>
      <c r="N375" s="217">
        <f>N376+N377</f>
        <v>0</v>
      </c>
      <c r="O375" s="217">
        <f>IF(L375&gt;0,N375*100/L375,0)</f>
        <v>0</v>
      </c>
      <c r="P375" s="217">
        <f>IF(M375&gt;0,N375*100/M375,0)</f>
        <v>0</v>
      </c>
      <c r="Q375" s="217">
        <f ca="1">Q376+Q377</f>
        <v>62500</v>
      </c>
      <c r="R375" s="217">
        <f ca="1">R376+R377</f>
        <v>62500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>L380+L383</f>
        <v>0</v>
      </c>
      <c r="M377" s="135">
        <f>M380+M383</f>
        <v>0</v>
      </c>
      <c r="N377" s="135">
        <f>N380+N383</f>
        <v>0</v>
      </c>
      <c r="O377" s="135">
        <f>IF(L377&gt;0,N377*100/L377,0)</f>
        <v>0</v>
      </c>
      <c r="P377" s="135">
        <f>IF(M377&gt;0,N377*100/M377,0)</f>
        <v>0</v>
      </c>
      <c r="Q377" s="135">
        <f ca="1">Q380+Q383</f>
        <v>62500</v>
      </c>
      <c r="R377" s="135">
        <f ca="1">R380+R383</f>
        <v>62500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>L379+L380</f>
        <v>0</v>
      </c>
      <c r="M378" s="135">
        <f>M379+M380</f>
        <v>0</v>
      </c>
      <c r="N378" s="135">
        <f>N379+N380</f>
        <v>0</v>
      </c>
      <c r="O378" s="135">
        <f>IF(L378&gt;0,N378*100/L378,0)</f>
        <v>0</v>
      </c>
      <c r="P378" s="135">
        <f>IF(M378&gt;0,N378*100/M378,0)</f>
        <v>0</v>
      </c>
      <c r="Q378" s="135">
        <f ca="1">Q379+Q380</f>
        <v>62500</v>
      </c>
      <c r="R378" s="135">
        <f ca="1">R379+R380</f>
        <v>62500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135">
        <f>IF(L380&gt;0,N380*100/L380,0)</f>
        <v>0</v>
      </c>
      <c r="P380" s="135">
        <f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IFERROR(__xludf.DUMMYFUNCTION("IMPORTRANGE(""https://docs.google.com/spreadsheets/d/1ItG2mGa2ceCfYo0BwxsXqNm01IGEUdYcSSLTEv9YCik/edit?usp=sharing"",""เบิกจ่ายกองทุน!AY54"")"),62500)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IFERROR(__xludf.DUMMYFUNCTION("IMPORTRANGE(""https://docs.google.com/spreadsheets/d/1ItG2mGa2ceCfYo0BwxsXqNm01IGEUdYcSSLTEv9YCik/edit?usp=sharing"",""เบิกจ่ายกองทุน!AZ54"")"),62500)</f>
        <v>62500</v>
      </c>
      <c r="S380" s="135">
        <f ca="1">IFERROR(__xludf.DUMMYFUNCTION("IMPORTRANGE(""https://docs.google.com/spreadsheets/d/1ItG2mGa2ceCfYo0BwxsXqNm01IGEUdYcSSLTEv9YCik/edit?usp=sharing"",""เบิกจ่ายกองทุน!BA54"")"),0)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>L382+L383</f>
        <v>0</v>
      </c>
      <c r="M381" s="135">
        <f>M382+M383</f>
        <v>0</v>
      </c>
      <c r="N381" s="135">
        <f>N382+N383</f>
        <v>0</v>
      </c>
      <c r="O381" s="135">
        <f>IF(L381&gt;0,N381*100/L381,0)</f>
        <v>0</v>
      </c>
      <c r="P381" s="135">
        <f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135">
        <f>IF(L383&gt;0,N383*100/L383,0)</f>
        <v>0</v>
      </c>
      <c r="P383" s="135">
        <f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368"/>
      <c r="B385" s="371"/>
      <c r="C385" s="371"/>
      <c r="D385" s="371"/>
      <c r="E385" s="1090" t="s">
        <v>155</v>
      </c>
      <c r="F385" s="70"/>
      <c r="G385" s="72"/>
      <c r="H385" s="218" t="s">
        <v>34</v>
      </c>
      <c r="I385" s="1091">
        <v>0</v>
      </c>
      <c r="J385" s="323">
        <f ca="1">IFERROR(__xludf.DUMMYFUNCTION("IMPORTRANGE(""https://docs.google.com/spreadsheets/d/1w5rwWK1o49a35cNtocGL0gxDwhFSTZUQu90BiH9_zqM/edit?usp=sharing"",""RTK!H54"")"),0)</f>
        <v>0</v>
      </c>
      <c r="K385" s="88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371"/>
      <c r="B386" s="371"/>
      <c r="C386" s="371"/>
      <c r="D386" s="371"/>
      <c r="E386" s="371"/>
      <c r="F386" s="371"/>
      <c r="G386" s="817"/>
      <c r="H386" s="218" t="s">
        <v>46</v>
      </c>
      <c r="I386" s="1089">
        <f ca="1">IFERROR(__xludf.DUMMYFUNCTION("IMPORTRANGE(""https://docs.google.com/spreadsheets/d/1w5rwWK1o49a35cNtocGL0gxDwhFSTZUQu90BiH9_zqM/edit?usp=sharing"",""RTK!G54"")"),1000)</f>
        <v>1000</v>
      </c>
      <c r="J386" s="241">
        <f ca="1">IFERROR(__xludf.DUMMYFUNCTION("IMPORTRANGE(""https://docs.google.com/spreadsheets/d/1w5rwWK1o49a35cNtocGL0gxDwhFSTZUQu90BiH9_zqM/edit?usp=sharing"",""RTK!I54"")"),0)</f>
        <v>0</v>
      </c>
      <c r="K386" s="91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1090" t="s">
        <v>156</v>
      </c>
      <c r="F387" s="371"/>
      <c r="G387" s="817"/>
      <c r="H387" s="218" t="s">
        <v>34</v>
      </c>
      <c r="I387" s="1089">
        <v>0</v>
      </c>
      <c r="J387" s="241">
        <f ca="1">IFERROR(__xludf.DUMMYFUNCTION("IMPORTRANGE(""https://docs.google.com/spreadsheets/d/1w5rwWK1o49a35cNtocGL0gxDwhFSTZUQu90BiH9_zqM/edit?usp=sharing"",""RTK!L54"")"),0)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1089">
        <f ca="1">IFERROR(__xludf.DUMMYFUNCTION("IMPORTRANGE(""https://docs.google.com/spreadsheets/d/1w5rwWK1o49a35cNtocGL0gxDwhFSTZUQu90BiH9_zqM/edit?usp=sharing"",""RTK!K54"")"),0)</f>
        <v>0</v>
      </c>
      <c r="J388" s="241">
        <f ca="1">IFERROR(__xludf.DUMMYFUNCTION("IMPORTRANGE(""https://docs.google.com/spreadsheets/d/1w5rwWK1o49a35cNtocGL0gxDwhFSTZUQu90BiH9_zqM/edit?usp=sharing"",""RTK!M54"")"),0)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314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1087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>Q393+Q394</f>
        <v>0</v>
      </c>
      <c r="R392" s="217">
        <f>R393+R394</f>
        <v>0</v>
      </c>
      <c r="S392" s="217">
        <f>S393+S394</f>
        <v>0</v>
      </c>
      <c r="T392" s="217">
        <f>IF(Q392&gt;0,S392*100/Q392,0)</f>
        <v>0</v>
      </c>
      <c r="U392" s="217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>Q397+Q400</f>
        <v>0</v>
      </c>
      <c r="R394" s="135">
        <f>R397+R400</f>
        <v>0</v>
      </c>
      <c r="S394" s="135">
        <f>S397+S400</f>
        <v>0</v>
      </c>
      <c r="T394" s="135">
        <f>IF(Q394&gt;0,S394*100/Q394,0)</f>
        <v>0</v>
      </c>
      <c r="U394" s="135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>Q396+Q397</f>
        <v>0</v>
      </c>
      <c r="R395" s="135">
        <f>R396+R397</f>
        <v>0</v>
      </c>
      <c r="S395" s="135">
        <f>S396+S397</f>
        <v>0</v>
      </c>
      <c r="T395" s="135">
        <f>IF(Q395&gt;0,S395*100/Q395,0)</f>
        <v>0</v>
      </c>
      <c r="U395" s="135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v>0</v>
      </c>
      <c r="R397" s="77">
        <v>0</v>
      </c>
      <c r="S397" s="77">
        <v>0</v>
      </c>
      <c r="T397" s="135">
        <f>IF(Q397&gt;0,S397*100/Q397,0)</f>
        <v>0</v>
      </c>
      <c r="U397" s="135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313</v>
      </c>
      <c r="C412" s="588"/>
      <c r="D412" s="588"/>
      <c r="E412" s="588"/>
      <c r="F412" s="588"/>
      <c r="G412" s="597"/>
      <c r="H412" s="598" t="s">
        <v>46</v>
      </c>
      <c r="I412" s="592">
        <f ca="1">I423</f>
        <v>0</v>
      </c>
      <c r="J412" s="592">
        <f>J423</f>
        <v>0</v>
      </c>
      <c r="K412" s="1087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16">
        <f>L414+L415</f>
        <v>0</v>
      </c>
      <c r="M413" s="217">
        <f>M414+M415</f>
        <v>0</v>
      </c>
      <c r="N413" s="217">
        <f>N414+N415</f>
        <v>0</v>
      </c>
      <c r="O413" s="217">
        <f>IF(L413&gt;0,N413*100/L413,0)</f>
        <v>0</v>
      </c>
      <c r="P413" s="217">
        <f>IF(M413&gt;0,N413*100/M413,0)</f>
        <v>0</v>
      </c>
      <c r="Q413" s="217">
        <f ca="1">Q414+Q415</f>
        <v>0</v>
      </c>
      <c r="R413" s="217">
        <f ca="1">R414+R415</f>
        <v>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>L418+L421</f>
        <v>0</v>
      </c>
      <c r="M415" s="135">
        <f>M418+M421</f>
        <v>0</v>
      </c>
      <c r="N415" s="135">
        <f>N418+N421</f>
        <v>0</v>
      </c>
      <c r="O415" s="135">
        <f>IF(L415&gt;0,N415*100/L415,0)</f>
        <v>0</v>
      </c>
      <c r="P415" s="135">
        <f>IF(M415&gt;0,N415*100/M415,0)</f>
        <v>0</v>
      </c>
      <c r="Q415" s="135">
        <f ca="1">Q418+Q421</f>
        <v>0</v>
      </c>
      <c r="R415" s="135">
        <f ca="1">R418+R421</f>
        <v>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>L417+L418</f>
        <v>0</v>
      </c>
      <c r="M416" s="135">
        <f>M417+M418</f>
        <v>0</v>
      </c>
      <c r="N416" s="135">
        <f>N417+N418</f>
        <v>0</v>
      </c>
      <c r="O416" s="135">
        <f>IF(L416&gt;0,N416*100/L416,0)</f>
        <v>0</v>
      </c>
      <c r="P416" s="135">
        <f>IF(M416&gt;0,N416*100/M416,0)</f>
        <v>0</v>
      </c>
      <c r="Q416" s="135">
        <f ca="1">Q417+Q418</f>
        <v>0</v>
      </c>
      <c r="R416" s="135">
        <f ca="1">R417+R418</f>
        <v>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135">
        <f>IF(L418&gt;0,N418*100/L418,0)</f>
        <v>0</v>
      </c>
      <c r="P418" s="135">
        <f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IFERROR(__xludf.DUMMYFUNCTION("IMPORTRANGE(""https://docs.google.com/spreadsheets/d/1ItG2mGa2ceCfYo0BwxsXqNm01IGEUdYcSSLTEv9YCik/edit?usp=sharing"",""เบิกจ่ายกองทุน!BH54"")"),0)</f>
        <v>0</v>
      </c>
      <c r="R418" s="135">
        <f ca="1">IFERROR(__xludf.DUMMYFUNCTION("IMPORTRANGE(""https://docs.google.com/spreadsheets/d/1ItG2mGa2ceCfYo0BwxsXqNm01IGEUdYcSSLTEv9YCik/edit?usp=sharing"",""เบิกจ่ายกองทุน!BI54"")"),0)</f>
        <v>0</v>
      </c>
      <c r="S418" s="135">
        <f ca="1">IFERROR(__xludf.DUMMYFUNCTION("IMPORTRANGE(""https://docs.google.com/spreadsheets/d/1ItG2mGa2ceCfYo0BwxsXqNm01IGEUdYcSSLTEv9YCik/edit?usp=sharing"",""เบิกจ่ายกองทุน!BJ54"")"),0)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>L420+L421</f>
        <v>0</v>
      </c>
      <c r="M419" s="135">
        <f>M420+M421</f>
        <v>0</v>
      </c>
      <c r="N419" s="135">
        <f>N420+N421</f>
        <v>0</v>
      </c>
      <c r="O419" s="135">
        <f>IF(L419&gt;0,N419*100/L419,0)</f>
        <v>0</v>
      </c>
      <c r="P419" s="135">
        <f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135">
        <f>IF(L421&gt;0,N421*100/L421,0)</f>
        <v>0</v>
      </c>
      <c r="P421" s="135">
        <f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833">
        <f ca="1">I440</f>
        <v>0</v>
      </c>
      <c r="J423" s="833">
        <f>J440</f>
        <v>0</v>
      </c>
      <c r="K423" s="217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833">
        <f ca="1">IFERROR(__xludf.DUMMYFUNCTION("IMPORTRANGE(""https://docs.google.com/spreadsheets/d/1eHaY18a8A9IcSdp1K8H6x8fbOy06t2VsZHhMHf-1x7Y/edit?usp=sharing"",""แผน!HJ54"")"),0)</f>
        <v>0</v>
      </c>
      <c r="J424" s="833">
        <f>J426+J428+J430</f>
        <v>0</v>
      </c>
      <c r="K424" s="217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833">
        <f ca="1">IFERROR(__xludf.DUMMYFUNCTION("IMPORTRANGE(""https://docs.google.com/spreadsheets/d/1eHaY18a8A9IcSdp1K8H6x8fbOy06t2VsZHhMHf-1x7Y/edit?usp=sharing"",""แผน!HK54"")"),0)</f>
        <v>0</v>
      </c>
      <c r="J425" s="833">
        <f>J427+J429+J431</f>
        <v>0</v>
      </c>
      <c r="K425" s="217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833">
        <f ca="1">IFERROR(__xludf.DUMMYFUNCTION("IMPORTRANGE(""https://docs.google.com/spreadsheets/d/1eHaY18a8A9IcSdp1K8H6x8fbOy06t2VsZHhMHf-1x7Y/edit?usp=sharing"",""แผน!HJ54"")"),0)</f>
        <v>0</v>
      </c>
      <c r="J432" s="833">
        <f>J434+J436+J438</f>
        <v>0</v>
      </c>
      <c r="K432" s="217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833">
        <f ca="1">IFERROR(__xludf.DUMMYFUNCTION("IMPORTRANGE(""https://docs.google.com/spreadsheets/d/1eHaY18a8A9IcSdp1K8H6x8fbOy06t2VsZHhMHf-1x7Y/edit?usp=sharing"",""แผน!HK54"")"),0)</f>
        <v>0</v>
      </c>
      <c r="J433" s="833">
        <f>J435+J437+J439</f>
        <v>0</v>
      </c>
      <c r="K433" s="217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833">
        <f ca="1">IFERROR(__xludf.DUMMYFUNCTION("IMPORTRANGE(""https://docs.google.com/spreadsheets/d/1eHaY18a8A9IcSdp1K8H6x8fbOy06t2VsZHhMHf-1x7Y/edit?usp=sharing"",""แผน!HJ54"")"),0)</f>
        <v>0</v>
      </c>
      <c r="J440" s="833">
        <f>J442+J444+J446+J452+J454</f>
        <v>0</v>
      </c>
      <c r="K440" s="217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833">
        <f ca="1">IFERROR(__xludf.DUMMYFUNCTION("IMPORTRANGE(""https://docs.google.com/spreadsheets/d/1eHaY18a8A9IcSdp1K8H6x8fbOy06t2VsZHhMHf-1x7Y/edit?usp=sharing"",""แผน!HK54"")"),0)</f>
        <v>0</v>
      </c>
      <c r="J441" s="833">
        <f>J443+J445+J447+J453+J455</f>
        <v>0</v>
      </c>
      <c r="K441" s="217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833">
        <f ca="1">I457</f>
        <v>0</v>
      </c>
      <c r="J456" s="833">
        <f>J457</f>
        <v>0</v>
      </c>
      <c r="K456" s="217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833">
        <f ca="1">IFERROR(__xludf.DUMMYFUNCTION("IMPORTRANGE(""https://docs.google.com/spreadsheets/d/1eHaY18a8A9IcSdp1K8H6x8fbOy06t2VsZHhMHf-1x7Y/edit?usp=sharing"",""แผน!HL54"")"),0)</f>
        <v>0</v>
      </c>
      <c r="J457" s="833">
        <f>J459+J467+J473</f>
        <v>0</v>
      </c>
      <c r="K457" s="217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833">
        <f ca="1">IFERROR(__xludf.DUMMYFUNCTION("IMPORTRANGE(""https://docs.google.com/spreadsheets/d/1eHaY18a8A9IcSdp1K8H6x8fbOy06t2VsZHhMHf-1x7Y/edit?usp=sharing"",""แผน!HM54"")"),0)</f>
        <v>0</v>
      </c>
      <c r="J458" s="833">
        <f>J460+J468+J474</f>
        <v>0</v>
      </c>
      <c r="K458" s="217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604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604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604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604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833">
        <f>J478+J480</f>
        <v>0</v>
      </c>
      <c r="K475" s="217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833">
        <f>J478+J480</f>
        <v>0</v>
      </c>
      <c r="K476" s="217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833">
        <f>J479+J481</f>
        <v>0</v>
      </c>
      <c r="K477" s="217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604">
        <f ca="1">IFERROR(__xludf.DUMMYFUNCTION("IMPORTRANGE(""https://docs.google.com/spreadsheets/d/1eHaY18a8A9IcSdp1K8H6x8fbOy06t2VsZHhMHf-1x7Y/edit?usp=sharing"",""แผน!HN54"")"),0)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604">
        <f ca="1">IFERROR(__xludf.DUMMYFUNCTION("IMPORTRANGE(""https://docs.google.com/spreadsheets/d/1eHaY18a8A9IcSdp1K8H6x8fbOy06t2VsZHhMHf-1x7Y/edit?usp=sharing"",""แผน!HO54"")"),0)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833">
        <f>J486+J488+J490</f>
        <v>0</v>
      </c>
      <c r="K484" s="217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833">
        <f>J487+J489+J491</f>
        <v>0</v>
      </c>
      <c r="K485" s="217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324</v>
      </c>
      <c r="C492" s="588"/>
      <c r="D492" s="588"/>
      <c r="E492" s="589"/>
      <c r="F492" s="589"/>
      <c r="G492" s="590"/>
      <c r="H492" s="598" t="s">
        <v>35</v>
      </c>
      <c r="I492" s="592">
        <f ca="1">I503</f>
        <v>0</v>
      </c>
      <c r="J492" s="592">
        <f ca="1">J503</f>
        <v>0</v>
      </c>
      <c r="K492" s="1087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16">
        <f>L494+L495</f>
        <v>0</v>
      </c>
      <c r="M493" s="217">
        <f>M494+M495</f>
        <v>0</v>
      </c>
      <c r="N493" s="217">
        <f>N494+N495</f>
        <v>0</v>
      </c>
      <c r="O493" s="217">
        <f>IF(L493&gt;0,N493*100/L493,0)</f>
        <v>0</v>
      </c>
      <c r="P493" s="217">
        <f>IF(M493&gt;0,N493*100/M493,0)</f>
        <v>0</v>
      </c>
      <c r="Q493" s="217">
        <f ca="1">Q494+Q495</f>
        <v>0</v>
      </c>
      <c r="R493" s="217">
        <f ca="1">R494+R495</f>
        <v>0</v>
      </c>
      <c r="S493" s="217">
        <f ca="1">S494+S495</f>
        <v>0</v>
      </c>
      <c r="T493" s="217">
        <f ca="1">IF(Q493&gt;0,S493*100/Q493,0)</f>
        <v>0</v>
      </c>
      <c r="U493" s="217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>L498+L501</f>
        <v>0</v>
      </c>
      <c r="M495" s="135">
        <f>M498+M501</f>
        <v>0</v>
      </c>
      <c r="N495" s="135">
        <f>N498+N501</f>
        <v>0</v>
      </c>
      <c r="O495" s="135">
        <f>IF(L495&gt;0,N495*100/L495,0)</f>
        <v>0</v>
      </c>
      <c r="P495" s="135">
        <f>IF(M495&gt;0,N495*100/M495,0)</f>
        <v>0</v>
      </c>
      <c r="Q495" s="135">
        <f ca="1">Q498+Q501</f>
        <v>0</v>
      </c>
      <c r="R495" s="135">
        <f ca="1">R498+R501</f>
        <v>0</v>
      </c>
      <c r="S495" s="135">
        <f ca="1">S498+S501</f>
        <v>0</v>
      </c>
      <c r="T495" s="135">
        <f ca="1">IF(Q495&gt;0,S495*100/Q495,0)</f>
        <v>0</v>
      </c>
      <c r="U495" s="135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>L497+L498</f>
        <v>0</v>
      </c>
      <c r="M496" s="135">
        <f>M497+M498</f>
        <v>0</v>
      </c>
      <c r="N496" s="135">
        <f>N497+N498</f>
        <v>0</v>
      </c>
      <c r="O496" s="135">
        <f>IF(L496&gt;0,N496*100/L496,0)</f>
        <v>0</v>
      </c>
      <c r="P496" s="135">
        <f>IF(M496&gt;0,N496*100/M496,0)</f>
        <v>0</v>
      </c>
      <c r="Q496" s="135">
        <f ca="1">Q497+Q498</f>
        <v>0</v>
      </c>
      <c r="R496" s="135">
        <f ca="1">R497+R498</f>
        <v>0</v>
      </c>
      <c r="S496" s="135">
        <f ca="1">S497+S498</f>
        <v>0</v>
      </c>
      <c r="T496" s="135">
        <f ca="1">IF(Q496&gt;0,S496*100/Q496,0)</f>
        <v>0</v>
      </c>
      <c r="U496" s="135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135">
        <f>IF(L498&gt;0,N498*100/L498,0)</f>
        <v>0</v>
      </c>
      <c r="P498" s="135">
        <f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IFERROR(__xludf.DUMMYFUNCTION("IMPORTRANGE(""https://docs.google.com/spreadsheets/d/1ItG2mGa2ceCfYo0BwxsXqNm01IGEUdYcSSLTEv9YCik/edit?usp=sharing"",""เบิกจ่ายกองทุน!X54"")"),0)</f>
        <v>0</v>
      </c>
      <c r="R498" s="135">
        <f ca="1">IFERROR(__xludf.DUMMYFUNCTION("IMPORTRANGE(""https://docs.google.com/spreadsheets/d/1ItG2mGa2ceCfYo0BwxsXqNm01IGEUdYcSSLTEv9YCik/edit?usp=sharing"",""เบิกจ่ายกองทุน!Y54"")"),0)</f>
        <v>0</v>
      </c>
      <c r="S498" s="135">
        <f ca="1">IFERROR(__xludf.DUMMYFUNCTION("IMPORTRANGE(""https://docs.google.com/spreadsheets/d/1ItG2mGa2ceCfYo0BwxsXqNm01IGEUdYcSSLTEv9YCik/edit?usp=sharing"",""เบิกจ่ายกองทุน!Z54"")"),0)</f>
        <v>0</v>
      </c>
      <c r="T498" s="135">
        <f ca="1">IF(Q498&gt;0,S498*100/Q498,0)</f>
        <v>0</v>
      </c>
      <c r="U498" s="135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>L500+L501</f>
        <v>0</v>
      </c>
      <c r="M499" s="135">
        <f>M500+M501</f>
        <v>0</v>
      </c>
      <c r="N499" s="135">
        <f>N500+N501</f>
        <v>0</v>
      </c>
      <c r="O499" s="135">
        <f>IF(L499&gt;0,N499*100/L499,0)</f>
        <v>0</v>
      </c>
      <c r="P499" s="135">
        <f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135">
        <f>IF(L501&gt;0,N501*100/L501,0)</f>
        <v>0</v>
      </c>
      <c r="P501" s="135">
        <f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833">
        <f ca="1">IFERROR(__xludf.DUMMYFUNCTION("IMPORTRANGE(""https://docs.google.com/spreadsheets/d/1eHaY18a8A9IcSdp1K8H6x8fbOy06t2VsZHhMHf-1x7Y/edit?usp=sharing"",""แผน!GX54"")"),0)</f>
        <v>0</v>
      </c>
      <c r="J503" s="833">
        <f ca="1">IF(AND(J504=I504,J505=I505,J506=I506,J507=I507),I503,0)</f>
        <v>0</v>
      </c>
      <c r="K503" s="217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604">
        <f ca="1">IFERROR(__xludf.DUMMYFUNCTION("IMPORTRANGE(""https://docs.google.com/spreadsheets/d/1eHaY18a8A9IcSdp1K8H6x8fbOy06t2VsZHhMHf-1x7Y/edit?usp=sharing"",""แผน!GY54"")"),0)</f>
        <v>0</v>
      </c>
      <c r="J504" s="296">
        <v>0</v>
      </c>
      <c r="K504" s="135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604">
        <f ca="1">IFERROR(__xludf.DUMMYFUNCTION("IMPORTRANGE(""https://docs.google.com/spreadsheets/d/1eHaY18a8A9IcSdp1K8H6x8fbOy06t2VsZHhMHf-1x7Y/edit?usp=sharing"",""แผน!GZ54"")"),0)</f>
        <v>0</v>
      </c>
      <c r="J505" s="296">
        <v>0</v>
      </c>
      <c r="K505" s="135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604">
        <f ca="1">IFERROR(__xludf.DUMMYFUNCTION("IMPORTRANGE(""https://docs.google.com/spreadsheets/d/1eHaY18a8A9IcSdp1K8H6x8fbOy06t2VsZHhMHf-1x7Y/edit?usp=sharing"",""แผน!HA54"")"),0)</f>
        <v>0</v>
      </c>
      <c r="J506" s="296">
        <v>0</v>
      </c>
      <c r="K506" s="135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604">
        <f ca="1">IFERROR(__xludf.DUMMYFUNCTION("IMPORTRANGE(""https://docs.google.com/spreadsheets/d/1eHaY18a8A9IcSdp1K8H6x8fbOy06t2VsZHhMHf-1x7Y/edit?usp=sharing"",""แผน!HB54"")"),0)</f>
        <v>0</v>
      </c>
      <c r="J507" s="296">
        <v>0</v>
      </c>
      <c r="K507" s="135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135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613">
        <f ca="1">IFERROR(__xludf.DUMMYFUNCTION("IMPORTRANGE(""https://docs.google.com/spreadsheets/d/1eHaY18a8A9IcSdp1K8H6x8fbOy06t2VsZHhMHf-1x7Y/edit?usp=sharing"",""แผน!HC54"")"),0)</f>
        <v>0</v>
      </c>
      <c r="J509" s="741">
        <v>0</v>
      </c>
      <c r="K509" s="186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IFERROR(__xludf.DUMMYFUNCTION("IMPORTRANGE(""https://docs.google.com/spreadsheets/d/1-uDff_7J0KD5mKrp0Vvzr7lt3OU09vwQwhkpOPPYv2Y/edit?usp=sharing"",""งบพรบ!FM54"")"),0)</f>
        <v>0</v>
      </c>
      <c r="M518" s="135">
        <f ca="1">IFERROR(__xludf.DUMMYFUNCTION("IMPORTRANGE(""https://docs.google.com/spreadsheets/d/1-uDff_7J0KD5mKrp0Vvzr7lt3OU09vwQwhkpOPPYv2Y/edit?usp=sharing"",""งบพรบ!FR54"")"),0)</f>
        <v>0</v>
      </c>
      <c r="N518" s="135">
        <f ca="1">IFERROR(__xludf.DUMMYFUNCTION("IMPORTRANGE(""https://docs.google.com/spreadsheets/d/1-uDff_7J0KD5mKrp0Vvzr7lt3OU09vwQwhkpOPPYv2Y/edit?usp=sharing"",""งบพรบ!FT54"")"),0)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IFERROR(__xludf.DUMMYFUNCTION("IMPORTRANGE(""https://docs.google.com/spreadsheets/d/1-uDff_7J0KD5mKrp0Vvzr7lt3OU09vwQwhkpOPPYv2Y/edit?usp=sharing"",""งบพรบ!FP54"")"),0)</f>
        <v>0</v>
      </c>
      <c r="M521" s="135">
        <f ca="1">IFERROR(__xludf.DUMMYFUNCTION("IMPORTRANGE(""https://docs.google.com/spreadsheets/d/1-uDff_7J0KD5mKrp0Vvzr7lt3OU09vwQwhkpOPPYv2Y/edit?usp=sharing"",""งบพรบ!FS54"")"),0)</f>
        <v>0</v>
      </c>
      <c r="N521" s="135">
        <f ca="1">IFERROR(__xludf.DUMMYFUNCTION("IMPORTRANGE(""https://docs.google.com/spreadsheets/d/1-uDff_7J0KD5mKrp0Vvzr7lt3OU09vwQwhkpOPPYv2Y/edit?usp=sharing"",""งบพรบ!FU54"")"),0)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7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7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312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1076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>L535+L536</f>
        <v>0</v>
      </c>
      <c r="M534" s="217">
        <f>M535+M536</f>
        <v>0</v>
      </c>
      <c r="N534" s="217">
        <f>N535+N536</f>
        <v>0</v>
      </c>
      <c r="O534" s="217">
        <f>IF(L534&gt;0,N534*100/L534,0)</f>
        <v>0</v>
      </c>
      <c r="P534" s="217">
        <f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>L539+L542</f>
        <v>0</v>
      </c>
      <c r="M536" s="135">
        <f>M539+M542</f>
        <v>0</v>
      </c>
      <c r="N536" s="135">
        <f>N539+N542</f>
        <v>0</v>
      </c>
      <c r="O536" s="135">
        <f>IF(L536&gt;0,N536*100/L536,0)</f>
        <v>0</v>
      </c>
      <c r="P536" s="135">
        <f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>L538+L539</f>
        <v>0</v>
      </c>
      <c r="M537" s="135">
        <f>M538+M539</f>
        <v>0</v>
      </c>
      <c r="N537" s="135">
        <f>N538+N539</f>
        <v>0</v>
      </c>
      <c r="O537" s="135">
        <f>IF(L537&gt;0,N537*100/L537,0)</f>
        <v>0</v>
      </c>
      <c r="P537" s="135">
        <f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71"/>
      <c r="C538" s="271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71"/>
      <c r="C539" s="271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135">
        <f>IF(L539&gt;0,N539*100/L539,0)</f>
        <v>0</v>
      </c>
      <c r="P539" s="135">
        <f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71"/>
      <c r="C540" s="271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>L541+L542</f>
        <v>0</v>
      </c>
      <c r="M540" s="135">
        <f>M541+M542</f>
        <v>0</v>
      </c>
      <c r="N540" s="135">
        <f>N541+N542</f>
        <v>0</v>
      </c>
      <c r="O540" s="135">
        <f>IF(L540&gt;0,N540*100/L540,0)</f>
        <v>0</v>
      </c>
      <c r="P540" s="135">
        <f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71"/>
      <c r="C541" s="271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71"/>
      <c r="C542" s="271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135">
        <f>IF(L542&gt;0,N542*100/L542,0)</f>
        <v>0</v>
      </c>
      <c r="P542" s="135">
        <f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00" t="s">
        <v>18</v>
      </c>
      <c r="D543" s="837" t="s">
        <v>38</v>
      </c>
      <c r="E543" s="282"/>
      <c r="F543" s="282"/>
      <c r="G543" s="283"/>
      <c r="H543" s="309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75"/>
      <c r="C544" s="575"/>
      <c r="D544" s="595"/>
      <c r="E544" s="575"/>
      <c r="F544" s="595"/>
      <c r="G544" s="596"/>
      <c r="H544" s="57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75"/>
      <c r="C545" s="575"/>
      <c r="D545" s="595"/>
      <c r="E545" s="575"/>
      <c r="F545" s="595"/>
      <c r="G545" s="596"/>
      <c r="H545" s="57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7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7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311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1076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>L556+L557</f>
        <v>0</v>
      </c>
      <c r="M555" s="217">
        <f>M556+M557</f>
        <v>0</v>
      </c>
      <c r="N555" s="217">
        <f>N556+N557</f>
        <v>0</v>
      </c>
      <c r="O555" s="217">
        <f>IF(L555&gt;0,N555*100/L555,0)</f>
        <v>0</v>
      </c>
      <c r="P555" s="217">
        <f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>L560+L563</f>
        <v>0</v>
      </c>
      <c r="M557" s="135">
        <f>M560+M563</f>
        <v>0</v>
      </c>
      <c r="N557" s="135">
        <f>N560+N563</f>
        <v>0</v>
      </c>
      <c r="O557" s="135">
        <f>IF(L557&gt;0,N557*100/L557,0)</f>
        <v>0</v>
      </c>
      <c r="P557" s="135">
        <f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>L559+L560</f>
        <v>0</v>
      </c>
      <c r="M558" s="135">
        <f>M559+M560</f>
        <v>0</v>
      </c>
      <c r="N558" s="135">
        <f>N559+N560</f>
        <v>0</v>
      </c>
      <c r="O558" s="135">
        <f>IF(L558&gt;0,N558*100/L558,0)</f>
        <v>0</v>
      </c>
      <c r="P558" s="135">
        <f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71"/>
      <c r="C559" s="271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71"/>
      <c r="C560" s="271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135">
        <f>IF(L560&gt;0,N560*100/L560,0)</f>
        <v>0</v>
      </c>
      <c r="P560" s="135">
        <f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71"/>
      <c r="C561" s="271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134">
        <f>L562+L563</f>
        <v>0</v>
      </c>
      <c r="M561" s="135">
        <f>M562+M563</f>
        <v>0</v>
      </c>
      <c r="N561" s="135">
        <f>N562+N563</f>
        <v>0</v>
      </c>
      <c r="O561" s="135">
        <f>IF(L561&gt;0,N561*100/L561,0)</f>
        <v>0</v>
      </c>
      <c r="P561" s="135">
        <f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71"/>
      <c r="C562" s="271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71"/>
      <c r="C563" s="271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135">
        <f>IF(L563&gt;0,N563*100/L563,0)</f>
        <v>0</v>
      </c>
      <c r="P563" s="135">
        <f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600" t="s">
        <v>18</v>
      </c>
      <c r="D564" s="837" t="s">
        <v>38</v>
      </c>
      <c r="E564" s="282"/>
      <c r="F564" s="282"/>
      <c r="G564" s="283"/>
      <c r="H564" s="309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75"/>
      <c r="C565" s="575"/>
      <c r="D565" s="595"/>
      <c r="E565" s="575"/>
      <c r="F565" s="595"/>
      <c r="G565" s="596"/>
      <c r="H565" s="57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75"/>
      <c r="C566" s="575"/>
      <c r="D566" s="595"/>
      <c r="E566" s="575"/>
      <c r="F566" s="595"/>
      <c r="G566" s="596"/>
      <c r="H566" s="57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7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7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310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1076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16">
        <f>L577+L578</f>
        <v>0</v>
      </c>
      <c r="M576" s="217">
        <f>M577+M578</f>
        <v>0</v>
      </c>
      <c r="N576" s="217">
        <f>N577+N578</f>
        <v>0</v>
      </c>
      <c r="O576" s="217">
        <f>IF(L576&gt;0,N576*100/L576,0)</f>
        <v>0</v>
      </c>
      <c r="P576" s="217">
        <f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134">
        <f>L581+L584</f>
        <v>0</v>
      </c>
      <c r="M578" s="135">
        <f>M581+M584</f>
        <v>0</v>
      </c>
      <c r="N578" s="135">
        <f>N581+N584</f>
        <v>0</v>
      </c>
      <c r="O578" s="135">
        <f>IF(L578&gt;0,N578*100/L578,0)</f>
        <v>0</v>
      </c>
      <c r="P578" s="135">
        <f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>L580+L581</f>
        <v>0</v>
      </c>
      <c r="M579" s="135">
        <f>M580+M581</f>
        <v>0</v>
      </c>
      <c r="N579" s="135">
        <f>N580+N581</f>
        <v>0</v>
      </c>
      <c r="O579" s="135">
        <f>IF(L579&gt;0,N579*100/L579,0)</f>
        <v>0</v>
      </c>
      <c r="P579" s="135">
        <f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71"/>
      <c r="C580" s="271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71"/>
      <c r="C581" s="271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135">
        <f>IF(L581&gt;0,N581*100/L581,0)</f>
        <v>0</v>
      </c>
      <c r="P581" s="135">
        <f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71"/>
      <c r="C582" s="271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134">
        <f>L583+L584</f>
        <v>0</v>
      </c>
      <c r="M582" s="135">
        <f>M583+M584</f>
        <v>0</v>
      </c>
      <c r="N582" s="135">
        <f>N583+N584</f>
        <v>0</v>
      </c>
      <c r="O582" s="135">
        <f>IF(L582&gt;0,N582*100/L582,0)</f>
        <v>0</v>
      </c>
      <c r="P582" s="135">
        <f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71"/>
      <c r="C583" s="271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71"/>
      <c r="C584" s="271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135">
        <f>IF(L584&gt;0,N584*100/L584,0)</f>
        <v>0</v>
      </c>
      <c r="P584" s="135">
        <f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00" t="s">
        <v>18</v>
      </c>
      <c r="D585" s="837" t="s">
        <v>38</v>
      </c>
      <c r="E585" s="282"/>
      <c r="F585" s="282"/>
      <c r="G585" s="283"/>
      <c r="H585" s="309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75"/>
      <c r="C586" s="575"/>
      <c r="D586" s="595"/>
      <c r="E586" s="575"/>
      <c r="F586" s="595"/>
      <c r="G586" s="596"/>
      <c r="H586" s="57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75"/>
      <c r="C587" s="575"/>
      <c r="D587" s="595"/>
      <c r="E587" s="575"/>
      <c r="F587" s="595"/>
      <c r="G587" s="596"/>
      <c r="H587" s="57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7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4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075" t="s">
        <v>309</v>
      </c>
      <c r="C597" s="303"/>
      <c r="D597" s="255"/>
      <c r="E597" s="255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5"/>
      <c r="E598" s="255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16">
        <f>L600+L601</f>
        <v>0</v>
      </c>
      <c r="M599" s="217">
        <f>M600+M601</f>
        <v>0</v>
      </c>
      <c r="N599" s="217">
        <f>N600+N601</f>
        <v>0</v>
      </c>
      <c r="O599" s="217">
        <f>IF(L599&gt;0,N599*100/L599,0)</f>
        <v>0</v>
      </c>
      <c r="P599" s="217">
        <f>IF(M599&gt;0,N599*100/M599,0)</f>
        <v>0</v>
      </c>
      <c r="Q599" s="217">
        <f>Q600+Q601</f>
        <v>0</v>
      </c>
      <c r="R599" s="217">
        <f>R600+R601</f>
        <v>0</v>
      </c>
      <c r="S599" s="217">
        <f>S600+S601</f>
        <v>0</v>
      </c>
      <c r="T599" s="217">
        <f>IF(Q599&gt;0,S599*100/Q599,0)</f>
        <v>0</v>
      </c>
      <c r="U599" s="217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219">
        <f>L603+L606</f>
        <v>0</v>
      </c>
      <c r="M600" s="136">
        <f>M603+M606</f>
        <v>0</v>
      </c>
      <c r="N600" s="136">
        <f>N603+N606</f>
        <v>0</v>
      </c>
      <c r="O600" s="136">
        <f>IF(L600&gt;0,N600*100/L600,0)</f>
        <v>0</v>
      </c>
      <c r="P600" s="136">
        <f>IF(M600&gt;0,N600*100/M600,0)</f>
        <v>0</v>
      </c>
      <c r="Q600" s="136">
        <f>Q603+Q606</f>
        <v>0</v>
      </c>
      <c r="R600" s="136">
        <f>R603+R606</f>
        <v>0</v>
      </c>
      <c r="S600" s="136">
        <f>S603+S606</f>
        <v>0</v>
      </c>
      <c r="T600" s="136">
        <f>IF(Q600&gt;0,S600*100/Q600,0)</f>
        <v>0</v>
      </c>
      <c r="U600" s="136">
        <f>IF(R600&gt;0,S600*100/R600,0)</f>
        <v>0</v>
      </c>
    </row>
    <row r="601" spans="1:21" ht="18.75" hidden="1" x14ac:dyDescent="0.25">
      <c r="A601" s="259"/>
      <c r="B601" s="271"/>
      <c r="C601" s="271"/>
      <c r="D601" s="279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134">
        <f>L604+L607</f>
        <v>0</v>
      </c>
      <c r="M601" s="135">
        <f>M604+M607</f>
        <v>0</v>
      </c>
      <c r="N601" s="135">
        <f>N604+N607</f>
        <v>0</v>
      </c>
      <c r="O601" s="135">
        <f>IF(L601&gt;0,N601*100/L601,0)</f>
        <v>0</v>
      </c>
      <c r="P601" s="135">
        <f>IF(M601&gt;0,N601*100/M601,0)</f>
        <v>0</v>
      </c>
      <c r="Q601" s="135">
        <f>Q604+Q607</f>
        <v>0</v>
      </c>
      <c r="R601" s="135">
        <f>R604+R607</f>
        <v>0</v>
      </c>
      <c r="S601" s="135">
        <f>S604+S607</f>
        <v>0</v>
      </c>
      <c r="T601" s="135">
        <f>IF(Q601&gt;0,S601*100/Q601,0)</f>
        <v>0</v>
      </c>
      <c r="U601" s="135">
        <f>IF(R601&gt;0,S601*100/R601,0)</f>
        <v>0</v>
      </c>
    </row>
    <row r="602" spans="1:21" ht="19.5" hidden="1" x14ac:dyDescent="0.3">
      <c r="A602" s="259"/>
      <c r="B602" s="271"/>
      <c r="C602" s="271"/>
      <c r="D602" s="1074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134">
        <f>L603+L604</f>
        <v>0</v>
      </c>
      <c r="M602" s="135">
        <f>M603+M604</f>
        <v>0</v>
      </c>
      <c r="N602" s="135">
        <f>N603+N604</f>
        <v>0</v>
      </c>
      <c r="O602" s="135">
        <f>IF(L602&gt;0,N602*100/L602,0)</f>
        <v>0</v>
      </c>
      <c r="P602" s="135">
        <f>IF(M602&gt;0,N602*100/M602,0)</f>
        <v>0</v>
      </c>
      <c r="Q602" s="135">
        <f>Q603+Q604</f>
        <v>0</v>
      </c>
      <c r="R602" s="135">
        <f>R603+R604</f>
        <v>0</v>
      </c>
      <c r="S602" s="135">
        <f>S603+S604</f>
        <v>0</v>
      </c>
      <c r="T602" s="135">
        <f>IF(Q602&gt;0,S602*100/Q602,0)</f>
        <v>0</v>
      </c>
      <c r="U602" s="135">
        <f>IF(R602&gt;0,S602*100/R602,0)</f>
        <v>0</v>
      </c>
    </row>
    <row r="603" spans="1:21" ht="18.75" hidden="1" x14ac:dyDescent="0.25">
      <c r="A603" s="259"/>
      <c r="B603" s="271"/>
      <c r="C603" s="271"/>
      <c r="D603" s="279"/>
      <c r="E603" s="573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136">
        <f>IF(L603&gt;0,N603*100/L603,0)</f>
        <v>0</v>
      </c>
      <c r="P603" s="136">
        <f>IF(M603&gt;0,N603*100/M603,0)</f>
        <v>0</v>
      </c>
      <c r="Q603" s="80">
        <v>0</v>
      </c>
      <c r="R603" s="80">
        <v>0</v>
      </c>
      <c r="S603" s="80">
        <v>0</v>
      </c>
      <c r="T603" s="136">
        <f>IF(Q603&gt;0,S603*100/Q603,0)</f>
        <v>0</v>
      </c>
      <c r="U603" s="136">
        <f>IF(R603&gt;0,S603*100/R603,0)</f>
        <v>0</v>
      </c>
    </row>
    <row r="604" spans="1:21" ht="18.75" hidden="1" x14ac:dyDescent="0.25">
      <c r="A604" s="259"/>
      <c r="B604" s="271"/>
      <c r="C604" s="271"/>
      <c r="D604" s="279"/>
      <c r="E604" s="573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135">
        <f>IF(L604&gt;0,N604*100/L604,0)</f>
        <v>0</v>
      </c>
      <c r="P604" s="135">
        <f>IF(M604&gt;0,N604*100/M604,0)</f>
        <v>0</v>
      </c>
      <c r="Q604" s="77">
        <v>0</v>
      </c>
      <c r="R604" s="77">
        <v>0</v>
      </c>
      <c r="S604" s="77">
        <v>0</v>
      </c>
      <c r="T604" s="135">
        <f>IF(Q604&gt;0,S604*100/Q604,0)</f>
        <v>0</v>
      </c>
      <c r="U604" s="135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134">
        <f>L606+L607</f>
        <v>0</v>
      </c>
      <c r="M605" s="135">
        <f>M606+M607</f>
        <v>0</v>
      </c>
      <c r="N605" s="135">
        <f>N606+N607</f>
        <v>0</v>
      </c>
      <c r="O605" s="135">
        <f>IF(L605&gt;0,N605*100/L605,0)</f>
        <v>0</v>
      </c>
      <c r="P605" s="135">
        <f>IF(M605&gt;0,N605*100/M605,0)</f>
        <v>0</v>
      </c>
      <c r="Q605" s="135">
        <f>Q606+Q607</f>
        <v>0</v>
      </c>
      <c r="R605" s="135">
        <f>R606+R607</f>
        <v>0</v>
      </c>
      <c r="S605" s="135">
        <f>S606+S607</f>
        <v>0</v>
      </c>
      <c r="T605" s="135">
        <f>IF(Q605&gt;0,S605*100/Q605,0)</f>
        <v>0</v>
      </c>
      <c r="U605" s="135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136">
        <f>IF(L606&gt;0,N606*100/L606,0)</f>
        <v>0</v>
      </c>
      <c r="P606" s="136">
        <f>IF(M606&gt;0,N606*100/M606,0)</f>
        <v>0</v>
      </c>
      <c r="Q606" s="80">
        <v>0</v>
      </c>
      <c r="R606" s="80">
        <v>0</v>
      </c>
      <c r="S606" s="80">
        <v>0</v>
      </c>
      <c r="T606" s="136">
        <f>IF(Q606&gt;0,S606*100/Q606,0)</f>
        <v>0</v>
      </c>
      <c r="U606" s="136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135">
        <f>IF(L607&gt;0,N607*100/L607,0)</f>
        <v>0</v>
      </c>
      <c r="P607" s="135">
        <f>IF(M607&gt;0,N607*100/M607,0)</f>
        <v>0</v>
      </c>
      <c r="Q607" s="77">
        <v>0</v>
      </c>
      <c r="R607" s="77">
        <v>0</v>
      </c>
      <c r="S607" s="77">
        <v>0</v>
      </c>
      <c r="T607" s="135">
        <f>IF(Q607&gt;0,S607*100/Q607,0)</f>
        <v>0</v>
      </c>
      <c r="U607" s="135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6"/>
      <c r="E615" s="718"/>
      <c r="F615" s="718"/>
      <c r="G615" s="719"/>
      <c r="H615" s="720" t="s">
        <v>46</v>
      </c>
      <c r="I615" s="1073">
        <f ca="1">I626</f>
        <v>50</v>
      </c>
      <c r="J615" s="1073">
        <f>J626</f>
        <v>0</v>
      </c>
      <c r="K615" s="107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905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6750</v>
      </c>
      <c r="R616" s="217">
        <f ca="1">R617+R618</f>
        <v>6750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79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79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6750</v>
      </c>
      <c r="R618" s="135">
        <f ca="1">R621+R624</f>
        <v>6750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900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6750</v>
      </c>
      <c r="R619" s="135">
        <f ca="1">R620+R621</f>
        <v>6750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79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79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IFERROR(__xludf.DUMMYFUNCTION("IMPORTRANGE(""https://docs.google.com/spreadsheets/d/1ItG2mGa2ceCfYo0BwxsXqNm01IGEUdYcSSLTEv9YCik/edit?usp=sharing"",""เบิกจ่ายกองทุน!F54"")"),6750)</f>
        <v>6750</v>
      </c>
      <c r="R621" s="135">
        <f ca="1">IFERROR(__xludf.DUMMYFUNCTION("IMPORTRANGE(""https://docs.google.com/spreadsheets/d/1ItG2mGa2ceCfYo0BwxsXqNm01IGEUdYcSSLTEv9YCik/edit?usp=sharing"",""เบิกจ่ายกองทุน!G54"")"),6750)</f>
        <v>6750</v>
      </c>
      <c r="S621" s="135">
        <f ca="1">IFERROR(__xludf.DUMMYFUNCTION("IMPORTRANGE(""https://docs.google.com/spreadsheets/d/1ItG2mGa2ceCfYo0BwxsXqNm01IGEUdYcSSLTEv9YCik/edit?usp=sharing"",""เบิกจ่ายกองทุน!H54"")"),0)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900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841">
        <f ca="1">IFERROR(__xludf.DUMMYFUNCTION("IMPORTRANGE(""https://docs.google.com/spreadsheets/d/1eHaY18a8A9IcSdp1K8H6x8fbOy06t2VsZHhMHf-1x7Y/edit?usp=sharing"",""แผน!ID54"")"),50)</f>
        <v>50</v>
      </c>
      <c r="J626" s="840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824">
        <f ca="1">IFERROR(__xludf.DUMMYFUNCTION("IMPORTRANGE(""https://docs.google.com/spreadsheets/d/1eHaY18a8A9IcSdp1K8H6x8fbOy06t2VsZHhMHf-1x7Y/edit?usp=sharing"",""แผน!IC54"")"),0)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824">
        <f ca="1">IFERROR(__xludf.DUMMYFUNCTION("IMPORTRANGE(""https://docs.google.com/spreadsheets/d/1eHaY18a8A9IcSdp1K8H6x8fbOy06t2VsZHhMHf-1x7Y/edit?usp=sharing"",""แผน!IC54"")"),0)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839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839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839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839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839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839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828">
        <f ca="1">IFERROR(__xludf.DUMMYFUNCTION("IMPORTRANGE(""https://docs.google.com/spreadsheets/d/1eHaY18a8A9IcSdp1K8H6x8fbOy06t2VsZHhMHf-1x7Y/edit?usp=sharing"",""แผน!IE54"")"),0)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839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839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839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839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839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8220</v>
      </c>
      <c r="R642" s="217">
        <f ca="1">R643+R644</f>
        <v>8220</v>
      </c>
      <c r="S642" s="217">
        <f ca="1">S643+S644</f>
        <v>1480</v>
      </c>
      <c r="T642" s="217">
        <f ca="1">IF(Q642&gt;0,S642*100/Q642,0)</f>
        <v>18.004866180048662</v>
      </c>
      <c r="U642" s="217">
        <f ca="1">IF(R642&gt;0,S642*100/R642,0)</f>
        <v>18.004866180048662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8220</v>
      </c>
      <c r="R644" s="135">
        <f ca="1">R647+R650</f>
        <v>8220</v>
      </c>
      <c r="S644" s="135">
        <f ca="1">S647+S650</f>
        <v>1480</v>
      </c>
      <c r="T644" s="135">
        <f ca="1">IF(Q644&gt;0,S644*100/Q644,0)</f>
        <v>18.004866180048662</v>
      </c>
      <c r="U644" s="135">
        <f ca="1">IF(R644&gt;0,S644*100/R644,0)</f>
        <v>18.004866180048662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8220</v>
      </c>
      <c r="R645" s="135">
        <f ca="1">R646+R647</f>
        <v>8220</v>
      </c>
      <c r="S645" s="135">
        <f ca="1">S646+S647</f>
        <v>1480</v>
      </c>
      <c r="T645" s="135">
        <f ca="1">IF(Q645&gt;0,S645*100/Q645,0)</f>
        <v>18.004866180048662</v>
      </c>
      <c r="U645" s="135">
        <f ca="1">IF(R645&gt;0,S645*100/R645,0)</f>
        <v>18.004866180048662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IFERROR(__xludf.DUMMYFUNCTION("IMPORTRANGE(""https://docs.google.com/spreadsheets/d/1ItG2mGa2ceCfYo0BwxsXqNm01IGEUdYcSSLTEv9YCik/edit?usp=sharing"",""เบิกจ่ายกองทุน!I54"")"),8220)</f>
        <v>8220</v>
      </c>
      <c r="R647" s="135">
        <f ca="1">IFERROR(__xludf.DUMMYFUNCTION("IMPORTRANGE(""https://docs.google.com/spreadsheets/d/1ItG2mGa2ceCfYo0BwxsXqNm01IGEUdYcSSLTEv9YCik/edit?usp=sharing"",""เบิกจ่ายกองทุน!J54"")"),8220)</f>
        <v>8220</v>
      </c>
      <c r="S647" s="135">
        <f ca="1">IFERROR(__xludf.DUMMYFUNCTION("IMPORTRANGE(""https://docs.google.com/spreadsheets/d/1ItG2mGa2ceCfYo0BwxsXqNm01IGEUdYcSSLTEv9YCik/edit?usp=sharing"",""เบิกจ่ายกองทุน!K54"")"),1480)</f>
        <v>1480</v>
      </c>
      <c r="T647" s="135">
        <f ca="1">IF(Q647&gt;0,S647*100/Q647,0)</f>
        <v>18.004866180048662</v>
      </c>
      <c r="U647" s="135">
        <f ca="1">IF(R647&gt;0,S647*100/R647,0)</f>
        <v>18.004866180048662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1071">
        <f ca="1">IFERROR(__xludf.DUMMYFUNCTION("IMPORTRANGE(""https://docs.google.com/spreadsheets/d/1eHaY18a8A9IcSdp1K8H6x8fbOy06t2VsZHhMHf-1x7Y/edit?usp=sharing"",""แผน!IF54"")"),10)</f>
        <v>10</v>
      </c>
      <c r="J652" s="604">
        <f ca="1">IFERROR(__xludf.DUMMYFUNCTION("IMPORTRANGE(""https://docs.google.com/spreadsheets/d/1tdoBKaGub7dwA3U6UFTqxio9LNnvDCQjHKmttSEBsFQ/edit?usp=sharing"",""จัดที่ดิน!AU54"")"),0)</f>
        <v>0</v>
      </c>
      <c r="K652" s="135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1071">
        <f ca="1">IFERROR(__xludf.DUMMYFUNCTION("IMPORTRANGE(""https://docs.google.com/spreadsheets/d/1eHaY18a8A9IcSdp1K8H6x8fbOy06t2VsZHhMHf-1x7Y/edit?usp=sharing"",""แผน!IG54"")"),2)</f>
        <v>2</v>
      </c>
      <c r="J653" s="604">
        <f ca="1">IFERROR(__xludf.DUMMYFUNCTION("IMPORTRANGE(""https://docs.google.com/spreadsheets/d/1tdoBKaGub7dwA3U6UFTqxio9LNnvDCQjHKmttSEBsFQ/edit?usp=sharing"",""จัดที่ดิน!AW54"")"),0)</f>
        <v>0</v>
      </c>
      <c r="K653" s="135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1070">
        <f ca="1">IFERROR(__xludf.DUMMYFUNCTION("IMPORTRANGE(""https://docs.google.com/spreadsheets/d/1eHaY18a8A9IcSdp1K8H6x8fbOy06t2VsZHhMHf-1x7Y/edit?usp=sharing"",""แผน!IH54"")"),0)</f>
        <v>0</v>
      </c>
      <c r="J654" s="833">
        <f>J657+J660</f>
        <v>0</v>
      </c>
      <c r="K654" s="217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1071">
        <f ca="1">IFERROR(__xludf.DUMMYFUNCTION("IMPORTRANGE(""https://docs.google.com/spreadsheets/d/1eHaY18a8A9IcSdp1K8H6x8fbOy06t2VsZHhMHf-1x7Y/edit?usp=sharing"",""แผน!II54"")"),0)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1071">
        <f ca="1">IFERROR(__xludf.DUMMYFUNCTION("IMPORTRANGE(""https://docs.google.com/spreadsheets/d/1eHaY18a8A9IcSdp1K8H6x8fbOy06t2VsZHhMHf-1x7Y/edit?usp=sharing"",""แผน!IJ54"")"),0)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1070">
        <f ca="1">IFERROR(__xludf.DUMMYFUNCTION("IMPORTRANGE(""https://docs.google.com/spreadsheets/d/1eHaY18a8A9IcSdp1K8H6x8fbOy06t2VsZHhMHf-1x7Y/edit?usp=sharing"",""แผน!IK54"")"),64)</f>
        <v>64</v>
      </c>
      <c r="J661" s="833">
        <f>J667+J670</f>
        <v>0</v>
      </c>
      <c r="K661" s="217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604">
        <f ca="1">IFERROR(__xludf.DUMMYFUNCTION("IMPORTRANGE(""https://docs.google.com/spreadsheets/d/1tdoBKaGub7dwA3U6UFTqxio9LNnvDCQjHKmttSEBsFQ/edit?usp=sharing"",""จัดที่ดิน!AY54"")"),0)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604">
        <f ca="1">IFERROR(__xludf.DUMMYFUNCTION("IMPORTRANGE(""https://docs.google.com/spreadsheets/d/1tdoBKaGub7dwA3U6UFTqxio9LNnvDCQjHKmttSEBsFQ/edit?usp=sharing"",""จัดที่ดิน!AZ54"")"),0)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1071">
        <f ca="1">IFERROR(__xludf.DUMMYFUNCTION("IMPORTRANGE(""https://docs.google.com/spreadsheets/d/1eHaY18a8A9IcSdp1K8H6x8fbOy06t2VsZHhMHf-1x7Y/edit?usp=sharing"",""แผน!IL54"")"),47)</f>
        <v>47</v>
      </c>
      <c r="J673" s="604">
        <f ca="1">IFERROR(__xludf.DUMMYFUNCTION("IMPORTRANGE(""https://docs.google.com/spreadsheets/d/1tdoBKaGub7dwA3U6UFTqxio9LNnvDCQjHKmttSEBsFQ/edit?usp=sharing"",""จัดที่ดิน!BA54"")"),0)</f>
        <v>0</v>
      </c>
      <c r="K673" s="135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1070">
        <f ca="1">IFERROR(__xludf.DUMMYFUNCTION("IMPORTRANGE(""https://docs.google.com/spreadsheets/d/1eHaY18a8A9IcSdp1K8H6x8fbOy06t2VsZHhMHf-1x7Y/edit?usp=sharing"",""แผน!IM54"")"),5)</f>
        <v>5</v>
      </c>
      <c r="J674" s="833">
        <f ca="1">J676+J679</f>
        <v>0</v>
      </c>
      <c r="K674" s="217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1070">
        <f ca="1">IFERROR(__xludf.DUMMYFUNCTION("IMPORTRANGE(""https://docs.google.com/spreadsheets/d/1eHaY18a8A9IcSdp1K8H6x8fbOy06t2VsZHhMHf-1x7Y/edit?usp=sharing"",""แผน!IN54"")"),59)</f>
        <v>59</v>
      </c>
      <c r="J675" s="833">
        <f ca="1">J678+J681</f>
        <v>0</v>
      </c>
      <c r="K675" s="217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1071">
        <f ca="1">IFERROR(__xludf.DUMMYFUNCTION("IMPORTRANGE(""https://docs.google.com/spreadsheets/d/1eHaY18a8A9IcSdp1K8H6x8fbOy06t2VsZHhMHf-1x7Y/edit?usp=sharing"",""แผน!IO54"")"),5)</f>
        <v>5</v>
      </c>
      <c r="J676" s="604">
        <f ca="1">IFERROR(__xludf.DUMMYFUNCTION("IMPORTRANGE(""https://docs.google.com/spreadsheets/d/1tdoBKaGub7dwA3U6UFTqxio9LNnvDCQjHKmttSEBsFQ/edit?usp=sharing"",""จัดที่ดิน!BF54"")"),0)</f>
        <v>0</v>
      </c>
      <c r="K676" s="135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604">
        <f ca="1">IFERROR(__xludf.DUMMYFUNCTION("IMPORTRANGE(""https://docs.google.com/spreadsheets/d/1tdoBKaGub7dwA3U6UFTqxio9LNnvDCQjHKmttSEBsFQ/edit?usp=sharing"",""จัดที่ดิน!BG54"")"),0)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1071">
        <f ca="1">IFERROR(__xludf.DUMMYFUNCTION("IMPORTRANGE(""https://docs.google.com/spreadsheets/d/1eHaY18a8A9IcSdp1K8H6x8fbOy06t2VsZHhMHf-1x7Y/edit?usp=sharing"",""แผน!IP54"")"),59)</f>
        <v>59</v>
      </c>
      <c r="J678" s="604">
        <f ca="1">IFERROR(__xludf.DUMMYFUNCTION("IMPORTRANGE(""https://docs.google.com/spreadsheets/d/1tdoBKaGub7dwA3U6UFTqxio9LNnvDCQjHKmttSEBsFQ/edit?usp=sharing"",""จัดที่ดิน!BH54"")"),0)</f>
        <v>0</v>
      </c>
      <c r="K678" s="135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1071">
        <f ca="1">IFERROR(__xludf.DUMMYFUNCTION("IMPORTRANGE(""https://docs.google.com/spreadsheets/d/1eHaY18a8A9IcSdp1K8H6x8fbOy06t2VsZHhMHf-1x7Y/edit?usp=sharing"",""แผน!IQ54"")"),0)</f>
        <v>0</v>
      </c>
      <c r="J679" s="604">
        <f ca="1">IFERROR(__xludf.DUMMYFUNCTION("IMPORTRANGE(""https://docs.google.com/spreadsheets/d/1tdoBKaGub7dwA3U6UFTqxio9LNnvDCQjHKmttSEBsFQ/edit?usp=sharing"",""จัดที่ดิน!BK54"")"),0)</f>
        <v>0</v>
      </c>
      <c r="K679" s="135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604">
        <f ca="1">IFERROR(__xludf.DUMMYFUNCTION("IMPORTRANGE(""https://docs.google.com/spreadsheets/d/1tdoBKaGub7dwA3U6UFTqxio9LNnvDCQjHKmttSEBsFQ/edit?usp=sharing"",""จัดที่ดิน!BL54"")"),0)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1071">
        <f ca="1">IFERROR(__xludf.DUMMYFUNCTION("IMPORTRANGE(""https://docs.google.com/spreadsheets/d/1eHaY18a8A9IcSdp1K8H6x8fbOy06t2VsZHhMHf-1x7Y/edit?usp=sharing"",""แผน!IR54"")"),0)</f>
        <v>0</v>
      </c>
      <c r="J681" s="604">
        <f ca="1">IFERROR(__xludf.DUMMYFUNCTION("IMPORTRANGE(""https://docs.google.com/spreadsheets/d/1tdoBKaGub7dwA3U6UFTqxio9LNnvDCQjHKmttSEBsFQ/edit?usp=sharing"",""จัดที่ดิน!BM54"")"),0)</f>
        <v>0</v>
      </c>
      <c r="K681" s="135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1070">
        <f ca="1">IFERROR(__xludf.DUMMYFUNCTION("IMPORTRANGE(""https://docs.google.com/spreadsheets/d/1eHaY18a8A9IcSdp1K8H6x8fbOy06t2VsZHhMHf-1x7Y/edit?usp=sharing"",""แผน!IS54"")"),0)</f>
        <v>0</v>
      </c>
      <c r="J682" s="833">
        <f>J685+J688</f>
        <v>0</v>
      </c>
      <c r="K682" s="217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1063">
        <f ca="1">I707</f>
        <v>10</v>
      </c>
      <c r="J689" s="1063">
        <f ca="1">J707</f>
        <v>0</v>
      </c>
      <c r="K689" s="1062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70120</v>
      </c>
      <c r="R690" s="217">
        <f ca="1">R691+R692</f>
        <v>70120</v>
      </c>
      <c r="S690" s="217">
        <f ca="1">S691+S692</f>
        <v>9500</v>
      </c>
      <c r="T690" s="217">
        <f ca="1">IF(Q690&gt;0,S690*100/Q690,0)</f>
        <v>13.548203080433543</v>
      </c>
      <c r="U690" s="217">
        <f ca="1">IF(R690&gt;0,S690*100/R690,0)</f>
        <v>13.548203080433543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70120</v>
      </c>
      <c r="R692" s="135">
        <f ca="1">R695+R698</f>
        <v>70120</v>
      </c>
      <c r="S692" s="135">
        <f ca="1">S695+S698</f>
        <v>9500</v>
      </c>
      <c r="T692" s="135">
        <f ca="1">IF(Q692&gt;0,S692*100/Q692,0)</f>
        <v>13.548203080433543</v>
      </c>
      <c r="U692" s="135">
        <f ca="1">IF(R692&gt;0,S692*100/R692,0)</f>
        <v>13.548203080433543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70120</v>
      </c>
      <c r="R693" s="135">
        <f ca="1">R694+R695</f>
        <v>70120</v>
      </c>
      <c r="S693" s="135">
        <f ca="1">S694+S695</f>
        <v>9500</v>
      </c>
      <c r="T693" s="135">
        <f ca="1">IF(Q693&gt;0,S693*100/Q693,0)</f>
        <v>13.548203080433543</v>
      </c>
      <c r="U693" s="135">
        <f ca="1">IF(R693&gt;0,S693*100/R693,0)</f>
        <v>13.548203080433543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IFERROR(__xludf.DUMMYFUNCTION("IMPORTRANGE(""https://docs.google.com/spreadsheets/d/1ItG2mGa2ceCfYo0BwxsXqNm01IGEUdYcSSLTEv9YCik/edit?usp=sharing"",""เบิกจ่ายกองทุน!L54"")"),70120)</f>
        <v>70120</v>
      </c>
      <c r="R695" s="135">
        <f ca="1">IFERROR(__xludf.DUMMYFUNCTION("IMPORTRANGE(""https://docs.google.com/spreadsheets/d/1ItG2mGa2ceCfYo0BwxsXqNm01IGEUdYcSSLTEv9YCik/edit?usp=sharing"",""เบิกจ่ายกองทุน!M54"")"),70120)</f>
        <v>70120</v>
      </c>
      <c r="S695" s="135">
        <f ca="1">IFERROR(__xludf.DUMMYFUNCTION("IMPORTRANGE(""https://docs.google.com/spreadsheets/d/1ItG2mGa2ceCfYo0BwxsXqNm01IGEUdYcSSLTEv9YCik/edit?usp=sharing"",""เบิกจ่ายกองทุน!N54"")"),9500)</f>
        <v>9500</v>
      </c>
      <c r="T695" s="135">
        <f ca="1">IF(Q695&gt;0,S695*100/Q695,0)</f>
        <v>13.548203080433543</v>
      </c>
      <c r="U695" s="135">
        <f ca="1">IF(R695&gt;0,S695*100/R695,0)</f>
        <v>13.548203080433543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836">
        <f ca="1">IFERROR(__xludf.DUMMYFUNCTION("IMPORTRANGE(""https://docs.google.com/spreadsheets/d/1eHaY18a8A9IcSdp1K8H6x8fbOy06t2VsZHhMHf-1x7Y/edit?usp=sharing"",""แผน!LC54"")"),0)</f>
        <v>0</v>
      </c>
      <c r="J700" s="770">
        <v>0</v>
      </c>
      <c r="K700" s="835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834">
        <f ca="1">I703+I705</f>
        <v>13</v>
      </c>
      <c r="J701" s="833">
        <f ca="1">J703+J705</f>
        <v>0</v>
      </c>
      <c r="K701" s="217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828">
        <v>0</v>
      </c>
      <c r="J702" s="833">
        <f ca="1">J704+J706</f>
        <v>0</v>
      </c>
      <c r="K702" s="217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825">
        <f ca="1">IFERROR(__xludf.DUMMYFUNCTION("IMPORTRANGE(""https://docs.google.com/spreadsheets/d/1eHaY18a8A9IcSdp1K8H6x8fbOy06t2VsZHhMHf-1x7Y/edit?usp=sharing"",""แผน!LJ54"")"),10)</f>
        <v>10</v>
      </c>
      <c r="J703" s="604">
        <f ca="1">IFERROR(__xludf.DUMMYFUNCTION("IMPORTRANGE(""https://docs.google.com/spreadsheets/d/1tdoBKaGub7dwA3U6UFTqxio9LNnvDCQjHKmttSEBsFQ/edit?usp=sharing"",""จัดที่ดิน!AP54"")"),0)</f>
        <v>0</v>
      </c>
      <c r="K703" s="135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824">
        <v>0</v>
      </c>
      <c r="J704" s="604">
        <f ca="1">IFERROR(__xludf.DUMMYFUNCTION("IMPORTRANGE(""https://docs.google.com/spreadsheets/d/1tdoBKaGub7dwA3U6UFTqxio9LNnvDCQjHKmttSEBsFQ/edit?usp=sharing"",""จัดที่ดิน!AQ54"")"),0)</f>
        <v>0</v>
      </c>
      <c r="K704" s="135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825">
        <f ca="1">IFERROR(__xludf.DUMMYFUNCTION("IMPORTRANGE(""https://docs.google.com/spreadsheets/d/1eHaY18a8A9IcSdp1K8H6x8fbOy06t2VsZHhMHf-1x7Y/edit?usp=sharing"",""แผน!LK54"")"),3)</f>
        <v>3</v>
      </c>
      <c r="J705" s="604">
        <f ca="1">IFERROR(__xludf.DUMMYFUNCTION("IMPORTRANGE(""https://docs.google.com/spreadsheets/d/1tdoBKaGub7dwA3U6UFTqxio9LNnvDCQjHKmttSEBsFQ/edit?usp=sharing"",""จัดที่ดิน!AR54"")"),0)</f>
        <v>0</v>
      </c>
      <c r="K705" s="826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824">
        <v>0</v>
      </c>
      <c r="J706" s="604">
        <f ca="1">IFERROR(__xludf.DUMMYFUNCTION("IMPORTRANGE(""https://docs.google.com/spreadsheets/d/1tdoBKaGub7dwA3U6UFTqxio9LNnvDCQjHKmttSEBsFQ/edit?usp=sharing"",""จัดที่ดิน!AS54"")"),0)</f>
        <v>0</v>
      </c>
      <c r="K706" s="135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825">
        <f ca="1">IFERROR(__xludf.DUMMYFUNCTION("IMPORTRANGE(""https://docs.google.com/spreadsheets/d/1eHaY18a8A9IcSdp1K8H6x8fbOy06t2VsZHhMHf-1x7Y/edit?usp=sharing"",""แผน!LJ54"")"),10)</f>
        <v>10</v>
      </c>
      <c r="J707" s="604">
        <f ca="1">IFERROR(__xludf.DUMMYFUNCTION("IMPORTRANGE(""https://docs.google.com/spreadsheets/d/1tdoBKaGub7dwA3U6UFTqxio9LNnvDCQjHKmttSEBsFQ/edit?usp=sharing"",""จัดที่ดิน!BN54"")"),0)</f>
        <v>0</v>
      </c>
      <c r="K707" s="135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824">
        <v>0</v>
      </c>
      <c r="J708" s="604">
        <f ca="1">IFERROR(__xludf.DUMMYFUNCTION("IMPORTRANGE(""https://docs.google.com/spreadsheets/d/1tdoBKaGub7dwA3U6UFTqxio9LNnvDCQjHKmttSEBsFQ/edit?usp=sharing"",""จัดที่ดิน!BO54"")"),0)</f>
        <v>0</v>
      </c>
      <c r="K708" s="135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825">
        <f ca="1">IFERROR(__xludf.DUMMYFUNCTION("IMPORTRANGE(""https://docs.google.com/spreadsheets/d/1eHaY18a8A9IcSdp1K8H6x8fbOy06t2VsZHhMHf-1x7Y/edit?usp=sharing"",""แผน!LK54"")"),3)</f>
        <v>3</v>
      </c>
      <c r="J709" s="604">
        <f ca="1">IFERROR(__xludf.DUMMYFUNCTION("IMPORTRANGE(""https://docs.google.com/spreadsheets/d/1tdoBKaGub7dwA3U6UFTqxio9LNnvDCQjHKmttSEBsFQ/edit?usp=sharing"",""จัดที่ดิน!BP54"")"),1)</f>
        <v>1</v>
      </c>
      <c r="K709" s="135">
        <f ca="1">IF(I709&gt;0,J709*100/I709,0)</f>
        <v>33.333333333333336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824">
        <v>0</v>
      </c>
      <c r="J710" s="604">
        <f ca="1">IFERROR(__xludf.DUMMYFUNCTION("IMPORTRANGE(""https://docs.google.com/spreadsheets/d/1tdoBKaGub7dwA3U6UFTqxio9LNnvDCQjHKmttSEBsFQ/edit?usp=sharing"",""จัดที่ดิน!BQ54"")"),0)</f>
        <v>0</v>
      </c>
      <c r="K710" s="135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308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1069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08"/>
      <c r="F726" s="708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IFERROR(__xludf.DUMMYFUNCTION("IMPORTRANGE(""https://docs.google.com/spreadsheets/d/1eHaY18a8A9IcSdp1K8H6x8fbOy06t2VsZHhMHf-1x7Y/edit?usp=sharing"",""แผน!GA54"")"),52)</f>
        <v>52</v>
      </c>
      <c r="J726" s="1063">
        <f>J742+J746+J749</f>
        <v>110</v>
      </c>
      <c r="K726" s="1062">
        <f ca="1">IF(I726&gt;0,J726*100/I726,0)</f>
        <v>211.53846153846155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08"/>
      <c r="E727" s="708"/>
      <c r="F727" s="708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IFERROR(__xludf.DUMMYFUNCTION("IMPORTRANGE(""https://docs.google.com/spreadsheets/d/1eHaY18a8A9IcSdp1K8H6x8fbOy06t2VsZHhMHf-1x7Y/edit?usp=sharing"",""แผน!FZ54"")"),500)</f>
        <v>500</v>
      </c>
      <c r="J727" s="1063">
        <f>J752+J755</f>
        <v>0</v>
      </c>
      <c r="K727" s="1062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905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391730</v>
      </c>
      <c r="R728" s="217">
        <f ca="1">R729+R730</f>
        <v>391730</v>
      </c>
      <c r="S728" s="217">
        <f ca="1">S729+S730</f>
        <v>48970</v>
      </c>
      <c r="T728" s="217">
        <f ca="1">IF(Q728&gt;0,S728*100/Q728,0)</f>
        <v>12.500957292012355</v>
      </c>
      <c r="U728" s="217">
        <f ca="1">IF(R728&gt;0,S728*100/R728,0)</f>
        <v>12.500957292012355</v>
      </c>
    </row>
    <row r="729" spans="1:21" ht="18.75" hidden="1" x14ac:dyDescent="0.25">
      <c r="A729" s="259"/>
      <c r="B729" s="271"/>
      <c r="C729" s="271"/>
      <c r="D729" s="279"/>
      <c r="E729" s="573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79"/>
      <c r="E730" s="571" t="s">
        <v>160</v>
      </c>
      <c r="F730" s="271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391730</v>
      </c>
      <c r="R730" s="135">
        <f ca="1">R733+R736</f>
        <v>391730</v>
      </c>
      <c r="S730" s="135">
        <f ca="1">S733+S736</f>
        <v>48970</v>
      </c>
      <c r="T730" s="135">
        <f ca="1">IF(Q730&gt;0,S730*100/Q730,0)</f>
        <v>12.500957292012355</v>
      </c>
      <c r="U730" s="135">
        <f ca="1">IF(R730&gt;0,S730*100/R730,0)</f>
        <v>12.500957292012355</v>
      </c>
    </row>
    <row r="731" spans="1:21" ht="18.75" x14ac:dyDescent="0.25">
      <c r="A731" s="259"/>
      <c r="B731" s="271"/>
      <c r="C731" s="271"/>
      <c r="D731" s="900" t="s">
        <v>22</v>
      </c>
      <c r="E731" s="271"/>
      <c r="F731" s="271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391730</v>
      </c>
      <c r="R731" s="135">
        <f ca="1">R732+R733</f>
        <v>391730</v>
      </c>
      <c r="S731" s="135">
        <f ca="1">S732+S733</f>
        <v>48970</v>
      </c>
      <c r="T731" s="135">
        <f ca="1">IF(Q731&gt;0,S731*100/Q731,0)</f>
        <v>12.500957292012355</v>
      </c>
      <c r="U731" s="135">
        <f ca="1">IF(R731&gt;0,S731*100/R731,0)</f>
        <v>12.500957292012355</v>
      </c>
    </row>
    <row r="732" spans="1:21" ht="18.75" hidden="1" x14ac:dyDescent="0.25">
      <c r="A732" s="259"/>
      <c r="B732" s="271"/>
      <c r="C732" s="271"/>
      <c r="D732" s="279"/>
      <c r="E732" s="573" t="s">
        <v>159</v>
      </c>
      <c r="F732" s="271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79"/>
      <c r="E733" s="571" t="s">
        <v>160</v>
      </c>
      <c r="F733" s="271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IFERROR(__xludf.DUMMYFUNCTION("IMPORTRANGE(""https://docs.google.com/spreadsheets/d/1ItG2mGa2ceCfYo0BwxsXqNm01IGEUdYcSSLTEv9YCik/edit?usp=sharing"",""เบิกจ่ายกองทุน!O54"")"),391730)</f>
        <v>391730</v>
      </c>
      <c r="R733" s="135">
        <f ca="1">IFERROR(__xludf.DUMMYFUNCTION("IMPORTRANGE(""https://docs.google.com/spreadsheets/d/1ItG2mGa2ceCfYo0BwxsXqNm01IGEUdYcSSLTEv9YCik/edit?usp=sharing"",""เบิกจ่ายกองทุน!P54"")"),391730)</f>
        <v>391730</v>
      </c>
      <c r="S733" s="135">
        <f ca="1">IFERROR(__xludf.DUMMYFUNCTION("IMPORTRANGE(""https://docs.google.com/spreadsheets/d/1ItG2mGa2ceCfYo0BwxsXqNm01IGEUdYcSSLTEv9YCik/edit?usp=sharing"",""เบิกจ่ายกองทุน!Q54"")"),48970)</f>
        <v>48970</v>
      </c>
      <c r="T733" s="135">
        <f ca="1">IF(Q733&gt;0,S733*100/Q733,0)</f>
        <v>12.500957292012355</v>
      </c>
      <c r="U733" s="135">
        <f ca="1">IF(R733&gt;0,S733*100/R733,0)</f>
        <v>12.500957292012355</v>
      </c>
    </row>
    <row r="734" spans="1:21" ht="18.75" x14ac:dyDescent="0.25">
      <c r="A734" s="259"/>
      <c r="B734" s="271"/>
      <c r="C734" s="271"/>
      <c r="D734" s="900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76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1068">
        <f ca="1">IFERROR(__xludf.DUMMYFUNCTION("IMPORTRANGE(""https://docs.google.com/spreadsheets/d/1eHaY18a8A9IcSdp1K8H6x8fbOy06t2VsZHhMHf-1x7Y/edit?usp=sharing"",""แผน!GB54"")"),400)</f>
        <v>400</v>
      </c>
      <c r="J740" s="816">
        <v>400</v>
      </c>
      <c r="K740" s="1067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1068">
        <f ca="1">IFERROR(__xludf.DUMMYFUNCTION("IMPORTRANGE(""https://docs.google.com/spreadsheets/d/1eHaY18a8A9IcSdp1K8H6x8fbOy06t2VsZHhMHf-1x7Y/edit?usp=sharing"",""แผน!GC54"")"),40)</f>
        <v>40</v>
      </c>
      <c r="J742" s="816">
        <v>100</v>
      </c>
      <c r="K742" s="1067">
        <f ca="1">IF(I742&gt;0,J742*100/I742,0)</f>
        <v>250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1068">
        <f ca="1">IFERROR(__xludf.DUMMYFUNCTION("IMPORTRANGE(""https://docs.google.com/spreadsheets/d/1eHaY18a8A9IcSdp1K8H6x8fbOy06t2VsZHhMHf-1x7Y/edit?usp=sharing"",""แผน!GD54"")"),100)</f>
        <v>100</v>
      </c>
      <c r="J744" s="816">
        <v>100</v>
      </c>
      <c r="K744" s="1067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1068">
        <f ca="1">IFERROR(__xludf.DUMMYFUNCTION("IMPORTRANGE(""https://docs.google.com/spreadsheets/d/1eHaY18a8A9IcSdp1K8H6x8fbOy06t2VsZHhMHf-1x7Y/edit?usp=sharing"",""แผน!GE54"")"),10)</f>
        <v>10</v>
      </c>
      <c r="J746" s="816">
        <v>10</v>
      </c>
      <c r="K746" s="1067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1068">
        <f ca="1">IFERROR(__xludf.DUMMYFUNCTION("IMPORTRANGE(""https://docs.google.com/spreadsheets/d/1eHaY18a8A9IcSdp1K8H6x8fbOy06t2VsZHhMHf-1x7Y/edit?usp=sharing"",""แผน!GF54"")"),2)</f>
        <v>2</v>
      </c>
      <c r="J749" s="816">
        <v>0</v>
      </c>
      <c r="K749" s="1067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1068">
        <f ca="1">IFERROR(__xludf.DUMMYFUNCTION("IMPORTRANGE(""https://docs.google.com/spreadsheets/d/1eHaY18a8A9IcSdp1K8H6x8fbOy06t2VsZHhMHf-1x7Y/edit?usp=sharing"",""แผน!GB54"")"),400)</f>
        <v>400</v>
      </c>
      <c r="J752" s="816">
        <v>0</v>
      </c>
      <c r="K752" s="1067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1068">
        <f ca="1">IFERROR(__xludf.DUMMYFUNCTION("IMPORTRANGE(""https://docs.google.com/spreadsheets/d/1eHaY18a8A9IcSdp1K8H6x8fbOy06t2VsZHhMHf-1x7Y/edit?usp=sharing"",""แผน!GD54"")"),100)</f>
        <v>100</v>
      </c>
      <c r="J755" s="816">
        <v>0</v>
      </c>
      <c r="K755" s="1067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437"/>
      <c r="B756" s="438"/>
      <c r="C756" s="438"/>
      <c r="D756" s="438"/>
      <c r="E756" s="440"/>
      <c r="F756" s="1066" t="s">
        <v>298</v>
      </c>
      <c r="G756" s="441"/>
      <c r="H756" s="1065" t="s">
        <v>46</v>
      </c>
      <c r="I756" s="181"/>
      <c r="J756" s="1064">
        <v>0</v>
      </c>
      <c r="K756" s="182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323</v>
      </c>
      <c r="C758" s="708"/>
      <c r="D758" s="710"/>
      <c r="E758" s="708"/>
      <c r="F758" s="710"/>
      <c r="G758" s="711"/>
      <c r="H758" s="759" t="s">
        <v>35</v>
      </c>
      <c r="I758" s="1063">
        <f ca="1">I772</f>
        <v>0</v>
      </c>
      <c r="J758" s="1063">
        <f>J772</f>
        <v>0</v>
      </c>
      <c r="K758" s="1062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08"/>
      <c r="E759" s="708"/>
      <c r="F759" s="710"/>
      <c r="G759" s="711"/>
      <c r="H759" s="759" t="s">
        <v>46</v>
      </c>
      <c r="I759" s="1063">
        <f ca="1">I774</f>
        <v>0</v>
      </c>
      <c r="J759" s="1063">
        <f>J774</f>
        <v>0</v>
      </c>
      <c r="K759" s="1062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905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0</v>
      </c>
      <c r="R760" s="217">
        <f ca="1">R761+R762</f>
        <v>0</v>
      </c>
      <c r="S760" s="217">
        <f ca="1">S761+S762</f>
        <v>0</v>
      </c>
      <c r="T760" s="217">
        <f ca="1">IF(Q760&gt;0,S760*100/Q760,0)</f>
        <v>0</v>
      </c>
      <c r="U760" s="217">
        <f ca="1">IF(R760&gt;0,S760*100/R760,0)</f>
        <v>0</v>
      </c>
    </row>
    <row r="761" spans="1:21" ht="18.75" hidden="1" x14ac:dyDescent="0.25">
      <c r="A761" s="259"/>
      <c r="B761" s="271"/>
      <c r="C761" s="271"/>
      <c r="D761" s="279"/>
      <c r="E761" s="573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79"/>
      <c r="E762" s="571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0</v>
      </c>
      <c r="R762" s="135">
        <f ca="1">R765+R768</f>
        <v>0</v>
      </c>
      <c r="S762" s="135">
        <f ca="1">S765+S768</f>
        <v>0</v>
      </c>
      <c r="T762" s="135">
        <f ca="1">IF(Q762&gt;0,S762*100/Q762,0)</f>
        <v>0</v>
      </c>
      <c r="U762" s="135">
        <f ca="1">IF(R762&gt;0,S762*100/R762,0)</f>
        <v>0</v>
      </c>
    </row>
    <row r="763" spans="1:21" ht="18.75" x14ac:dyDescent="0.25">
      <c r="A763" s="259"/>
      <c r="B763" s="271"/>
      <c r="C763" s="305"/>
      <c r="D763" s="900" t="s">
        <v>22</v>
      </c>
      <c r="E763" s="271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0</v>
      </c>
      <c r="R763" s="135">
        <f ca="1">R764+R765</f>
        <v>0</v>
      </c>
      <c r="S763" s="135">
        <f ca="1">S764+S765</f>
        <v>0</v>
      </c>
      <c r="T763" s="135">
        <f ca="1">IF(Q763&gt;0,S763*100/Q763,0)</f>
        <v>0</v>
      </c>
      <c r="U763" s="135">
        <f ca="1">IF(R763&gt;0,S763*100/R763,0)</f>
        <v>0</v>
      </c>
    </row>
    <row r="764" spans="1:21" ht="18.75" hidden="1" x14ac:dyDescent="0.25">
      <c r="A764" s="259"/>
      <c r="B764" s="271"/>
      <c r="C764" s="305"/>
      <c r="D764" s="279"/>
      <c r="E764" s="573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79"/>
      <c r="E765" s="571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IFERROR(__xludf.DUMMYFUNCTION("IMPORTRANGE(""https://docs.google.com/spreadsheets/d/1ItG2mGa2ceCfYo0BwxsXqNm01IGEUdYcSSLTEv9YCik/edit?usp=sharing"",""เบิกจ่ายกองทุน!U54"")"),0)</f>
        <v>0</v>
      </c>
      <c r="R765" s="135">
        <f ca="1">IFERROR(__xludf.DUMMYFUNCTION("IMPORTRANGE(""https://docs.google.com/spreadsheets/d/1ItG2mGa2ceCfYo0BwxsXqNm01IGEUdYcSSLTEv9YCik/edit?usp=sharing"",""เบิกจ่ายกองทุน!V54"")"),0)</f>
        <v>0</v>
      </c>
      <c r="S765" s="135">
        <f ca="1">IFERROR(__xludf.DUMMYFUNCTION("IMPORTRANGE(""https://docs.google.com/spreadsheets/d/1ItG2mGa2ceCfYo0BwxsXqNm01IGEUdYcSSLTEv9YCik/edit?usp=sharing"",""เบิกจ่ายกองทุน!W54"")"),0)</f>
        <v>0</v>
      </c>
      <c r="T765" s="135">
        <f ca="1">IF(Q765&gt;0,S765*100/Q765,0)</f>
        <v>0</v>
      </c>
      <c r="U765" s="135">
        <f ca="1">IF(R765&gt;0,S765*100/R765,0)</f>
        <v>0</v>
      </c>
    </row>
    <row r="766" spans="1:21" ht="18.75" x14ac:dyDescent="0.25">
      <c r="A766" s="259"/>
      <c r="B766" s="271"/>
      <c r="C766" s="271"/>
      <c r="D766" s="900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1061">
        <f ca="1">IFERROR(__xludf.DUMMYFUNCTION("IMPORTRANGE(""https://docs.google.com/spreadsheets/d/1eHaY18a8A9IcSdp1K8H6x8fbOy06t2VsZHhMHf-1x7Y/edit?usp=sharing"",""แผน!FI54"")"),0)</f>
        <v>0</v>
      </c>
      <c r="J770" s="574">
        <v>0</v>
      </c>
      <c r="K770" s="136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604">
        <f ca="1">IFERROR(__xludf.DUMMYFUNCTION("IMPORTRANGE(""https://docs.google.com/spreadsheets/d/1eHaY18a8A9IcSdp1K8H6x8fbOy06t2VsZHhMHf-1x7Y/edit?usp=sharing"",""แผน!FQ54"")"),0)</f>
        <v>0</v>
      </c>
      <c r="J772" s="296">
        <v>0</v>
      </c>
      <c r="K772" s="135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604">
        <f ca="1">IFERROR(__xludf.DUMMYFUNCTION("IMPORTRANGE(""https://docs.google.com/spreadsheets/d/1eHaY18a8A9IcSdp1K8H6x8fbOy06t2VsZHhMHf-1x7Y/edit?usp=sharing"",""แผน!FR54"")"),0)</f>
        <v>0</v>
      </c>
      <c r="J774" s="296">
        <v>0</v>
      </c>
      <c r="K774" s="135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604">
        <f ca="1">IFERROR(__xludf.DUMMYFUNCTION("IMPORTRANGE(""https://docs.google.com/spreadsheets/d/1eHaY18a8A9IcSdp1K8H6x8fbOy06t2VsZHhMHf-1x7Y/edit?usp=sharing"",""แผน!FS54"")"),0)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613">
        <f ca="1">IFERROR(__xludf.DUMMYFUNCTION("IMPORTRANGE(""https://docs.google.com/spreadsheets/d/1eHaY18a8A9IcSdp1K8H6x8fbOy06t2VsZHhMHf-1x7Y/edit?usp=sharing"",""แผน!FT54"")"),0)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IFERROR(__xludf.DUMMYFUNCTION("IMPORTRANGE(""https://docs.google.com/spreadsheets/d/10OvvATaaLtwErnr3qtWFcTmtbfpFEt5Bsqel9sXx0uE/edit?usp=sharing"",""งานกองทุน!D54"")"),6633500)</f>
        <v>6633500</v>
      </c>
      <c r="J778" s="295">
        <f ca="1">IFERROR(__xludf.DUMMYFUNCTION("IMPORTRANGE(""https://docs.google.com/spreadsheets/d/10OvvATaaLtwErnr3qtWFcTmtbfpFEt5Bsqel9sXx0uE/edit?usp=sharing"",""งานกองทุน!F54"")"),3058935.16)</f>
        <v>3058935.16</v>
      </c>
      <c r="K778" s="77">
        <f ca="1">IF(I778&gt;0,J778*100/I778,0)</f>
        <v>46.113441772819776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IFERROR(__xludf.DUMMYFUNCTION("IMPORTRANGE(""https://docs.google.com/spreadsheets/d/10OvvATaaLtwErnr3qtWFcTmtbfpFEt5Bsqel9sXx0uE/edit?usp=sharing"",""งานกองทุน!C54"")"),327)</f>
        <v>327</v>
      </c>
      <c r="J779" s="295">
        <f ca="1">IFERROR(__xludf.DUMMYFUNCTION("IMPORTRANGE(""https://docs.google.com/spreadsheets/d/10OvvATaaLtwErnr3qtWFcTmtbfpFEt5Bsqel9sXx0uE/edit?usp=sharing"",""งานกองทุน!E54"")"),154)</f>
        <v>154</v>
      </c>
      <c r="K779" s="77">
        <f ca="1">IF(I779&gt;0,J779*100/I779,0)</f>
        <v>47.094801223241589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IFERROR(__xludf.DUMMYFUNCTION("IMPORTRANGE(""https://docs.google.com/spreadsheets/d/10OvvATaaLtwErnr3qtWFcTmtbfpFEt5Bsqel9sXx0uE/edit?usp=sharing"",""งานกองทุน!I54"")"),14675872.61)</f>
        <v>14675872.609999999</v>
      </c>
      <c r="J780" s="295">
        <f ca="1">IFERROR(__xludf.DUMMYFUNCTION("IMPORTRANGE(""https://docs.google.com/spreadsheets/d/10OvvATaaLtwErnr3qtWFcTmtbfpFEt5Bsqel9sXx0uE/edit?usp=sharing"",""งานกองทุน!K54"")"),443349.48)</f>
        <v>443349.48</v>
      </c>
      <c r="K780" s="77">
        <f ca="1">IF(I780&gt;0,J780*100/I780,0)</f>
        <v>3.0209411854522767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IFERROR(__xludf.DUMMYFUNCTION("IMPORTRANGE(""https://docs.google.com/spreadsheets/d/10OvvATaaLtwErnr3qtWFcTmtbfpFEt5Bsqel9sXx0uE/edit?usp=sharing"",""งานกองทุน!H54"")"),347)</f>
        <v>347</v>
      </c>
      <c r="J781" s="295">
        <f ca="1">IFERROR(__xludf.DUMMYFUNCTION("IMPORTRANGE(""https://docs.google.com/spreadsheets/d/10OvvATaaLtwErnr3qtWFcTmtbfpFEt5Bsqel9sXx0uE/edit?usp=sharing"",""งานกองทุน!J54"")"),94)</f>
        <v>94</v>
      </c>
      <c r="K781" s="77">
        <f ca="1">IF(I781&gt;0,J781*100/I781,0)</f>
        <v>27.089337175792508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IFERROR(__xludf.DUMMYFUNCTION("IMPORTRANGE(""https://docs.google.com/spreadsheets/d/10OvvATaaLtwErnr3qtWFcTmtbfpFEt5Bsqel9sXx0uE/edit?usp=sharing"",""งานกองทุน!N54"")"),656394.72)</f>
        <v>656394.72</v>
      </c>
      <c r="J782" s="295">
        <f ca="1">IFERROR(__xludf.DUMMYFUNCTION("IMPORTRANGE(""https://docs.google.com/spreadsheets/d/10OvvATaaLtwErnr3qtWFcTmtbfpFEt5Bsqel9sXx0uE/edit?usp=sharing"",""งานกองทุน!P54"")"),55053.68)</f>
        <v>55053.68</v>
      </c>
      <c r="K782" s="77">
        <f ca="1">IF(I782&gt;0,J782*100/I782,0)</f>
        <v>8.387282578994542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IFERROR(__xludf.DUMMYFUNCTION("IMPORTRANGE(""https://docs.google.com/spreadsheets/d/10OvvATaaLtwErnr3qtWFcTmtbfpFEt5Bsqel9sXx0uE/edit?usp=sharing"",""งานกองทุน!M54"")"),96)</f>
        <v>96</v>
      </c>
      <c r="J783" s="295">
        <f ca="1">IFERROR(__xludf.DUMMYFUNCTION("IMPORTRANGE(""https://docs.google.com/spreadsheets/d/10OvvATaaLtwErnr3qtWFcTmtbfpFEt5Bsqel9sXx0uE/edit?usp=sharing"",""งานกองทุน!O54"")"),6)</f>
        <v>6</v>
      </c>
      <c r="K783" s="77">
        <f ca="1">IF(I783&gt;0,J783*100/I783,0)</f>
        <v>6.25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IFERROR(__xludf.DUMMYFUNCTION("IMPORTRANGE(""https://docs.google.com/spreadsheets/d/10OvvATaaLtwErnr3qtWFcTmtbfpFEt5Bsqel9sXx0uE/edit?usp=sharing"",""งานกองทุน!S54"")"),6524000)</f>
        <v>6524000</v>
      </c>
      <c r="J784" s="295">
        <f ca="1">IFERROR(__xludf.DUMMYFUNCTION("IMPORTRANGE(""https://docs.google.com/spreadsheets/d/10OvvATaaLtwErnr3qtWFcTmtbfpFEt5Bsqel9sXx0uE/edit?usp=sharing"",""งานกองทุน!U54"")"),3150000)</f>
        <v>3150000</v>
      </c>
      <c r="K784" s="77">
        <f ca="1">IF(I784&gt;0,J784*100/I784,0)</f>
        <v>48.283261802575105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IFERROR(__xludf.DUMMYFUNCTION("IMPORTRANGE(""https://docs.google.com/spreadsheets/d/10OvvATaaLtwErnr3qtWFcTmtbfpFEt5Bsqel9sXx0uE/edit?usp=sharing"",""งานกองทุน!R54"")"),233)</f>
        <v>233</v>
      </c>
      <c r="J785" s="773">
        <f ca="1">IFERROR(__xludf.DUMMYFUNCTION("IMPORTRANGE(""https://docs.google.com/spreadsheets/d/10OvvATaaLtwErnr3qtWFcTmtbfpFEt5Bsqel9sXx0uE/edit?usp=sharing"",""งานกองทุน!T54"")"),123)</f>
        <v>123</v>
      </c>
      <c r="K785" s="185">
        <f ca="1">IF(I785&gt;0,J785*100/I785,0)</f>
        <v>52.789699570815451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FFD7-FF8C-48B2-B7EA-7852FAEB4E0D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340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1046">
        <f ca="1">L19+L20</f>
        <v>2447761</v>
      </c>
      <c r="M18" s="1045">
        <f ca="1">M19+M20</f>
        <v>2477305</v>
      </c>
      <c r="N18" s="1045">
        <f ca="1">N19+N20</f>
        <v>1743558.5400000003</v>
      </c>
      <c r="O18" s="1045">
        <f ca="1">IF(L18&gt;0,N18*100/L18,0)</f>
        <v>71.230750878047331</v>
      </c>
      <c r="P18" s="1045">
        <f ca="1">IF(M18&gt;0,N18*100/M18,0)</f>
        <v>70.381262702816173</v>
      </c>
      <c r="Q18" s="1045">
        <f ca="1">Q19+Q20</f>
        <v>2439684.2400000002</v>
      </c>
      <c r="R18" s="1045">
        <f ca="1">R19+R20</f>
        <v>2377184</v>
      </c>
      <c r="S18" s="1045">
        <f ca="1">S19+S20</f>
        <v>341378</v>
      </c>
      <c r="T18" s="1045">
        <f ca="1">IF(Q18&gt;0,S18*100/Q18,0)</f>
        <v>13.992712433966453</v>
      </c>
      <c r="U18" s="1045">
        <f ca="1">IF(R18&gt;0,S18*100/R18,0)</f>
        <v>14.360604816455099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1037">
        <f>L22+L25</f>
        <v>0</v>
      </c>
      <c r="M19" s="1036">
        <f>M22+M25</f>
        <v>0</v>
      </c>
      <c r="N19" s="1036">
        <f>N22+N25</f>
        <v>0</v>
      </c>
      <c r="O19" s="1036">
        <f>IF(L19&gt;0,N19*100/L19,0)</f>
        <v>0</v>
      </c>
      <c r="P19" s="1036">
        <f>IF(M19&gt;0,N19*100/M19,0)</f>
        <v>0</v>
      </c>
      <c r="Q19" s="1036">
        <f>Q22+Q25</f>
        <v>0</v>
      </c>
      <c r="R19" s="1036">
        <f>R22+R25</f>
        <v>0</v>
      </c>
      <c r="S19" s="1036">
        <f>S22+S25</f>
        <v>0</v>
      </c>
      <c r="T19" s="1036">
        <f>IF(Q19&gt;0,S19*100/Q19,0)</f>
        <v>0</v>
      </c>
      <c r="U19" s="103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1035">
        <f ca="1">L23+L26</f>
        <v>2447761</v>
      </c>
      <c r="M20" s="1034">
        <f ca="1">M23+M26</f>
        <v>2477305</v>
      </c>
      <c r="N20" s="1034">
        <f ca="1">N23+N26</f>
        <v>1743558.5400000003</v>
      </c>
      <c r="O20" s="1034">
        <f ca="1">IF(L20&gt;0,N20*100/L20,0)</f>
        <v>71.230750878047331</v>
      </c>
      <c r="P20" s="1034">
        <f ca="1">IF(M20&gt;0,N20*100/M20,0)</f>
        <v>70.381262702816173</v>
      </c>
      <c r="Q20" s="1034">
        <f ca="1">Q23+Q26</f>
        <v>2439684.2400000002</v>
      </c>
      <c r="R20" s="1034">
        <f ca="1">R23+R26</f>
        <v>2377184</v>
      </c>
      <c r="S20" s="1034">
        <f ca="1">S23+S26</f>
        <v>341378</v>
      </c>
      <c r="T20" s="1034">
        <f ca="1">IF(Q20&gt;0,S20*100/Q20,0)</f>
        <v>13.992712433966453</v>
      </c>
      <c r="U20" s="1034">
        <f ca="1">IF(R20&gt;0,S20*100/R20,0)</f>
        <v>14.360604816455099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2447761</v>
      </c>
      <c r="M21" s="135">
        <f ca="1">M22+M23</f>
        <v>2477305</v>
      </c>
      <c r="N21" s="135">
        <f ca="1">N22+N23</f>
        <v>1743558.5400000003</v>
      </c>
      <c r="O21" s="135">
        <f ca="1">IF(L21&gt;0,N21*100/L21,0)</f>
        <v>71.230750878047331</v>
      </c>
      <c r="P21" s="135">
        <f ca="1">IF(M21&gt;0,N21*100/M21,0)</f>
        <v>70.381262702816173</v>
      </c>
      <c r="Q21" s="135">
        <f ca="1">Q22+Q23</f>
        <v>2439684.2400000002</v>
      </c>
      <c r="R21" s="135">
        <f ca="1">R22+R23</f>
        <v>2377184</v>
      </c>
      <c r="S21" s="135">
        <f ca="1">S22+S23</f>
        <v>341378</v>
      </c>
      <c r="T21" s="135">
        <f ca="1">IF(Q21&gt;0,S21*100/Q21,0)</f>
        <v>13.992712433966453</v>
      </c>
      <c r="U21" s="135">
        <f ca="1">IF(R21&gt;0,S21*100/R21,0)</f>
        <v>14.360604816455099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2447761</v>
      </c>
      <c r="M23" s="135">
        <f ca="1">M49+M64+M77+M99+M130+M144+M162+M191+M178+M271+M287+M308+M325+M338+M361+M518</f>
        <v>2477305</v>
      </c>
      <c r="N23" s="135">
        <f ca="1">N49+N64+N77+N99+N130+N144+N162+N191+N178+N271+N287+N308+N325+N338+N361+N518</f>
        <v>1743558.5400000003</v>
      </c>
      <c r="O23" s="135">
        <f ca="1">IF(L23&gt;0,N23*100/L23,0)</f>
        <v>71.230750878047331</v>
      </c>
      <c r="P23" s="135">
        <f ca="1">IF(M23&gt;0,N23*100/M23,0)</f>
        <v>70.381262702816173</v>
      </c>
      <c r="Q23" s="135">
        <f ca="1">Q77+Q99+Q122+Q144+Q162+Q178+Q191+Q271+Q287+Q308+Q338+Q380+Q397+Q418+Q498+Q604+Q621+Q647+Q695+Q719+Q733+Q765</f>
        <v>2439684.2400000002</v>
      </c>
      <c r="R23" s="135">
        <f ca="1">R77+R99+R122+R144+R162+R178+R191+R271+R287+R308+R338+R380+R397+R418+R498+R604+R621+R647+R695+R719+R733+R765</f>
        <v>2377184</v>
      </c>
      <c r="S23" s="135">
        <f ca="1">S77+S99+S122+S144+S162+S178+S191+S271+S287+S308+S338+S380+S397+S418+S498+S604+S621+S647+S695+S719+S733+S765</f>
        <v>341378</v>
      </c>
      <c r="T23" s="135">
        <f ca="1">IF(Q23&gt;0,S23*100/Q23,0)</f>
        <v>13.992712433966453</v>
      </c>
      <c r="U23" s="135">
        <f ca="1">IF(R23&gt;0,S23*100/R23,0)</f>
        <v>14.360604816455099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0</v>
      </c>
      <c r="M24" s="135">
        <f ca="1">M25+M26</f>
        <v>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>Q25+Q26</f>
        <v>0</v>
      </c>
      <c r="R24" s="135">
        <f>R25+R26</f>
        <v>0</v>
      </c>
      <c r="S24" s="135">
        <f>S25+S26</f>
        <v>0</v>
      </c>
      <c r="T24" s="135">
        <f>IF(Q24&gt;0,S24*100/Q24,0)</f>
        <v>0</v>
      </c>
      <c r="U24" s="135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0</v>
      </c>
      <c r="M26" s="135">
        <f ca="1">M52+M67+M80+M102+M133+M147+M165+M194+M181+M274+M290+M311+M328+M341+M364+M521</f>
        <v>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>Q80+Q102+Q125+Q147+Q165+Q181+Q194+Q274+Q290+Q311+Q341+Q383+Q400+Q421+Q501+Q607+Q624+Q650+Q698+Q722+Q736+Q768</f>
        <v>0</v>
      </c>
      <c r="R26" s="136">
        <f>R80+R102+R125+R147+R165+R181+R194+R274+R290+R311+R341+R383+R400+R421+R501+R607+R624+R650+R698+R722+R736+R768</f>
        <v>0</v>
      </c>
      <c r="S26" s="136">
        <f>S80+S102+S125+S147+S165+S181+S194+S274+S290+S311+S341+S383+S400+S421+S501+S607+S624+S650+S698+S722+S736+S768</f>
        <v>0</v>
      </c>
      <c r="T26" s="135">
        <f>IF(Q26&gt;0,S26*100/Q26,0)</f>
        <v>0</v>
      </c>
      <c r="U26" s="135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021">
        <f ca="1">L44+L59+L72+L94+L125+L139+L157+L173+L186+L266+L282+L303+L320+L333+L356</f>
        <v>2447761</v>
      </c>
      <c r="M40" s="1020">
        <f ca="1">M44+M59+M72+M94+M125+M139+M157+M173+M186+M266+M282+M303+M320+M333+M356</f>
        <v>2477305</v>
      </c>
      <c r="N40" s="1020">
        <f ca="1">N44+N59+N72+N94+N125+N139+N157+N173+N186+N266+N282+N303+N320+N333+N356</f>
        <v>1743558.5400000003</v>
      </c>
      <c r="O40" s="1020">
        <f ca="1">IF(L40&gt;0,N40*100/L40,0)</f>
        <v>71.230750878047331</v>
      </c>
      <c r="P40" s="1020">
        <f ca="1">IF(M40&gt;0,N40*100/M40,0)</f>
        <v>70.381262702816173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013">
        <f ca="1">L45+L46</f>
        <v>366416</v>
      </c>
      <c r="M44" s="1012">
        <f ca="1">M45+M46</f>
        <v>390975</v>
      </c>
      <c r="N44" s="1012">
        <f ca="1">N45+N46</f>
        <v>360839.45</v>
      </c>
      <c r="O44" s="1012">
        <f ca="1">IF(L44&gt;0,N44*100/L44,0)</f>
        <v>98.478082288983018</v>
      </c>
      <c r="P44" s="1012">
        <f ca="1">IF(M44&gt;0,N44*100/M44,0)</f>
        <v>92.292205383975954</v>
      </c>
      <c r="Q44" s="1012">
        <f>Q45+Q46</f>
        <v>0</v>
      </c>
      <c r="R44" s="1012">
        <f>R45+R46</f>
        <v>0</v>
      </c>
      <c r="S44" s="1012">
        <f>S45+S46</f>
        <v>0</v>
      </c>
      <c r="T44" s="1012">
        <f>IF(Q44&gt;0,S44*100/Q44,0)</f>
        <v>0</v>
      </c>
      <c r="U44" s="1012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2">
        <f ca="1">L49+L52</f>
        <v>366416</v>
      </c>
      <c r="M46" s="133">
        <f ca="1">M49+M52</f>
        <v>390975</v>
      </c>
      <c r="N46" s="133">
        <f ca="1">N49+N52</f>
        <v>360839.45</v>
      </c>
      <c r="O46" s="133">
        <f ca="1">IF(L46&gt;0,N46*100/L46,0)</f>
        <v>98.478082288983018</v>
      </c>
      <c r="P46" s="133">
        <f ca="1">IF(M46&gt;0,N46*100/M46,0)</f>
        <v>92.292205383975954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366416</v>
      </c>
      <c r="M47" s="135">
        <f ca="1">M48+M49</f>
        <v>390975</v>
      </c>
      <c r="N47" s="135">
        <f ca="1">N48+N49</f>
        <v>360839.45</v>
      </c>
      <c r="O47" s="135">
        <f ca="1">IF(L47&gt;0,N47*100/L47,0)</f>
        <v>98.478082288983018</v>
      </c>
      <c r="P47" s="135">
        <f ca="1">IF(M47&gt;0,N47*100/M47,0)</f>
        <v>92.292205383975954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IFERROR(__xludf.DUMMYFUNCTION("IMPORTRANGE(""https://docs.google.com/spreadsheets/d/1-uDff_7J0KD5mKrp0Vvzr7lt3OU09vwQwhkpOPPYv2Y/edit?usp=sharing"",""งบพรบ!P55"")"),366416)</f>
        <v>366416</v>
      </c>
      <c r="M49" s="135">
        <f ca="1">IFERROR(__xludf.DUMMYFUNCTION("IMPORTRANGE(""https://docs.google.com/spreadsheets/d/1-uDff_7J0KD5mKrp0Vvzr7lt3OU09vwQwhkpOPPYv2Y/edit?usp=sharing"",""งบพรบ!V55"")"),390975)</f>
        <v>390975</v>
      </c>
      <c r="N49" s="135">
        <f ca="1">IFERROR(__xludf.DUMMYFUNCTION("IMPORTRANGE(""https://docs.google.com/spreadsheets/d/1-uDff_7J0KD5mKrp0Vvzr7lt3OU09vwQwhkpOPPYv2Y/edit?usp=sharing"",""งบพรบ!Y55"")"),360839.45)</f>
        <v>360839.45</v>
      </c>
      <c r="O49" s="135">
        <f ca="1">IF(L49&gt;0,N49*100/L49,0)</f>
        <v>98.478082288983018</v>
      </c>
      <c r="P49" s="135">
        <f ca="1">IF(M49&gt;0,N49*100/M49,0)</f>
        <v>92.292205383975954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IFERROR(__xludf.DUMMYFUNCTION("IMPORTRANGE(""https://docs.google.com/spreadsheets/d/1-uDff_7J0KD5mKrp0Vvzr7lt3OU09vwQwhkpOPPYv2Y/edit?usp=sharing"",""งบพรบ!S55"")"),0)</f>
        <v>0</v>
      </c>
      <c r="M52" s="135">
        <f ca="1">IFERROR(__xludf.DUMMYFUNCTION("IMPORTRANGE(""https://docs.google.com/spreadsheets/d/1-uDff_7J0KD5mKrp0Vvzr7lt3OU09vwQwhkpOPPYv2Y/edit?usp=sharing"",""งบพรบ!W55"")"),0)</f>
        <v>0</v>
      </c>
      <c r="N52" s="135">
        <f ca="1">IFERROR(__xludf.DUMMYFUNCTION("IMPORTRANGE(""https://docs.google.com/spreadsheets/d/1-uDff_7J0KD5mKrp0Vvzr7lt3OU09vwQwhkpOPPYv2Y/edit?usp=sharing"",""งบพรบ!Z55"")"),0)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68">
        <f ca="1">L60+L61</f>
        <v>627100</v>
      </c>
      <c r="M59" s="169">
        <f ca="1">M60+M61</f>
        <v>627100</v>
      </c>
      <c r="N59" s="169">
        <f ca="1">N60+N61</f>
        <v>534330.66</v>
      </c>
      <c r="O59" s="169">
        <f ca="1">IF(L59&gt;0,N59*100/L59,0)</f>
        <v>85.206611385743898</v>
      </c>
      <c r="P59" s="169">
        <f ca="1">IF(M59&gt;0,N59*100/M59,0)</f>
        <v>85.206611385743898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75">
        <f ca="1">L64+L67</f>
        <v>627100</v>
      </c>
      <c r="M61" s="176">
        <f ca="1">M64+M67</f>
        <v>627100</v>
      </c>
      <c r="N61" s="176">
        <f ca="1">N64+N67</f>
        <v>534330.66</v>
      </c>
      <c r="O61" s="176">
        <f ca="1">IF(L61&gt;0,N61*100/L61,0)</f>
        <v>85.206611385743898</v>
      </c>
      <c r="P61" s="176">
        <f ca="1">IF(M61&gt;0,N61*100/M61,0)</f>
        <v>85.206611385743898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627100</v>
      </c>
      <c r="M62" s="135">
        <f ca="1">M63+M64</f>
        <v>627100</v>
      </c>
      <c r="N62" s="135">
        <f ca="1">N63+N64</f>
        <v>534330.66</v>
      </c>
      <c r="O62" s="135">
        <f ca="1">IF(L62&gt;0,N62*100/L62,0)</f>
        <v>85.206611385743898</v>
      </c>
      <c r="P62" s="135">
        <f ca="1">IF(M62&gt;0,N62*100/M62,0)</f>
        <v>85.206611385743898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IFERROR(__xludf.DUMMYFUNCTION("IMPORTRANGE(""https://docs.google.com/spreadsheets/d/1-uDff_7J0KD5mKrp0Vvzr7lt3OU09vwQwhkpOPPYv2Y/edit?usp=sharing"",""งบพรบ!AC55"")"),627100)</f>
        <v>627100</v>
      </c>
      <c r="M64" s="135">
        <f ca="1">IFERROR(__xludf.DUMMYFUNCTION("IMPORTRANGE(""https://docs.google.com/spreadsheets/d/1-uDff_7J0KD5mKrp0Vvzr7lt3OU09vwQwhkpOPPYv2Y/edit?usp=sharing"",""งบพรบ!AH55"")"),627100)</f>
        <v>627100</v>
      </c>
      <c r="N64" s="135">
        <f ca="1">IFERROR(__xludf.DUMMYFUNCTION("IMPORTRANGE(""https://docs.google.com/spreadsheets/d/1-uDff_7J0KD5mKrp0Vvzr7lt3OU09vwQwhkpOPPYv2Y/edit?usp=sharing"",""งบพรบ!AJ55"")"),534330.66)</f>
        <v>534330.66</v>
      </c>
      <c r="O64" s="135">
        <f ca="1">IF(L64&gt;0,N64*100/L64,0)</f>
        <v>85.206611385743898</v>
      </c>
      <c r="P64" s="135">
        <f ca="1">IF(M64&gt;0,N64*100/M64,0)</f>
        <v>85.206611385743898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985">
        <f ca="1">IFERROR(__xludf.DUMMYFUNCTION("IMPORTRANGE(""https://docs.google.com/spreadsheets/d/1-uDff_7J0KD5mKrp0Vvzr7lt3OU09vwQwhkpOPPYv2Y/edit?usp=sharing"",""งบพรบ!AF55"")"),0)</f>
        <v>0</v>
      </c>
      <c r="M67" s="186">
        <f ca="1">IFERROR(__xludf.DUMMYFUNCTION("IMPORTRANGE(""https://docs.google.com/spreadsheets/d/1-uDff_7J0KD5mKrp0Vvzr7lt3OU09vwQwhkpOPPYv2Y/edit?usp=sharing"",""งบพรบ!AI55"")"),0)</f>
        <v>0</v>
      </c>
      <c r="N67" s="186">
        <f ca="1">IFERROR(__xludf.DUMMYFUNCTION("IMPORTRANGE(""https://docs.google.com/spreadsheets/d/1-uDff_7J0KD5mKrp0Vvzr7lt3OU09vwQwhkpOPPYv2Y/edit?usp=sharing"",""งบพรบ!AK55"")"),0)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IFERROR(__xludf.DUMMYFUNCTION("IMPORTRANGE(""https://docs.google.com/spreadsheets/d/1-uDff_7J0KD5mKrp0Vvzr7lt3OU09vwQwhkpOPPYv2Y/edit?usp=sharing"",""งบพรบ!AM55"")"),0)</f>
        <v>0</v>
      </c>
      <c r="M77" s="135">
        <f ca="1">IFERROR(__xludf.DUMMYFUNCTION("IMPORTRANGE(""https://docs.google.com/spreadsheets/d/1-uDff_7J0KD5mKrp0Vvzr7lt3OU09vwQwhkpOPPYv2Y/edit?usp=sharing"",""งบพรบ!AR55"")"),0)</f>
        <v>0</v>
      </c>
      <c r="N77" s="135">
        <f ca="1">IFERROR(__xludf.DUMMYFUNCTION("IMPORTRANGE(""https://docs.google.com/spreadsheets/d/1-uDff_7J0KD5mKrp0Vvzr7lt3OU09vwQwhkpOPPYv2Y/edit?usp=sharing"",""งบพรบ!AT55"")"),0)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IFERROR(__xludf.DUMMYFUNCTION("IMPORTRANGE(""https://docs.google.com/spreadsheets/d/1ItG2mGa2ceCfYo0BwxsXqNm01IGEUdYcSSLTEv9YCik/edit?usp=sharing"",""เบิกจ่ายกองทุน!AS55"")"),0)</f>
        <v>0</v>
      </c>
      <c r="R77" s="135">
        <f ca="1">IFERROR(__xludf.DUMMYFUNCTION("IMPORTRANGE(""https://docs.google.com/spreadsheets/d/1ItG2mGa2ceCfYo0BwxsXqNm01IGEUdYcSSLTEv9YCik/edit?usp=sharing"",""เบิกจ่ายกองทุน!AT55"")"),0)</f>
        <v>0</v>
      </c>
      <c r="S77" s="135">
        <f ca="1">IFERROR(__xludf.DUMMYFUNCTION("IMPORTRANGE(""https://docs.google.com/spreadsheets/d/1ItG2mGa2ceCfYo0BwxsXqNm01IGEUdYcSSLTEv9YCik/edit?usp=sharing"",""เบิกจ่ายกองทุน!AU55"")"),0)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>Q79+Q80</f>
        <v>0</v>
      </c>
      <c r="R78" s="135">
        <f>R79+R80</f>
        <v>0</v>
      </c>
      <c r="S78" s="135">
        <f>S79+S80</f>
        <v>0</v>
      </c>
      <c r="T78" s="135">
        <f>IF(Q78&gt;0,S78*100/Q78,0)</f>
        <v>0</v>
      </c>
      <c r="U78" s="135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IFERROR(__xludf.DUMMYFUNCTION("IMPORTRANGE(""https://docs.google.com/spreadsheets/d/1-uDff_7J0KD5mKrp0Vvzr7lt3OU09vwQwhkpOPPYv2Y/edit?usp=sharing"",""งบพรบ!AP55"")"),0)</f>
        <v>0</v>
      </c>
      <c r="M80" s="135">
        <f ca="1">IFERROR(__xludf.DUMMYFUNCTION("IMPORTRANGE(""https://docs.google.com/spreadsheets/d/1-uDff_7J0KD5mKrp0Vvzr7lt3OU09vwQwhkpOPPYv2Y/edit?usp=sharing"",""งบพรบ!AS55"")"),0)</f>
        <v>0</v>
      </c>
      <c r="N80" s="135">
        <f ca="1">IFERROR(__xludf.DUMMYFUNCTION("IMPORTRANGE(""https://docs.google.com/spreadsheets/d/1-uDff_7J0KD5mKrp0Vvzr7lt3OU09vwQwhkpOPPYv2Y/edit?usp=sharing"",""งบพรบ!AU55"")"),0)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v>0</v>
      </c>
      <c r="R80" s="77">
        <v>0</v>
      </c>
      <c r="S80" s="77">
        <v>0</v>
      </c>
      <c r="T80" s="135">
        <f>IF(Q80&gt;0,S80*100/Q80,0)</f>
        <v>0</v>
      </c>
      <c r="U80" s="135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IFERROR(__xludf.DUMMYFUNCTION("IMPORTRANGE(""https://docs.google.com/spreadsheets/d/1eHaY18a8A9IcSdp1K8H6x8fbOy06t2VsZHhMHf-1x7Y/edit?usp=sharing"",""แผน!H55"")"),0)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IFERROR(__xludf.DUMMYFUNCTION("IMPORTRANGE(""https://docs.google.com/spreadsheets/d/1eHaY18a8A9IcSdp1K8H6x8fbOy06t2VsZHhMHf-1x7Y/edit?usp=sharing"",""แผน!I55"")"),0)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IFERROR(__xludf.DUMMYFUNCTION("IMPORTRANGE(""https://docs.google.com/spreadsheets/d/1eHaY18a8A9IcSdp1K8H6x8fbOy06t2VsZHhMHf-1x7Y/edit?usp=sharing"",""แผน!F55"")"),0)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IFERROR(__xludf.DUMMYFUNCTION("IMPORTRANGE(""https://docs.google.com/spreadsheets/d/1eHaY18a8A9IcSdp1K8H6x8fbOy06t2VsZHhMHf-1x7Y/edit?usp=sharing"",""แผน!G55"")"),0)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IFERROR(__xludf.DUMMYFUNCTION("IMPORTRANGE(""https://docs.google.com/spreadsheets/d/1eHaY18a8A9IcSdp1K8H6x8fbOy06t2VsZHhMHf-1x7Y/edit?usp=sharing"",""แผน!D55"")"),0)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IFERROR(__xludf.DUMMYFUNCTION("IMPORTRANGE(""https://docs.google.com/spreadsheets/d/1eHaY18a8A9IcSdp1K8H6x8fbOy06t2VsZHhMHf-1x7Y/edit?usp=sharing"",""แผน!E55"")"),0)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IFERROR(__xludf.DUMMYFUNCTION("IMPORTRANGE(""https://docs.google.com/spreadsheets/d/1eHaY18a8A9IcSdp1K8H6x8fbOy06t2VsZHhMHf-1x7Y/edit?usp=sharing"",""แผน!J55"")"),0)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0</v>
      </c>
      <c r="R94" s="217">
        <f ca="1">R95+R96</f>
        <v>0</v>
      </c>
      <c r="S94" s="217">
        <f ca="1">S95+S96</f>
        <v>0</v>
      </c>
      <c r="T94" s="217">
        <f ca="1">IF(Q94&gt;0,S94*100/Q94,0)</f>
        <v>0</v>
      </c>
      <c r="U94" s="217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0</v>
      </c>
      <c r="R96" s="135">
        <f ca="1">R99+R102</f>
        <v>0</v>
      </c>
      <c r="S96" s="135">
        <f ca="1">S99+S102</f>
        <v>0</v>
      </c>
      <c r="T96" s="135">
        <f ca="1">IF(Q96&gt;0,S96*100/Q96,0)</f>
        <v>0</v>
      </c>
      <c r="U96" s="135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0</v>
      </c>
      <c r="R97" s="135">
        <f ca="1">R98+R99</f>
        <v>0</v>
      </c>
      <c r="S97" s="135">
        <f ca="1">S98+S99</f>
        <v>0</v>
      </c>
      <c r="T97" s="135">
        <f ca="1">IF(Q97&gt;0,S97*100/Q97,0)</f>
        <v>0</v>
      </c>
      <c r="U97" s="135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IFERROR(__xludf.DUMMYFUNCTION("IMPORTRANGE(""https://docs.google.com/spreadsheets/d/1-uDff_7J0KD5mKrp0Vvzr7lt3OU09vwQwhkpOPPYv2Y/edit?usp=sharing"",""งบพรบ!AW55"")"),0)</f>
        <v>0</v>
      </c>
      <c r="M99" s="135">
        <f ca="1">IFERROR(__xludf.DUMMYFUNCTION("IMPORTRANGE(""https://docs.google.com/spreadsheets/d/1-uDff_7J0KD5mKrp0Vvzr7lt3OU09vwQwhkpOPPYv2Y/edit?usp=sharing"",""งบพรบ!BB55"")"),0)</f>
        <v>0</v>
      </c>
      <c r="N99" s="135">
        <f ca="1">IFERROR(__xludf.DUMMYFUNCTION("IMPORTRANGE(""https://docs.google.com/spreadsheets/d/1-uDff_7J0KD5mKrp0Vvzr7lt3OU09vwQwhkpOPPYv2Y/edit?usp=sharing"",""งบพรบ!BD55"")"),0)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IFERROR(__xludf.DUMMYFUNCTION("IMPORTRANGE(""https://docs.google.com/spreadsheets/d/1ItG2mGa2ceCfYo0BwxsXqNm01IGEUdYcSSLTEv9YCik/edit?usp=sharing"",""เบิกจ่ายกองทุน!AD55"")"),0)</f>
        <v>0</v>
      </c>
      <c r="R99" s="135">
        <f ca="1">IFERROR(__xludf.DUMMYFUNCTION("IMPORTRANGE(""https://docs.google.com/spreadsheets/d/1ItG2mGa2ceCfYo0BwxsXqNm01IGEUdYcSSLTEv9YCik/edit?usp=sharing"",""เบิกจ่ายกองทุน!AE55"")"),0)</f>
        <v>0</v>
      </c>
      <c r="S99" s="135">
        <f ca="1">IFERROR(__xludf.DUMMYFUNCTION("IMPORTRANGE(""https://docs.google.com/spreadsheets/d/1ItG2mGa2ceCfYo0BwxsXqNm01IGEUdYcSSLTEv9YCik/edit?usp=sharing"",""เบิกจ่ายกองทุน!AF55"")"),0)</f>
        <v>0</v>
      </c>
      <c r="T99" s="135">
        <f ca="1">IF(Q99&gt;0,S99*100/Q99,0)</f>
        <v>0</v>
      </c>
      <c r="U99" s="135">
        <f ca="1">IF(R99&gt;0,S99*100/R99,0)</f>
        <v>0</v>
      </c>
    </row>
    <row r="100" spans="1:21" ht="18.75" hidden="1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IFERROR(__xludf.DUMMYFUNCTION("IMPORTRANGE(""https://docs.google.com/spreadsheets/d/1-uDff_7J0KD5mKrp0Vvzr7lt3OU09vwQwhkpOPPYv2Y/edit?usp=sharing"",""งบพรบ!AZ55"")"),0)</f>
        <v>0</v>
      </c>
      <c r="M102" s="135">
        <f ca="1">IFERROR(__xludf.DUMMYFUNCTION("IMPORTRANGE(""https://docs.google.com/spreadsheets/d/1-uDff_7J0KD5mKrp0Vvzr7lt3OU09vwQwhkpOPPYv2Y/edit?usp=sharing"",""งบพรบ!BC55"")"),0)</f>
        <v>0</v>
      </c>
      <c r="N102" s="135">
        <f ca="1">IFERROR(__xludf.DUMMYFUNCTION("IMPORTRANGE(""https://docs.google.com/spreadsheets/d/1-uDff_7J0KD5mKrp0Vvzr7lt3OU09vwQwhkpOPPYv2Y/edit?usp=sharing"",""งบพรบ!BE55"")"),0)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IFERROR(__xludf.DUMMYFUNCTION("IMPORTRANGE(""https://docs.google.com/spreadsheets/d/1eHaY18a8A9IcSdp1K8H6x8fbOy06t2VsZHhMHf-1x7Y/edit?usp=sharing"",""แผน!N55"")"),0)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IFERROR(__xludf.DUMMYFUNCTION("IMPORTRANGE(""https://docs.google.com/spreadsheets/d/1eHaY18a8A9IcSdp1K8H6x8fbOy06t2VsZHhMHf-1x7Y/edit?usp=sharing"",""แผน!O55"")"),0)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IFERROR(__xludf.DUMMYFUNCTION("IMPORTRANGE(""https://docs.google.com/spreadsheets/d/1eHaY18a8A9IcSdp1K8H6x8fbOy06t2VsZHhMHf-1x7Y/edit?usp=sharing"",""แผน!R55"")"),0)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339</v>
      </c>
      <c r="C116" s="303"/>
      <c r="D116" s="255"/>
      <c r="E116" s="254"/>
      <c r="F116" s="254"/>
      <c r="G116" s="254"/>
      <c r="H116" s="25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112180</v>
      </c>
      <c r="T117" s="217">
        <f ca="1">IF(Q117&gt;0,S117*100/Q117,0)</f>
        <v>53.582346197936566</v>
      </c>
      <c r="U117" s="217">
        <f ca="1">IF(R117&gt;0,S117*100/R117,0)</f>
        <v>53.582346197936566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112180</v>
      </c>
      <c r="T119" s="135">
        <f ca="1">IF(Q119&gt;0,S119*100/Q119,0)</f>
        <v>53.582346197936566</v>
      </c>
      <c r="U119" s="135">
        <f ca="1">IF(R119&gt;0,S119*100/R119,0)</f>
        <v>53.582346197936566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112180</v>
      </c>
      <c r="T120" s="135">
        <f ca="1">IF(Q120&gt;0,S120*100/Q120,0)</f>
        <v>53.582346197936566</v>
      </c>
      <c r="U120" s="135">
        <f ca="1">IF(R120&gt;0,S120*100/R120,0)</f>
        <v>53.582346197936566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IFERROR(__xludf.DUMMYFUNCTION("IMPORTRANGE(""https://docs.google.com/spreadsheets/d/1-uDff_7J0KD5mKrp0Vvzr7lt3OU09vwQwhkpOPPYv2Y/edit?usp=sharing"",""งบพรบ!BG55"")"),0)</f>
        <v>0</v>
      </c>
      <c r="M122" s="135">
        <f ca="1">IFERROR(__xludf.DUMMYFUNCTION("IMPORTRANGE(""https://docs.google.com/spreadsheets/d/1-uDff_7J0KD5mKrp0Vvzr7lt3OU09vwQwhkpOPPYv2Y/edit?usp=sharing"",""งบพรบ!BL55"")"),0)</f>
        <v>0</v>
      </c>
      <c r="N122" s="135">
        <f ca="1">IFERROR(__xludf.DUMMYFUNCTION("IMPORTRANGE(""https://docs.google.com/spreadsheets/d/1-uDff_7J0KD5mKrp0Vvzr7lt3OU09vwQwhkpOPPYv2Y/edit?usp=sharing"",""งบพรบ!BN55"")"),0)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IFERROR(__xludf.DUMMYFUNCTION("IMPORTRANGE(""https://docs.google.com/spreadsheets/d/1ItG2mGa2ceCfYo0BwxsXqNm01IGEUdYcSSLTEv9YCik/edit?usp=sharing"",""เบิกจ่ายกองทุน!R55"")"),209360)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IFERROR(__xludf.DUMMYFUNCTION("IMPORTRANGE(""https://docs.google.com/spreadsheets/d/1ItG2mGa2ceCfYo0BwxsXqNm01IGEUdYcSSLTEv9YCik/edit?usp=sharing"",""เบิกจ่ายกองทุน!S55"")"),209360)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IFERROR(__xludf.DUMMYFUNCTION("IMPORTRANGE(""https://docs.google.com/spreadsheets/d/1ItG2mGa2ceCfYo0BwxsXqNm01IGEUdYcSSLTEv9YCik/edit?usp=sharing"",""เบิกจ่ายกองทุน!T55"")"),112180)</f>
        <v>112180</v>
      </c>
      <c r="T122" s="135">
        <f ca="1">IF(Q122&gt;0,S122*100/Q122,0)</f>
        <v>53.582346197936566</v>
      </c>
      <c r="U122" s="135">
        <f ca="1">IF(R122&gt;0,S122*100/R122,0)</f>
        <v>53.582346197936566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>Q124+Q125</f>
        <v>0</v>
      </c>
      <c r="R123" s="135">
        <f>R124+R125</f>
        <v>0</v>
      </c>
      <c r="S123" s="135">
        <f>S124+S125</f>
        <v>0</v>
      </c>
      <c r="T123" s="135">
        <f>IF(Q123&gt;0,S123*100/Q123,0)</f>
        <v>0</v>
      </c>
      <c r="U123" s="135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IFERROR(__xludf.DUMMYFUNCTION("IMPORTRANGE(""https://docs.google.com/spreadsheets/d/1-uDff_7J0KD5mKrp0Vvzr7lt3OU09vwQwhkpOPPYv2Y/edit?usp=sharing"",""งบพรบ!BJ55"")"),0)</f>
        <v>0</v>
      </c>
      <c r="M125" s="135">
        <f ca="1">IFERROR(__xludf.DUMMYFUNCTION("IMPORTRANGE(""https://docs.google.com/spreadsheets/d/1-uDff_7J0KD5mKrp0Vvzr7lt3OU09vwQwhkpOPPYv2Y/edit?usp=sharing"",""งบพรบ!BM55"")"),0)</f>
        <v>0</v>
      </c>
      <c r="N125" s="135">
        <f ca="1">IFERROR(__xludf.DUMMYFUNCTION("IMPORTRANGE(""https://docs.google.com/spreadsheets/d/1-uDff_7J0KD5mKrp0Vvzr7lt3OU09vwQwhkpOPPYv2Y/edit?usp=sharing"",""งบพรบ!BO55"")"),0)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v>0</v>
      </c>
      <c r="R125" s="77">
        <v>0</v>
      </c>
      <c r="S125" s="77">
        <v>0</v>
      </c>
      <c r="T125" s="135">
        <f>IF(Q125&gt;0,S125*100/Q125,0)</f>
        <v>0</v>
      </c>
      <c r="U125" s="135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IFERROR(__xludf.DUMMYFUNCTION("IMPORTRANGE(""https://docs.google.com/spreadsheets/d/1eHaY18a8A9IcSdp1K8H6x8fbOy06t2VsZHhMHf-1x7Y/edit?usp=sharing"",""แผน!FF55"")"),20)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IFERROR(__xludf.DUMMYFUNCTION("IMPORTRANGE(""https://docs.google.com/spreadsheets/d/1eHaY18a8A9IcSdp1K8H6x8fbOy06t2VsZHhMHf-1x7Y/edit?usp=sharing"",""แผน!FG55"")"),0)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IFERROR(__xludf.DUMMYFUNCTION("IMPORTRANGE(""https://docs.google.com/spreadsheets/d/1eHaY18a8A9IcSdp1K8H6x8fbOy06t2VsZHhMHf-1x7Y/edit?usp=sharing"",""แผน!FH55"")"),20)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IFERROR(__xludf.DUMMYFUNCTION("IMPORTRANGE(""https://docs.google.com/spreadsheets/d/1eHaY18a8A9IcSdp1K8H6x8fbOy06t2VsZHhMHf-1x7Y/edit?usp=sharing"",""แผน!FI55"")"),0)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3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50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5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170500</v>
      </c>
      <c r="M139" s="217">
        <f ca="1">M140+M141</f>
        <v>165500</v>
      </c>
      <c r="N139" s="217">
        <f ca="1">N140+N141</f>
        <v>136007.35999999999</v>
      </c>
      <c r="O139" s="217">
        <f ca="1">IF(L139&gt;0,N139*100/L139,0)</f>
        <v>79.769712609970668</v>
      </c>
      <c r="P139" s="217">
        <f ca="1">IF(M139&gt;0,N139*100/M139,0)</f>
        <v>82.179673716012076</v>
      </c>
      <c r="Q139" s="217">
        <f ca="1">Q140+Q141</f>
        <v>0</v>
      </c>
      <c r="R139" s="217">
        <f ca="1">R140+R141</f>
        <v>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170500</v>
      </c>
      <c r="M141" s="135">
        <f ca="1">M144+M147</f>
        <v>165500</v>
      </c>
      <c r="N141" s="135">
        <f ca="1">N144+N147</f>
        <v>136007.35999999999</v>
      </c>
      <c r="O141" s="135">
        <f ca="1">IF(L141&gt;0,N141*100/L141,0)</f>
        <v>79.769712609970668</v>
      </c>
      <c r="P141" s="135">
        <f ca="1">IF(M141&gt;0,N141*100/M141,0)</f>
        <v>82.179673716012076</v>
      </c>
      <c r="Q141" s="135">
        <f ca="1">Q144+Q147</f>
        <v>0</v>
      </c>
      <c r="R141" s="135">
        <f ca="1">R144+R147</f>
        <v>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170500</v>
      </c>
      <c r="M142" s="135">
        <f ca="1">M143+M144</f>
        <v>165500</v>
      </c>
      <c r="N142" s="135">
        <f ca="1">N143+N144</f>
        <v>136007.35999999999</v>
      </c>
      <c r="O142" s="135">
        <f ca="1">IF(L142&gt;0,N142*100/L142,0)</f>
        <v>79.769712609970668</v>
      </c>
      <c r="P142" s="135">
        <f ca="1">IF(M142&gt;0,N142*100/M142,0)</f>
        <v>82.179673716012076</v>
      </c>
      <c r="Q142" s="135">
        <f ca="1">Q143+Q144</f>
        <v>0</v>
      </c>
      <c r="R142" s="135">
        <f ca="1">R143+R144</f>
        <v>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IFERROR(__xludf.DUMMYFUNCTION("IMPORTRANGE(""https://docs.google.com/spreadsheets/d/1-uDff_7J0KD5mKrp0Vvzr7lt3OU09vwQwhkpOPPYv2Y/edit?usp=sharing"",""งบพรบ!BQ55"")"),170500)</f>
        <v>170500</v>
      </c>
      <c r="M144" s="135">
        <f ca="1">IFERROR(__xludf.DUMMYFUNCTION("IMPORTRANGE(""https://docs.google.com/spreadsheets/d/1-uDff_7J0KD5mKrp0Vvzr7lt3OU09vwQwhkpOPPYv2Y/edit?usp=sharing"",""งบพรบ!BV55"")"),165500)</f>
        <v>165500</v>
      </c>
      <c r="N144" s="135">
        <f ca="1">IFERROR(__xludf.DUMMYFUNCTION("IMPORTRANGE(""https://docs.google.com/spreadsheets/d/1-uDff_7J0KD5mKrp0Vvzr7lt3OU09vwQwhkpOPPYv2Y/edit?usp=sharing"",""งบพรบ!BX55"")"),136007.36)</f>
        <v>136007.35999999999</v>
      </c>
      <c r="O144" s="135">
        <f ca="1">IF(L144&gt;0,N144*100/L144,0)</f>
        <v>79.769712609970668</v>
      </c>
      <c r="P144" s="135">
        <f ca="1">IF(M144&gt;0,N144*100/M144,0)</f>
        <v>82.179673716012076</v>
      </c>
      <c r="Q144" s="135">
        <f ca="1">IFERROR(__xludf.DUMMYFUNCTION("IMPORTRANGE(""https://docs.google.com/spreadsheets/d/1ItG2mGa2ceCfYo0BwxsXqNm01IGEUdYcSSLTEv9YCik/edit?usp=sharing"",""เบิกจ่ายกองทุน!BB55"")"),0)</f>
        <v>0</v>
      </c>
      <c r="R144" s="135">
        <f ca="1">IFERROR(__xludf.DUMMYFUNCTION("IMPORTRANGE(""https://docs.google.com/spreadsheets/d/1ItG2mGa2ceCfYo0BwxsXqNm01IGEUdYcSSLTEv9YCik/edit?usp=sharing"",""เบิกจ่ายกองทุน!BC55"")"),0)</f>
        <v>0</v>
      </c>
      <c r="S144" s="135">
        <f ca="1">IFERROR(__xludf.DUMMYFUNCTION("IMPORTRANGE(""https://docs.google.com/spreadsheets/d/1ItG2mGa2ceCfYo0BwxsXqNm01IGEUdYcSSLTEv9YCik/edit?usp=sharing"",""เบิกจ่ายกองทุน!BD55"")"),0)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>Q146+Q147</f>
        <v>0</v>
      </c>
      <c r="R145" s="135">
        <f>R146+R147</f>
        <v>0</v>
      </c>
      <c r="S145" s="135">
        <f>S146+S147</f>
        <v>0</v>
      </c>
      <c r="T145" s="135">
        <f>IF(Q145&gt;0,S145*100/Q145,0)</f>
        <v>0</v>
      </c>
      <c r="U145" s="135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IFERROR(__xludf.DUMMYFUNCTION("IMPORTRANGE(""https://docs.google.com/spreadsheets/d/1-uDff_7J0KD5mKrp0Vvzr7lt3OU09vwQwhkpOPPYv2Y/edit?usp=sharing"",""งบพรบ!BT55"")"),0)</f>
        <v>0</v>
      </c>
      <c r="M147" s="135">
        <f ca="1">IFERROR(__xludf.DUMMYFUNCTION("IMPORTRANGE(""https://docs.google.com/spreadsheets/d/1-uDff_7J0KD5mKrp0Vvzr7lt3OU09vwQwhkpOPPYv2Y/edit?usp=sharing"",""งบพรบ!BW55"")"),0)</f>
        <v>0</v>
      </c>
      <c r="N147" s="135">
        <f ca="1">IFERROR(__xludf.DUMMYFUNCTION("IMPORTRANGE(""https://docs.google.com/spreadsheets/d/1-uDff_7J0KD5mKrp0Vvzr7lt3OU09vwQwhkpOPPYv2Y/edit?usp=sharing"",""งบพรบ!BY55"")"),0)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v>0</v>
      </c>
      <c r="R147" s="77">
        <v>0</v>
      </c>
      <c r="S147" s="77">
        <v>0</v>
      </c>
      <c r="T147" s="135">
        <f>IF(Q147&gt;0,S147*100/Q147,0)</f>
        <v>0</v>
      </c>
      <c r="U147" s="135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IFERROR(__xludf.DUMMYFUNCTION("IMPORTRANGE(""https://docs.google.com/spreadsheets/d/1eHaY18a8A9IcSdp1K8H6x8fbOy06t2VsZHhMHf-1x7Y/edit?usp=sharing"",""แผน!U55"")"),30)</f>
        <v>30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IFERROR(__xludf.DUMMYFUNCTION("IMPORTRANGE(""https://docs.google.com/spreadsheets/d/1eHaY18a8A9IcSdp1K8H6x8fbOy06t2VsZHhMHf-1x7Y/edit?usp=sharing"",""แผน!V55"")"),3)</f>
        <v>3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IFERROR(__xludf.DUMMYFUNCTION("IMPORTRANGE(""https://docs.google.com/spreadsheets/d/1eHaY18a8A9IcSdp1K8H6x8fbOy06t2VsZHhMHf-1x7Y/edit?usp=sharing"",""แผน!W55"")"),50)</f>
        <v>50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IFERROR(__xludf.DUMMYFUNCTION("IMPORTRANGE(""https://docs.google.com/spreadsheets/d/1eHaY18a8A9IcSdp1K8H6x8fbOy06t2VsZHhMHf-1x7Y/edit?usp=sharing"",""แผน!X55"")"),5)</f>
        <v>5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IFERROR(__xludf.DUMMYFUNCTION("IMPORTRANGE(""https://docs.google.com/spreadsheets/d/1eHaY18a8A9IcSdp1K8H6x8fbOy06t2VsZHhMHf-1x7Y/edit?usp=sharing"",""แผน!Y55"")"),3)</f>
        <v>3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21</v>
      </c>
      <c r="K156" s="62">
        <f ca="1">IF(I156&gt;0,J156*100/I156,0)</f>
        <v>140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3000</v>
      </c>
      <c r="M157" s="217">
        <f ca="1">M158+M159</f>
        <v>6970</v>
      </c>
      <c r="N157" s="217">
        <f ca="1">N158+N159</f>
        <v>2250</v>
      </c>
      <c r="O157" s="217">
        <f ca="1">IF(L157&gt;0,N157*100/L157,0)</f>
        <v>75</v>
      </c>
      <c r="P157" s="217">
        <f ca="1">IF(M157&gt;0,N157*100/M157,0)</f>
        <v>32.281205164992826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3000</v>
      </c>
      <c r="M159" s="135">
        <f ca="1">M162+M165</f>
        <v>6970</v>
      </c>
      <c r="N159" s="135">
        <f ca="1">N162+N165</f>
        <v>2250</v>
      </c>
      <c r="O159" s="135">
        <f ca="1">IF(L159&gt;0,N159*100/L159,0)</f>
        <v>75</v>
      </c>
      <c r="P159" s="135">
        <f ca="1">IF(M159&gt;0,N159*100/M159,0)</f>
        <v>32.281205164992826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3000</v>
      </c>
      <c r="M160" s="135">
        <f ca="1">M161+M162</f>
        <v>6970</v>
      </c>
      <c r="N160" s="135">
        <f ca="1">N161+N162</f>
        <v>2250</v>
      </c>
      <c r="O160" s="135">
        <f ca="1">IF(L160&gt;0,N160*100/L160,0)</f>
        <v>75</v>
      </c>
      <c r="P160" s="135">
        <f ca="1">IF(M160&gt;0,N160*100/M160,0)</f>
        <v>32.281205164992826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IFERROR(__xludf.DUMMYFUNCTION("IMPORTRANGE(""https://docs.google.com/spreadsheets/d/1-uDff_7J0KD5mKrp0Vvzr7lt3OU09vwQwhkpOPPYv2Y/edit?usp=sharing"",""งบพรบ!CA55"")"),3000)</f>
        <v>3000</v>
      </c>
      <c r="M162" s="135">
        <f ca="1">IFERROR(__xludf.DUMMYFUNCTION("IMPORTRANGE(""https://docs.google.com/spreadsheets/d/1-uDff_7J0KD5mKrp0Vvzr7lt3OU09vwQwhkpOPPYv2Y/edit?usp=sharing"",""งบพรบ!CF55"")"),6970)</f>
        <v>6970</v>
      </c>
      <c r="N162" s="135">
        <f ca="1">IFERROR(__xludf.DUMMYFUNCTION("IMPORTRANGE(""https://docs.google.com/spreadsheets/d/1-uDff_7J0KD5mKrp0Vvzr7lt3OU09vwQwhkpOPPYv2Y/edit?usp=sharing"",""งบพรบ!CH55"")"),2250)</f>
        <v>2250</v>
      </c>
      <c r="O162" s="135">
        <f ca="1">IF(L162&gt;0,N162*100/L162,0)</f>
        <v>75</v>
      </c>
      <c r="P162" s="135">
        <f ca="1">IF(M162&gt;0,N162*100/M162,0)</f>
        <v>32.281205164992826</v>
      </c>
      <c r="Q162" s="135">
        <f ca="1">IFERROR(__xludf.DUMMYFUNCTION("IMPORTRANGE(""https://docs.google.com/spreadsheets/d/1ItG2mGa2ceCfYo0BwxsXqNm01IGEUdYcSSLTEv9YCik/edit?usp=sharing"",""เบิกจ่ายกองทุน!AG55"")"),0)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IFERROR(__xludf.DUMMYFUNCTION("IMPORTRANGE(""https://docs.google.com/spreadsheets/d/1ItG2mGa2ceCfYo0BwxsXqNm01IGEUdYcSSLTEv9YCik/edit?usp=sharing"",""เบิกจ่ายกองทุน!AH55"")"),0)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IFERROR(__xludf.DUMMYFUNCTION("IMPORTRANGE(""https://docs.google.com/spreadsheets/d/1ItG2mGa2ceCfYo0BwxsXqNm01IGEUdYcSSLTEv9YCik/edit?usp=sharing"",""เบิกจ่ายกองทุน!AI55"")"),0)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IFERROR(__xludf.DUMMYFUNCTION("IMPORTRANGE(""https://docs.google.com/spreadsheets/d/1-uDff_7J0KD5mKrp0Vvzr7lt3OU09vwQwhkpOPPYv2Y/edit?usp=sharing"",""งบพรบ!CD55"")"),0)</f>
        <v>0</v>
      </c>
      <c r="M165" s="135">
        <f ca="1">IFERROR(__xludf.DUMMYFUNCTION("IMPORTRANGE(""https://docs.google.com/spreadsheets/d/1-uDff_7J0KD5mKrp0Vvzr7lt3OU09vwQwhkpOPPYv2Y/edit?usp=sharing"",""งบพรบ!CG55"")"),0)</f>
        <v>0</v>
      </c>
      <c r="N165" s="135">
        <f ca="1">IFERROR(__xludf.DUMMYFUNCTION("IMPORTRANGE(""https://docs.google.com/spreadsheets/d/1-uDff_7J0KD5mKrp0Vvzr7lt3OU09vwQwhkpOPPYv2Y/edit?usp=sharing"",""งบพรบ!CI55"")"),0)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IFERROR(__xludf.DUMMYFUNCTION("IMPORTRANGE(""https://docs.google.com/spreadsheets/d/1eHaY18a8A9IcSdp1K8H6x8fbOy06t2VsZHhMHf-1x7Y/edit?usp=sharing"",""แผน!Z55"")"),15)</f>
        <v>15</v>
      </c>
      <c r="J167" s="296">
        <v>21</v>
      </c>
      <c r="K167" s="77">
        <f ca="1">IF(I167&gt;0,J167*100/I167,0)</f>
        <v>140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19590</v>
      </c>
      <c r="M173" s="217">
        <f ca="1">M174+M175</f>
        <v>29470</v>
      </c>
      <c r="N173" s="217">
        <f ca="1">N174+N175</f>
        <v>29470</v>
      </c>
      <c r="O173" s="217">
        <f ca="1">IF(L173&gt;0,N173*100/L173,0)</f>
        <v>150.43389484430833</v>
      </c>
      <c r="P173" s="217">
        <f ca="1">IF(M173&gt;0,N173*100/M173,0)</f>
        <v>100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19590</v>
      </c>
      <c r="M175" s="135">
        <f ca="1">M178+M181</f>
        <v>29470</v>
      </c>
      <c r="N175" s="135">
        <f ca="1">N178+N181</f>
        <v>29470</v>
      </c>
      <c r="O175" s="135">
        <f ca="1">IF(L175&gt;0,N175*100/L175,0)</f>
        <v>150.43389484430833</v>
      </c>
      <c r="P175" s="135">
        <f ca="1">IF(M175&gt;0,N175*100/M175,0)</f>
        <v>100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19590</v>
      </c>
      <c r="M176" s="135">
        <f ca="1">M177+M178</f>
        <v>29470</v>
      </c>
      <c r="N176" s="135">
        <f ca="1">N177+N178</f>
        <v>29470</v>
      </c>
      <c r="O176" s="135">
        <f ca="1">IF(L176&gt;0,N176*100/L176,0)</f>
        <v>150.43389484430833</v>
      </c>
      <c r="P176" s="135">
        <f ca="1">IF(M176&gt;0,N176*100/M176,0)</f>
        <v>100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IFERROR(__xludf.DUMMYFUNCTION("IMPORTRANGE(""https://docs.google.com/spreadsheets/d/1-uDff_7J0KD5mKrp0Vvzr7lt3OU09vwQwhkpOPPYv2Y/edit?usp=sharing"",""งบพรบ!CK55"")"),19590)</f>
        <v>19590</v>
      </c>
      <c r="M178" s="135">
        <f ca="1">IFERROR(__xludf.DUMMYFUNCTION("IMPORTRANGE(""https://docs.google.com/spreadsheets/d/1-uDff_7J0KD5mKrp0Vvzr7lt3OU09vwQwhkpOPPYv2Y/edit?usp=sharing"",""งบพรบ!CP55"")"),29470)</f>
        <v>29470</v>
      </c>
      <c r="N178" s="135">
        <f ca="1">IFERROR(__xludf.DUMMYFUNCTION("IMPORTRANGE(""https://docs.google.com/spreadsheets/d/1-uDff_7J0KD5mKrp0Vvzr7lt3OU09vwQwhkpOPPYv2Y/edit?usp=sharing"",""งบพรบ!CR55"")"),29470)</f>
        <v>29470</v>
      </c>
      <c r="O178" s="135">
        <f ca="1">IF(L178&gt;0,N178*100/L178,0)</f>
        <v>150.43389484430833</v>
      </c>
      <c r="P178" s="135">
        <f ca="1">IF(M178&gt;0,N178*100/M178,0)</f>
        <v>100</v>
      </c>
      <c r="Q178" s="135">
        <f ca="1">IFERROR(__xludf.DUMMYFUNCTION("IMPORTRANGE(""https://docs.google.com/spreadsheets/d/1ItG2mGa2ceCfYo0BwxsXqNm01IGEUdYcSSLTEv9YCik/edit?usp=sharing"",""เบิกจ่ายกองทุน!BE55"")"),0)</f>
        <v>0</v>
      </c>
      <c r="R178" s="135">
        <f ca="1">IFERROR(__xludf.DUMMYFUNCTION("IMPORTRANGE(""https://docs.google.com/spreadsheets/d/1ItG2mGa2ceCfYo0BwxsXqNm01IGEUdYcSSLTEv9YCik/edit?usp=sharing"",""เบิกจ่ายกองทุน!BF55"")"),0)</f>
        <v>0</v>
      </c>
      <c r="S178" s="135">
        <f ca="1">IFERROR(__xludf.DUMMYFUNCTION("IMPORTRANGE(""https://docs.google.com/spreadsheets/d/1ItG2mGa2ceCfYo0BwxsXqNm01IGEUdYcSSLTEv9YCik/edit?usp=sharing"",""เบิกจ่ายกองทุน!BG55"")"),0)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IFERROR(__xludf.DUMMYFUNCTION("IMPORTRANGE(""https://docs.google.com/spreadsheets/d/1-uDff_7J0KD5mKrp0Vvzr7lt3OU09vwQwhkpOPPYv2Y/edit?usp=sharing"",""งบพรบ!CN55"")"),0)</f>
        <v>0</v>
      </c>
      <c r="M181" s="135">
        <f ca="1">IFERROR(__xludf.DUMMYFUNCTION("IMPORTRANGE(""https://docs.google.com/spreadsheets/d/1-uDff_7J0KD5mKrp0Vvzr7lt3OU09vwQwhkpOPPYv2Y/edit?usp=sharing"",""งบพรบ!CQ55"")"),0)</f>
        <v>0</v>
      </c>
      <c r="N181" s="135">
        <f ca="1">IFERROR(__xludf.DUMMYFUNCTION("IMPORTRANGE(""https://docs.google.com/spreadsheets/d/1-uDff_7J0KD5mKrp0Vvzr7lt3OU09vwQwhkpOPPYv2Y/edit?usp=sharing"",""งบพรบ!CS55"")"),0)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IFERROR(__xludf.DUMMYFUNCTION("IMPORTRANGE(""https://docs.google.com/spreadsheets/d/1eHaY18a8A9IcSdp1K8H6x8fbOy06t2VsZHhMHf-1x7Y/edit?usp=sharing"",""แผน!AA55"")"),7)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40</v>
      </c>
      <c r="J185" s="1165">
        <f>J230+J231</f>
        <v>40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298000</v>
      </c>
      <c r="M186" s="217">
        <f ca="1">M187+M188</f>
        <v>260760</v>
      </c>
      <c r="N186" s="217">
        <f ca="1">N187+N188</f>
        <v>125227</v>
      </c>
      <c r="O186" s="217">
        <f ca="1">IF(L186&gt;0,N186*100/L186,0)</f>
        <v>42.022483221476513</v>
      </c>
      <c r="P186" s="217">
        <f ca="1">IF(M186&gt;0,N186*100/M186,0)</f>
        <v>48.023853351741067</v>
      </c>
      <c r="Q186" s="217">
        <f ca="1">Q187+Q188</f>
        <v>191100</v>
      </c>
      <c r="R186" s="217">
        <f ca="1">R187+R188</f>
        <v>191100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298000</v>
      </c>
      <c r="M188" s="135">
        <f ca="1">M191+M194</f>
        <v>260760</v>
      </c>
      <c r="N188" s="135">
        <f ca="1">N191+N194</f>
        <v>125227</v>
      </c>
      <c r="O188" s="135">
        <f ca="1">IF(L188&gt;0,N188*100/L188,0)</f>
        <v>42.022483221476513</v>
      </c>
      <c r="P188" s="135">
        <f ca="1">IF(M188&gt;0,N188*100/M188,0)</f>
        <v>48.023853351741067</v>
      </c>
      <c r="Q188" s="135">
        <f ca="1">Q191+Q194</f>
        <v>191100</v>
      </c>
      <c r="R188" s="135">
        <f ca="1">R191+R194</f>
        <v>191100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298000</v>
      </c>
      <c r="M189" s="135">
        <f ca="1">M190+M191</f>
        <v>260760</v>
      </c>
      <c r="N189" s="135">
        <f ca="1">N190+N191</f>
        <v>125227</v>
      </c>
      <c r="O189" s="135">
        <f ca="1">IF(L189&gt;0,N189*100/L189,0)</f>
        <v>42.022483221476513</v>
      </c>
      <c r="P189" s="135">
        <f ca="1">IF(M189&gt;0,N189*100/M189,0)</f>
        <v>48.023853351741067</v>
      </c>
      <c r="Q189" s="135">
        <f ca="1">Q190+Q191</f>
        <v>191100</v>
      </c>
      <c r="R189" s="135">
        <f ca="1">R190+R191</f>
        <v>191100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IFERROR(__xludf.DUMMYFUNCTION("IMPORTRANGE(""https://docs.google.com/spreadsheets/d/1-uDff_7J0KD5mKrp0Vvzr7lt3OU09vwQwhkpOPPYv2Y/edit?usp=sharing"",""งบพรบ!CU55"")"),298000)</f>
        <v>298000</v>
      </c>
      <c r="M191" s="135">
        <f ca="1">IFERROR(__xludf.DUMMYFUNCTION("IMPORTRANGE(""https://docs.google.com/spreadsheets/d/1-uDff_7J0KD5mKrp0Vvzr7lt3OU09vwQwhkpOPPYv2Y/edit?usp=sharing"",""งบพรบ!CZ55"")"),260760)</f>
        <v>260760</v>
      </c>
      <c r="N191" s="135">
        <f ca="1">IFERROR(__xludf.DUMMYFUNCTION("IMPORTRANGE(""https://docs.google.com/spreadsheets/d/1-uDff_7J0KD5mKrp0Vvzr7lt3OU09vwQwhkpOPPYv2Y/edit?usp=sharing"",""งบพรบ!DB55"")"),125227)</f>
        <v>125227</v>
      </c>
      <c r="O191" s="135">
        <f ca="1">IF(L191&gt;0,N191*100/L191,0)</f>
        <v>42.022483221476513</v>
      </c>
      <c r="P191" s="135">
        <f ca="1">IF(M191&gt;0,N191*100/M191,0)</f>
        <v>48.023853351741067</v>
      </c>
      <c r="Q191" s="135">
        <f ca="1">IFERROR(__xludf.DUMMYFUNCTION("IMPORTRANGE(""https://docs.google.com/spreadsheets/d/1ItG2mGa2ceCfYo0BwxsXqNm01IGEUdYcSSLTEv9YCik/edit?usp=sharing"",""เบิกจ่ายกองทุน!AV55"")"),191100)</f>
        <v>191100</v>
      </c>
      <c r="R191" s="135">
        <f ca="1">IFERROR(__xludf.DUMMYFUNCTION("IMPORTRANGE(""https://docs.google.com/spreadsheets/d/1ItG2mGa2ceCfYo0BwxsXqNm01IGEUdYcSSLTEv9YCik/edit?usp=sharing"",""เบิกจ่ายกองทุน!AW55"")"),191100)</f>
        <v>191100</v>
      </c>
      <c r="S191" s="135">
        <f ca="1">IFERROR(__xludf.DUMMYFUNCTION("IMPORTRANGE(""https://docs.google.com/spreadsheets/d/1ItG2mGa2ceCfYo0BwxsXqNm01IGEUdYcSSLTEv9YCik/edit?usp=sharing"",""เบิกจ่ายกองทุน!AX55"")"),0)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>Q193+Q194</f>
        <v>0</v>
      </c>
      <c r="R192" s="135">
        <f>R193+R194</f>
        <v>0</v>
      </c>
      <c r="S192" s="135">
        <f>S193+S194</f>
        <v>0</v>
      </c>
      <c r="T192" s="135">
        <f>IF(Q192&gt;0,S192*100/Q192,0)</f>
        <v>0</v>
      </c>
      <c r="U192" s="135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IFERROR(__xludf.DUMMYFUNCTION("IMPORTRANGE(""https://docs.google.com/spreadsheets/d/1-uDff_7J0KD5mKrp0Vvzr7lt3OU09vwQwhkpOPPYv2Y/edit?usp=sharing"",""งบพรบ!CX55"")"),0)</f>
        <v>0</v>
      </c>
      <c r="M194" s="135">
        <f ca="1">IFERROR(__xludf.DUMMYFUNCTION("IMPORTRANGE(""https://docs.google.com/spreadsheets/d/1-uDff_7J0KD5mKrp0Vvzr7lt3OU09vwQwhkpOPPYv2Y/edit?usp=sharing"",""งบพรบ!DA55"")"),0)</f>
        <v>0</v>
      </c>
      <c r="N194" s="135">
        <f ca="1">IFERROR(__xludf.DUMMYFUNCTION("IMPORTRANGE(""https://docs.google.com/spreadsheets/d/1-uDff_7J0KD5mKrp0Vvzr7lt3OU09vwQwhkpOPPYv2Y/edit?usp=sharing"",""งบพรบ!DC55"")"),0)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v>0</v>
      </c>
      <c r="R194" s="77">
        <v>0</v>
      </c>
      <c r="S194" s="77">
        <v>0</v>
      </c>
      <c r="T194" s="135">
        <f>IF(Q194&gt;0,S194*100/Q194,0)</f>
        <v>0</v>
      </c>
      <c r="U194" s="135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IFERROR(__xludf.DUMMYFUNCTION("IMPORTRANGE(""https://docs.google.com/spreadsheets/d/1eHaY18a8A9IcSdp1K8H6x8fbOy06t2VsZHhMHf-1x7Y/edit?usp=sharing"",""แผน!AB55"")"),6000)</f>
        <v>6000</v>
      </c>
      <c r="M196" s="90"/>
      <c r="N196" s="959">
        <v>3800</v>
      </c>
      <c r="O196" s="217">
        <f ca="1">IF(L196&gt;0,N196*100/L196,0)</f>
        <v>63.333333333333336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IFERROR(__xludf.DUMMYFUNCTION("IMPORTRANGE(""https://docs.google.com/spreadsheets/d/1eHaY18a8A9IcSdp1K8H6x8fbOy06t2VsZHhMHf-1x7Y/edit?usp=sharing"",""แผน!AE55"")"),4)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240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240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216">
        <f ca="1">L204+L205+L206+L207</f>
        <v>15000</v>
      </c>
      <c r="M203" s="90"/>
      <c r="N203" s="217">
        <f>N204+N205+N206+N207</f>
        <v>720</v>
      </c>
      <c r="O203" s="217">
        <f ca="1">IF(L203&gt;0,N203*100/L203,0)</f>
        <v>4.8</v>
      </c>
      <c r="P203" s="217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IFERROR(__xludf.DUMMYFUNCTION("IMPORTRANGE(""https://docs.google.com/spreadsheets/d/1eHaY18a8A9IcSdp1K8H6x8fbOy06t2VsZHhMHf-1x7Y/edit?usp=sharing"",""แผน!AG55"")"),2000)</f>
        <v>2000</v>
      </c>
      <c r="M204" s="90"/>
      <c r="N204" s="391">
        <v>720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IFERROR(__xludf.DUMMYFUNCTION("IMPORTRANGE(""https://docs.google.com/spreadsheets/d/1eHaY18a8A9IcSdp1K8H6x8fbOy06t2VsZHhMHf-1x7Y/edit?usp=sharing"",""แผน!AH55"")"),0)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>
        <f ca="1">IFERROR(__xludf.DUMMYFUNCTION("IMPORTRANGE(""https://docs.google.com/spreadsheets/d/1eHaY18a8A9IcSdp1K8H6x8fbOy06t2VsZHhMHf-1x7Y/edit?usp=sharing"",""แผน!AI55"")"),0)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IFERROR(__xludf.DUMMYFUNCTION("IMPORTRANGE(""https://docs.google.com/spreadsheets/d/1eHaY18a8A9IcSdp1K8H6x8fbOy06t2VsZHhMHf-1x7Y/edit?usp=sharing"",""แผน!LV55"")"),42000)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IFERROR(__xludf.DUMMYFUNCTION("IMPORTRANGE(""https://docs.google.com/spreadsheets/d/1eHaY18a8A9IcSdp1K8H6x8fbOy06t2VsZHhMHf-1x7Y/edit?usp=sharing"",""แผน!AJ55"")"),13000)</f>
        <v>13000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IFERROR(__xludf.DUMMYFUNCTION("IMPORTRANGE(""https://docs.google.com/spreadsheets/d/1eHaY18a8A9IcSdp1K8H6x8fbOy06t2VsZHhMHf-1x7Y/edit?usp=sharing"",""แผน!AK55"")"),3)</f>
        <v>3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IFERROR(__xludf.DUMMYFUNCTION("IMPORTRANGE(""https://docs.google.com/spreadsheets/d/1eHaY18a8A9IcSdp1K8H6x8fbOy06t2VsZHhMHf-1x7Y/edit?usp=sharing"",""แผน!JX55"")"),2)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IFERROR(__xludf.DUMMYFUNCTION("IMPORTRANGE(""https://docs.google.com/spreadsheets/d/1eHaY18a8A9IcSdp1K8H6x8fbOy06t2VsZHhMHf-1x7Y/edit?usp=sharing"",""แผน!JY55"")"),1)</f>
        <v>1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3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216">
        <f ca="1">L215+L216+L217</f>
        <v>18000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149100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IFERROR(__xludf.DUMMYFUNCTION("IMPORTRANGE(""https://docs.google.com/spreadsheets/d/1eHaY18a8A9IcSdp1K8H6x8fbOy06t2VsZHhMHf-1x7Y/edit?usp=sharing"",""แผน!AM55"")"),3000)</f>
        <v>3000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IFERROR(__xludf.DUMMYFUNCTION("IMPORTRANGE(""https://docs.google.com/spreadsheets/d/1eHaY18a8A9IcSdp1K8H6x8fbOy06t2VsZHhMHf-1x7Y/edit?usp=sharing"",""แผน!AN55"")"),15000)</f>
        <v>15000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IFERROR(__xludf.DUMMYFUNCTION("IMPORTRANGE(""https://docs.google.com/spreadsheets/d/1eHaY18a8A9IcSdp1K8H6x8fbOy06t2VsZHhMHf-1x7Y/edit?usp=sharing"",""แผน!AO55"")"),0)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IFERROR(__xludf.DUMMYFUNCTION("IMPORTRANGE(""https://docs.google.com/spreadsheets/d/1eHaY18a8A9IcSdp1K8H6x8fbOy06t2VsZHhMHf-1x7Y/edit?usp=sharing"",""แผน!LY55"")"),149100)</f>
        <v>149100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IFERROR(__xludf.DUMMYFUNCTION("IMPORTRANGE(""https://docs.google.com/spreadsheets/d/1eHaY18a8A9IcSdp1K8H6x8fbOy06t2VsZHhMHf-1x7Y/edit?usp=sharing"",""แผน!AP55"")"),3)</f>
        <v>3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IFERROR(__xludf.DUMMYFUNCTION("IMPORTRANGE(""https://docs.google.com/spreadsheets/d/1eHaY18a8A9IcSdp1K8H6x8fbOy06t2VsZHhMHf-1x7Y/edit?usp=sharing"",""แผน!AP55"")"),3)</f>
        <v>3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40000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216">
        <f ca="1">L223+L224+L225</f>
        <v>6500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IFERROR(__xludf.DUMMYFUNCTION("IMPORTRANGE(""https://docs.google.com/spreadsheets/d/1eHaY18a8A9IcSdp1K8H6x8fbOy06t2VsZHhMHf-1x7Y/edit?usp=sharing"",""แผน!AR55"")"),2500)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IFERROR(__xludf.DUMMYFUNCTION("IMPORTRANGE(""https://docs.google.com/spreadsheets/d/1eHaY18a8A9IcSdp1K8H6x8fbOy06t2VsZHhMHf-1x7Y/edit?usp=sharing"",""แผน!AS55"")"),4000)</f>
        <v>4000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IFERROR(__xludf.DUMMYFUNCTION("IMPORTRANGE(""https://docs.google.com/spreadsheets/d/1eHaY18a8A9IcSdp1K8H6x8fbOy06t2VsZHhMHf-1x7Y/edit?usp=sharing"",""แผน!AT55"")"),0)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IFERROR(__xludf.DUMMYFUNCTION("IMPORTRANGE(""https://docs.google.com/spreadsheets/d/1eHaY18a8A9IcSdp1K8H6x8fbOy06t2VsZHhMHf-1x7Y/edit?usp=sharing"",""แผน!AV55"")"),40000)</f>
        <v>40000</v>
      </c>
      <c r="J228" s="296">
        <v>40000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IFERROR(__xludf.DUMMYFUNCTION("IMPORTRANGE(""https://docs.google.com/spreadsheets/d/1eHaY18a8A9IcSdp1K8H6x8fbOy06t2VsZHhMHf-1x7Y/edit?usp=sharing"",""แผน!AV55"")"),40000)</f>
        <v>40000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IFERROR(__xludf.DUMMYFUNCTION("IMPORTRANGE(""https://docs.google.com/spreadsheets/d/1eHaY18a8A9IcSdp1K8H6x8fbOy06t2VsZHhMHf-1x7Y/edit?usp=sharing"",""แผน!AU55"")"),0)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40</v>
      </c>
      <c r="J231" s="943">
        <f>J242+J253</f>
        <v>40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955">
        <f ca="1">L243+L254</f>
        <v>121500</v>
      </c>
      <c r="M232" s="90"/>
      <c r="N232" s="954">
        <f>N243+N254</f>
        <v>57895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2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219">
        <f ca="1">L244+L255</f>
        <v>22000</v>
      </c>
      <c r="M233" s="90"/>
      <c r="N233" s="136">
        <f>N244+N255</f>
        <v>7860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219">
        <f ca="1">L245+L256</f>
        <v>0</v>
      </c>
      <c r="M234" s="90"/>
      <c r="N234" s="136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219">
        <f ca="1">L246+L257</f>
        <v>55500</v>
      </c>
      <c r="M235" s="90"/>
      <c r="N235" s="136">
        <f>N246+N257</f>
        <v>50035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219">
        <f ca="1">L247+L258</f>
        <v>44000</v>
      </c>
      <c r="M236" s="90"/>
      <c r="N236" s="136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40</v>
      </c>
      <c r="J238" s="574">
        <f>J249+J260</f>
        <v>40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40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2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156" t="s">
        <v>338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20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53800</v>
      </c>
      <c r="M243" s="90"/>
      <c r="N243" s="217">
        <f>N244+N245+N246+N247</f>
        <v>23825</v>
      </c>
      <c r="O243" s="217">
        <f ca="1">IF(L243&gt;0,N243*100/L243,0)</f>
        <v>44.284386617100374</v>
      </c>
      <c r="P243" s="217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IFERROR(__xludf.DUMMYFUNCTION("IMPORTRANGE(""https://docs.google.com/spreadsheets/d/1eHaY18a8A9IcSdp1K8H6x8fbOy06t2VsZHhMHf-1x7Y/edit?usp=sharing"",""แผน!AX55"")"),11000)</f>
        <v>11000</v>
      </c>
      <c r="M244" s="90"/>
      <c r="N244" s="391">
        <v>3430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87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IFERROR(__xludf.DUMMYFUNCTION("IMPORTRANGE(""https://docs.google.com/spreadsheets/d/1eHaY18a8A9IcSdp1K8H6x8fbOy06t2VsZHhMHf-1x7Y/edit?usp=sharing"",""แผน!AY55"")"),0)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IFERROR(__xludf.DUMMYFUNCTION("IMPORTRANGE(""https://docs.google.com/spreadsheets/d/1eHaY18a8A9IcSdp1K8H6x8fbOy06t2VsZHhMHf-1x7Y/edit?usp=sharing"",""แผน!AZ55"")"),23800)</f>
        <v>23800</v>
      </c>
      <c r="M246" s="90"/>
      <c r="N246" s="391">
        <v>20395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IFERROR(__xludf.DUMMYFUNCTION("IMPORTRANGE(""https://docs.google.com/spreadsheets/d/1eHaY18a8A9IcSdp1K8H6x8fbOy06t2VsZHhMHf-1x7Y/edit?usp=sharing"",""แผน!BA55"")"),19000)</f>
        <v>19000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IFERROR(__xludf.DUMMYFUNCTION("IMPORTRANGE(""https://docs.google.com/spreadsheets/d/1eHaY18a8A9IcSdp1K8H6x8fbOy06t2VsZHhMHf-1x7Y/edit?usp=sharing"",""แผน!BG55"")"),20)</f>
        <v>20</v>
      </c>
      <c r="J249" s="816">
        <v>20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275" t="s">
        <v>337</v>
      </c>
      <c r="F251" s="765"/>
      <c r="G251" s="767"/>
      <c r="H251" s="768" t="s">
        <v>35</v>
      </c>
      <c r="I251" s="241">
        <f ca="1">IFERROR(__xludf.DUMMYFUNCTION("IMPORTRANGE(""https://docs.google.com/spreadsheets/d/1eHaY18a8A9IcSdp1K8H6x8fbOy06t2VsZHhMHf-1x7Y/edit?usp=sharing"",""แผน!KB55"")"),20)</f>
        <v>20</v>
      </c>
      <c r="J251" s="816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7" t="s">
        <v>336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IFERROR(__xludf.DUMMYFUNCTION("IMPORTRANGE(""https://docs.google.com/spreadsheets/d/1eHaY18a8A9IcSdp1K8H6x8fbOy06t2VsZHhMHf-1x7Y/edit?usp=sharing"",""แผน!KC55"")"),1)</f>
        <v>1</v>
      </c>
      <c r="J252" s="816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x14ac:dyDescent="0.3">
      <c r="A253" s="372"/>
      <c r="B253" s="373"/>
      <c r="C253" s="1156" t="s">
        <v>335</v>
      </c>
      <c r="D253" s="375"/>
      <c r="E253" s="375"/>
      <c r="F253" s="375"/>
      <c r="G253" s="376"/>
      <c r="H253" s="377" t="s">
        <v>35</v>
      </c>
      <c r="I253" s="378">
        <f ca="1">I260</f>
        <v>20</v>
      </c>
      <c r="J253" s="378">
        <f>J260</f>
        <v>20</v>
      </c>
      <c r="K253" s="379">
        <f ca="1">IF(I253&gt;0,J253*100/I253,0)</f>
        <v>100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x14ac:dyDescent="0.3">
      <c r="A254" s="211"/>
      <c r="B254" s="371"/>
      <c r="C254" s="394" t="s">
        <v>18</v>
      </c>
      <c r="D254" s="958" t="s">
        <v>19</v>
      </c>
      <c r="E254" s="70"/>
      <c r="F254" s="70"/>
      <c r="G254" s="72"/>
      <c r="H254" s="384" t="s">
        <v>14</v>
      </c>
      <c r="I254" s="221"/>
      <c r="J254" s="221"/>
      <c r="K254" s="222"/>
      <c r="L254" s="216">
        <f ca="1">L255+L256+L257+L258</f>
        <v>67700</v>
      </c>
      <c r="M254" s="90"/>
      <c r="N254" s="217">
        <f>N255+N256+N257+N258</f>
        <v>34070</v>
      </c>
      <c r="O254" s="217">
        <f ca="1">IF(L254&gt;0,N254*100/L254,0)</f>
        <v>50.324963072378139</v>
      </c>
      <c r="P254" s="217">
        <f>IF(M254&gt;0,N254*100/M254,0)</f>
        <v>0</v>
      </c>
      <c r="Q254" s="90"/>
      <c r="R254" s="90"/>
      <c r="S254" s="90"/>
      <c r="T254" s="90"/>
      <c r="U254" s="90"/>
    </row>
    <row r="255" spans="1:21" ht="18.75" x14ac:dyDescent="0.25">
      <c r="A255" s="211"/>
      <c r="B255" s="371"/>
      <c r="C255" s="371"/>
      <c r="D255" s="1154" t="s">
        <v>316</v>
      </c>
      <c r="E255" s="70"/>
      <c r="F255" s="70"/>
      <c r="G255" s="72"/>
      <c r="H255" s="220" t="s">
        <v>14</v>
      </c>
      <c r="I255" s="221"/>
      <c r="J255" s="221"/>
      <c r="K255" s="222"/>
      <c r="L255" s="134">
        <f ca="1">IFERROR(__xludf.DUMMYFUNCTION("IMPORTRANGE(""https://docs.google.com/spreadsheets/d/1eHaY18a8A9IcSdp1K8H6x8fbOy06t2VsZHhMHf-1x7Y/edit?usp=sharing"",""แผน!BB55"")"),11000)</f>
        <v>11000</v>
      </c>
      <c r="M255" s="90"/>
      <c r="N255" s="391">
        <v>4430</v>
      </c>
      <c r="O255" s="90"/>
      <c r="P255" s="90"/>
      <c r="Q255" s="90"/>
      <c r="R255" s="90"/>
      <c r="S255" s="90"/>
      <c r="T255" s="90"/>
      <c r="U255" s="90"/>
    </row>
    <row r="256" spans="1:21" ht="18.75" x14ac:dyDescent="0.25">
      <c r="A256" s="368"/>
      <c r="B256" s="371"/>
      <c r="C256" s="371"/>
      <c r="D256" s="571" t="s">
        <v>87</v>
      </c>
      <c r="E256" s="70"/>
      <c r="F256" s="70"/>
      <c r="G256" s="72"/>
      <c r="H256" s="220" t="s">
        <v>14</v>
      </c>
      <c r="I256" s="74"/>
      <c r="J256" s="74"/>
      <c r="K256" s="75"/>
      <c r="L256" s="134">
        <f ca="1">IFERROR(__xludf.DUMMYFUNCTION("IMPORTRANGE(""https://docs.google.com/spreadsheets/d/1eHaY18a8A9IcSdp1K8H6x8fbOy06t2VsZHhMHf-1x7Y/edit?usp=sharing"",""แผน!BC55"")"),0)</f>
        <v>0</v>
      </c>
      <c r="M256" s="90"/>
      <c r="N256" s="391"/>
      <c r="O256" s="90"/>
      <c r="P256" s="90"/>
      <c r="Q256" s="90"/>
      <c r="R256" s="90"/>
      <c r="S256" s="90"/>
      <c r="T256" s="90"/>
      <c r="U256" s="90"/>
    </row>
    <row r="257" spans="1:21" ht="18.75" x14ac:dyDescent="0.25">
      <c r="A257" s="368"/>
      <c r="B257" s="371"/>
      <c r="C257" s="371"/>
      <c r="D257" s="571" t="s">
        <v>88</v>
      </c>
      <c r="E257" s="70"/>
      <c r="F257" s="70"/>
      <c r="G257" s="72"/>
      <c r="H257" s="220" t="s">
        <v>14</v>
      </c>
      <c r="I257" s="74"/>
      <c r="J257" s="74"/>
      <c r="K257" s="75"/>
      <c r="L257" s="134">
        <f ca="1">IFERROR(__xludf.DUMMYFUNCTION("IMPORTRANGE(""https://docs.google.com/spreadsheets/d/1eHaY18a8A9IcSdp1K8H6x8fbOy06t2VsZHhMHf-1x7Y/edit?usp=sharing"",""แผน!BD55"")"),31700)</f>
        <v>31700</v>
      </c>
      <c r="M257" s="90"/>
      <c r="N257" s="391">
        <v>29640</v>
      </c>
      <c r="O257" s="90"/>
      <c r="P257" s="90"/>
      <c r="Q257" s="90"/>
      <c r="R257" s="90"/>
      <c r="S257" s="90"/>
      <c r="T257" s="90"/>
      <c r="U257" s="90"/>
    </row>
    <row r="258" spans="1:21" ht="18.75" x14ac:dyDescent="0.25">
      <c r="A258" s="368"/>
      <c r="B258" s="371"/>
      <c r="C258" s="371"/>
      <c r="D258" s="269" t="s">
        <v>89</v>
      </c>
      <c r="E258" s="70"/>
      <c r="F258" s="70"/>
      <c r="G258" s="72"/>
      <c r="H258" s="220" t="s">
        <v>14</v>
      </c>
      <c r="I258" s="74"/>
      <c r="J258" s="74"/>
      <c r="K258" s="75"/>
      <c r="L258" s="134">
        <f ca="1">IFERROR(__xludf.DUMMYFUNCTION("IMPORTRANGE(""https://docs.google.com/spreadsheets/d/1eHaY18a8A9IcSdp1K8H6x8fbOy06t2VsZHhMHf-1x7Y/edit?usp=sharing"",""แผน!BE55"")"),25000)</f>
        <v>25000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x14ac:dyDescent="0.3">
      <c r="A259" s="224"/>
      <c r="B259" s="225"/>
      <c r="C259" s="394" t="s">
        <v>18</v>
      </c>
      <c r="D259" s="909" t="s">
        <v>38</v>
      </c>
      <c r="E259" s="227"/>
      <c r="F259" s="227"/>
      <c r="G259" s="228"/>
      <c r="H259" s="229"/>
      <c r="I259" s="221"/>
      <c r="J259" s="74"/>
      <c r="K259" s="75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x14ac:dyDescent="0.25">
      <c r="A260" s="224"/>
      <c r="B260" s="225"/>
      <c r="C260" s="225"/>
      <c r="D260" s="238" t="s">
        <v>108</v>
      </c>
      <c r="E260" s="233"/>
      <c r="F260" s="233"/>
      <c r="G260" s="229"/>
      <c r="H260" s="223" t="s">
        <v>35</v>
      </c>
      <c r="I260" s="241">
        <f ca="1">IFERROR(__xludf.DUMMYFUNCTION("IMPORTRANGE(""https://docs.google.com/spreadsheets/d/1eHaY18a8A9IcSdp1K8H6x8fbOy06t2VsZHhMHf-1x7Y/edit?usp=sharing"",""แผน!BH55"")"),20)</f>
        <v>20</v>
      </c>
      <c r="J260" s="816">
        <v>20</v>
      </c>
      <c r="K260" s="91">
        <f ca="1">IF(I260&gt;0,J260*100/I260,0)</f>
        <v>100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x14ac:dyDescent="0.25">
      <c r="A261" s="224"/>
      <c r="B261" s="225"/>
      <c r="C261" s="225"/>
      <c r="D261" s="404" t="s">
        <v>43</v>
      </c>
      <c r="E261" s="233"/>
      <c r="F261" s="233"/>
      <c r="G261" s="229"/>
      <c r="H261" s="318"/>
      <c r="I261" s="74"/>
      <c r="J261" s="74"/>
      <c r="K261" s="75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x14ac:dyDescent="0.25">
      <c r="A262" s="224"/>
      <c r="B262" s="225"/>
      <c r="C262" s="225"/>
      <c r="D262" s="225"/>
      <c r="E262" s="232" t="s">
        <v>109</v>
      </c>
      <c r="F262" s="233"/>
      <c r="G262" s="229"/>
      <c r="H262" s="223" t="s">
        <v>35</v>
      </c>
      <c r="I262" s="241">
        <f ca="1">IFERROR(__xludf.DUMMYFUNCTION("IMPORTRANGE(""https://docs.google.com/spreadsheets/d/1eHaY18a8A9IcSdp1K8H6x8fbOy06t2VsZHhMHf-1x7Y/edit?usp=sharing"",""แผน!KD55"")"),20)</f>
        <v>20</v>
      </c>
      <c r="J262" s="816">
        <v>0</v>
      </c>
      <c r="K262" s="91">
        <f ca="1"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x14ac:dyDescent="0.25">
      <c r="A263" s="224"/>
      <c r="B263" s="225"/>
      <c r="C263" s="225"/>
      <c r="D263" s="225"/>
      <c r="E263" s="232" t="s">
        <v>110</v>
      </c>
      <c r="F263" s="233"/>
      <c r="G263" s="229"/>
      <c r="H263" s="223" t="s">
        <v>61</v>
      </c>
      <c r="I263" s="241">
        <f ca="1">IFERROR(__xludf.DUMMYFUNCTION("IMPORTRANGE(""https://docs.google.com/spreadsheets/d/1eHaY18a8A9IcSdp1K8H6x8fbOy06t2VsZHhMHf-1x7Y/edit?usp=sharing"",""แผน!KE55"")"),1)</f>
        <v>1</v>
      </c>
      <c r="J263" s="816">
        <v>0</v>
      </c>
      <c r="K263" s="91">
        <f ca="1"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72">
        <f ca="1">L267+L268</f>
        <v>0</v>
      </c>
      <c r="M266" s="1271">
        <f ca="1">M267+M268</f>
        <v>5000</v>
      </c>
      <c r="N266" s="1271">
        <f ca="1">N267+N268</f>
        <v>0</v>
      </c>
      <c r="O266" s="1271">
        <f ca="1">IF(L266&gt;0,N266*100/L266,0)</f>
        <v>0</v>
      </c>
      <c r="P266" s="1271">
        <f ca="1">IF(M266&gt;0,N266*100/M266,0)</f>
        <v>0</v>
      </c>
      <c r="Q266" s="1271">
        <f ca="1">Q267+Q268</f>
        <v>50660</v>
      </c>
      <c r="R266" s="1271">
        <f ca="1">R267+R268</f>
        <v>50660</v>
      </c>
      <c r="S266" s="1271">
        <f ca="1">S267+S268</f>
        <v>0</v>
      </c>
      <c r="T266" s="1271">
        <f ca="1">IF(Q266&gt;0,S266*100/Q266,0)</f>
        <v>0</v>
      </c>
      <c r="U266" s="1271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70">
        <f ca="1">L271+L274</f>
        <v>0</v>
      </c>
      <c r="M268" s="1067">
        <f ca="1">M271+M274</f>
        <v>5000</v>
      </c>
      <c r="N268" s="1067">
        <f ca="1">N271+N274</f>
        <v>0</v>
      </c>
      <c r="O268" s="1067">
        <f ca="1">IF(L268&gt;0,N268*100/L268,0)</f>
        <v>0</v>
      </c>
      <c r="P268" s="1067">
        <f ca="1">IF(M268&gt;0,N268*100/M268,0)</f>
        <v>0</v>
      </c>
      <c r="Q268" s="1067">
        <f ca="1">Q271+Q274</f>
        <v>50660</v>
      </c>
      <c r="R268" s="1067">
        <f ca="1">R271+R274</f>
        <v>50660</v>
      </c>
      <c r="S268" s="1067">
        <f ca="1">S271+S274</f>
        <v>0</v>
      </c>
      <c r="T268" s="1067">
        <f ca="1">IF(Q268&gt;0,S268*100/Q268,0)</f>
        <v>0</v>
      </c>
      <c r="U268" s="1067">
        <f ca="1">IF(R268&gt;0,S268*100/R268,0)</f>
        <v>0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70">
        <f ca="1">L270+L271</f>
        <v>0</v>
      </c>
      <c r="M269" s="1067">
        <f ca="1">M270+M271</f>
        <v>5000</v>
      </c>
      <c r="N269" s="1067">
        <f ca="1">N270+N271</f>
        <v>0</v>
      </c>
      <c r="O269" s="1067">
        <f ca="1">IF(L269&gt;0,N269*100/L269,0)</f>
        <v>0</v>
      </c>
      <c r="P269" s="1067">
        <f ca="1">IF(M269&gt;0,N269*100/M269,0)</f>
        <v>0</v>
      </c>
      <c r="Q269" s="1067">
        <f ca="1">Q270+Q271</f>
        <v>50660</v>
      </c>
      <c r="R269" s="1067">
        <f ca="1">R270+R271</f>
        <v>50660</v>
      </c>
      <c r="S269" s="1067">
        <f ca="1">S270+S271</f>
        <v>0</v>
      </c>
      <c r="T269" s="1067">
        <f ca="1">IF(Q269&gt;0,S269*100/Q269,0)</f>
        <v>0</v>
      </c>
      <c r="U269" s="1067">
        <f ca="1">IF(R269&gt;0,S269*100/R269,0)</f>
        <v>0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70">
        <f ca="1">IFERROR(__xludf.DUMMYFUNCTION("IMPORTRANGE(""https://docs.google.com/spreadsheets/d/1-uDff_7J0KD5mKrp0Vvzr7lt3OU09vwQwhkpOPPYv2Y/edit?usp=sharing"",""งบพรบ!DE55"")"),0)</f>
        <v>0</v>
      </c>
      <c r="M271" s="1067">
        <f ca="1">IFERROR(__xludf.DUMMYFUNCTION("IMPORTRANGE(""https://docs.google.com/spreadsheets/d/1-uDff_7J0KD5mKrp0Vvzr7lt3OU09vwQwhkpOPPYv2Y/edit?usp=sharing"",""งบพรบ!DJ55"")"),5000)</f>
        <v>5000</v>
      </c>
      <c r="N271" s="1067">
        <f ca="1">IFERROR(__xludf.DUMMYFUNCTION("IMPORTRANGE(""https://docs.google.com/spreadsheets/d/1-uDff_7J0KD5mKrp0Vvzr7lt3OU09vwQwhkpOPPYv2Y/edit?usp=sharing"",""งบพรบ!DL55"")"),0)</f>
        <v>0</v>
      </c>
      <c r="O271" s="1067">
        <f ca="1">IF(L271&gt;0,N271*100/L271,0)</f>
        <v>0</v>
      </c>
      <c r="P271" s="1067">
        <f ca="1">IF(M271&gt;0,N271*100/M271,0)</f>
        <v>0</v>
      </c>
      <c r="Q271" s="1067">
        <f ca="1">IFERROR(__xludf.DUMMYFUNCTION("IMPORTRANGE(""https://docs.google.com/spreadsheets/d/1ItG2mGa2ceCfYo0BwxsXqNm01IGEUdYcSSLTEv9YCik/edit?usp=sharing"",""เบิกจ่ายกองทุน!AJ55"")"),50660)</f>
        <v>50660</v>
      </c>
      <c r="R271" s="1067">
        <f ca="1">IFERROR(__xludf.DUMMYFUNCTION("IMPORTRANGE(""https://docs.google.com/spreadsheets/d/1ItG2mGa2ceCfYo0BwxsXqNm01IGEUdYcSSLTEv9YCik/edit?usp=sharing"",""เบิกจ่ายกองทุน!AK55"")"),50660)</f>
        <v>50660</v>
      </c>
      <c r="S271" s="1067">
        <f ca="1">IFERROR(__xludf.DUMMYFUNCTION("IMPORTRANGE(""https://docs.google.com/spreadsheets/d/1ItG2mGa2ceCfYo0BwxsXqNm01IGEUdYcSSLTEv9YCik/edit?usp=sharing"",""เบิกจ่ายกองทุน!AL55"")"),0)</f>
        <v>0</v>
      </c>
      <c r="T271" s="1067">
        <f ca="1">IF(Q271&gt;0,S271*100/Q271,0)</f>
        <v>0</v>
      </c>
      <c r="U271" s="1067">
        <f ca="1">IF(R271&gt;0,S271*100/R271,0)</f>
        <v>0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70">
        <f ca="1">L273+L274</f>
        <v>0</v>
      </c>
      <c r="M272" s="1067">
        <f ca="1">M273+M274</f>
        <v>0</v>
      </c>
      <c r="N272" s="1067">
        <f ca="1">N273+N274</f>
        <v>0</v>
      </c>
      <c r="O272" s="1067">
        <f ca="1">IF(L272&gt;0,N272*100/L272,0)</f>
        <v>0</v>
      </c>
      <c r="P272" s="1067">
        <f ca="1">IF(M272&gt;0,N272*100/M272,0)</f>
        <v>0</v>
      </c>
      <c r="Q272" s="1067">
        <f>Q273+Q274</f>
        <v>0</v>
      </c>
      <c r="R272" s="1067">
        <f>R273+R274</f>
        <v>0</v>
      </c>
      <c r="S272" s="1067">
        <f>S273+S274</f>
        <v>0</v>
      </c>
      <c r="T272" s="1067">
        <f>IF(Q272&gt;0,S272*100/Q272,0)</f>
        <v>0</v>
      </c>
      <c r="U272" s="1067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70">
        <f ca="1">IFERROR(__xludf.DUMMYFUNCTION("IMPORTRANGE(""https://docs.google.com/spreadsheets/d/1-uDff_7J0KD5mKrp0Vvzr7lt3OU09vwQwhkpOPPYv2Y/edit?usp=sharing"",""งบพรบ!DH55"")"),0)</f>
        <v>0</v>
      </c>
      <c r="M274" s="1067">
        <f ca="1">IFERROR(__xludf.DUMMYFUNCTION("IMPORTRANGE(""https://docs.google.com/spreadsheets/d/1-uDff_7J0KD5mKrp0Vvzr7lt3OU09vwQwhkpOPPYv2Y/edit?usp=sharing"",""งบพรบ!DK55"")"),0)</f>
        <v>0</v>
      </c>
      <c r="N274" s="1067">
        <f ca="1">IFERROR(__xludf.DUMMYFUNCTION("IMPORTRANGE(""https://docs.google.com/spreadsheets/d/1-uDff_7J0KD5mKrp0Vvzr7lt3OU09vwQwhkpOPPYv2Y/edit?usp=sharing"",""งบพรบ!DM55"")"),0)</f>
        <v>0</v>
      </c>
      <c r="O274" s="1067">
        <f ca="1">IF(L274&gt;0,N274*100/L274,0)</f>
        <v>0</v>
      </c>
      <c r="P274" s="1067">
        <f ca="1">IF(M274&gt;0,N274*100/M274,0)</f>
        <v>0</v>
      </c>
      <c r="Q274" s="91">
        <v>0</v>
      </c>
      <c r="R274" s="91">
        <v>0</v>
      </c>
      <c r="S274" s="91">
        <v>0</v>
      </c>
      <c r="T274" s="1067">
        <f>IF(Q274&gt;0,S274*100/Q274,0)</f>
        <v>0</v>
      </c>
      <c r="U274" s="1067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IFERROR(__xludf.DUMMYFUNCTION("IMPORTRANGE(""https://docs.google.com/spreadsheets/d/1eHaY18a8A9IcSdp1K8H6x8fbOy06t2VsZHhMHf-1x7Y/edit?usp=sharing"",""แผน!EC55"")"),22)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IFERROR(__xludf.DUMMYFUNCTION("IMPORTRANGE(""https://docs.google.com/spreadsheets/d/1-uDff_7J0KD5mKrp0Vvzr7lt3OU09vwQwhkpOPPYv2Y/edit?usp=sharing"",""งบพรบ!DO55"")"),0)</f>
        <v>0</v>
      </c>
      <c r="M287" s="135">
        <f ca="1">IFERROR(__xludf.DUMMYFUNCTION("IMPORTRANGE(""https://docs.google.com/spreadsheets/d/1-uDff_7J0KD5mKrp0Vvzr7lt3OU09vwQwhkpOPPYv2Y/edit?usp=sharing"",""งบพรบ!DT55"")"),0)</f>
        <v>0</v>
      </c>
      <c r="N287" s="135">
        <f ca="1">IFERROR(__xludf.DUMMYFUNCTION("IMPORTRANGE(""https://docs.google.com/spreadsheets/d/1-uDff_7J0KD5mKrp0Vvzr7lt3OU09vwQwhkpOPPYv2Y/edit?usp=sharing"",""งบพรบ!DV55"")"),0)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IFERROR(__xludf.DUMMYFUNCTION("IMPORTRANGE(""https://docs.google.com/spreadsheets/d/1-uDff_7J0KD5mKrp0Vvzr7lt3OU09vwQwhkpOPPYv2Y/edit?usp=sharing"",""งบพรบ!DR55"")"),0)</f>
        <v>0</v>
      </c>
      <c r="M290" s="135">
        <f ca="1">IFERROR(__xludf.DUMMYFUNCTION("IMPORTRANGE(""https://docs.google.com/spreadsheets/d/1-uDff_7J0KD5mKrp0Vvzr7lt3OU09vwQwhkpOPPYv2Y/edit?usp=sharing"",""งบพรบ!DU55"")"),0)</f>
        <v>0</v>
      </c>
      <c r="N290" s="135">
        <f ca="1">IFERROR(__xludf.DUMMYFUNCTION("IMPORTRANGE(""https://docs.google.com/spreadsheets/d/1-uDff_7J0KD5mKrp0Vvzr7lt3OU09vwQwhkpOPPYv2Y/edit?usp=sharing"",""งบพรบ!DW55"")"),0)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IFERROR(__xludf.DUMMYFUNCTION("IMPORTRANGE(""https://docs.google.com/spreadsheets/d/1eHaY18a8A9IcSdp1K8H6x8fbOy06t2VsZHhMHf-1x7Y/edit?usp=sharing"",""แผน!EE55"")"),0)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IFERROR(__xludf.DUMMYFUNCTION("IMPORTRANGE(""https://docs.google.com/spreadsheets/d/1eHaY18a8A9IcSdp1K8H6x8fbOy06t2VsZHhMHf-1x7Y/edit?usp=sharing"",""แผน!ED55"")"),0)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IFERROR(__xludf.DUMMYFUNCTION("IMPORTRANGE(""https://docs.google.com/spreadsheets/d/1eHaY18a8A9IcSdp1K8H6x8fbOy06t2VsZHhMHf-1x7Y/edit?usp=sharing"",""แผน!ED55"")"),0)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IFERROR(__xludf.DUMMYFUNCTION("IMPORTRANGE(""https://docs.google.com/spreadsheets/d/1eHaY18a8A9IcSdp1K8H6x8fbOy06t2VsZHhMHf-1x7Y/edit?usp=sharing"",""แผน!ED55"")"),0)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133500</v>
      </c>
      <c r="M303" s="217">
        <f ca="1">M304+M305</f>
        <v>133500</v>
      </c>
      <c r="N303" s="217">
        <f ca="1">N304+N305</f>
        <v>63603.34</v>
      </c>
      <c r="O303" s="217">
        <f ca="1">IF(L303&gt;0,N303*100/L303,0)</f>
        <v>47.64295131086142</v>
      </c>
      <c r="P303" s="217">
        <f ca="1">IF(M303&gt;0,N303*100/M303,0)</f>
        <v>47.64295131086142</v>
      </c>
      <c r="Q303" s="217">
        <f ca="1">Q304+Q305</f>
        <v>144609.24</v>
      </c>
      <c r="R303" s="217">
        <f ca="1">R304+R305</f>
        <v>144609</v>
      </c>
      <c r="S303" s="217">
        <f ca="1">S304+S305</f>
        <v>12980</v>
      </c>
      <c r="T303" s="217">
        <f ca="1">IF(Q303&gt;0,S303*100/Q303,0)</f>
        <v>8.9759132957202468</v>
      </c>
      <c r="U303" s="217">
        <f ca="1">IF(R303&gt;0,S303*100/R303,0)</f>
        <v>8.9759281925744592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133500</v>
      </c>
      <c r="M305" s="135">
        <f ca="1">M308+M311</f>
        <v>133500</v>
      </c>
      <c r="N305" s="135">
        <f ca="1">N308+N311</f>
        <v>63603.34</v>
      </c>
      <c r="O305" s="135">
        <f ca="1">IF(L305&gt;0,N305*100/L305,0)</f>
        <v>47.64295131086142</v>
      </c>
      <c r="P305" s="135">
        <f ca="1">IF(M305&gt;0,N305*100/M305,0)</f>
        <v>47.64295131086142</v>
      </c>
      <c r="Q305" s="135">
        <f ca="1">Q308+Q311</f>
        <v>144609.24</v>
      </c>
      <c r="R305" s="135">
        <f ca="1">R308+R311</f>
        <v>144609</v>
      </c>
      <c r="S305" s="135">
        <f ca="1">S308+S311</f>
        <v>12980</v>
      </c>
      <c r="T305" s="135">
        <f ca="1">IF(Q305&gt;0,S305*100/Q305,0)</f>
        <v>8.9759132957202468</v>
      </c>
      <c r="U305" s="135">
        <f ca="1">IF(R305&gt;0,S305*100/R305,0)</f>
        <v>8.9759281925744592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133500</v>
      </c>
      <c r="M306" s="135">
        <f ca="1">M307+M308</f>
        <v>133500</v>
      </c>
      <c r="N306" s="135">
        <f ca="1">N307+N308</f>
        <v>63603.34</v>
      </c>
      <c r="O306" s="135">
        <f ca="1">IF(L306&gt;0,N306*100/L306,0)</f>
        <v>47.64295131086142</v>
      </c>
      <c r="P306" s="135">
        <f ca="1">IF(M306&gt;0,N306*100/M306,0)</f>
        <v>47.64295131086142</v>
      </c>
      <c r="Q306" s="135">
        <f ca="1">Q307+Q308</f>
        <v>144609.24</v>
      </c>
      <c r="R306" s="135">
        <f ca="1">R307+R308</f>
        <v>144609</v>
      </c>
      <c r="S306" s="135">
        <f ca="1">S307+S308</f>
        <v>12980</v>
      </c>
      <c r="T306" s="135">
        <f ca="1">IF(Q306&gt;0,S306*100/Q306,0)</f>
        <v>8.9759132957202468</v>
      </c>
      <c r="U306" s="135">
        <f ca="1">IF(R306&gt;0,S306*100/R306,0)</f>
        <v>8.9759281925744592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IFERROR(__xludf.DUMMYFUNCTION("IMPORTRANGE(""https://docs.google.com/spreadsheets/d/1-uDff_7J0KD5mKrp0Vvzr7lt3OU09vwQwhkpOPPYv2Y/edit?usp=sharing"",""งบพรบ!DY55"")"),133500)</f>
        <v>133500</v>
      </c>
      <c r="M308" s="135">
        <f ca="1">IFERROR(__xludf.DUMMYFUNCTION("IMPORTRANGE(""https://docs.google.com/spreadsheets/d/1-uDff_7J0KD5mKrp0Vvzr7lt3OU09vwQwhkpOPPYv2Y/edit?usp=sharing"",""งบพรบ!ED55"")"),133500)</f>
        <v>133500</v>
      </c>
      <c r="N308" s="135">
        <f ca="1">IFERROR(__xludf.DUMMYFUNCTION("IMPORTRANGE(""https://docs.google.com/spreadsheets/d/1-uDff_7J0KD5mKrp0Vvzr7lt3OU09vwQwhkpOPPYv2Y/edit?usp=sharing"",""งบพรบ!EF55"")"),63603.34)</f>
        <v>63603.34</v>
      </c>
      <c r="O308" s="135">
        <f ca="1">IF(L308&gt;0,N308*100/L308,0)</f>
        <v>47.64295131086142</v>
      </c>
      <c r="P308" s="135">
        <f ca="1">IF(M308&gt;0,N308*100/M308,0)</f>
        <v>47.64295131086142</v>
      </c>
      <c r="Q308" s="135">
        <f ca="1">IFERROR(__xludf.DUMMYFUNCTION("IMPORTRANGE(""https://docs.google.com/spreadsheets/d/1ItG2mGa2ceCfYo0BwxsXqNm01IGEUdYcSSLTEv9YCik/edit?usp=sharing"",""เบิกจ่ายกองทุน!AP55"")"),144609.24)</f>
        <v>144609.24</v>
      </c>
      <c r="R308" s="135">
        <f ca="1">IFERROR(__xludf.DUMMYFUNCTION("IMPORTRANGE(""https://docs.google.com/spreadsheets/d/1ItG2mGa2ceCfYo0BwxsXqNm01IGEUdYcSSLTEv9YCik/edit?usp=sharing"",""เบิกจ่ายกองทุน!AQ55"")"),144609)</f>
        <v>144609</v>
      </c>
      <c r="S308" s="135">
        <f ca="1">IFERROR(__xludf.DUMMYFUNCTION("IMPORTRANGE(""https://docs.google.com/spreadsheets/d/1ItG2mGa2ceCfYo0BwxsXqNm01IGEUdYcSSLTEv9YCik/edit?usp=sharing"",""เบิกจ่ายกองทุน!AR55"")"),12980)</f>
        <v>12980</v>
      </c>
      <c r="T308" s="135">
        <f ca="1">IF(Q308&gt;0,S308*100/Q308,0)</f>
        <v>8.9759132957202468</v>
      </c>
      <c r="U308" s="135">
        <f ca="1">IF(R308&gt;0,S308*100/R308,0)</f>
        <v>8.9759281925744592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IFERROR(__xludf.DUMMYFUNCTION("IMPORTRANGE(""https://docs.google.com/spreadsheets/d/1-uDff_7J0KD5mKrp0Vvzr7lt3OU09vwQwhkpOPPYv2Y/edit?usp=sharing"",""งบพรบ!EB55"")"),0)</f>
        <v>0</v>
      </c>
      <c r="M311" s="135">
        <f ca="1">IFERROR(__xludf.DUMMYFUNCTION("IMPORTRANGE(""https://docs.google.com/spreadsheets/d/1-uDff_7J0KD5mKrp0Vvzr7lt3OU09vwQwhkpOPPYv2Y/edit?usp=sharing"",""งบพรบ!EE55"")"),0)</f>
        <v>0</v>
      </c>
      <c r="N311" s="135">
        <f ca="1">IFERROR(__xludf.DUMMYFUNCTION("IMPORTRANGE(""https://docs.google.com/spreadsheets/d/1-uDff_7J0KD5mKrp0Vvzr7lt3OU09vwQwhkpOPPYv2Y/edit?usp=sharing"",""งบพรบ!EG55"")"),0)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594"/>
      <c r="B313" s="575"/>
      <c r="C313" s="575"/>
      <c r="D313" s="1111"/>
      <c r="E313" s="595"/>
      <c r="F313" s="595"/>
      <c r="G313" s="596"/>
      <c r="H313" s="596"/>
      <c r="I313" s="577"/>
      <c r="J313" s="1108"/>
      <c r="K313" s="578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IFERROR(__xludf.DUMMYFUNCTION("IMPORTRANGE(""https://docs.google.com/spreadsheets/d/1eHaY18a8A9IcSdp1K8H6x8fbOy06t2VsZHhMHf-1x7Y/edit?usp=sharing"",""แผน!EF55"")"),20)</f>
        <v>20</v>
      </c>
      <c r="J314" s="296">
        <v>20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594"/>
      <c r="B315" s="575"/>
      <c r="C315" s="575"/>
      <c r="D315" s="1110"/>
      <c r="E315" s="595"/>
      <c r="F315" s="595"/>
      <c r="G315" s="596"/>
      <c r="H315" s="1109"/>
      <c r="I315" s="1108"/>
      <c r="J315" s="1108"/>
      <c r="K315" s="110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594"/>
      <c r="B316" s="575"/>
      <c r="C316" s="575"/>
      <c r="D316" s="1110"/>
      <c r="E316" s="595"/>
      <c r="F316" s="595"/>
      <c r="G316" s="596"/>
      <c r="H316" s="1109"/>
      <c r="I316" s="1108"/>
      <c r="J316" s="1108"/>
      <c r="K316" s="110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594"/>
      <c r="B317" s="575"/>
      <c r="C317" s="575"/>
      <c r="D317" s="419"/>
      <c r="E317" s="595"/>
      <c r="F317" s="595"/>
      <c r="G317" s="596"/>
      <c r="H317" s="1106"/>
      <c r="I317" s="424"/>
      <c r="J317" s="424"/>
      <c r="K317" s="42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0</v>
      </c>
      <c r="M320" s="217">
        <f ca="1">M321+M322</f>
        <v>0</v>
      </c>
      <c r="N320" s="217">
        <f ca="1">N321+N322</f>
        <v>0</v>
      </c>
      <c r="O320" s="217">
        <f ca="1">IF(L320&gt;0,N320*100/L320,0)</f>
        <v>0</v>
      </c>
      <c r="P320" s="217">
        <f ca="1">IF(M320&gt;0,N320*100/M320,0)</f>
        <v>0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0</v>
      </c>
      <c r="M322" s="135">
        <f ca="1">M325+M328</f>
        <v>0</v>
      </c>
      <c r="N322" s="135">
        <f ca="1">N325+N328</f>
        <v>0</v>
      </c>
      <c r="O322" s="135">
        <f ca="1">IF(L322&gt;0,N322*100/L322,0)</f>
        <v>0</v>
      </c>
      <c r="P322" s="135">
        <f ca="1">IF(M322&gt;0,N322*100/M322,0)</f>
        <v>0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0</v>
      </c>
      <c r="M323" s="135">
        <f ca="1">M324+M325</f>
        <v>0</v>
      </c>
      <c r="N323" s="135">
        <f ca="1">N324+N325</f>
        <v>0</v>
      </c>
      <c r="O323" s="135">
        <f ca="1">IF(L323&gt;0,N323*100/L323,0)</f>
        <v>0</v>
      </c>
      <c r="P323" s="135">
        <f ca="1">IF(M323&gt;0,N323*100/M323,0)</f>
        <v>0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IFERROR(__xludf.DUMMYFUNCTION("IMPORTRANGE(""https://docs.google.com/spreadsheets/d/1-uDff_7J0KD5mKrp0Vvzr7lt3OU09vwQwhkpOPPYv2Y/edit?usp=sharing"",""งบพรบ!EI55"")"),0)</f>
        <v>0</v>
      </c>
      <c r="M325" s="135">
        <f ca="1">IFERROR(__xludf.DUMMYFUNCTION("IMPORTRANGE(""https://docs.google.com/spreadsheets/d/1-uDff_7J0KD5mKrp0Vvzr7lt3OU09vwQwhkpOPPYv2Y/edit?usp=sharing"",""งบพรบ!EN55"")"),0)</f>
        <v>0</v>
      </c>
      <c r="N325" s="135">
        <f ca="1">IFERROR(__xludf.DUMMYFUNCTION("IMPORTRANGE(""https://docs.google.com/spreadsheets/d/1-uDff_7J0KD5mKrp0Vvzr7lt3OU09vwQwhkpOPPYv2Y/edit?usp=sharing"",""งบพรบ!EP55"")"),0)</f>
        <v>0</v>
      </c>
      <c r="O325" s="135">
        <f ca="1">IF(L325&gt;0,N325*100/L325,0)</f>
        <v>0</v>
      </c>
      <c r="P325" s="135">
        <f ca="1">IF(M325&gt;0,N325*100/M325,0)</f>
        <v>0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IFERROR(__xludf.DUMMYFUNCTION("IMPORTRANGE(""https://docs.google.com/spreadsheets/d/1-uDff_7J0KD5mKrp0Vvzr7lt3OU09vwQwhkpOPPYv2Y/edit?usp=sharing"",""งบพรบ!EL55"")"),0)</f>
        <v>0</v>
      </c>
      <c r="M328" s="135">
        <f ca="1">IFERROR(__xludf.DUMMYFUNCTION("IMPORTRANGE(""https://docs.google.com/spreadsheets/d/1-uDff_7J0KD5mKrp0Vvzr7lt3OU09vwQwhkpOPPYv2Y/edit?usp=sharing"",""งบพรบ!EO55"")"),0)</f>
        <v>0</v>
      </c>
      <c r="N328" s="135">
        <f ca="1">IFERROR(__xludf.DUMMYFUNCTION("IMPORTRANGE(""https://docs.google.com/spreadsheets/d/1-uDff_7J0KD5mKrp0Vvzr7lt3OU09vwQwhkpOPPYv2Y/edit?usp=sharing"",""งบพรบ!EQ55"")"),0)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IFERROR(__xludf.DUMMYFUNCTION("IMPORTRANGE(""https://docs.google.com/spreadsheets/d/1eHaY18a8A9IcSdp1K8H6x8fbOy06t2VsZHhMHf-1x7Y/edit?usp=sharing"",""แผน!EJ55"")"),0)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99">
        <f ca="1">I344</f>
        <v>2860</v>
      </c>
      <c r="J332" s="599">
        <f ca="1">J344+J347+J348+J349+J353+J354</f>
        <v>10923</v>
      </c>
      <c r="K332" s="593">
        <f ca="1">IF(I332&gt;0,J332*100/I332,0)</f>
        <v>381.92307692307691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379000</v>
      </c>
      <c r="M333" s="217">
        <f ca="1">M334+M335</f>
        <v>384000</v>
      </c>
      <c r="N333" s="217">
        <f ca="1">N334+N335</f>
        <v>279576.05</v>
      </c>
      <c r="O333" s="217">
        <f ca="1">IF(L333&gt;0,N333*100/L333,0)</f>
        <v>73.76676781002638</v>
      </c>
      <c r="P333" s="217">
        <f ca="1">IF(M333&gt;0,N333*100/M333,0)</f>
        <v>72.806263020833327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379000</v>
      </c>
      <c r="M335" s="135">
        <f ca="1">M338+M341</f>
        <v>384000</v>
      </c>
      <c r="N335" s="135">
        <f ca="1">N338+N341</f>
        <v>279576.05</v>
      </c>
      <c r="O335" s="135">
        <f ca="1">IF(L335&gt;0,N335*100/L335,0)</f>
        <v>73.76676781002638</v>
      </c>
      <c r="P335" s="135">
        <f ca="1">IF(M335&gt;0,N335*100/M335,0)</f>
        <v>72.806263020833327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379000</v>
      </c>
      <c r="M336" s="135">
        <f ca="1">M337+M338</f>
        <v>384000</v>
      </c>
      <c r="N336" s="135">
        <f ca="1">N337+N338</f>
        <v>279576.05</v>
      </c>
      <c r="O336" s="135">
        <f ca="1">IF(L336&gt;0,N336*100/L336,0)</f>
        <v>73.76676781002638</v>
      </c>
      <c r="P336" s="135">
        <f ca="1">IF(M336&gt;0,N336*100/M336,0)</f>
        <v>72.806263020833327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IFERROR(__xludf.DUMMYFUNCTION("IMPORTRANGE(""https://docs.google.com/spreadsheets/d/1-uDff_7J0KD5mKrp0Vvzr7lt3OU09vwQwhkpOPPYv2Y/edit?usp=sharing"",""งบพรบ!ES55"")"),379000)</f>
        <v>379000</v>
      </c>
      <c r="M338" s="135">
        <f ca="1">IFERROR(__xludf.DUMMYFUNCTION("IMPORTRANGE(""https://docs.google.com/spreadsheets/d/1-uDff_7J0KD5mKrp0Vvzr7lt3OU09vwQwhkpOPPYv2Y/edit?usp=sharing"",""งบพรบ!EX55"")"),384000)</f>
        <v>384000</v>
      </c>
      <c r="N338" s="135">
        <f ca="1">IFERROR(__xludf.DUMMYFUNCTION("IMPORTRANGE(""https://docs.google.com/spreadsheets/d/1-uDff_7J0KD5mKrp0Vvzr7lt3OU09vwQwhkpOPPYv2Y/edit?usp=sharing"",""งบพรบ!EZ55"")"),279576.05)</f>
        <v>279576.05</v>
      </c>
      <c r="O338" s="135">
        <f ca="1">IF(L338&gt;0,N338*100/L338,0)</f>
        <v>73.76676781002638</v>
      </c>
      <c r="P338" s="135">
        <f ca="1">IF(M338&gt;0,N338*100/M338,0)</f>
        <v>72.806263020833327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IFERROR(__xludf.DUMMYFUNCTION("IMPORTRANGE(""https://docs.google.com/spreadsheets/d/1-uDff_7J0KD5mKrp0Vvzr7lt3OU09vwQwhkpOPPYv2Y/edit?usp=sharing"",""งบพรบ!EV55"")"),0)</f>
        <v>0</v>
      </c>
      <c r="M341" s="135">
        <f ca="1">IFERROR(__xludf.DUMMYFUNCTION("IMPORTRANGE(""https://docs.google.com/spreadsheets/d/1-uDff_7J0KD5mKrp0Vvzr7lt3OU09vwQwhkpOPPYv2Y/edit?usp=sharing"",""งบพรบ!EY55"")"),0)</f>
        <v>0</v>
      </c>
      <c r="N341" s="135">
        <f ca="1">IFERROR(__xludf.DUMMYFUNCTION("IMPORTRANGE(""https://docs.google.com/spreadsheets/d/1-uDff_7J0KD5mKrp0Vvzr7lt3OU09vwQwhkpOPPYv2Y/edit?usp=sharing"",""งบพรบ!FA55"")"),0)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1263"/>
      <c r="B343" s="1262"/>
      <c r="C343" s="374"/>
      <c r="D343" s="947"/>
      <c r="E343" s="910" t="s">
        <v>137</v>
      </c>
      <c r="F343" s="1262"/>
      <c r="G343" s="1261"/>
      <c r="H343" s="541" t="s">
        <v>35</v>
      </c>
      <c r="I343" s="542">
        <v>0</v>
      </c>
      <c r="J343" s="542">
        <f ca="1">J344+J347+J348+J349</f>
        <v>4164</v>
      </c>
      <c r="K343" s="543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3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IFERROR(__xludf.DUMMYFUNCTION("IMPORTRANGE(""https://docs.google.com/spreadsheets/d/1eHaY18a8A9IcSdp1K8H6x8fbOy06t2VsZHhMHf-1x7Y/edit?usp=sharing"",""แผน!EK55"")"),2860)</f>
        <v>2860</v>
      </c>
      <c r="J344" s="295">
        <f ca="1">IFERROR(__xludf.DUMMYFUNCTION("IMPORTRANGE(""https://docs.google.com/spreadsheets/d/1awYsYK3VOup2i3Pq_Yjnu8DRu_mYwSBnCR2QPthd0rU/edit?usp=sharing"",""ศูนย์ยกเว้นโฉนด!D55"")"),4158)</f>
        <v>4158</v>
      </c>
      <c r="K344" s="77">
        <f ca="1">IF(I344&gt;0,J344*100/I344,0)</f>
        <v>145.38461538461539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3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3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IFERROR(__xludf.DUMMYFUNCTION("IMPORTRANGE(""https://docs.google.com/spreadsheets/d/1eHaY18a8A9IcSdp1K8H6x8fbOy06t2VsZHhMHf-1x7Y/edit?usp=sharing"",""แผน!EL55"")"),5)</f>
        <v>5</v>
      </c>
      <c r="J346" s="295">
        <f ca="1">IFERROR(__xludf.DUMMYFUNCTION("IMPORTRANGE(""https://docs.google.com/spreadsheets/d/1awYsYK3VOup2i3Pq_Yjnu8DRu_mYwSBnCR2QPthd0rU/edit?usp=sharing"",""ศูนย์รวม!E55"")"),5)</f>
        <v>5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3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IFERROR(__xludf.DUMMYFUNCTION("IMPORTRANGE(""https://docs.google.com/spreadsheets/d/1awYsYK3VOup2i3Pq_Yjnu8DRu_mYwSBnCR2QPthd0rU/edit?usp=sharing"",""ศูนย์ยกเว้นโฉนด!F55"")"),0)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3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IFERROR(__xludf.DUMMYFUNCTION("IMPORTRANGE(""https://docs.google.com/spreadsheets/d/1awYsYK3VOup2i3Pq_Yjnu8DRu_mYwSBnCR2QPthd0rU/edit?usp=sharing"",""ศูนย์ยกเว้นโฉนด!G55"")"),6)</f>
        <v>6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93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IFERROR(__xludf.DUMMYFUNCTION("IMPORTRANGE(""https://docs.google.com/spreadsheets/d/1awYsYK3VOup2i3Pq_Yjnu8DRu_mYwSBnCR2QPthd0rU/edit?usp=sharing"",""ศูนย์ยกเว้นโฉนด!H55"")"),0)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1263"/>
      <c r="B351" s="1262"/>
      <c r="C351" s="374"/>
      <c r="D351" s="947"/>
      <c r="E351" s="910" t="s">
        <v>145</v>
      </c>
      <c r="F351" s="1262"/>
      <c r="G351" s="1261"/>
      <c r="H351" s="541" t="s">
        <v>35</v>
      </c>
      <c r="I351" s="542">
        <v>0</v>
      </c>
      <c r="J351" s="542">
        <f ca="1">J352+J353+J354</f>
        <v>6810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3"/>
      <c r="E352" s="293" t="s">
        <v>146</v>
      </c>
      <c r="F352" s="260"/>
      <c r="G352" s="263"/>
      <c r="H352" s="270" t="s">
        <v>35</v>
      </c>
      <c r="I352" s="265"/>
      <c r="J352" s="604">
        <f ca="1">IFERROR(__xludf.DUMMYFUNCTION("IMPORTRANGE(""https://docs.google.com/spreadsheets/d/1awYsYK3VOup2i3Pq_Yjnu8DRu_mYwSBnCR2QPthd0rU/edit?usp=sharing"",""โฉนดM3!G55"")"),51)</f>
        <v>51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3"/>
      <c r="E353" s="293" t="s">
        <v>147</v>
      </c>
      <c r="F353" s="260"/>
      <c r="G353" s="263"/>
      <c r="H353" s="270" t="s">
        <v>35</v>
      </c>
      <c r="I353" s="265"/>
      <c r="J353" s="604">
        <f ca="1">IFERROR(__xludf.DUMMYFUNCTION("IMPORTRANGE(""https://docs.google.com/spreadsheets/d/1awYsYK3VOup2i3Pq_Yjnu8DRu_mYwSBnCR2QPthd0rU/edit?usp=sharing"",""โฉนดM3!H55"")"),6629)</f>
        <v>6629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IFERROR(__xludf.DUMMYFUNCTION("IMPORTRANGE(""https://docs.google.com/spreadsheets/d/1awYsYK3VOup2i3Pq_Yjnu8DRu_mYwSBnCR2QPthd0rU/edit?usp=sharing"",""โฉนดM3!I55"")"),130)</f>
        <v>130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450655</v>
      </c>
      <c r="M356" s="217">
        <f ca="1">M357+M358</f>
        <v>474030</v>
      </c>
      <c r="N356" s="217">
        <f ca="1">N357+N358</f>
        <v>212254.68</v>
      </c>
      <c r="O356" s="217">
        <f ca="1">IF(L356&gt;0,N356*100/L356,0)</f>
        <v>47.099151235423996</v>
      </c>
      <c r="P356" s="217">
        <f ca="1">IF(M356&gt;0,N356*100/M356,0)</f>
        <v>44.776634390228466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450655</v>
      </c>
      <c r="M358" s="135">
        <f ca="1">M361+M364</f>
        <v>474030</v>
      </c>
      <c r="N358" s="135">
        <f ca="1">N361+N364</f>
        <v>212254.68</v>
      </c>
      <c r="O358" s="135">
        <f ca="1">IF(L358&gt;0,N358*100/L358,0)</f>
        <v>47.099151235423996</v>
      </c>
      <c r="P358" s="135">
        <f ca="1">IF(M358&gt;0,N358*100/M358,0)</f>
        <v>44.776634390228466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450655</v>
      </c>
      <c r="M359" s="135">
        <f ca="1">M360+M361</f>
        <v>474030</v>
      </c>
      <c r="N359" s="135">
        <f ca="1">N360+N361</f>
        <v>212254.68</v>
      </c>
      <c r="O359" s="135">
        <f ca="1">IF(L359&gt;0,N359*100/L359,0)</f>
        <v>47.099151235423996</v>
      </c>
      <c r="P359" s="135">
        <f ca="1">IF(M359&gt;0,N359*100/M359,0)</f>
        <v>44.776634390228466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IFERROR(__xludf.DUMMYFUNCTION("IMPORTRANGE(""https://docs.google.com/spreadsheets/d/1-uDff_7J0KD5mKrp0Vvzr7lt3OU09vwQwhkpOPPYv2Y/edit?usp=sharing"",""งบพรบ!FC55"")"),450655)</f>
        <v>450655</v>
      </c>
      <c r="M361" s="135">
        <f ca="1">IFERROR(__xludf.DUMMYFUNCTION("IMPORTRANGE(""https://docs.google.com/spreadsheets/d/1-uDff_7J0KD5mKrp0Vvzr7lt3OU09vwQwhkpOPPYv2Y/edit?usp=sharing"",""งบพรบ!FH55"")"),474030)</f>
        <v>474030</v>
      </c>
      <c r="N361" s="135">
        <f ca="1">IFERROR(__xludf.DUMMYFUNCTION("IMPORTRANGE(""https://docs.google.com/spreadsheets/d/1-uDff_7J0KD5mKrp0Vvzr7lt3OU09vwQwhkpOPPYv2Y/edit?usp=sharing"",""งบพรบ!FJ55"")"),212254.68)</f>
        <v>212254.68</v>
      </c>
      <c r="O361" s="135">
        <f ca="1">IF(L361&gt;0,N361*100/L361,0)</f>
        <v>47.099151235423996</v>
      </c>
      <c r="P361" s="135">
        <f ca="1">IF(M361&gt;0,N361*100/M361,0)</f>
        <v>44.776634390228466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IFERROR(__xludf.DUMMYFUNCTION("IMPORTRANGE(""https://docs.google.com/spreadsheets/d/1-uDff_7J0KD5mKrp0Vvzr7lt3OU09vwQwhkpOPPYv2Y/edit?usp=sharing"",""งบพรบ!FF55"")"),0)</f>
        <v>0</v>
      </c>
      <c r="M364" s="135">
        <f ca="1">IFERROR(__xludf.DUMMYFUNCTION("IMPORTRANGE(""https://docs.google.com/spreadsheets/d/1-uDff_7J0KD5mKrp0Vvzr7lt3OU09vwQwhkpOPPYv2Y/edit?usp=sharing"",""งบพรบ!FI55"")"),0)</f>
        <v>0</v>
      </c>
      <c r="N364" s="135">
        <f ca="1">IFERROR(__xludf.DUMMYFUNCTION("IMPORTRANGE(""https://docs.google.com/spreadsheets/d/1-uDff_7J0KD5mKrp0Vvzr7lt3OU09vwQwhkpOPPYv2Y/edit?usp=sharing"",""งบพรบ!FK55"")"),0)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491</v>
      </c>
      <c r="J365" s="542">
        <f ca="1">J371</f>
        <v>197</v>
      </c>
      <c r="K365" s="543">
        <f ca="1">IF(I365&gt;0,J365*100/I365,0)</f>
        <v>40.122199592668025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IFERROR(__xludf.DUMMYFUNCTION("IMPORTRANGE(""https://docs.google.com/spreadsheets/d/1tdoBKaGub7dwA3U6UFTqxio9LNnvDCQjHKmttSEBsFQ/edit?usp=sharing"",""จัดที่ดิน!AB55"")"),238)</f>
        <v>238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IFERROR(__xludf.DUMMYFUNCTION("IMPORTRANGE(""https://docs.google.com/spreadsheets/d/1eHaY18a8A9IcSdp1K8H6x8fbOy06t2VsZHhMHf-1x7Y/edit?usp=sharing"",""แผน!EW55"")"),2415)</f>
        <v>2415</v>
      </c>
      <c r="J368" s="1094">
        <f ca="1">IFERROR(__xludf.DUMMYFUNCTION("IMPORTRANGE(""https://docs.google.com/spreadsheets/d/1tdoBKaGub7dwA3U6UFTqxio9LNnvDCQjHKmttSEBsFQ/edit?usp=sharing"",""จัดที่ดิน!AC55"")"),3527.13)</f>
        <v>3527.13</v>
      </c>
      <c r="K368" s="77">
        <f ca="1">IF(I368&gt;0,J368*100/I368,0)</f>
        <v>146.05093167701864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IFERROR(__xludf.DUMMYFUNCTION("IMPORTRANGE(""https://docs.google.com/spreadsheets/d/1eHaY18a8A9IcSdp1K8H6x8fbOy06t2VsZHhMHf-1x7Y/edit?usp=sharing"",""แผน!EX55"")"),491)</f>
        <v>491</v>
      </c>
      <c r="J369" s="295">
        <f ca="1">IFERROR(__xludf.DUMMYFUNCTION("IMPORTRANGE(""https://docs.google.com/spreadsheets/d/1tdoBKaGub7dwA3U6UFTqxio9LNnvDCQjHKmttSEBsFQ/edit?usp=sharing"",""จัดที่ดิน!AD55"")"),312)</f>
        <v>312</v>
      </c>
      <c r="K369" s="77">
        <f ca="1">IF(I369&gt;0,J369*100/I369,0)</f>
        <v>63.543788187372712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IFERROR(__xludf.DUMMYFUNCTION("IMPORTRANGE(""https://docs.google.com/spreadsheets/d/1tdoBKaGub7dwA3U6UFTqxio9LNnvDCQjHKmttSEBsFQ/edit?usp=sharing"",""จัดที่ดิน!AE55"")"),4346.84)</f>
        <v>4346.84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IFERROR(__xludf.DUMMYFUNCTION("IMPORTRANGE(""https://docs.google.com/spreadsheets/d/1eHaY18a8A9IcSdp1K8H6x8fbOy06t2VsZHhMHf-1x7Y/edit?usp=sharing"",""แผน!EY55"")"),491)</f>
        <v>491</v>
      </c>
      <c r="J371" s="295">
        <f ca="1">IFERROR(__xludf.DUMMYFUNCTION("IMPORTRANGE(""https://docs.google.com/spreadsheets/d/1tdoBKaGub7dwA3U6UFTqxio9LNnvDCQjHKmttSEBsFQ/edit?usp=sharing"",""จัดที่ดิน!AF55"")"),197)</f>
        <v>197</v>
      </c>
      <c r="K371" s="77">
        <f ca="1">IF(I371&gt;0,J371*100/I371,0)</f>
        <v>40.122199592668025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IFERROR(__xludf.DUMMYFUNCTION("IMPORTRANGE(""https://docs.google.com/spreadsheets/d/1tdoBKaGub7dwA3U6UFTqxio9LNnvDCQjHKmttSEBsFQ/edit?usp=sharing"",""จัดที่ดิน!AG55"")"),3102.6)</f>
        <v>3102.6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315</v>
      </c>
      <c r="C374" s="562"/>
      <c r="D374" s="563"/>
      <c r="E374" s="564"/>
      <c r="F374" s="564"/>
      <c r="G374" s="565"/>
      <c r="H374" s="566" t="s">
        <v>46</v>
      </c>
      <c r="I374" s="906">
        <f ca="1">I386+I388</f>
        <v>1000</v>
      </c>
      <c r="J374" s="906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>L376+L377</f>
        <v>0</v>
      </c>
      <c r="M375" s="217">
        <f>M376+M377</f>
        <v>0</v>
      </c>
      <c r="N375" s="217">
        <f>N376+N377</f>
        <v>0</v>
      </c>
      <c r="O375" s="217">
        <f>IF(L375&gt;0,N375*100/L375,0)</f>
        <v>0</v>
      </c>
      <c r="P375" s="217">
        <f>IF(M375&gt;0,N375*100/M375,0)</f>
        <v>0</v>
      </c>
      <c r="Q375" s="217">
        <f ca="1">Q376+Q377</f>
        <v>62500</v>
      </c>
      <c r="R375" s="217">
        <f ca="1">R376+R377</f>
        <v>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>L380+L383</f>
        <v>0</v>
      </c>
      <c r="M377" s="135">
        <f>M380+M383</f>
        <v>0</v>
      </c>
      <c r="N377" s="135">
        <f>N380+N383</f>
        <v>0</v>
      </c>
      <c r="O377" s="135">
        <f>IF(L377&gt;0,N377*100/L377,0)</f>
        <v>0</v>
      </c>
      <c r="P377" s="135">
        <f>IF(M377&gt;0,N377*100/M377,0)</f>
        <v>0</v>
      </c>
      <c r="Q377" s="135">
        <f ca="1">Q380+Q383</f>
        <v>62500</v>
      </c>
      <c r="R377" s="135">
        <f ca="1">R380+R383</f>
        <v>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>L379+L380</f>
        <v>0</v>
      </c>
      <c r="M378" s="135">
        <f>M379+M380</f>
        <v>0</v>
      </c>
      <c r="N378" s="135">
        <f>N379+N380</f>
        <v>0</v>
      </c>
      <c r="O378" s="135">
        <f>IF(L378&gt;0,N378*100/L378,0)</f>
        <v>0</v>
      </c>
      <c r="P378" s="135">
        <f>IF(M378&gt;0,N378*100/M378,0)</f>
        <v>0</v>
      </c>
      <c r="Q378" s="135">
        <f ca="1">Q379+Q380</f>
        <v>62500</v>
      </c>
      <c r="R378" s="135">
        <f ca="1">R379+R380</f>
        <v>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135">
        <f>IF(L380&gt;0,N380*100/L380,0)</f>
        <v>0</v>
      </c>
      <c r="P380" s="135">
        <f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IFERROR(__xludf.DUMMYFUNCTION("IMPORTRANGE(""https://docs.google.com/spreadsheets/d/1ItG2mGa2ceCfYo0BwxsXqNm01IGEUdYcSSLTEv9YCik/edit?usp=sharing"",""เบิกจ่ายกองทุน!AY55"")"),62500)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IFERROR(__xludf.DUMMYFUNCTION("IMPORTRANGE(""https://docs.google.com/spreadsheets/d/1ItG2mGa2ceCfYo0BwxsXqNm01IGEUdYcSSLTEv9YCik/edit?usp=sharing"",""เบิกจ่ายกองทุน!AZ55"")"),0)</f>
        <v>0</v>
      </c>
      <c r="S380" s="135">
        <f ca="1">IFERROR(__xludf.DUMMYFUNCTION("IMPORTRANGE(""https://docs.google.com/spreadsheets/d/1ItG2mGa2ceCfYo0BwxsXqNm01IGEUdYcSSLTEv9YCik/edit?usp=sharing"",""เบิกจ่ายกองทุน!BA55"")"),0)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>L382+L383</f>
        <v>0</v>
      </c>
      <c r="M381" s="135">
        <f>M382+M383</f>
        <v>0</v>
      </c>
      <c r="N381" s="135">
        <f>N382+N383</f>
        <v>0</v>
      </c>
      <c r="O381" s="135">
        <f>IF(L381&gt;0,N381*100/L381,0)</f>
        <v>0</v>
      </c>
      <c r="P381" s="135">
        <f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135">
        <f>IF(L383&gt;0,N383*100/L383,0)</f>
        <v>0</v>
      </c>
      <c r="P383" s="135">
        <f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368"/>
      <c r="B385" s="371"/>
      <c r="C385" s="371"/>
      <c r="D385" s="371"/>
      <c r="E385" s="78" t="s">
        <v>155</v>
      </c>
      <c r="F385" s="70"/>
      <c r="G385" s="72"/>
      <c r="H385" s="218" t="s">
        <v>34</v>
      </c>
      <c r="I385" s="1068">
        <v>0</v>
      </c>
      <c r="J385" s="1068">
        <f ca="1">IFERROR(__xludf.DUMMYFUNCTION("IMPORTRANGE(""https://docs.google.com/spreadsheets/d/1w5rwWK1o49a35cNtocGL0gxDwhFSTZUQu90BiH9_zqM/edit?usp=sharing"",""RTK!H55"")"),0)</f>
        <v>0</v>
      </c>
      <c r="K385" s="106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371"/>
      <c r="B386" s="371"/>
      <c r="C386" s="371"/>
      <c r="D386" s="371"/>
      <c r="E386" s="371"/>
      <c r="F386" s="371"/>
      <c r="G386" s="817"/>
      <c r="H386" s="218" t="s">
        <v>46</v>
      </c>
      <c r="I386" s="1068">
        <f ca="1">IFERROR(__xludf.DUMMYFUNCTION("IMPORTRANGE(""https://docs.google.com/spreadsheets/d/1w5rwWK1o49a35cNtocGL0gxDwhFSTZUQu90BiH9_zqM/edit?usp=sharing"",""RTK!G55"")"),1000)</f>
        <v>1000</v>
      </c>
      <c r="J386" s="1068">
        <f ca="1">IFERROR(__xludf.DUMMYFUNCTION("IMPORTRANGE(""https://docs.google.com/spreadsheets/d/1w5rwWK1o49a35cNtocGL0gxDwhFSTZUQu90BiH9_zqM/edit?usp=sharing"",""RTK!I55"")"),0)</f>
        <v>0</v>
      </c>
      <c r="K386" s="106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1068">
        <v>0</v>
      </c>
      <c r="J387" s="1068">
        <f ca="1">IFERROR(__xludf.DUMMYFUNCTION("IMPORTRANGE(""https://docs.google.com/spreadsheets/d/1w5rwWK1o49a35cNtocGL0gxDwhFSTZUQu90BiH9_zqM/edit?usp=sharing"",""RTK!L55"")"),0)</f>
        <v>0</v>
      </c>
      <c r="K387" s="1067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1068">
        <f ca="1">IFERROR(__xludf.DUMMYFUNCTION("IMPORTRANGE(""https://docs.google.com/spreadsheets/d/1w5rwWK1o49a35cNtocGL0gxDwhFSTZUQu90BiH9_zqM/edit?usp=sharing"",""RTK!K55"")"),0)</f>
        <v>0</v>
      </c>
      <c r="J388" s="1068">
        <f ca="1">IFERROR(__xludf.DUMMYFUNCTION("IMPORTRANGE(""https://docs.google.com/spreadsheets/d/1w5rwWK1o49a35cNtocGL0gxDwhFSTZUQu90BiH9_zqM/edit?usp=sharing"",""RTK!M55"")"),0)</f>
        <v>0</v>
      </c>
      <c r="K388" s="1067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314</v>
      </c>
      <c r="C391" s="587"/>
      <c r="D391" s="588"/>
      <c r="E391" s="589"/>
      <c r="F391" s="589"/>
      <c r="G391" s="590"/>
      <c r="H391" s="591" t="s">
        <v>61</v>
      </c>
      <c r="I391" s="592">
        <f>I402</f>
        <v>0</v>
      </c>
      <c r="J391" s="592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>Q393+Q394</f>
        <v>0</v>
      </c>
      <c r="R392" s="217">
        <f>R393+R394</f>
        <v>0</v>
      </c>
      <c r="S392" s="217">
        <f>S393+S394</f>
        <v>0</v>
      </c>
      <c r="T392" s="217">
        <f>IF(Q392&gt;0,S392*100/Q392,0)</f>
        <v>0</v>
      </c>
      <c r="U392" s="217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>Q397+Q400</f>
        <v>0</v>
      </c>
      <c r="R394" s="135">
        <f>R397+R400</f>
        <v>0</v>
      </c>
      <c r="S394" s="135">
        <f>S397+S400</f>
        <v>0</v>
      </c>
      <c r="T394" s="135">
        <f>IF(Q394&gt;0,S394*100/Q394,0)</f>
        <v>0</v>
      </c>
      <c r="U394" s="135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>Q396+Q397</f>
        <v>0</v>
      </c>
      <c r="R395" s="135">
        <f>R396+R397</f>
        <v>0</v>
      </c>
      <c r="S395" s="135">
        <f>S396+S397</f>
        <v>0</v>
      </c>
      <c r="T395" s="135">
        <f>IF(Q395&gt;0,S395*100/Q395,0)</f>
        <v>0</v>
      </c>
      <c r="U395" s="135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v>0</v>
      </c>
      <c r="R397" s="77">
        <v>0</v>
      </c>
      <c r="S397" s="77">
        <v>0</v>
      </c>
      <c r="T397" s="135">
        <f>IF(Q397&gt;0,S397*100/Q397,0)</f>
        <v>0</v>
      </c>
      <c r="U397" s="135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313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16">
        <f>L414+L415</f>
        <v>0</v>
      </c>
      <c r="M413" s="217">
        <f>M414+M415</f>
        <v>0</v>
      </c>
      <c r="N413" s="217">
        <f>N414+N415</f>
        <v>0</v>
      </c>
      <c r="O413" s="217">
        <f>IF(L413&gt;0,N413*100/L413,0)</f>
        <v>0</v>
      </c>
      <c r="P413" s="217">
        <f>IF(M413&gt;0,N413*100/M413,0)</f>
        <v>0</v>
      </c>
      <c r="Q413" s="217">
        <f ca="1">Q414+Q415</f>
        <v>0</v>
      </c>
      <c r="R413" s="217">
        <f ca="1">R414+R415</f>
        <v>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>L418+L421</f>
        <v>0</v>
      </c>
      <c r="M415" s="135">
        <f>M418+M421</f>
        <v>0</v>
      </c>
      <c r="N415" s="135">
        <f>N418+N421</f>
        <v>0</v>
      </c>
      <c r="O415" s="135">
        <f>IF(L415&gt;0,N415*100/L415,0)</f>
        <v>0</v>
      </c>
      <c r="P415" s="135">
        <f>IF(M415&gt;0,N415*100/M415,0)</f>
        <v>0</v>
      </c>
      <c r="Q415" s="135">
        <f ca="1">Q418+Q421</f>
        <v>0</v>
      </c>
      <c r="R415" s="135">
        <f ca="1">R418+R421</f>
        <v>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>L417+L418</f>
        <v>0</v>
      </c>
      <c r="M416" s="135">
        <f>M417+M418</f>
        <v>0</v>
      </c>
      <c r="N416" s="135">
        <f>N417+N418</f>
        <v>0</v>
      </c>
      <c r="O416" s="135">
        <f>IF(L416&gt;0,N416*100/L416,0)</f>
        <v>0</v>
      </c>
      <c r="P416" s="135">
        <f>IF(M416&gt;0,N416*100/M416,0)</f>
        <v>0</v>
      </c>
      <c r="Q416" s="135">
        <f ca="1">Q417+Q418</f>
        <v>0</v>
      </c>
      <c r="R416" s="135">
        <f ca="1">R417+R418</f>
        <v>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135">
        <f>IF(L418&gt;0,N418*100/L418,0)</f>
        <v>0</v>
      </c>
      <c r="P418" s="135">
        <f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IFERROR(__xludf.DUMMYFUNCTION("IMPORTRANGE(""https://docs.google.com/spreadsheets/d/1ItG2mGa2ceCfYo0BwxsXqNm01IGEUdYcSSLTEv9YCik/edit?usp=sharing"",""เบิกจ่ายกองทุน!BH55"")"),0)</f>
        <v>0</v>
      </c>
      <c r="R418" s="135">
        <f ca="1">IFERROR(__xludf.DUMMYFUNCTION("IMPORTRANGE(""https://docs.google.com/spreadsheets/d/1ItG2mGa2ceCfYo0BwxsXqNm01IGEUdYcSSLTEv9YCik/edit?usp=sharing"",""เบิกจ่ายกองทุน!BI55"")"),0)</f>
        <v>0</v>
      </c>
      <c r="S418" s="135">
        <f ca="1">IFERROR(__xludf.DUMMYFUNCTION("IMPORTRANGE(""https://docs.google.com/spreadsheets/d/1ItG2mGa2ceCfYo0BwxsXqNm01IGEUdYcSSLTEv9YCik/edit?usp=sharing"",""เบิกจ่ายกองทุน!BJ55"")"),0)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>L420+L421</f>
        <v>0</v>
      </c>
      <c r="M419" s="135">
        <f>M420+M421</f>
        <v>0</v>
      </c>
      <c r="N419" s="135">
        <f>N420+N421</f>
        <v>0</v>
      </c>
      <c r="O419" s="135">
        <f>IF(L419&gt;0,N419*100/L419,0)</f>
        <v>0</v>
      </c>
      <c r="P419" s="135">
        <f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135">
        <f>IF(L421&gt;0,N421*100/L421,0)</f>
        <v>0</v>
      </c>
      <c r="P421" s="135">
        <f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IFERROR(__xludf.DUMMYFUNCTION("IMPORTRANGE(""https://docs.google.com/spreadsheets/d/1eHaY18a8A9IcSdp1K8H6x8fbOy06t2VsZHhMHf-1x7Y/edit?usp=sharing"",""แผน!HJ55"")"),0)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IFERROR(__xludf.DUMMYFUNCTION("IMPORTRANGE(""https://docs.google.com/spreadsheets/d/1eHaY18a8A9IcSdp1K8H6x8fbOy06t2VsZHhMHf-1x7Y/edit?usp=sharing"",""แผน!HK55"")"),0)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IFERROR(__xludf.DUMMYFUNCTION("IMPORTRANGE(""https://docs.google.com/spreadsheets/d/1eHaY18a8A9IcSdp1K8H6x8fbOy06t2VsZHhMHf-1x7Y/edit?usp=sharing"",""แผน!HJ55"")"),0)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IFERROR(__xludf.DUMMYFUNCTION("IMPORTRANGE(""https://docs.google.com/spreadsheets/d/1eHaY18a8A9IcSdp1K8H6x8fbOy06t2VsZHhMHf-1x7Y/edit?usp=sharing"",""แผน!HK55"")"),0)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IFERROR(__xludf.DUMMYFUNCTION("IMPORTRANGE(""https://docs.google.com/spreadsheets/d/1eHaY18a8A9IcSdp1K8H6x8fbOy06t2VsZHhMHf-1x7Y/edit?usp=sharing"",""แผน!HJ55"")"),0)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IFERROR(__xludf.DUMMYFUNCTION("IMPORTRANGE(""https://docs.google.com/spreadsheets/d/1eHaY18a8A9IcSdp1K8H6x8fbOy06t2VsZHhMHf-1x7Y/edit?usp=sharing"",""แผน!HK55"")"),0)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IFERROR(__xludf.DUMMYFUNCTION("IMPORTRANGE(""https://docs.google.com/spreadsheets/d/1eHaY18a8A9IcSdp1K8H6x8fbOy06t2VsZHhMHf-1x7Y/edit?usp=sharing"",""แผน!HL55"")"),0)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IFERROR(__xludf.DUMMYFUNCTION("IMPORTRANGE(""https://docs.google.com/spreadsheets/d/1eHaY18a8A9IcSdp1K8H6x8fbOy06t2VsZHhMHf-1x7Y/edit?usp=sharing"",""แผน!HM55"")"),0)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IFERROR(__xludf.DUMMYFUNCTION("IMPORTRANGE(""https://docs.google.com/spreadsheets/d/1eHaY18a8A9IcSdp1K8H6x8fbOy06t2VsZHhMHf-1x7Y/edit?usp=sharing"",""แผน!HN55"")"),0)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IFERROR(__xludf.DUMMYFUNCTION("IMPORTRANGE(""https://docs.google.com/spreadsheets/d/1eHaY18a8A9IcSdp1K8H6x8fbOy06t2VsZHhMHf-1x7Y/edit?usp=sharing"",""แผน!HO55"")"),0)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324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16">
        <f>L494+L495</f>
        <v>0</v>
      </c>
      <c r="M493" s="217">
        <f>M494+M495</f>
        <v>0</v>
      </c>
      <c r="N493" s="217">
        <f>N494+N495</f>
        <v>0</v>
      </c>
      <c r="O493" s="217">
        <f>IF(L493&gt;0,N493*100/L493,0)</f>
        <v>0</v>
      </c>
      <c r="P493" s="217">
        <f>IF(M493&gt;0,N493*100/M493,0)</f>
        <v>0</v>
      </c>
      <c r="Q493" s="217">
        <f ca="1">Q494+Q495</f>
        <v>0</v>
      </c>
      <c r="R493" s="217">
        <f ca="1">R494+R495</f>
        <v>0</v>
      </c>
      <c r="S493" s="217">
        <f ca="1">S494+S495</f>
        <v>0</v>
      </c>
      <c r="T493" s="217">
        <f ca="1">IF(Q493&gt;0,S493*100/Q493,0)</f>
        <v>0</v>
      </c>
      <c r="U493" s="217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>L498+L501</f>
        <v>0</v>
      </c>
      <c r="M495" s="135">
        <f>M498+M501</f>
        <v>0</v>
      </c>
      <c r="N495" s="135">
        <f>N498+N501</f>
        <v>0</v>
      </c>
      <c r="O495" s="135">
        <f>IF(L495&gt;0,N495*100/L495,0)</f>
        <v>0</v>
      </c>
      <c r="P495" s="135">
        <f>IF(M495&gt;0,N495*100/M495,0)</f>
        <v>0</v>
      </c>
      <c r="Q495" s="135">
        <f ca="1">Q498+Q501</f>
        <v>0</v>
      </c>
      <c r="R495" s="135">
        <f ca="1">R498+R501</f>
        <v>0</v>
      </c>
      <c r="S495" s="135">
        <f ca="1">S498+S501</f>
        <v>0</v>
      </c>
      <c r="T495" s="135">
        <f ca="1">IF(Q495&gt;0,S495*100/Q495,0)</f>
        <v>0</v>
      </c>
      <c r="U495" s="135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>L497+L498</f>
        <v>0</v>
      </c>
      <c r="M496" s="135">
        <f>M497+M498</f>
        <v>0</v>
      </c>
      <c r="N496" s="135">
        <f>N497+N498</f>
        <v>0</v>
      </c>
      <c r="O496" s="135">
        <f>IF(L496&gt;0,N496*100/L496,0)</f>
        <v>0</v>
      </c>
      <c r="P496" s="135">
        <f>IF(M496&gt;0,N496*100/M496,0)</f>
        <v>0</v>
      </c>
      <c r="Q496" s="135">
        <f ca="1">Q497+Q498</f>
        <v>0</v>
      </c>
      <c r="R496" s="135">
        <f ca="1">R497+R498</f>
        <v>0</v>
      </c>
      <c r="S496" s="135">
        <f ca="1">S497+S498</f>
        <v>0</v>
      </c>
      <c r="T496" s="135">
        <f ca="1">IF(Q496&gt;0,S496*100/Q496,0)</f>
        <v>0</v>
      </c>
      <c r="U496" s="135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135">
        <f>IF(L498&gt;0,N498*100/L498,0)</f>
        <v>0</v>
      </c>
      <c r="P498" s="135">
        <f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IFERROR(__xludf.DUMMYFUNCTION("IMPORTRANGE(""https://docs.google.com/spreadsheets/d/1ItG2mGa2ceCfYo0BwxsXqNm01IGEUdYcSSLTEv9YCik/edit?usp=sharing"",""เบิกจ่ายกองทุน!X55"")"),0)</f>
        <v>0</v>
      </c>
      <c r="R498" s="135">
        <f ca="1">IFERROR(__xludf.DUMMYFUNCTION("IMPORTRANGE(""https://docs.google.com/spreadsheets/d/1ItG2mGa2ceCfYo0BwxsXqNm01IGEUdYcSSLTEv9YCik/edit?usp=sharing"",""เบิกจ่ายกองทุน!Y55"")"),0)</f>
        <v>0</v>
      </c>
      <c r="S498" s="135">
        <f ca="1">IFERROR(__xludf.DUMMYFUNCTION("IMPORTRANGE(""https://docs.google.com/spreadsheets/d/1ItG2mGa2ceCfYo0BwxsXqNm01IGEUdYcSSLTEv9YCik/edit?usp=sharing"",""เบิกจ่ายกองทุน!Z55"")"),0)</f>
        <v>0</v>
      </c>
      <c r="T498" s="135">
        <f ca="1">IF(Q498&gt;0,S498*100/Q498,0)</f>
        <v>0</v>
      </c>
      <c r="U498" s="135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>L500+L501</f>
        <v>0</v>
      </c>
      <c r="M499" s="135">
        <f>M500+M501</f>
        <v>0</v>
      </c>
      <c r="N499" s="135">
        <f>N500+N501</f>
        <v>0</v>
      </c>
      <c r="O499" s="135">
        <f>IF(L499&gt;0,N499*100/L499,0)</f>
        <v>0</v>
      </c>
      <c r="P499" s="135">
        <f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135">
        <f>IF(L501&gt;0,N501*100/L501,0)</f>
        <v>0</v>
      </c>
      <c r="P501" s="135">
        <f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IFERROR(__xludf.DUMMYFUNCTION("IMPORTRANGE(""https://docs.google.com/spreadsheets/d/1eHaY18a8A9IcSdp1K8H6x8fbOy06t2VsZHhMHf-1x7Y/edit?usp=sharing"",""แผน!GX55"")"),0)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IFERROR(__xludf.DUMMYFUNCTION("IMPORTRANGE(""https://docs.google.com/spreadsheets/d/1eHaY18a8A9IcSdp1K8H6x8fbOy06t2VsZHhMHf-1x7Y/edit?usp=sharing"",""แผน!GY55"")"),0)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IFERROR(__xludf.DUMMYFUNCTION("IMPORTRANGE(""https://docs.google.com/spreadsheets/d/1eHaY18a8A9IcSdp1K8H6x8fbOy06t2VsZHhMHf-1x7Y/edit?usp=sharing"",""แผน!GZ55"")"),0)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IFERROR(__xludf.DUMMYFUNCTION("IMPORTRANGE(""https://docs.google.com/spreadsheets/d/1eHaY18a8A9IcSdp1K8H6x8fbOy06t2VsZHhMHf-1x7Y/edit?usp=sharing"",""แผน!HA55"")"),0)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IFERROR(__xludf.DUMMYFUNCTION("IMPORTRANGE(""https://docs.google.com/spreadsheets/d/1eHaY18a8A9IcSdp1K8H6x8fbOy06t2VsZHhMHf-1x7Y/edit?usp=sharing"",""แผน!HB55"")"),0)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IFERROR(__xludf.DUMMYFUNCTION("IMPORTRANGE(""https://docs.google.com/spreadsheets/d/1eHaY18a8A9IcSdp1K8H6x8fbOy06t2VsZHhMHf-1x7Y/edit?usp=sharing"",""แผน!HC55"")"),0)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IFERROR(__xludf.DUMMYFUNCTION("IMPORTRANGE(""https://docs.google.com/spreadsheets/d/1-uDff_7J0KD5mKrp0Vvzr7lt3OU09vwQwhkpOPPYv2Y/edit?usp=sharing"",""งบพรบ!FM55"")"),0)</f>
        <v>0</v>
      </c>
      <c r="M518" s="135">
        <f ca="1">IFERROR(__xludf.DUMMYFUNCTION("IMPORTRANGE(""https://docs.google.com/spreadsheets/d/1-uDff_7J0KD5mKrp0Vvzr7lt3OU09vwQwhkpOPPYv2Y/edit?usp=sharing"",""งบพรบ!FR55"")"),0)</f>
        <v>0</v>
      </c>
      <c r="N518" s="135">
        <f ca="1">IFERROR(__xludf.DUMMYFUNCTION("IMPORTRANGE(""https://docs.google.com/spreadsheets/d/1-uDff_7J0KD5mKrp0Vvzr7lt3OU09vwQwhkpOPPYv2Y/edit?usp=sharing"",""งบพรบ!FT55"")"),0)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IFERROR(__xludf.DUMMYFUNCTION("IMPORTRANGE(""https://docs.google.com/spreadsheets/d/1-uDff_7J0KD5mKrp0Vvzr7lt3OU09vwQwhkpOPPYv2Y/edit?usp=sharing"",""งบพรบ!FP55"")"),0)</f>
        <v>0</v>
      </c>
      <c r="M521" s="135">
        <f ca="1">IFERROR(__xludf.DUMMYFUNCTION("IMPORTRANGE(""https://docs.google.com/spreadsheets/d/1-uDff_7J0KD5mKrp0Vvzr7lt3OU09vwQwhkpOPPYv2Y/edit?usp=sharing"",""งบพรบ!FS55"")"),0)</f>
        <v>0</v>
      </c>
      <c r="N521" s="135">
        <f ca="1">IFERROR(__xludf.DUMMYFUNCTION("IMPORTRANGE(""https://docs.google.com/spreadsheets/d/1-uDff_7J0KD5mKrp0Vvzr7lt3OU09vwQwhkpOPPYv2Y/edit?usp=sharing"",""งบพรบ!FU55"")"),0)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0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1260" t="s">
        <v>312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>L535+L536</f>
        <v>0</v>
      </c>
      <c r="M534" s="217">
        <f>M535+M536</f>
        <v>0</v>
      </c>
      <c r="N534" s="217">
        <f>N535+N536</f>
        <v>0</v>
      </c>
      <c r="O534" s="217">
        <f>IF(L534&gt;0,N534*100/L534,0)</f>
        <v>0</v>
      </c>
      <c r="P534" s="217">
        <f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71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>L539+L542</f>
        <v>0</v>
      </c>
      <c r="M536" s="135">
        <f>M539+M542</f>
        <v>0</v>
      </c>
      <c r="N536" s="135">
        <f>N539+N542</f>
        <v>0</v>
      </c>
      <c r="O536" s="135">
        <f>IF(L536&gt;0,N536*100/L536,0)</f>
        <v>0</v>
      </c>
      <c r="P536" s="135">
        <f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71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>L538+L539</f>
        <v>0</v>
      </c>
      <c r="M537" s="135">
        <f>M538+M539</f>
        <v>0</v>
      </c>
      <c r="N537" s="135">
        <f>N538+N539</f>
        <v>0</v>
      </c>
      <c r="O537" s="135">
        <f>IF(L537&gt;0,N537*100/L537,0)</f>
        <v>0</v>
      </c>
      <c r="P537" s="135">
        <f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71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71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135">
        <f>IF(L539&gt;0,N539*100/L539,0)</f>
        <v>0</v>
      </c>
      <c r="P539" s="135">
        <f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71"/>
      <c r="C540" s="271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>L541+L542</f>
        <v>0</v>
      </c>
      <c r="M540" s="135">
        <f>M541+M542</f>
        <v>0</v>
      </c>
      <c r="N540" s="135">
        <f>N541+N542</f>
        <v>0</v>
      </c>
      <c r="O540" s="135">
        <f>IF(L540&gt;0,N540*100/L540,0)</f>
        <v>0</v>
      </c>
      <c r="P540" s="135">
        <f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71"/>
      <c r="C541" s="271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71"/>
      <c r="C542" s="271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135">
        <f>IF(L542&gt;0,N542*100/L542,0)</f>
        <v>0</v>
      </c>
      <c r="P542" s="135">
        <f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0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7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7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1260" t="s">
        <v>311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71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>L556+L557</f>
        <v>0</v>
      </c>
      <c r="M555" s="217">
        <f>M556+M557</f>
        <v>0</v>
      </c>
      <c r="N555" s="217">
        <f>N556+N557</f>
        <v>0</v>
      </c>
      <c r="O555" s="217">
        <f>IF(L555&gt;0,N555*100/L555,0)</f>
        <v>0</v>
      </c>
      <c r="P555" s="217">
        <f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71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>L560+L563</f>
        <v>0</v>
      </c>
      <c r="M557" s="135">
        <f>M560+M563</f>
        <v>0</v>
      </c>
      <c r="N557" s="135">
        <f>N560+N563</f>
        <v>0</v>
      </c>
      <c r="O557" s="135">
        <f>IF(L557&gt;0,N557*100/L557,0)</f>
        <v>0</v>
      </c>
      <c r="P557" s="135">
        <f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71"/>
      <c r="C558" s="271"/>
      <c r="D558" s="900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>L559+L560</f>
        <v>0</v>
      </c>
      <c r="M558" s="135">
        <f>M559+M560</f>
        <v>0</v>
      </c>
      <c r="N558" s="135">
        <f>N559+N560</f>
        <v>0</v>
      </c>
      <c r="O558" s="135">
        <f>IF(L558&gt;0,N558*100/L558,0)</f>
        <v>0</v>
      </c>
      <c r="P558" s="135">
        <f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71"/>
      <c r="C559" s="271"/>
      <c r="D559" s="271"/>
      <c r="E559" s="573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71"/>
      <c r="C560" s="260"/>
      <c r="D560" s="271"/>
      <c r="E560" s="571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135">
        <f>IF(L560&gt;0,N560*100/L560,0)</f>
        <v>0</v>
      </c>
      <c r="P560" s="135">
        <f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71"/>
      <c r="C561" s="271"/>
      <c r="D561" s="900" t="s">
        <v>23</v>
      </c>
      <c r="E561" s="271"/>
      <c r="F561" s="260"/>
      <c r="G561" s="263"/>
      <c r="H561" s="277" t="s">
        <v>14</v>
      </c>
      <c r="I561" s="274"/>
      <c r="J561" s="274"/>
      <c r="K561" s="231"/>
      <c r="L561" s="134">
        <f>L562+L563</f>
        <v>0</v>
      </c>
      <c r="M561" s="135">
        <f>M562+M563</f>
        <v>0</v>
      </c>
      <c r="N561" s="135">
        <f>N562+N563</f>
        <v>0</v>
      </c>
      <c r="O561" s="135">
        <f>IF(L561&gt;0,N561*100/L561,0)</f>
        <v>0</v>
      </c>
      <c r="P561" s="135">
        <f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71"/>
      <c r="C562" s="271"/>
      <c r="D562" s="271"/>
      <c r="E562" s="573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71"/>
      <c r="C563" s="271"/>
      <c r="D563" s="271"/>
      <c r="E563" s="571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135">
        <f>IF(L563&gt;0,N563*100/L563,0)</f>
        <v>0</v>
      </c>
      <c r="P563" s="135">
        <f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600" t="s">
        <v>18</v>
      </c>
      <c r="D564" s="820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75"/>
      <c r="C565" s="575"/>
      <c r="D565" s="57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75"/>
      <c r="C566" s="575"/>
      <c r="D566" s="57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7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1260" t="s">
        <v>310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71"/>
      <c r="C576" s="280" t="s">
        <v>18</v>
      </c>
      <c r="D576" s="262" t="s">
        <v>19</v>
      </c>
      <c r="E576" s="271"/>
      <c r="F576" s="271"/>
      <c r="G576" s="263"/>
      <c r="H576" s="264" t="s">
        <v>14</v>
      </c>
      <c r="I576" s="265"/>
      <c r="J576" s="265"/>
      <c r="K576" s="90"/>
      <c r="L576" s="216">
        <f>L577+L578</f>
        <v>0</v>
      </c>
      <c r="M576" s="217">
        <f>M577+M578</f>
        <v>0</v>
      </c>
      <c r="N576" s="217">
        <f>N577+N578</f>
        <v>0</v>
      </c>
      <c r="O576" s="217">
        <f>IF(L576&gt;0,N576*100/L576,0)</f>
        <v>0</v>
      </c>
      <c r="P576" s="217">
        <f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71"/>
      <c r="D577" s="271"/>
      <c r="E577" s="573" t="s">
        <v>20</v>
      </c>
      <c r="F577" s="271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71"/>
      <c r="C578" s="271"/>
      <c r="D578" s="271"/>
      <c r="E578" s="571" t="s">
        <v>21</v>
      </c>
      <c r="F578" s="271"/>
      <c r="G578" s="263"/>
      <c r="H578" s="270" t="s">
        <v>14</v>
      </c>
      <c r="I578" s="265"/>
      <c r="J578" s="265"/>
      <c r="K578" s="90"/>
      <c r="L578" s="134">
        <f>L581+L584</f>
        <v>0</v>
      </c>
      <c r="M578" s="135">
        <f>M581+M584</f>
        <v>0</v>
      </c>
      <c r="N578" s="135">
        <f>N581+N584</f>
        <v>0</v>
      </c>
      <c r="O578" s="135">
        <f>IF(L578&gt;0,N578*100/L578,0)</f>
        <v>0</v>
      </c>
      <c r="P578" s="135">
        <f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71"/>
      <c r="C579" s="271"/>
      <c r="D579" s="900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>L580+L581</f>
        <v>0</v>
      </c>
      <c r="M579" s="135">
        <f>M580+M581</f>
        <v>0</v>
      </c>
      <c r="N579" s="135">
        <f>N580+N581</f>
        <v>0</v>
      </c>
      <c r="O579" s="135">
        <f>IF(L579&gt;0,N579*100/L579,0)</f>
        <v>0</v>
      </c>
      <c r="P579" s="135">
        <f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71"/>
      <c r="C580" s="271"/>
      <c r="D580" s="271"/>
      <c r="E580" s="573" t="s">
        <v>36</v>
      </c>
      <c r="F580" s="271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71"/>
      <c r="C581" s="271"/>
      <c r="D581" s="271"/>
      <c r="E581" s="571" t="s">
        <v>37</v>
      </c>
      <c r="F581" s="271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135">
        <f>IF(L581&gt;0,N581*100/L581,0)</f>
        <v>0</v>
      </c>
      <c r="P581" s="135">
        <f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71"/>
      <c r="C582" s="271"/>
      <c r="D582" s="900" t="s">
        <v>23</v>
      </c>
      <c r="E582" s="271"/>
      <c r="F582" s="271"/>
      <c r="G582" s="263"/>
      <c r="H582" s="277" t="s">
        <v>14</v>
      </c>
      <c r="I582" s="274"/>
      <c r="J582" s="274"/>
      <c r="K582" s="231"/>
      <c r="L582" s="134">
        <f>L583+L584</f>
        <v>0</v>
      </c>
      <c r="M582" s="135">
        <f>M583+M584</f>
        <v>0</v>
      </c>
      <c r="N582" s="135">
        <f>N583+N584</f>
        <v>0</v>
      </c>
      <c r="O582" s="135">
        <f>IF(L582&gt;0,N582*100/L582,0)</f>
        <v>0</v>
      </c>
      <c r="P582" s="135">
        <f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71"/>
      <c r="C583" s="271"/>
      <c r="D583" s="271"/>
      <c r="E583" s="573" t="s">
        <v>20</v>
      </c>
      <c r="F583" s="271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71"/>
      <c r="C584" s="271"/>
      <c r="D584" s="271"/>
      <c r="E584" s="571" t="s">
        <v>21</v>
      </c>
      <c r="F584" s="271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135">
        <f>IF(L584&gt;0,N584*100/L584,0)</f>
        <v>0</v>
      </c>
      <c r="P584" s="135">
        <f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00" t="s">
        <v>18</v>
      </c>
      <c r="D585" s="820" t="s">
        <v>38</v>
      </c>
      <c r="E585" s="762"/>
      <c r="F585" s="76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75"/>
      <c r="C586" s="575"/>
      <c r="D586" s="575"/>
      <c r="E586" s="575"/>
      <c r="F586" s="57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75"/>
      <c r="C587" s="575"/>
      <c r="D587" s="575"/>
      <c r="E587" s="575"/>
      <c r="F587" s="57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75"/>
      <c r="E588" s="575"/>
      <c r="F588" s="57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75"/>
      <c r="E589" s="57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75"/>
      <c r="E590" s="575"/>
      <c r="F590" s="57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75"/>
      <c r="E591" s="575"/>
      <c r="F591" s="57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75"/>
      <c r="E592" s="57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75"/>
      <c r="E593" s="57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75"/>
      <c r="E594" s="57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580"/>
      <c r="E595" s="58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4"/>
      <c r="C596" s="673"/>
      <c r="D596" s="674"/>
      <c r="E596" s="674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075" t="s">
        <v>309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5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16">
        <f>L600+L601</f>
        <v>0</v>
      </c>
      <c r="M599" s="217">
        <f>M600+M601</f>
        <v>0</v>
      </c>
      <c r="N599" s="217">
        <f>N600+N601</f>
        <v>0</v>
      </c>
      <c r="O599" s="217">
        <f>IF(L599&gt;0,N599*100/L599,0)</f>
        <v>0</v>
      </c>
      <c r="P599" s="217">
        <f>IF(M599&gt;0,N599*100/M599,0)</f>
        <v>0</v>
      </c>
      <c r="Q599" s="217">
        <f>Q600+Q601</f>
        <v>0</v>
      </c>
      <c r="R599" s="217">
        <f>R600+R601</f>
        <v>0</v>
      </c>
      <c r="S599" s="217">
        <f>S600+S601</f>
        <v>0</v>
      </c>
      <c r="T599" s="217">
        <f>IF(Q599&gt;0,S599*100/Q599,0)</f>
        <v>0</v>
      </c>
      <c r="U599" s="217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219">
        <f>L603+L606</f>
        <v>0</v>
      </c>
      <c r="M600" s="136">
        <f>M603+M606</f>
        <v>0</v>
      </c>
      <c r="N600" s="136">
        <f>N603+N606</f>
        <v>0</v>
      </c>
      <c r="O600" s="136">
        <f>IF(L600&gt;0,N600*100/L600,0)</f>
        <v>0</v>
      </c>
      <c r="P600" s="136">
        <f>IF(M600&gt;0,N600*100/M600,0)</f>
        <v>0</v>
      </c>
      <c r="Q600" s="136">
        <f>Q603+Q606</f>
        <v>0</v>
      </c>
      <c r="R600" s="136">
        <f>R603+R606</f>
        <v>0</v>
      </c>
      <c r="S600" s="136">
        <f>S603+S606</f>
        <v>0</v>
      </c>
      <c r="T600" s="136">
        <f>IF(Q600&gt;0,S600*100/Q600,0)</f>
        <v>0</v>
      </c>
      <c r="U600" s="136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134">
        <f>L604+L607</f>
        <v>0</v>
      </c>
      <c r="M601" s="135">
        <f>M604+M607</f>
        <v>0</v>
      </c>
      <c r="N601" s="135">
        <f>N604+N607</f>
        <v>0</v>
      </c>
      <c r="O601" s="135">
        <f>IF(L601&gt;0,N601*100/L601,0)</f>
        <v>0</v>
      </c>
      <c r="P601" s="135">
        <f>IF(M601&gt;0,N601*100/M601,0)</f>
        <v>0</v>
      </c>
      <c r="Q601" s="135">
        <f>Q604+Q607</f>
        <v>0</v>
      </c>
      <c r="R601" s="135">
        <f>R604+R607</f>
        <v>0</v>
      </c>
      <c r="S601" s="135">
        <f>S604+S607</f>
        <v>0</v>
      </c>
      <c r="T601" s="135">
        <f>IF(Q601&gt;0,S601*100/Q601,0)</f>
        <v>0</v>
      </c>
      <c r="U601" s="135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134">
        <f>L603+L604</f>
        <v>0</v>
      </c>
      <c r="M602" s="135">
        <f>M603+M604</f>
        <v>0</v>
      </c>
      <c r="N602" s="135">
        <f>N603+N604</f>
        <v>0</v>
      </c>
      <c r="O602" s="135">
        <f>IF(L602&gt;0,N602*100/L602,0)</f>
        <v>0</v>
      </c>
      <c r="P602" s="135">
        <f>IF(M602&gt;0,N602*100/M602,0)</f>
        <v>0</v>
      </c>
      <c r="Q602" s="135">
        <f>Q603+Q604</f>
        <v>0</v>
      </c>
      <c r="R602" s="135">
        <f>R603+R604</f>
        <v>0</v>
      </c>
      <c r="S602" s="135">
        <f>S603+S604</f>
        <v>0</v>
      </c>
      <c r="T602" s="135">
        <f>IF(Q602&gt;0,S602*100/Q602,0)</f>
        <v>0</v>
      </c>
      <c r="U602" s="135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136">
        <f>IF(L603&gt;0,N603*100/L603,0)</f>
        <v>0</v>
      </c>
      <c r="P603" s="136">
        <f>IF(M603&gt;0,N603*100/M603,0)</f>
        <v>0</v>
      </c>
      <c r="Q603" s="80">
        <v>0</v>
      </c>
      <c r="R603" s="80">
        <v>0</v>
      </c>
      <c r="S603" s="80">
        <v>0</v>
      </c>
      <c r="T603" s="136">
        <f>IF(Q603&gt;0,S603*100/Q603,0)</f>
        <v>0</v>
      </c>
      <c r="U603" s="136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135">
        <f>IF(L604&gt;0,N604*100/L604,0)</f>
        <v>0</v>
      </c>
      <c r="P604" s="135">
        <f>IF(M604&gt;0,N604*100/M604,0)</f>
        <v>0</v>
      </c>
      <c r="Q604" s="77">
        <v>0</v>
      </c>
      <c r="R604" s="77">
        <v>0</v>
      </c>
      <c r="S604" s="77">
        <v>0</v>
      </c>
      <c r="T604" s="135">
        <f>IF(Q604&gt;0,S604*100/Q604,0)</f>
        <v>0</v>
      </c>
      <c r="U604" s="135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134">
        <f>L606+L607</f>
        <v>0</v>
      </c>
      <c r="M605" s="135">
        <f>M606+M607</f>
        <v>0</v>
      </c>
      <c r="N605" s="135">
        <f>N606+N607</f>
        <v>0</v>
      </c>
      <c r="O605" s="135">
        <f>IF(L605&gt;0,N605*100/L605,0)</f>
        <v>0</v>
      </c>
      <c r="P605" s="135">
        <f>IF(M605&gt;0,N605*100/M605,0)</f>
        <v>0</v>
      </c>
      <c r="Q605" s="135">
        <f>Q606+Q607</f>
        <v>0</v>
      </c>
      <c r="R605" s="135">
        <f>R606+R607</f>
        <v>0</v>
      </c>
      <c r="S605" s="135">
        <f>S606+S607</f>
        <v>0</v>
      </c>
      <c r="T605" s="135">
        <f>IF(Q605&gt;0,S605*100/Q605,0)</f>
        <v>0</v>
      </c>
      <c r="U605" s="135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136">
        <f>IF(L606&gt;0,N606*100/L606,0)</f>
        <v>0</v>
      </c>
      <c r="P606" s="136">
        <f>IF(M606&gt;0,N606*100/M606,0)</f>
        <v>0</v>
      </c>
      <c r="Q606" s="80">
        <v>0</v>
      </c>
      <c r="R606" s="80">
        <v>0</v>
      </c>
      <c r="S606" s="80">
        <v>0</v>
      </c>
      <c r="T606" s="136">
        <f>IF(Q606&gt;0,S606*100/Q606,0)</f>
        <v>0</v>
      </c>
      <c r="U606" s="136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135">
        <f>IF(L607&gt;0,N607*100/L607,0)</f>
        <v>0</v>
      </c>
      <c r="P607" s="135">
        <f>IF(M607&gt;0,N607*100/M607,0)</f>
        <v>0</v>
      </c>
      <c r="Q607" s="77">
        <v>0</v>
      </c>
      <c r="R607" s="77">
        <v>0</v>
      </c>
      <c r="S607" s="77">
        <v>0</v>
      </c>
      <c r="T607" s="135">
        <f>IF(Q607&gt;0,S607*100/Q607,0)</f>
        <v>0</v>
      </c>
      <c r="U607" s="135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334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0</v>
      </c>
      <c r="J615" s="1259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1275</v>
      </c>
      <c r="R616" s="217">
        <f ca="1">R617+R618</f>
        <v>1275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1275</v>
      </c>
      <c r="R618" s="135">
        <f ca="1">R621+R624</f>
        <v>1275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1275</v>
      </c>
      <c r="R619" s="135">
        <f ca="1">R620+R621</f>
        <v>1275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IFERROR(__xludf.DUMMYFUNCTION("IMPORTRANGE(""https://docs.google.com/spreadsheets/d/1ItG2mGa2ceCfYo0BwxsXqNm01IGEUdYcSSLTEv9YCik/edit?usp=sharing"",""เบิกจ่ายกองทุน!F55"")"),1275)</f>
        <v>1275</v>
      </c>
      <c r="R621" s="135">
        <f ca="1">IFERROR(__xludf.DUMMYFUNCTION("IMPORTRANGE(""https://docs.google.com/spreadsheets/d/1ItG2mGa2ceCfYo0BwxsXqNm01IGEUdYcSSLTEv9YCik/edit?usp=sharing"",""เบิกจ่ายกองทุน!G55"")"),1275)</f>
        <v>1275</v>
      </c>
      <c r="S621" s="135">
        <f ca="1">IFERROR(__xludf.DUMMYFUNCTION("IMPORTRANGE(""https://docs.google.com/spreadsheets/d/1ItG2mGa2ceCfYo0BwxsXqNm01IGEUdYcSSLTEv9YCik/edit?usp=sharing"",""เบิกจ่ายกองทุน!H55"")"),0)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841">
        <f ca="1">IFERROR(__xludf.DUMMYFUNCTION("IMPORTRANGE(""https://docs.google.com/spreadsheets/d/1eHaY18a8A9IcSdp1K8H6x8fbOy06t2VsZHhMHf-1x7Y/edit?usp=sharing"",""แผน!ID55"")"),0)</f>
        <v>0</v>
      </c>
      <c r="J626" s="840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824">
        <f ca="1">IFERROR(__xludf.DUMMYFUNCTION("IMPORTRANGE(""https://docs.google.com/spreadsheets/d/1eHaY18a8A9IcSdp1K8H6x8fbOy06t2VsZHhMHf-1x7Y/edit?usp=sharing"",""แผน!IC55"")"),0)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824">
        <f ca="1">IFERROR(__xludf.DUMMYFUNCTION("IMPORTRANGE(""https://docs.google.com/spreadsheets/d/1eHaY18a8A9IcSdp1K8H6x8fbOy06t2VsZHhMHf-1x7Y/edit?usp=sharing"",""แผน!IC55"")"),0)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839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839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839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839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839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839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828">
        <f ca="1">IFERROR(__xludf.DUMMYFUNCTION("IMPORTRANGE(""https://docs.google.com/spreadsheets/d/1eHaY18a8A9IcSdp1K8H6x8fbOy06t2VsZHhMHf-1x7Y/edit?usp=sharing"",""แผน!IE55"")"),0)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839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839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839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839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839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65360</v>
      </c>
      <c r="R642" s="217">
        <f ca="1">R643+R644</f>
        <v>65360</v>
      </c>
      <c r="S642" s="217">
        <f ca="1">S643+S644</f>
        <v>5090</v>
      </c>
      <c r="T642" s="217">
        <f ca="1">IF(Q642&gt;0,S642*100/Q642,0)</f>
        <v>7.7876376988984086</v>
      </c>
      <c r="U642" s="217">
        <f ca="1">IF(R642&gt;0,S642*100/R642,0)</f>
        <v>7.7876376988984086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65360</v>
      </c>
      <c r="R644" s="135">
        <f ca="1">R647+R650</f>
        <v>65360</v>
      </c>
      <c r="S644" s="135">
        <f ca="1">S647+S650</f>
        <v>5090</v>
      </c>
      <c r="T644" s="135">
        <f ca="1">IF(Q644&gt;0,S644*100/Q644,0)</f>
        <v>7.7876376988984086</v>
      </c>
      <c r="U644" s="135">
        <f ca="1">IF(R644&gt;0,S644*100/R644,0)</f>
        <v>7.7876376988984086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65360</v>
      </c>
      <c r="R645" s="135">
        <f ca="1">R646+R647</f>
        <v>65360</v>
      </c>
      <c r="S645" s="135">
        <f ca="1">S646+S647</f>
        <v>5090</v>
      </c>
      <c r="T645" s="135">
        <f ca="1">IF(Q645&gt;0,S645*100/Q645,0)</f>
        <v>7.7876376988984086</v>
      </c>
      <c r="U645" s="135">
        <f ca="1">IF(R645&gt;0,S645*100/R645,0)</f>
        <v>7.7876376988984086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IFERROR(__xludf.DUMMYFUNCTION("IMPORTRANGE(""https://docs.google.com/spreadsheets/d/1ItG2mGa2ceCfYo0BwxsXqNm01IGEUdYcSSLTEv9YCik/edit?usp=sharing"",""เบิกจ่ายกองทุน!I55"")"),65360)</f>
        <v>65360</v>
      </c>
      <c r="R647" s="135">
        <f ca="1">IFERROR(__xludf.DUMMYFUNCTION("IMPORTRANGE(""https://docs.google.com/spreadsheets/d/1ItG2mGa2ceCfYo0BwxsXqNm01IGEUdYcSSLTEv9YCik/edit?usp=sharing"",""เบิกจ่ายกองทุน!J55"")"),65360)</f>
        <v>65360</v>
      </c>
      <c r="S647" s="135">
        <f ca="1">IFERROR(__xludf.DUMMYFUNCTION("IMPORTRANGE(""https://docs.google.com/spreadsheets/d/1ItG2mGa2ceCfYo0BwxsXqNm01IGEUdYcSSLTEv9YCik/edit?usp=sharing"",""เบิกจ่ายกองทุน!K55"")"),5090)</f>
        <v>5090</v>
      </c>
      <c r="T647" s="135">
        <f ca="1">IF(Q647&gt;0,S647*100/Q647,0)</f>
        <v>7.7876376988984086</v>
      </c>
      <c r="U647" s="135">
        <f ca="1">IF(R647&gt;0,S647*100/R647,0)</f>
        <v>7.7876376988984086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71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13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571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IFERROR(__xludf.DUMMYFUNCTION("IMPORTRANGE(""https://docs.google.com/spreadsheets/d/1eHaY18a8A9IcSdp1K8H6x8fbOy06t2VsZHhMHf-1x7Y/edit?usp=sharing"",""แผน!IF55"")"),0)</f>
        <v>0</v>
      </c>
      <c r="J652" s="295">
        <f ca="1">IFERROR(__xludf.DUMMYFUNCTION("IMPORTRANGE(""https://docs.google.com/spreadsheets/d/1tdoBKaGub7dwA3U6UFTqxio9LNnvDCQjHKmttSEBsFQ/edit?usp=sharing"",""จัดที่ดิน!AU55"")"),0)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571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IFERROR(__xludf.DUMMYFUNCTION("IMPORTRANGE(""https://docs.google.com/spreadsheets/d/1eHaY18a8A9IcSdp1K8H6x8fbOy06t2VsZHhMHf-1x7Y/edit?usp=sharing"",""แผน!IG55"")"),10)</f>
        <v>10</v>
      </c>
      <c r="J653" s="295">
        <f ca="1">IFERROR(__xludf.DUMMYFUNCTION("IMPORTRANGE(""https://docs.google.com/spreadsheets/d/1tdoBKaGub7dwA3U6UFTqxio9LNnvDCQjHKmttSEBsFQ/edit?usp=sharing"",""จัดที่ดิน!AW55"")"),5)</f>
        <v>5</v>
      </c>
      <c r="K653" s="77">
        <f ca="1">IF(I653&gt;0,J653*100/I653,0)</f>
        <v>50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571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IFERROR(__xludf.DUMMYFUNCTION("IMPORTRANGE(""https://docs.google.com/spreadsheets/d/1eHaY18a8A9IcSdp1K8H6x8fbOy06t2VsZHhMHf-1x7Y/edit?usp=sharing"",""แผน!IH55"")"),50)</f>
        <v>50</v>
      </c>
      <c r="J654" s="603">
        <f>J657+J660</f>
        <v>1.44</v>
      </c>
      <c r="K654" s="266">
        <f ca="1">IF(I654&gt;0,J654*100/I654,0)</f>
        <v>2.88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71"/>
      <c r="E655" s="269" t="s">
        <v>241</v>
      </c>
      <c r="F655" s="260"/>
      <c r="G655" s="263"/>
      <c r="H655" s="277" t="s">
        <v>35</v>
      </c>
      <c r="I655" s="311"/>
      <c r="J655" s="296">
        <v>1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71"/>
      <c r="E656" s="260"/>
      <c r="F656" s="260"/>
      <c r="G656" s="263"/>
      <c r="H656" s="277" t="s">
        <v>34</v>
      </c>
      <c r="I656" s="311"/>
      <c r="J656" s="296">
        <v>1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71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IFERROR(__xludf.DUMMYFUNCTION("IMPORTRANGE(""https://docs.google.com/spreadsheets/d/1eHaY18a8A9IcSdp1K8H6x8fbOy06t2VsZHhMHf-1x7Y/edit?usp=sharing"",""แผน!II55"")"),50)</f>
        <v>50</v>
      </c>
      <c r="J657" s="296">
        <v>1.44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71"/>
      <c r="E658" s="269" t="s">
        <v>242</v>
      </c>
      <c r="F658" s="260"/>
      <c r="G658" s="263"/>
      <c r="H658" s="277" t="s">
        <v>35</v>
      </c>
      <c r="I658" s="311"/>
      <c r="J658" s="296"/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71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71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IFERROR(__xludf.DUMMYFUNCTION("IMPORTRANGE(""https://docs.google.com/spreadsheets/d/1eHaY18a8A9IcSdp1K8H6x8fbOy06t2VsZHhMHf-1x7Y/edit?usp=sharing"",""แผน!IJ55"")"),0)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1258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IFERROR(__xludf.DUMMYFUNCTION("IMPORTRANGE(""https://docs.google.com/spreadsheets/d/1eHaY18a8A9IcSdp1K8H6x8fbOy06t2VsZHhMHf-1x7Y/edit?usp=sharing"",""แผน!IK55"")"),400)</f>
        <v>400</v>
      </c>
      <c r="J661" s="603">
        <f>J667+J670</f>
        <v>240</v>
      </c>
      <c r="K661" s="266">
        <f ca="1">IF(I661&gt;0,J661*100/I661,0)</f>
        <v>60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71"/>
      <c r="E662" s="269" t="s">
        <v>244</v>
      </c>
      <c r="F662" s="260"/>
      <c r="G662" s="263"/>
      <c r="H662" s="277" t="s">
        <v>34</v>
      </c>
      <c r="I662" s="311"/>
      <c r="J662" s="296"/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71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71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71"/>
      <c r="E665" s="260"/>
      <c r="F665" s="269" t="s">
        <v>246</v>
      </c>
      <c r="G665" s="263"/>
      <c r="H665" s="277" t="s">
        <v>35</v>
      </c>
      <c r="I665" s="311"/>
      <c r="J665" s="296">
        <f>4+6</f>
        <v>10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71"/>
      <c r="E666" s="260"/>
      <c r="F666" s="260"/>
      <c r="G666" s="263"/>
      <c r="H666" s="277" t="s">
        <v>34</v>
      </c>
      <c r="I666" s="311"/>
      <c r="J666" s="296">
        <f>4+6</f>
        <v>10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71"/>
      <c r="E667" s="260"/>
      <c r="F667" s="260"/>
      <c r="G667" s="263"/>
      <c r="H667" s="277" t="s">
        <v>46</v>
      </c>
      <c r="I667" s="311"/>
      <c r="J667" s="296">
        <f>42+156</f>
        <v>198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4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4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42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IFERROR(__xludf.DUMMYFUNCTION("IMPORTRANGE(""https://docs.google.com/spreadsheets/d/1tdoBKaGub7dwA3U6UFTqxio9LNnvDCQjHKmttSEBsFQ/edit?usp=sharing"",""จัดที่ดิน!AY55"")"),0)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IFERROR(__xludf.DUMMYFUNCTION("IMPORTRANGE(""https://docs.google.com/spreadsheets/d/1tdoBKaGub7dwA3U6UFTqxio9LNnvDCQjHKmttSEBsFQ/edit?usp=sharing"",""จัดที่ดิน!AZ55"")"),0)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IFERROR(__xludf.DUMMYFUNCTION("IMPORTRANGE(""https://docs.google.com/spreadsheets/d/1eHaY18a8A9IcSdp1K8H6x8fbOy06t2VsZHhMHf-1x7Y/edit?usp=sharing"",""แผน!IL55"")"),30)</f>
        <v>30</v>
      </c>
      <c r="J673" s="295">
        <f ca="1">IFERROR(__xludf.DUMMYFUNCTION("IMPORTRANGE(""https://docs.google.com/spreadsheets/d/1tdoBKaGub7dwA3U6UFTqxio9LNnvDCQjHKmttSEBsFQ/edit?usp=sharing"",""จัดที่ดิน!BA55"")"),0)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IFERROR(__xludf.DUMMYFUNCTION("IMPORTRANGE(""https://docs.google.com/spreadsheets/d/1eHaY18a8A9IcSdp1K8H6x8fbOy06t2VsZHhMHf-1x7Y/edit?usp=sharing"",""แผน!IM55"")"),78)</f>
        <v>78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IFERROR(__xludf.DUMMYFUNCTION("IMPORTRANGE(""https://docs.google.com/spreadsheets/d/1eHaY18a8A9IcSdp1K8H6x8fbOy06t2VsZHhMHf-1x7Y/edit?usp=sharing"",""แผน!IN55"")"),550)</f>
        <v>550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IFERROR(__xludf.DUMMYFUNCTION("IMPORTRANGE(""https://docs.google.com/spreadsheets/d/1eHaY18a8A9IcSdp1K8H6x8fbOy06t2VsZHhMHf-1x7Y/edit?usp=sharing"",""แผน!IO55"")"),40)</f>
        <v>40</v>
      </c>
      <c r="J676" s="295">
        <f ca="1">IFERROR(__xludf.DUMMYFUNCTION("IMPORTRANGE(""https://docs.google.com/spreadsheets/d/1tdoBKaGub7dwA3U6UFTqxio9LNnvDCQjHKmttSEBsFQ/edit?usp=sharing"",""จัดที่ดิน!BF55"")"),0)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IFERROR(__xludf.DUMMYFUNCTION("IMPORTRANGE(""https://docs.google.com/spreadsheets/d/1tdoBKaGub7dwA3U6UFTqxio9LNnvDCQjHKmttSEBsFQ/edit?usp=sharing"",""จัดที่ดิน!BG55"")"),0)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IFERROR(__xludf.DUMMYFUNCTION("IMPORTRANGE(""https://docs.google.com/spreadsheets/d/1eHaY18a8A9IcSdp1K8H6x8fbOy06t2VsZHhMHf-1x7Y/edit?usp=sharing"",""แผน!IP55"")"),250)</f>
        <v>250</v>
      </c>
      <c r="J678" s="295">
        <f ca="1">IFERROR(__xludf.DUMMYFUNCTION("IMPORTRANGE(""https://docs.google.com/spreadsheets/d/1tdoBKaGub7dwA3U6UFTqxio9LNnvDCQjHKmttSEBsFQ/edit?usp=sharing"",""จัดที่ดิน!BH55"")"),0)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IFERROR(__xludf.DUMMYFUNCTION("IMPORTRANGE(""https://docs.google.com/spreadsheets/d/1eHaY18a8A9IcSdp1K8H6x8fbOy06t2VsZHhMHf-1x7Y/edit?usp=sharing"",""แผน!IQ55"")"),38)</f>
        <v>38</v>
      </c>
      <c r="J679" s="295">
        <f ca="1">IFERROR(__xludf.DUMMYFUNCTION("IMPORTRANGE(""https://docs.google.com/spreadsheets/d/1tdoBKaGub7dwA3U6UFTqxio9LNnvDCQjHKmttSEBsFQ/edit?usp=sharing"",""จัดที่ดิน!BK55"")"),0)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IFERROR(__xludf.DUMMYFUNCTION("IMPORTRANGE(""https://docs.google.com/spreadsheets/d/1tdoBKaGub7dwA3U6UFTqxio9LNnvDCQjHKmttSEBsFQ/edit?usp=sharing"",""จัดที่ดิน!BL55"")"),0)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IFERROR(__xludf.DUMMYFUNCTION("IMPORTRANGE(""https://docs.google.com/spreadsheets/d/1eHaY18a8A9IcSdp1K8H6x8fbOy06t2VsZHhMHf-1x7Y/edit?usp=sharing"",""แผน!IR55"")"),300)</f>
        <v>300</v>
      </c>
      <c r="J681" s="295">
        <f ca="1">IFERROR(__xludf.DUMMYFUNCTION("IMPORTRANGE(""https://docs.google.com/spreadsheets/d/1tdoBKaGub7dwA3U6UFTqxio9LNnvDCQjHKmttSEBsFQ/edit?usp=sharing"",""จัดที่ดิน!BM55"")"),0)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IFERROR(__xludf.DUMMYFUNCTION("IMPORTRANGE(""https://docs.google.com/spreadsheets/d/1eHaY18a8A9IcSdp1K8H6x8fbOy06t2VsZHhMHf-1x7Y/edit?usp=sharing"",""แผน!IS55"")"),50)</f>
        <v>50</v>
      </c>
      <c r="J682" s="603">
        <f>J685+J688</f>
        <v>81</v>
      </c>
      <c r="K682" s="266">
        <f ca="1">IF(I682&gt;0,J682*100/I682,0)</f>
        <v>162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6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2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42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15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3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39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333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150</v>
      </c>
      <c r="J689" s="760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296950</v>
      </c>
      <c r="R690" s="217">
        <f ca="1">R691+R692</f>
        <v>296950</v>
      </c>
      <c r="S690" s="217">
        <f ca="1">S691+S692</f>
        <v>51786</v>
      </c>
      <c r="T690" s="217">
        <f ca="1">IF(Q690&gt;0,S690*100/Q690,0)</f>
        <v>17.43929954537801</v>
      </c>
      <c r="U690" s="217">
        <f ca="1">IF(R690&gt;0,S690*100/R690,0)</f>
        <v>17.43929954537801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296950</v>
      </c>
      <c r="R692" s="135">
        <f ca="1">R695+R698</f>
        <v>296950</v>
      </c>
      <c r="S692" s="135">
        <f ca="1">S695+S698</f>
        <v>51786</v>
      </c>
      <c r="T692" s="135">
        <f ca="1">IF(Q692&gt;0,S692*100/Q692,0)</f>
        <v>17.43929954537801</v>
      </c>
      <c r="U692" s="135">
        <f ca="1">IF(R692&gt;0,S692*100/R692,0)</f>
        <v>17.43929954537801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296950</v>
      </c>
      <c r="R693" s="135">
        <f ca="1">R694+R695</f>
        <v>296950</v>
      </c>
      <c r="S693" s="135">
        <f ca="1">S694+S695</f>
        <v>51786</v>
      </c>
      <c r="T693" s="135">
        <f ca="1">IF(Q693&gt;0,S693*100/Q693,0)</f>
        <v>17.43929954537801</v>
      </c>
      <c r="U693" s="135">
        <f ca="1">IF(R693&gt;0,S693*100/R693,0)</f>
        <v>17.43929954537801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IFERROR(__xludf.DUMMYFUNCTION("IMPORTRANGE(""https://docs.google.com/spreadsheets/d/1ItG2mGa2ceCfYo0BwxsXqNm01IGEUdYcSSLTEv9YCik/edit?usp=sharing"",""เบิกจ่ายกองทุน!L55"")"),296950)</f>
        <v>296950</v>
      </c>
      <c r="R695" s="135">
        <f ca="1">IFERROR(__xludf.DUMMYFUNCTION("IMPORTRANGE(""https://docs.google.com/spreadsheets/d/1ItG2mGa2ceCfYo0BwxsXqNm01IGEUdYcSSLTEv9YCik/edit?usp=sharing"",""เบิกจ่ายกองทุน!M55"")"),296950)</f>
        <v>296950</v>
      </c>
      <c r="S695" s="135">
        <f ca="1">IFERROR(__xludf.DUMMYFUNCTION("IMPORTRANGE(""https://docs.google.com/spreadsheets/d/1ItG2mGa2ceCfYo0BwxsXqNm01IGEUdYcSSLTEv9YCik/edit?usp=sharing"",""เบิกจ่ายกองทุน!N55"")"),51786)</f>
        <v>51786</v>
      </c>
      <c r="T695" s="135">
        <f ca="1">IF(Q695&gt;0,S695*100/Q695,0)</f>
        <v>17.43929954537801</v>
      </c>
      <c r="U695" s="135">
        <f ca="1">IF(R695&gt;0,S695*100/R695,0)</f>
        <v>17.43929954537801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IFERROR(__xludf.DUMMYFUNCTION("IMPORTRANGE(""https://docs.google.com/spreadsheets/d/1eHaY18a8A9IcSdp1K8H6x8fbOy06t2VsZHhMHf-1x7Y/edit?usp=sharing"",""แผน!LC55"")"),2)</f>
        <v>2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IFERROR(__xludf.DUMMYFUNCTION("IMPORTRANGE(""https://docs.google.com/spreadsheets/d/1eHaY18a8A9IcSdp1K8H6x8fbOy06t2VsZHhMHf-1x7Y/edit?usp=sharing"",""แผน!LI55"")"),155)</f>
        <v>155</v>
      </c>
      <c r="J701" s="603">
        <f ca="1">IFERROR(__xludf.DUMMYFUNCTION("IMPORTRANGE(""https://docs.google.com/spreadsheets/d/1tdoBKaGub7dwA3U6UFTqxio9LNnvDCQjHKmttSEBsFQ/edit?usp=sharing"",""จัดที่ดิน!AP55"")"),0)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IFERROR(__xludf.DUMMYFUNCTION("IMPORTRANGE(""https://docs.google.com/spreadsheets/d/1tdoBKaGub7dwA3U6UFTqxio9LNnvDCQjHKmttSEBsFQ/edit?usp=sharing"",""จัดที่ดิน!AQ55"")"),0)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IFERROR(__xludf.DUMMYFUNCTION("IMPORTRANGE(""https://docs.google.com/spreadsheets/d/1eHaY18a8A9IcSdp1K8H6x8fbOy06t2VsZHhMHf-1x7Y/edit?usp=sharing"",""แผน!LJ55"")"),150)</f>
        <v>150</v>
      </c>
      <c r="J703" s="295">
        <f ca="1">IFERROR(__xludf.DUMMYFUNCTION("IMPORTRANGE(""https://docs.google.com/spreadsheets/d/1tdoBKaGub7dwA3U6UFTqxio9LNnvDCQjHKmttSEBsFQ/edit?usp=sharing"",""จัดที่ดิน!AP55"")"),0)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IFERROR(__xludf.DUMMYFUNCTION("IMPORTRANGE(""https://docs.google.com/spreadsheets/d/1tdoBKaGub7dwA3U6UFTqxio9LNnvDCQjHKmttSEBsFQ/edit?usp=sharing"",""จัดที่ดิน!AP55"")"),0)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IFERROR(__xludf.DUMMYFUNCTION("IMPORTRANGE(""https://docs.google.com/spreadsheets/d/1eHaY18a8A9IcSdp1K8H6x8fbOy06t2VsZHhMHf-1x7Y/edit?usp=sharing"",""แผน!LK55"")"),5)</f>
        <v>5</v>
      </c>
      <c r="J705" s="295">
        <f ca="1">IFERROR(__xludf.DUMMYFUNCTION("IMPORTRANGE(""https://docs.google.com/spreadsheets/d/1tdoBKaGub7dwA3U6UFTqxio9LNnvDCQjHKmttSEBsFQ/edit?usp=sharing"",""จัดที่ดิน!AQ55"")"),0)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IFERROR(__xludf.DUMMYFUNCTION("IMPORTRANGE(""https://docs.google.com/spreadsheets/d/1tdoBKaGub7dwA3U6UFTqxio9LNnvDCQjHKmttSEBsFQ/edit?usp=sharing"",""จัดที่ดิน!AP55"")"),0)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IFERROR(__xludf.DUMMYFUNCTION("IMPORTRANGE(""https://docs.google.com/spreadsheets/d/1eHaY18a8A9IcSdp1K8H6x8fbOy06t2VsZHhMHf-1x7Y/edit?usp=sharing"",""แผน!LJ55"")"),150)</f>
        <v>150</v>
      </c>
      <c r="J707" s="295">
        <f ca="1">IFERROR(__xludf.DUMMYFUNCTION("IMPORTRANGE(""https://docs.google.com/spreadsheets/d/1tdoBKaGub7dwA3U6UFTqxio9LNnvDCQjHKmttSEBsFQ/edit?usp=sharing"",""จัดที่ดิน!AR55"")"),0)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IFERROR(__xludf.DUMMYFUNCTION("IMPORTRANGE(""https://docs.google.com/spreadsheets/d/1tdoBKaGub7dwA3U6UFTqxio9LNnvDCQjHKmttSEBsFQ/edit?usp=sharing"",""จัดที่ดิน!AS55"")"),0)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IFERROR(__xludf.DUMMYFUNCTION("IMPORTRANGE(""https://docs.google.com/spreadsheets/d/1eHaY18a8A9IcSdp1K8H6x8fbOy06t2VsZHhMHf-1x7Y/edit?usp=sharing"",""แผน!LK55"")"),5)</f>
        <v>5</v>
      </c>
      <c r="J709" s="295">
        <v>0</v>
      </c>
      <c r="K709" s="77"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v>0</v>
      </c>
      <c r="K710" s="77"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308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332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IFERROR(__xludf.DUMMYFUNCTION("IMPORTRANGE(""https://docs.google.com/spreadsheets/d/1eHaY18a8A9IcSdp1K8H6x8fbOy06t2VsZHhMHf-1x7Y/edit?usp=sharing"",""แผน!GA55"")"),128)</f>
        <v>128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IFERROR(__xludf.DUMMYFUNCTION("IMPORTRANGE(""https://docs.google.com/spreadsheets/d/1eHaY18a8A9IcSdp1K8H6x8fbOy06t2VsZHhMHf-1x7Y/edit?usp=sharing"",""แผน!FZ55"")"),1250)</f>
        <v>1250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1008470</v>
      </c>
      <c r="R728" s="217">
        <f ca="1">R729+R730</f>
        <v>1008470</v>
      </c>
      <c r="S728" s="217">
        <f ca="1">S729+S730</f>
        <v>62797</v>
      </c>
      <c r="T728" s="217">
        <f ca="1">IF(Q728&gt;0,S728*100/Q728,0)</f>
        <v>6.2269576685474037</v>
      </c>
      <c r="U728" s="217">
        <f ca="1">IF(R728&gt;0,S728*100/R728,0)</f>
        <v>6.2269576685474037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1008470</v>
      </c>
      <c r="R730" s="135">
        <f ca="1">R733+R736</f>
        <v>1008470</v>
      </c>
      <c r="S730" s="135">
        <f ca="1">S733+S736</f>
        <v>62797</v>
      </c>
      <c r="T730" s="135">
        <f ca="1">IF(Q730&gt;0,S730*100/Q730,0)</f>
        <v>6.2269576685474037</v>
      </c>
      <c r="U730" s="135">
        <f ca="1">IF(R730&gt;0,S730*100/R730,0)</f>
        <v>6.2269576685474037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1008470</v>
      </c>
      <c r="R731" s="135">
        <f ca="1">R732+R733</f>
        <v>1008470</v>
      </c>
      <c r="S731" s="135">
        <f ca="1">S732+S733</f>
        <v>62797</v>
      </c>
      <c r="T731" s="135">
        <f ca="1">IF(Q731&gt;0,S731*100/Q731,0)</f>
        <v>6.2269576685474037</v>
      </c>
      <c r="U731" s="135">
        <f ca="1">IF(R731&gt;0,S731*100/R731,0)</f>
        <v>6.2269576685474037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IFERROR(__xludf.DUMMYFUNCTION("IMPORTRANGE(""https://docs.google.com/spreadsheets/d/1ItG2mGa2ceCfYo0BwxsXqNm01IGEUdYcSSLTEv9YCik/edit?usp=sharing"",""เบิกจ่ายกองทุน!O55"")"),1008470)</f>
        <v>1008470</v>
      </c>
      <c r="R733" s="135">
        <f ca="1">IFERROR(__xludf.DUMMYFUNCTION("IMPORTRANGE(""https://docs.google.com/spreadsheets/d/1ItG2mGa2ceCfYo0BwxsXqNm01IGEUdYcSSLTEv9YCik/edit?usp=sharing"",""เบิกจ่ายกองทุน!P55"")"),1008470)</f>
        <v>1008470</v>
      </c>
      <c r="S733" s="135">
        <f ca="1">IFERROR(__xludf.DUMMYFUNCTION("IMPORTRANGE(""https://docs.google.com/spreadsheets/d/1ItG2mGa2ceCfYo0BwxsXqNm01IGEUdYcSSLTEv9YCik/edit?usp=sharing"",""เบิกจ่ายกองทุน!Q55"")"),62797)</f>
        <v>62797</v>
      </c>
      <c r="T733" s="135">
        <f ca="1">IF(Q733&gt;0,S733*100/Q733,0)</f>
        <v>6.2269576685474037</v>
      </c>
      <c r="U733" s="135">
        <f ca="1">IF(R733&gt;0,S733*100/R733,0)</f>
        <v>6.2269576685474037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IFERROR(__xludf.DUMMYFUNCTION("IMPORTRANGE(""https://docs.google.com/spreadsheets/d/1eHaY18a8A9IcSdp1K8H6x8fbOy06t2VsZHhMHf-1x7Y/edit?usp=sharing"",""แผน!GB55"")"),1000)</f>
        <v>1000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IFERROR(__xludf.DUMMYFUNCTION("IMPORTRANGE(""https://docs.google.com/spreadsheets/d/1eHaY18a8A9IcSdp1K8H6x8fbOy06t2VsZHhMHf-1x7Y/edit?usp=sharing"",""แผน!GC55"")"),100)</f>
        <v>100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IFERROR(__xludf.DUMMYFUNCTION("IMPORTRANGE(""https://docs.google.com/spreadsheets/d/1eHaY18a8A9IcSdp1K8H6x8fbOy06t2VsZHhMHf-1x7Y/edit?usp=sharing"",""แผน!GD55"")"),250)</f>
        <v>250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IFERROR(__xludf.DUMMYFUNCTION("IMPORTRANGE(""https://docs.google.com/spreadsheets/d/1eHaY18a8A9IcSdp1K8H6x8fbOy06t2VsZHhMHf-1x7Y/edit?usp=sharing"",""แผน!GE55"")"),25)</f>
        <v>25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IFERROR(__xludf.DUMMYFUNCTION("IMPORTRANGE(""https://docs.google.com/spreadsheets/d/1eHaY18a8A9IcSdp1K8H6x8fbOy06t2VsZHhMHf-1x7Y/edit?usp=sharing"",""แผน!GF55"")"),3)</f>
        <v>3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IFERROR(__xludf.DUMMYFUNCTION("IMPORTRANGE(""https://docs.google.com/spreadsheets/d/1eHaY18a8A9IcSdp1K8H6x8fbOy06t2VsZHhMHf-1x7Y/edit?usp=sharing"",""แผน!GB55"")"),1000)</f>
        <v>1000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IFERROR(__xludf.DUMMYFUNCTION("IMPORTRANGE(""https://docs.google.com/spreadsheets/d/1eHaY18a8A9IcSdp1K8H6x8fbOy06t2VsZHhMHf-1x7Y/edit?usp=sharing"",""แผน!GD55"")"),250)</f>
        <v>250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323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70</v>
      </c>
      <c r="J758" s="760">
        <f>J772</f>
        <v>15</v>
      </c>
      <c r="K758" s="746">
        <f ca="1">IF(I758&gt;0,J758*100/I758,0)</f>
        <v>21.428571428571427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85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409400</v>
      </c>
      <c r="R760" s="217">
        <f ca="1">R761+R762</f>
        <v>409400</v>
      </c>
      <c r="S760" s="217">
        <f ca="1">S761+S762</f>
        <v>96545</v>
      </c>
      <c r="T760" s="217">
        <f ca="1">IF(Q760&gt;0,S760*100/Q760,0)</f>
        <v>23.582071323888616</v>
      </c>
      <c r="U760" s="217">
        <f ca="1">IF(R760&gt;0,S760*100/R760,0)</f>
        <v>23.582071323888616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409400</v>
      </c>
      <c r="R762" s="135">
        <f ca="1">R765+R768</f>
        <v>409400</v>
      </c>
      <c r="S762" s="135">
        <f ca="1">S765+S768</f>
        <v>96545</v>
      </c>
      <c r="T762" s="135">
        <f ca="1">IF(Q762&gt;0,S762*100/Q762,0)</f>
        <v>23.582071323888616</v>
      </c>
      <c r="U762" s="135">
        <f ca="1">IF(R762&gt;0,S762*100/R762,0)</f>
        <v>23.582071323888616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409400</v>
      </c>
      <c r="R763" s="135">
        <f ca="1">R764+R765</f>
        <v>409400</v>
      </c>
      <c r="S763" s="135">
        <f ca="1">S764+S765</f>
        <v>96545</v>
      </c>
      <c r="T763" s="135">
        <f ca="1">IF(Q763&gt;0,S763*100/Q763,0)</f>
        <v>23.582071323888616</v>
      </c>
      <c r="U763" s="135">
        <f ca="1">IF(R763&gt;0,S763*100/R763,0)</f>
        <v>23.582071323888616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IFERROR(__xludf.DUMMYFUNCTION("IMPORTRANGE(""https://docs.google.com/spreadsheets/d/1ItG2mGa2ceCfYo0BwxsXqNm01IGEUdYcSSLTEv9YCik/edit?usp=sharing"",""เบิกจ่ายกองทุน!U55"")"),409400)</f>
        <v>409400</v>
      </c>
      <c r="R765" s="135">
        <f ca="1">IFERROR(__xludf.DUMMYFUNCTION("IMPORTRANGE(""https://docs.google.com/spreadsheets/d/1ItG2mGa2ceCfYo0BwxsXqNm01IGEUdYcSSLTEv9YCik/edit?usp=sharing"",""เบิกจ่ายกองทุน!V55"")"),409400)</f>
        <v>409400</v>
      </c>
      <c r="S765" s="135">
        <f ca="1">IFERROR(__xludf.DUMMYFUNCTION("IMPORTRANGE(""https://docs.google.com/spreadsheets/d/1ItG2mGa2ceCfYo0BwxsXqNm01IGEUdYcSSLTEv9YCik/edit?usp=sharing"",""เบิกจ่ายกองทุน!W55"")"),96545)</f>
        <v>96545</v>
      </c>
      <c r="T765" s="135">
        <f ca="1">IF(Q765&gt;0,S765*100/Q765,0)</f>
        <v>23.582071323888616</v>
      </c>
      <c r="U765" s="135">
        <f ca="1">IF(R765&gt;0,S765*100/R765,0)</f>
        <v>23.582071323888616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IFERROR(__xludf.DUMMYFUNCTION("IMPORTRANGE(""https://docs.google.com/spreadsheets/d/1eHaY18a8A9IcSdp1K8H6x8fbOy06t2VsZHhMHf-1x7Y/edit?usp=sharing"",""แผน!FI55"")"),0)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IFERROR(__xludf.DUMMYFUNCTION("IMPORTRANGE(""https://docs.google.com/spreadsheets/d/1eHaY18a8A9IcSdp1K8H6x8fbOy06t2VsZHhMHf-1x7Y/edit?usp=sharing"",""แผน!FQ55"")"),70)</f>
        <v>70</v>
      </c>
      <c r="J772" s="296">
        <v>15</v>
      </c>
      <c r="K772" s="77">
        <f ca="1">IF(I772&gt;0,J772*100/I772,0)</f>
        <v>21.428571428571427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IFERROR(__xludf.DUMMYFUNCTION("IMPORTRANGE(""https://docs.google.com/spreadsheets/d/1eHaY18a8A9IcSdp1K8H6x8fbOy06t2VsZHhMHf-1x7Y/edit?usp=sharing"",""แผน!FR55"")"),85)</f>
        <v>85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IFERROR(__xludf.DUMMYFUNCTION("IMPORTRANGE(""https://docs.google.com/spreadsheets/d/1eHaY18a8A9IcSdp1K8H6x8fbOy06t2VsZHhMHf-1x7Y/edit?usp=sharing"",""แผน!FS55"")"),85)</f>
        <v>85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IFERROR(__xludf.DUMMYFUNCTION("IMPORTRANGE(""https://docs.google.com/spreadsheets/d/1eHaY18a8A9IcSdp1K8H6x8fbOy06t2VsZHhMHf-1x7Y/edit?usp=sharing"",""แผน!FT55"")"),70)</f>
        <v>70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IFERROR(__xludf.DUMMYFUNCTION("IMPORTRANGE(""https://docs.google.com/spreadsheets/d/10OvvATaaLtwErnr3qtWFcTmtbfpFEt5Bsqel9sXx0uE/edit?usp=sharing"",""งานกองทุน!D55"")"),5431845.01)</f>
        <v>5431845.0099999998</v>
      </c>
      <c r="J778" s="295">
        <f ca="1">IFERROR(__xludf.DUMMYFUNCTION("IMPORTRANGE(""https://docs.google.com/spreadsheets/d/10OvvATaaLtwErnr3qtWFcTmtbfpFEt5Bsqel9sXx0uE/edit?usp=sharing"",""งานกองทุน!F55"")"),883565.94)</f>
        <v>883565.94</v>
      </c>
      <c r="K778" s="77">
        <f ca="1">IF(I778&gt;0,J778*100/I778,0)</f>
        <v>16.266405583615871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IFERROR(__xludf.DUMMYFUNCTION("IMPORTRANGE(""https://docs.google.com/spreadsheets/d/10OvvATaaLtwErnr3qtWFcTmtbfpFEt5Bsqel9sXx0uE/edit?usp=sharing"",""งานกองทุน!C55"")"),200)</f>
        <v>200</v>
      </c>
      <c r="J779" s="295">
        <f ca="1">IFERROR(__xludf.DUMMYFUNCTION("IMPORTRANGE(""https://docs.google.com/spreadsheets/d/10OvvATaaLtwErnr3qtWFcTmtbfpFEt5Bsqel9sXx0uE/edit?usp=sharing"",""งานกองทุน!E55"")"),39)</f>
        <v>39</v>
      </c>
      <c r="K779" s="77">
        <f ca="1">IF(I779&gt;0,J779*100/I779,0)</f>
        <v>19.5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IFERROR(__xludf.DUMMYFUNCTION("IMPORTRANGE(""https://docs.google.com/spreadsheets/d/10OvvATaaLtwErnr3qtWFcTmtbfpFEt5Bsqel9sXx0uE/edit?usp=sharing"",""งานกองทุน!I55"")"),9589497.22)</f>
        <v>9589497.2200000007</v>
      </c>
      <c r="J780" s="295">
        <f ca="1">IFERROR(__xludf.DUMMYFUNCTION("IMPORTRANGE(""https://docs.google.com/spreadsheets/d/10OvvATaaLtwErnr3qtWFcTmtbfpFEt5Bsqel9sXx0uE/edit?usp=sharing"",""งานกองทุน!K55"")"),353405.95)</f>
        <v>353405.95</v>
      </c>
      <c r="K780" s="77">
        <f ca="1">IF(I780&gt;0,J780*100/I780,0)</f>
        <v>3.6853438912619025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IFERROR(__xludf.DUMMYFUNCTION("IMPORTRANGE(""https://docs.google.com/spreadsheets/d/10OvvATaaLtwErnr3qtWFcTmtbfpFEt5Bsqel9sXx0uE/edit?usp=sharing"",""งานกองทุน!H55"")"),236)</f>
        <v>236</v>
      </c>
      <c r="J781" s="295">
        <f ca="1">IFERROR(__xludf.DUMMYFUNCTION("IMPORTRANGE(""https://docs.google.com/spreadsheets/d/10OvvATaaLtwErnr3qtWFcTmtbfpFEt5Bsqel9sXx0uE/edit?usp=sharing"",""งานกองทุน!J55"")"),33)</f>
        <v>33</v>
      </c>
      <c r="K781" s="77">
        <f ca="1">IF(I781&gt;0,J781*100/I781,0)</f>
        <v>13.983050847457626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IFERROR(__xludf.DUMMYFUNCTION("IMPORTRANGE(""https://docs.google.com/spreadsheets/d/10OvvATaaLtwErnr3qtWFcTmtbfpFEt5Bsqel9sXx0uE/edit?usp=sharing"",""งานกองทุน!N55"")"),5665825.07)</f>
        <v>5665825.0700000003</v>
      </c>
      <c r="J782" s="295">
        <f ca="1">IFERROR(__xludf.DUMMYFUNCTION("IMPORTRANGE(""https://docs.google.com/spreadsheets/d/10OvvATaaLtwErnr3qtWFcTmtbfpFEt5Bsqel9sXx0uE/edit?usp=sharing"",""งานกองทุน!P55"")"),1844809.72)</f>
        <v>1844809.72</v>
      </c>
      <c r="K782" s="77">
        <f ca="1">IF(I782&gt;0,J782*100/I782,0)</f>
        <v>32.560301407258237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IFERROR(__xludf.DUMMYFUNCTION("IMPORTRANGE(""https://docs.google.com/spreadsheets/d/10OvvATaaLtwErnr3qtWFcTmtbfpFEt5Bsqel9sXx0uE/edit?usp=sharing"",""งานกองทุน!M55"")"),2544)</f>
        <v>2544</v>
      </c>
      <c r="J783" s="295">
        <f ca="1">IFERROR(__xludf.DUMMYFUNCTION("IMPORTRANGE(""https://docs.google.com/spreadsheets/d/10OvvATaaLtwErnr3qtWFcTmtbfpFEt5Bsqel9sXx0uE/edit?usp=sharing"",""งานกองทุน!O55"")"),1045)</f>
        <v>1045</v>
      </c>
      <c r="K783" s="77">
        <f ca="1">IF(I783&gt;0,J783*100/I783,0)</f>
        <v>41.077044025157235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IFERROR(__xludf.DUMMYFUNCTION("IMPORTRANGE(""https://docs.google.com/spreadsheets/d/10OvvATaaLtwErnr3qtWFcTmtbfpFEt5Bsqel9sXx0uE/edit?usp=sharing"",""งานกองทุน!S55"")"),5264000)</f>
        <v>5264000</v>
      </c>
      <c r="J784" s="295">
        <f ca="1">IFERROR(__xludf.DUMMYFUNCTION("IMPORTRANGE(""https://docs.google.com/spreadsheets/d/10OvvATaaLtwErnr3qtWFcTmtbfpFEt5Bsqel9sXx0uE/edit?usp=sharing"",""งานกองทุน!U55"")"),1410000)</f>
        <v>1410000</v>
      </c>
      <c r="K784" s="77">
        <f ca="1">IF(I784&gt;0,J784*100/I784,0)</f>
        <v>26.785714285714285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IFERROR(__xludf.DUMMYFUNCTION("IMPORTRANGE(""https://docs.google.com/spreadsheets/d/10OvvATaaLtwErnr3qtWFcTmtbfpFEt5Bsqel9sXx0uE/edit?usp=sharing"",""งานกองทุน!R55"")"),188)</f>
        <v>188</v>
      </c>
      <c r="J785" s="773">
        <f ca="1">IFERROR(__xludf.DUMMYFUNCTION("IMPORTRANGE(""https://docs.google.com/spreadsheets/d/10OvvATaaLtwErnr3qtWFcTmtbfpFEt5Bsqel9sXx0uE/edit?usp=sharing"",""งานกองทุน!T55"")"),47)</f>
        <v>47</v>
      </c>
      <c r="K785" s="185">
        <f ca="1">IF(I785&gt;0,J785*100/I785,0)</f>
        <v>25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2DAC-F5E7-4583-B232-29550677505B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341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1046">
        <f ca="1">L19+L20</f>
        <v>1772164</v>
      </c>
      <c r="M18" s="1045">
        <f ca="1">M19+M20</f>
        <v>1713432</v>
      </c>
      <c r="N18" s="1045">
        <f ca="1">N19+N20</f>
        <v>1501337.14</v>
      </c>
      <c r="O18" s="1045">
        <f ca="1">IF(L18&gt;0,N18*100/L18,0)</f>
        <v>84.717731541776047</v>
      </c>
      <c r="P18" s="1045">
        <f ca="1">IF(M18&gt;0,N18*100/M18,0)</f>
        <v>87.621635407766405</v>
      </c>
      <c r="Q18" s="1045">
        <f ca="1">Q19+Q20</f>
        <v>1727902.3900000001</v>
      </c>
      <c r="R18" s="1045">
        <f ca="1">R19+R20</f>
        <v>1727902</v>
      </c>
      <c r="S18" s="1045">
        <f ca="1">S19+S20</f>
        <v>397075.5</v>
      </c>
      <c r="T18" s="1045">
        <f ca="1">IF(Q18&gt;0,S18*100/Q18,0)</f>
        <v>22.980204338973103</v>
      </c>
      <c r="U18" s="1045">
        <f ca="1">IF(R18&gt;0,S18*100/R18,0)</f>
        <v>22.980209525771716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1037">
        <f>L22+L25</f>
        <v>0</v>
      </c>
      <c r="M19" s="1036">
        <f>M22+M25</f>
        <v>0</v>
      </c>
      <c r="N19" s="1036">
        <f>N22+N25</f>
        <v>0</v>
      </c>
      <c r="O19" s="1036">
        <f>IF(L19&gt;0,N19*100/L19,0)</f>
        <v>0</v>
      </c>
      <c r="P19" s="1036">
        <f>IF(M19&gt;0,N19*100/M19,0)</f>
        <v>0</v>
      </c>
      <c r="Q19" s="1036">
        <f>Q22+Q25</f>
        <v>0</v>
      </c>
      <c r="R19" s="1036">
        <f>R22+R25</f>
        <v>0</v>
      </c>
      <c r="S19" s="1036">
        <f>S22+S25</f>
        <v>0</v>
      </c>
      <c r="T19" s="1036">
        <f>IF(Q19&gt;0,S19*100/Q19,0)</f>
        <v>0</v>
      </c>
      <c r="U19" s="103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1035">
        <f ca="1">L23+L26</f>
        <v>1772164</v>
      </c>
      <c r="M20" s="1034">
        <f ca="1">M23+M26</f>
        <v>1713432</v>
      </c>
      <c r="N20" s="1034">
        <f ca="1">N23+N26</f>
        <v>1501337.14</v>
      </c>
      <c r="O20" s="1034">
        <f ca="1">IF(L20&gt;0,N20*100/L20,0)</f>
        <v>84.717731541776047</v>
      </c>
      <c r="P20" s="1034">
        <f ca="1">IF(M20&gt;0,N20*100/M20,0)</f>
        <v>87.621635407766405</v>
      </c>
      <c r="Q20" s="1034">
        <f ca="1">Q23+Q26</f>
        <v>1727902.3900000001</v>
      </c>
      <c r="R20" s="1034">
        <f ca="1">R23+R26</f>
        <v>1727902</v>
      </c>
      <c r="S20" s="1034">
        <f ca="1">S23+S26</f>
        <v>397075.5</v>
      </c>
      <c r="T20" s="1034">
        <f ca="1">IF(Q20&gt;0,S20*100/Q20,0)</f>
        <v>22.980204338973103</v>
      </c>
      <c r="U20" s="1034">
        <f ca="1">IF(R20&gt;0,S20*100/R20,0)</f>
        <v>22.980209525771716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1772164</v>
      </c>
      <c r="M21" s="135">
        <f ca="1">M22+M23</f>
        <v>1713432</v>
      </c>
      <c r="N21" s="135">
        <f ca="1">N22+N23</f>
        <v>1501337.14</v>
      </c>
      <c r="O21" s="135">
        <f ca="1">IF(L21&gt;0,N21*100/L21,0)</f>
        <v>84.717731541776047</v>
      </c>
      <c r="P21" s="135">
        <f ca="1">IF(M21&gt;0,N21*100/M21,0)</f>
        <v>87.621635407766405</v>
      </c>
      <c r="Q21" s="135">
        <f ca="1">Q22+Q23</f>
        <v>1727902.3900000001</v>
      </c>
      <c r="R21" s="135">
        <f ca="1">R22+R23</f>
        <v>1727902</v>
      </c>
      <c r="S21" s="135">
        <f ca="1">S22+S23</f>
        <v>397075.5</v>
      </c>
      <c r="T21" s="135">
        <f ca="1">IF(Q21&gt;0,S21*100/Q21,0)</f>
        <v>22.980204338973103</v>
      </c>
      <c r="U21" s="135">
        <f ca="1">IF(R21&gt;0,S21*100/R21,0)</f>
        <v>22.980209525771716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1772164</v>
      </c>
      <c r="M23" s="135">
        <f ca="1">M49+M64+M77+M99+M130+M144+M162+M191+M178+M271+M287+M308+M325+M338+M361+M518</f>
        <v>1713432</v>
      </c>
      <c r="N23" s="135">
        <f ca="1">N49+N64+N77+N99+N130+N144+N162+N191+N178+N271+N287+N308+N325+N338+N361+N518</f>
        <v>1501337.14</v>
      </c>
      <c r="O23" s="135">
        <f ca="1">IF(L23&gt;0,N23*100/L23,0)</f>
        <v>84.717731541776047</v>
      </c>
      <c r="P23" s="135">
        <f ca="1">IF(M23&gt;0,N23*100/M23,0)</f>
        <v>87.621635407766405</v>
      </c>
      <c r="Q23" s="135">
        <f ca="1">Q77+Q99+Q122+Q144+Q162+Q178+Q191+Q271+Q287+Q308+Q338+Q380+Q397+Q418+Q498+Q604+Q621+Q647+Q695+Q719+Q733+Q765</f>
        <v>1727902.3900000001</v>
      </c>
      <c r="R23" s="135">
        <f ca="1">R77+R99+R122+R144+R162+R178+R191+R271+R287+R308+R338+R380+R397+R418+R498+R604+R621+R647+R695+R719+R733+R765</f>
        <v>1727902</v>
      </c>
      <c r="S23" s="135">
        <f ca="1">S77+S99+S122+S144+S162+S178+S191+S271+S287+S308+S338+S380+S397+S418+S498+S604+S621+S647+S695+S719+S733+S765</f>
        <v>397075.5</v>
      </c>
      <c r="T23" s="135">
        <f ca="1">IF(Q23&gt;0,S23*100/Q23,0)</f>
        <v>22.980204338973103</v>
      </c>
      <c r="U23" s="135">
        <f ca="1">IF(R23&gt;0,S23*100/R23,0)</f>
        <v>22.980209525771716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0</v>
      </c>
      <c r="M24" s="135">
        <f ca="1">M25+M26</f>
        <v>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>Q25+Q26</f>
        <v>0</v>
      </c>
      <c r="R24" s="135">
        <f>R25+R26</f>
        <v>0</v>
      </c>
      <c r="S24" s="135">
        <f>S25+S26</f>
        <v>0</v>
      </c>
      <c r="T24" s="135">
        <f>IF(Q24&gt;0,S24*100/Q24,0)</f>
        <v>0</v>
      </c>
      <c r="U24" s="135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0</v>
      </c>
      <c r="M26" s="135">
        <f ca="1">M52+M67+M80+M102+M133+M147+M165+M194+M181+M274+M290+M311+M328+M341+M364+M521</f>
        <v>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>Q80+Q102+Q125+Q147+Q165+Q181+Q194+Q274+Q290+Q311+Q341+Q383+Q400+Q421+Q501+Q607+Q624+Q650+Q698+Q722+Q736+Q768</f>
        <v>0</v>
      </c>
      <c r="R26" s="136">
        <f>R80+R102+R125+R147+R165+R181+R194+R274+R290+R311+R341+R383+R400+R421+R501+R607+R624+R650+R698+R722+R736+R768</f>
        <v>0</v>
      </c>
      <c r="S26" s="136">
        <f>S80+S102+S125+S147+S165+S181+S194+S274+S290+S311+S341+S383+S400+S421+S501+S607+S624+S650+S698+S722+S736+S768</f>
        <v>0</v>
      </c>
      <c r="T26" s="135">
        <f>IF(Q26&gt;0,S26*100/Q26,0)</f>
        <v>0</v>
      </c>
      <c r="U26" s="135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021">
        <f ca="1">L44+L59+L72+L94+L125+L139+L157+L173+L186+L266+L282+L303+L320+L333+L356</f>
        <v>1772164</v>
      </c>
      <c r="M40" s="1020">
        <f ca="1">M44+M59+M72+M94+M125+M139+M157+M173+M186+M266+M282+M303+M320+M333+M356</f>
        <v>1713432</v>
      </c>
      <c r="N40" s="1020">
        <f ca="1">N44+N59+N72+N94+N125+N139+N157+N173+N186+N266+N282+N303+N320+N333+N356</f>
        <v>1501337.14</v>
      </c>
      <c r="O40" s="1020">
        <f ca="1">IF(L40&gt;0,N40*100/L40,0)</f>
        <v>84.717731541776047</v>
      </c>
      <c r="P40" s="1020">
        <f ca="1">IF(M40&gt;0,N40*100/M40,0)</f>
        <v>87.621635407766405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013">
        <f ca="1">L45+L46</f>
        <v>379939</v>
      </c>
      <c r="M44" s="1012">
        <f ca="1">M45+M46</f>
        <v>298816</v>
      </c>
      <c r="N44" s="1012">
        <f ca="1">N45+N46</f>
        <v>242221</v>
      </c>
      <c r="O44" s="1012">
        <f ca="1">IF(L44&gt;0,N44*100/L44,0)</f>
        <v>63.752602391436518</v>
      </c>
      <c r="P44" s="1012">
        <f ca="1">IF(M44&gt;0,N44*100/M44,0)</f>
        <v>81.060251124437784</v>
      </c>
      <c r="Q44" s="1012">
        <f>Q45+Q46</f>
        <v>0</v>
      </c>
      <c r="R44" s="1012">
        <f>R45+R46</f>
        <v>0</v>
      </c>
      <c r="S44" s="1012">
        <f>S45+S46</f>
        <v>0</v>
      </c>
      <c r="T44" s="1012">
        <f>IF(Q44&gt;0,S44*100/Q44,0)</f>
        <v>0</v>
      </c>
      <c r="U44" s="1012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2">
        <f ca="1">L49+L52</f>
        <v>379939</v>
      </c>
      <c r="M46" s="133">
        <f ca="1">M49+M52</f>
        <v>298816</v>
      </c>
      <c r="N46" s="133">
        <f ca="1">N49+N52</f>
        <v>242221</v>
      </c>
      <c r="O46" s="133">
        <f ca="1">IF(L46&gt;0,N46*100/L46,0)</f>
        <v>63.752602391436518</v>
      </c>
      <c r="P46" s="133">
        <f ca="1">IF(M46&gt;0,N46*100/M46,0)</f>
        <v>81.060251124437784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379939</v>
      </c>
      <c r="M47" s="135">
        <f ca="1">M48+M49</f>
        <v>298816</v>
      </c>
      <c r="N47" s="135">
        <f ca="1">N48+N49</f>
        <v>242221</v>
      </c>
      <c r="O47" s="135">
        <f ca="1">IF(L47&gt;0,N47*100/L47,0)</f>
        <v>63.752602391436518</v>
      </c>
      <c r="P47" s="135">
        <f ca="1">IF(M47&gt;0,N47*100/M47,0)</f>
        <v>81.060251124437784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IFERROR(__xludf.DUMMYFUNCTION("IMPORTRANGE(""https://docs.google.com/spreadsheets/d/1-uDff_7J0KD5mKrp0Vvzr7lt3OU09vwQwhkpOPPYv2Y/edit?usp=sharing"",""งบพรบ!P56"")"),379939)</f>
        <v>379939</v>
      </c>
      <c r="M49" s="135">
        <f ca="1">IFERROR(__xludf.DUMMYFUNCTION("IMPORTRANGE(""https://docs.google.com/spreadsheets/d/1-uDff_7J0KD5mKrp0Vvzr7lt3OU09vwQwhkpOPPYv2Y/edit?usp=sharing"",""งบพรบ!V56"")"),298816)</f>
        <v>298816</v>
      </c>
      <c r="N49" s="135">
        <f ca="1">IFERROR(__xludf.DUMMYFUNCTION("IMPORTRANGE(""https://docs.google.com/spreadsheets/d/1-uDff_7J0KD5mKrp0Vvzr7lt3OU09vwQwhkpOPPYv2Y/edit?usp=sharing"",""งบพรบ!Y56"")"),242221)</f>
        <v>242221</v>
      </c>
      <c r="O49" s="135">
        <f ca="1">IF(L49&gt;0,N49*100/L49,0)</f>
        <v>63.752602391436518</v>
      </c>
      <c r="P49" s="135">
        <f ca="1">IF(M49&gt;0,N49*100/M49,0)</f>
        <v>81.060251124437784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IFERROR(__xludf.DUMMYFUNCTION("IMPORTRANGE(""https://docs.google.com/spreadsheets/d/1-uDff_7J0KD5mKrp0Vvzr7lt3OU09vwQwhkpOPPYv2Y/edit?usp=sharing"",""งบพรบ!S56"")"),0)</f>
        <v>0</v>
      </c>
      <c r="M52" s="135">
        <f ca="1">IFERROR(__xludf.DUMMYFUNCTION("IMPORTRANGE(""https://docs.google.com/spreadsheets/d/1-uDff_7J0KD5mKrp0Vvzr7lt3OU09vwQwhkpOPPYv2Y/edit?usp=sharing"",""งบพรบ!W56"")"),0)</f>
        <v>0</v>
      </c>
      <c r="N52" s="135">
        <f ca="1">IFERROR(__xludf.DUMMYFUNCTION("IMPORTRANGE(""https://docs.google.com/spreadsheets/d/1-uDff_7J0KD5mKrp0Vvzr7lt3OU09vwQwhkpOPPYv2Y/edit?usp=sharing"",""งบพรบ!Z56"")"),0)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68">
        <f ca="1">L60+L61</f>
        <v>478300</v>
      </c>
      <c r="M59" s="169">
        <f ca="1">M60+M61</f>
        <v>478300</v>
      </c>
      <c r="N59" s="169">
        <f ca="1">N60+N61</f>
        <v>458958.14</v>
      </c>
      <c r="O59" s="169">
        <f ca="1">IF(L59&gt;0,N59*100/L59,0)</f>
        <v>95.956123771691409</v>
      </c>
      <c r="P59" s="169">
        <f ca="1">IF(M59&gt;0,N59*100/M59,0)</f>
        <v>95.956123771691409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75">
        <f ca="1">L64+L67</f>
        <v>478300</v>
      </c>
      <c r="M61" s="176">
        <f ca="1">M64+M67</f>
        <v>478300</v>
      </c>
      <c r="N61" s="176">
        <f ca="1">N64+N67</f>
        <v>458958.14</v>
      </c>
      <c r="O61" s="176">
        <f ca="1">IF(L61&gt;0,N61*100/L61,0)</f>
        <v>95.956123771691409</v>
      </c>
      <c r="P61" s="176">
        <f ca="1">IF(M61&gt;0,N61*100/M61,0)</f>
        <v>95.956123771691409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478300</v>
      </c>
      <c r="M62" s="135">
        <f ca="1">M63+M64</f>
        <v>478300</v>
      </c>
      <c r="N62" s="135">
        <f ca="1">N63+N64</f>
        <v>458958.14</v>
      </c>
      <c r="O62" s="135">
        <f ca="1">IF(L62&gt;0,N62*100/L62,0)</f>
        <v>95.956123771691409</v>
      </c>
      <c r="P62" s="135">
        <f ca="1">IF(M62&gt;0,N62*100/M62,0)</f>
        <v>95.956123771691409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IFERROR(__xludf.DUMMYFUNCTION("IMPORTRANGE(""https://docs.google.com/spreadsheets/d/1-uDff_7J0KD5mKrp0Vvzr7lt3OU09vwQwhkpOPPYv2Y/edit?usp=sharing"",""งบพรบ!AC56"")"),478300)</f>
        <v>478300</v>
      </c>
      <c r="M64" s="135">
        <f ca="1">IFERROR(__xludf.DUMMYFUNCTION("IMPORTRANGE(""https://docs.google.com/spreadsheets/d/1-uDff_7J0KD5mKrp0Vvzr7lt3OU09vwQwhkpOPPYv2Y/edit?usp=sharing"",""งบพรบ!AH56"")"),478300)</f>
        <v>478300</v>
      </c>
      <c r="N64" s="135">
        <f ca="1">IFERROR(__xludf.DUMMYFUNCTION("IMPORTRANGE(""https://docs.google.com/spreadsheets/d/1-uDff_7J0KD5mKrp0Vvzr7lt3OU09vwQwhkpOPPYv2Y/edit?usp=sharing"",""งบพรบ!AJ56"")"),458958.14)</f>
        <v>458958.14</v>
      </c>
      <c r="O64" s="135">
        <f ca="1">IF(L64&gt;0,N64*100/L64,0)</f>
        <v>95.956123771691409</v>
      </c>
      <c r="P64" s="135">
        <f ca="1">IF(M64&gt;0,N64*100/M64,0)</f>
        <v>95.956123771691409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985">
        <f ca="1">IFERROR(__xludf.DUMMYFUNCTION("IMPORTRANGE(""https://docs.google.com/spreadsheets/d/1-uDff_7J0KD5mKrp0Vvzr7lt3OU09vwQwhkpOPPYv2Y/edit?usp=sharing"",""งบพรบ!AF56"")"),0)</f>
        <v>0</v>
      </c>
      <c r="M67" s="186">
        <f ca="1">IFERROR(__xludf.DUMMYFUNCTION("IMPORTRANGE(""https://docs.google.com/spreadsheets/d/1-uDff_7J0KD5mKrp0Vvzr7lt3OU09vwQwhkpOPPYv2Y/edit?usp=sharing"",""งบพรบ!AI56"")"),0)</f>
        <v>0</v>
      </c>
      <c r="N67" s="186">
        <f ca="1">IFERROR(__xludf.DUMMYFUNCTION("IMPORTRANGE(""https://docs.google.com/spreadsheets/d/1-uDff_7J0KD5mKrp0Vvzr7lt3OU09vwQwhkpOPPYv2Y/edit?usp=sharing"",""งบพรบ!AK56"")"),0)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IFERROR(__xludf.DUMMYFUNCTION("IMPORTRANGE(""https://docs.google.com/spreadsheets/d/1-uDff_7J0KD5mKrp0Vvzr7lt3OU09vwQwhkpOPPYv2Y/edit?usp=sharing"",""งบพรบ!AM56"")"),0)</f>
        <v>0</v>
      </c>
      <c r="M77" s="135">
        <f ca="1">IFERROR(__xludf.DUMMYFUNCTION("IMPORTRANGE(""https://docs.google.com/spreadsheets/d/1-uDff_7J0KD5mKrp0Vvzr7lt3OU09vwQwhkpOPPYv2Y/edit?usp=sharing"",""งบพรบ!AR56"")"),0)</f>
        <v>0</v>
      </c>
      <c r="N77" s="135">
        <f ca="1">IFERROR(__xludf.DUMMYFUNCTION("IMPORTRANGE(""https://docs.google.com/spreadsheets/d/1-uDff_7J0KD5mKrp0Vvzr7lt3OU09vwQwhkpOPPYv2Y/edit?usp=sharing"",""งบพรบ!AT56"")"),0)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IFERROR(__xludf.DUMMYFUNCTION("IMPORTRANGE(""https://docs.google.com/spreadsheets/d/1ItG2mGa2ceCfYo0BwxsXqNm01IGEUdYcSSLTEv9YCik/edit?usp=sharing"",""เบิกจ่ายกองทุน!AS56"")"),0)</f>
        <v>0</v>
      </c>
      <c r="R77" s="135">
        <f ca="1">IFERROR(__xludf.DUMMYFUNCTION("IMPORTRANGE(""https://docs.google.com/spreadsheets/d/1ItG2mGa2ceCfYo0BwxsXqNm01IGEUdYcSSLTEv9YCik/edit?usp=sharing"",""เบิกจ่ายกองทุน!AT56"")"),0)</f>
        <v>0</v>
      </c>
      <c r="S77" s="135">
        <f ca="1">IFERROR(__xludf.DUMMYFUNCTION("IMPORTRANGE(""https://docs.google.com/spreadsheets/d/1ItG2mGa2ceCfYo0BwxsXqNm01IGEUdYcSSLTEv9YCik/edit?usp=sharing"",""เบิกจ่ายกองทุน!AU56"")"),0)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>Q79+Q80</f>
        <v>0</v>
      </c>
      <c r="R78" s="135">
        <f>R79+R80</f>
        <v>0</v>
      </c>
      <c r="S78" s="135">
        <f>S79+S80</f>
        <v>0</v>
      </c>
      <c r="T78" s="135">
        <f>IF(Q78&gt;0,S78*100/Q78,0)</f>
        <v>0</v>
      </c>
      <c r="U78" s="135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IFERROR(__xludf.DUMMYFUNCTION("IMPORTRANGE(""https://docs.google.com/spreadsheets/d/1-uDff_7J0KD5mKrp0Vvzr7lt3OU09vwQwhkpOPPYv2Y/edit?usp=sharing"",""งบพรบ!AP56"")"),0)</f>
        <v>0</v>
      </c>
      <c r="M80" s="135">
        <f ca="1">IFERROR(__xludf.DUMMYFUNCTION("IMPORTRANGE(""https://docs.google.com/spreadsheets/d/1-uDff_7J0KD5mKrp0Vvzr7lt3OU09vwQwhkpOPPYv2Y/edit?usp=sharing"",""งบพรบ!AS56"")"),0)</f>
        <v>0</v>
      </c>
      <c r="N80" s="135">
        <f ca="1">IFERROR(__xludf.DUMMYFUNCTION("IMPORTRANGE(""https://docs.google.com/spreadsheets/d/1-uDff_7J0KD5mKrp0Vvzr7lt3OU09vwQwhkpOPPYv2Y/edit?usp=sharing"",""งบพรบ!AU56"")"),0)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v>0</v>
      </c>
      <c r="R80" s="77">
        <v>0</v>
      </c>
      <c r="S80" s="77">
        <v>0</v>
      </c>
      <c r="T80" s="135">
        <f>IF(Q80&gt;0,S80*100/Q80,0)</f>
        <v>0</v>
      </c>
      <c r="U80" s="135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IFERROR(__xludf.DUMMYFUNCTION("IMPORTRANGE(""https://docs.google.com/spreadsheets/d/1eHaY18a8A9IcSdp1K8H6x8fbOy06t2VsZHhMHf-1x7Y/edit?usp=sharing"",""แผน!H56"")"),0)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IFERROR(__xludf.DUMMYFUNCTION("IMPORTRANGE(""https://docs.google.com/spreadsheets/d/1eHaY18a8A9IcSdp1K8H6x8fbOy06t2VsZHhMHf-1x7Y/edit?usp=sharing"",""แผน!I56"")"),0)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IFERROR(__xludf.DUMMYFUNCTION("IMPORTRANGE(""https://docs.google.com/spreadsheets/d/1eHaY18a8A9IcSdp1K8H6x8fbOy06t2VsZHhMHf-1x7Y/edit?usp=sharing"",""แผน!F56"")"),0)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IFERROR(__xludf.DUMMYFUNCTION("IMPORTRANGE(""https://docs.google.com/spreadsheets/d/1eHaY18a8A9IcSdp1K8H6x8fbOy06t2VsZHhMHf-1x7Y/edit?usp=sharing"",""แผน!G56"")"),0)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IFERROR(__xludf.DUMMYFUNCTION("IMPORTRANGE(""https://docs.google.com/spreadsheets/d/1eHaY18a8A9IcSdp1K8H6x8fbOy06t2VsZHhMHf-1x7Y/edit?usp=sharing"",""แผน!D56"")"),0)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IFERROR(__xludf.DUMMYFUNCTION("IMPORTRANGE(""https://docs.google.com/spreadsheets/d/1eHaY18a8A9IcSdp1K8H6x8fbOy06t2VsZHhMHf-1x7Y/edit?usp=sharing"",""แผน!E56"")"),0)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IFERROR(__xludf.DUMMYFUNCTION("IMPORTRANGE(""https://docs.google.com/spreadsheets/d/1eHaY18a8A9IcSdp1K8H6x8fbOy06t2VsZHhMHf-1x7Y/edit?usp=sharing"",""แผน!J56"")"),0)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0</v>
      </c>
      <c r="R94" s="217">
        <f ca="1">R95+R96</f>
        <v>0</v>
      </c>
      <c r="S94" s="217">
        <f ca="1">S95+S96</f>
        <v>0</v>
      </c>
      <c r="T94" s="217">
        <f ca="1">IF(Q94&gt;0,S94*100/Q94,0)</f>
        <v>0</v>
      </c>
      <c r="U94" s="217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0</v>
      </c>
      <c r="R96" s="135">
        <f ca="1">R99+R102</f>
        <v>0</v>
      </c>
      <c r="S96" s="135">
        <f ca="1">S99+S102</f>
        <v>0</v>
      </c>
      <c r="T96" s="135">
        <f ca="1">IF(Q96&gt;0,S96*100/Q96,0)</f>
        <v>0</v>
      </c>
      <c r="U96" s="135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0</v>
      </c>
      <c r="R97" s="135">
        <f ca="1">R98+R99</f>
        <v>0</v>
      </c>
      <c r="S97" s="135">
        <f ca="1">S98+S99</f>
        <v>0</v>
      </c>
      <c r="T97" s="135">
        <f ca="1">IF(Q97&gt;0,S97*100/Q97,0)</f>
        <v>0</v>
      </c>
      <c r="U97" s="135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IFERROR(__xludf.DUMMYFUNCTION("IMPORTRANGE(""https://docs.google.com/spreadsheets/d/1-uDff_7J0KD5mKrp0Vvzr7lt3OU09vwQwhkpOPPYv2Y/edit?usp=sharing"",""งบพรบ!AW56"")"),0)</f>
        <v>0</v>
      </c>
      <c r="M99" s="135">
        <f ca="1">IFERROR(__xludf.DUMMYFUNCTION("IMPORTRANGE(""https://docs.google.com/spreadsheets/d/1-uDff_7J0KD5mKrp0Vvzr7lt3OU09vwQwhkpOPPYv2Y/edit?usp=sharing"",""งบพรบ!BB56"")"),0)</f>
        <v>0</v>
      </c>
      <c r="N99" s="135">
        <f ca="1">IFERROR(__xludf.DUMMYFUNCTION("IMPORTRANGE(""https://docs.google.com/spreadsheets/d/1-uDff_7J0KD5mKrp0Vvzr7lt3OU09vwQwhkpOPPYv2Y/edit?usp=sharing"",""งบพรบ!BD56"")"),0)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IFERROR(__xludf.DUMMYFUNCTION("IMPORTRANGE(""https://docs.google.com/spreadsheets/d/1ItG2mGa2ceCfYo0BwxsXqNm01IGEUdYcSSLTEv9YCik/edit?usp=sharing"",""เบิกจ่ายกองทุน!AD56"")"),0)</f>
        <v>0</v>
      </c>
      <c r="R99" s="135">
        <f ca="1">IFERROR(__xludf.DUMMYFUNCTION("IMPORTRANGE(""https://docs.google.com/spreadsheets/d/1ItG2mGa2ceCfYo0BwxsXqNm01IGEUdYcSSLTEv9YCik/edit?usp=sharing"",""เบิกจ่ายกองทุน!AE56"")"),0)</f>
        <v>0</v>
      </c>
      <c r="S99" s="135">
        <f ca="1">IFERROR(__xludf.DUMMYFUNCTION("IMPORTRANGE(""https://docs.google.com/spreadsheets/d/1ItG2mGa2ceCfYo0BwxsXqNm01IGEUdYcSSLTEv9YCik/edit?usp=sharing"",""เบิกจ่ายกองทุน!AF56"")"),0)</f>
        <v>0</v>
      </c>
      <c r="T99" s="135">
        <f ca="1">IF(Q99&gt;0,S99*100/Q99,0)</f>
        <v>0</v>
      </c>
      <c r="U99" s="135">
        <f ca="1">IF(R99&gt;0,S99*100/R99,0)</f>
        <v>0</v>
      </c>
    </row>
    <row r="100" spans="1:21" ht="18.75" hidden="1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IFERROR(__xludf.DUMMYFUNCTION("IMPORTRANGE(""https://docs.google.com/spreadsheets/d/1-uDff_7J0KD5mKrp0Vvzr7lt3OU09vwQwhkpOPPYv2Y/edit?usp=sharing"",""งบพรบ!AZ56"")"),0)</f>
        <v>0</v>
      </c>
      <c r="M102" s="135">
        <f ca="1">IFERROR(__xludf.DUMMYFUNCTION("IMPORTRANGE(""https://docs.google.com/spreadsheets/d/1-uDff_7J0KD5mKrp0Vvzr7lt3OU09vwQwhkpOPPYv2Y/edit?usp=sharing"",""งบพรบ!BC56"")"),0)</f>
        <v>0</v>
      </c>
      <c r="N102" s="135">
        <f ca="1">IFERROR(__xludf.DUMMYFUNCTION("IMPORTRANGE(""https://docs.google.com/spreadsheets/d/1-uDff_7J0KD5mKrp0Vvzr7lt3OU09vwQwhkpOPPYv2Y/edit?usp=sharing"",""งบพรบ!BE56"")"),0)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IFERROR(__xludf.DUMMYFUNCTION("IMPORTRANGE(""https://docs.google.com/spreadsheets/d/1eHaY18a8A9IcSdp1K8H6x8fbOy06t2VsZHhMHf-1x7Y/edit?usp=sharing"",""แผน!N56"")"),0)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IFERROR(__xludf.DUMMYFUNCTION("IMPORTRANGE(""https://docs.google.com/spreadsheets/d/1eHaY18a8A9IcSdp1K8H6x8fbOy06t2VsZHhMHf-1x7Y/edit?usp=sharing"",""แผน!O56"")"),0)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IFERROR(__xludf.DUMMYFUNCTION("IMPORTRANGE(""https://docs.google.com/spreadsheets/d/1eHaY18a8A9IcSdp1K8H6x8fbOy06t2VsZHhMHf-1x7Y/edit?usp=sharing"",""แผน!R56"")"),0)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10</v>
      </c>
      <c r="J116" s="975">
        <f>J127</f>
        <v>10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173660</v>
      </c>
      <c r="R117" s="217">
        <f ca="1">R118+R119</f>
        <v>173660</v>
      </c>
      <c r="S117" s="217">
        <f ca="1">S118+S119</f>
        <v>86500</v>
      </c>
      <c r="T117" s="217">
        <f ca="1">IF(Q117&gt;0,S117*100/Q117,0)</f>
        <v>49.809973511459177</v>
      </c>
      <c r="U117" s="217">
        <f ca="1">IF(R117&gt;0,S117*100/R117,0)</f>
        <v>49.809973511459177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173660</v>
      </c>
      <c r="R119" s="135">
        <f ca="1">R122+R125</f>
        <v>173660</v>
      </c>
      <c r="S119" s="135">
        <f ca="1">S122+S125</f>
        <v>86500</v>
      </c>
      <c r="T119" s="135">
        <f ca="1">IF(Q119&gt;0,S119*100/Q119,0)</f>
        <v>49.809973511459177</v>
      </c>
      <c r="U119" s="135">
        <f ca="1">IF(R119&gt;0,S119*100/R119,0)</f>
        <v>49.809973511459177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173660</v>
      </c>
      <c r="R120" s="135">
        <f ca="1">R121+R122</f>
        <v>173660</v>
      </c>
      <c r="S120" s="135">
        <f ca="1">S121+S122</f>
        <v>86500</v>
      </c>
      <c r="T120" s="135">
        <f ca="1">IF(Q120&gt;0,S120*100/Q120,0)</f>
        <v>49.809973511459177</v>
      </c>
      <c r="U120" s="135">
        <f ca="1">IF(R120&gt;0,S120*100/R120,0)</f>
        <v>49.809973511459177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IFERROR(__xludf.DUMMYFUNCTION("IMPORTRANGE(""https://docs.google.com/spreadsheets/d/1-uDff_7J0KD5mKrp0Vvzr7lt3OU09vwQwhkpOPPYv2Y/edit?usp=sharing"",""งบพรบ!BG56"")"),0)</f>
        <v>0</v>
      </c>
      <c r="M122" s="135">
        <f ca="1">IFERROR(__xludf.DUMMYFUNCTION("IMPORTRANGE(""https://docs.google.com/spreadsheets/d/1-uDff_7J0KD5mKrp0Vvzr7lt3OU09vwQwhkpOPPYv2Y/edit?usp=sharing"",""งบพรบ!BL56"")"),0)</f>
        <v>0</v>
      </c>
      <c r="N122" s="135">
        <f ca="1">IFERROR(__xludf.DUMMYFUNCTION("IMPORTRANGE(""https://docs.google.com/spreadsheets/d/1-uDff_7J0KD5mKrp0Vvzr7lt3OU09vwQwhkpOPPYv2Y/edit?usp=sharing"",""งบพรบ!BN56"")"),0)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IFERROR(__xludf.DUMMYFUNCTION("IMPORTRANGE(""https://docs.google.com/spreadsheets/d/1ItG2mGa2ceCfYo0BwxsXqNm01IGEUdYcSSLTEv9YCik/edit?usp=sharing"",""เบิกจ่ายกองทุน!R56"")"),173660)</f>
        <v>173660</v>
      </c>
      <c r="R122" s="135">
        <f ca="1">IFERROR(__xludf.DUMMYFUNCTION("IMPORTRANGE(""https://docs.google.com/spreadsheets/d/1ItG2mGa2ceCfYo0BwxsXqNm01IGEUdYcSSLTEv9YCik/edit?usp=sharing"",""เบิกจ่ายกองทุน!S56"")"),173660)</f>
        <v>173660</v>
      </c>
      <c r="S122" s="135">
        <f ca="1">IFERROR(__xludf.DUMMYFUNCTION("IMPORTRANGE(""https://docs.google.com/spreadsheets/d/1ItG2mGa2ceCfYo0BwxsXqNm01IGEUdYcSSLTEv9YCik/edit?usp=sharing"",""เบิกจ่ายกองทุน!T56"")"),86500)</f>
        <v>86500</v>
      </c>
      <c r="T122" s="135">
        <f ca="1">IF(Q122&gt;0,S122*100/Q122,0)</f>
        <v>49.809973511459177</v>
      </c>
      <c r="U122" s="135">
        <f ca="1">IF(R122&gt;0,S122*100/R122,0)</f>
        <v>49.809973511459177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>Q124+Q125</f>
        <v>0</v>
      </c>
      <c r="R123" s="135">
        <f>R124+R125</f>
        <v>0</v>
      </c>
      <c r="S123" s="135">
        <f>S124+S125</f>
        <v>0</v>
      </c>
      <c r="T123" s="135">
        <f>IF(Q123&gt;0,S123*100/Q123,0)</f>
        <v>0</v>
      </c>
      <c r="U123" s="135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IFERROR(__xludf.DUMMYFUNCTION("IMPORTRANGE(""https://docs.google.com/spreadsheets/d/1-uDff_7J0KD5mKrp0Vvzr7lt3OU09vwQwhkpOPPYv2Y/edit?usp=sharing"",""งบพรบ!BJ56"")"),0)</f>
        <v>0</v>
      </c>
      <c r="M125" s="135">
        <f ca="1">IFERROR(__xludf.DUMMYFUNCTION("IMPORTRANGE(""https://docs.google.com/spreadsheets/d/1-uDff_7J0KD5mKrp0Vvzr7lt3OU09vwQwhkpOPPYv2Y/edit?usp=sharing"",""งบพรบ!BM56"")"),0)</f>
        <v>0</v>
      </c>
      <c r="N125" s="135">
        <f ca="1">IFERROR(__xludf.DUMMYFUNCTION("IMPORTRANGE(""https://docs.google.com/spreadsheets/d/1-uDff_7J0KD5mKrp0Vvzr7lt3OU09vwQwhkpOPPYv2Y/edit?usp=sharing"",""งบพรบ!BO56"")"),0)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v>0</v>
      </c>
      <c r="R125" s="77">
        <v>0</v>
      </c>
      <c r="S125" s="77">
        <v>0</v>
      </c>
      <c r="T125" s="135">
        <f>IF(Q125&gt;0,S125*100/Q125,0)</f>
        <v>0</v>
      </c>
      <c r="U125" s="135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IFERROR(__xludf.DUMMYFUNCTION("IMPORTRANGE(""https://docs.google.com/spreadsheets/d/1eHaY18a8A9IcSdp1K8H6x8fbOy06t2VsZHhMHf-1x7Y/edit?usp=sharing"",""แผน!FF56"")"),10)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IFERROR(__xludf.DUMMYFUNCTION("IMPORTRANGE(""https://docs.google.com/spreadsheets/d/1eHaY18a8A9IcSdp1K8H6x8fbOy06t2VsZHhMHf-1x7Y/edit?usp=sharing"",""แผน!FG56"")"),0)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IFERROR(__xludf.DUMMYFUNCTION("IMPORTRANGE(""https://docs.google.com/spreadsheets/d/1eHaY18a8A9IcSdp1K8H6x8fbOy06t2VsZHhMHf-1x7Y/edit?usp=sharing"",""แผน!FH56"")"),10)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IFERROR(__xludf.DUMMYFUNCTION("IMPORTRANGE(""https://docs.google.com/spreadsheets/d/1eHaY18a8A9IcSdp1K8H6x8fbOy06t2VsZHhMHf-1x7Y/edit?usp=sharing"",""แผน!FI56"")"),0)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10</v>
      </c>
      <c r="J137" s="258">
        <f>J152</f>
        <v>10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1</v>
      </c>
      <c r="J138" s="258">
        <f>J153</f>
        <v>1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95500</v>
      </c>
      <c r="M139" s="217">
        <f ca="1">M140+M141</f>
        <v>90500</v>
      </c>
      <c r="N139" s="217">
        <f ca="1">N140+N141</f>
        <v>84460</v>
      </c>
      <c r="O139" s="217">
        <f ca="1">IF(L139&gt;0,N139*100/L139,0)</f>
        <v>88.439790575916234</v>
      </c>
      <c r="P139" s="217">
        <f ca="1">IF(M139&gt;0,N139*100/M139,0)</f>
        <v>93.325966850828735</v>
      </c>
      <c r="Q139" s="217">
        <f ca="1">Q140+Q141</f>
        <v>0</v>
      </c>
      <c r="R139" s="217">
        <f ca="1">R140+R141</f>
        <v>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95500</v>
      </c>
      <c r="M141" s="135">
        <f ca="1">M144+M147</f>
        <v>90500</v>
      </c>
      <c r="N141" s="135">
        <f ca="1">N144+N147</f>
        <v>84460</v>
      </c>
      <c r="O141" s="135">
        <f ca="1">IF(L141&gt;0,N141*100/L141,0)</f>
        <v>88.439790575916234</v>
      </c>
      <c r="P141" s="135">
        <f ca="1">IF(M141&gt;0,N141*100/M141,0)</f>
        <v>93.325966850828735</v>
      </c>
      <c r="Q141" s="135">
        <f ca="1">Q144+Q147</f>
        <v>0</v>
      </c>
      <c r="R141" s="135">
        <f ca="1">R144+R147</f>
        <v>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95500</v>
      </c>
      <c r="M142" s="135">
        <f ca="1">M143+M144</f>
        <v>90500</v>
      </c>
      <c r="N142" s="135">
        <f ca="1">N143+N144</f>
        <v>84460</v>
      </c>
      <c r="O142" s="135">
        <f ca="1">IF(L142&gt;0,N142*100/L142,0)</f>
        <v>88.439790575916234</v>
      </c>
      <c r="P142" s="135">
        <f ca="1">IF(M142&gt;0,N142*100/M142,0)</f>
        <v>93.325966850828735</v>
      </c>
      <c r="Q142" s="135">
        <f ca="1">Q143+Q144</f>
        <v>0</v>
      </c>
      <c r="R142" s="135">
        <f ca="1">R143+R144</f>
        <v>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IFERROR(__xludf.DUMMYFUNCTION("IMPORTRANGE(""https://docs.google.com/spreadsheets/d/1-uDff_7J0KD5mKrp0Vvzr7lt3OU09vwQwhkpOPPYv2Y/edit?usp=sharing"",""งบพรบ!BQ56"")"),95500)</f>
        <v>95500</v>
      </c>
      <c r="M144" s="135">
        <f ca="1">IFERROR(__xludf.DUMMYFUNCTION("IMPORTRANGE(""https://docs.google.com/spreadsheets/d/1-uDff_7J0KD5mKrp0Vvzr7lt3OU09vwQwhkpOPPYv2Y/edit?usp=sharing"",""งบพรบ!BV56"")"),90500)</f>
        <v>90500</v>
      </c>
      <c r="N144" s="135">
        <f ca="1">IFERROR(__xludf.DUMMYFUNCTION("IMPORTRANGE(""https://docs.google.com/spreadsheets/d/1-uDff_7J0KD5mKrp0Vvzr7lt3OU09vwQwhkpOPPYv2Y/edit?usp=sharing"",""งบพรบ!BX56"")"),84460)</f>
        <v>84460</v>
      </c>
      <c r="O144" s="135">
        <f ca="1">IF(L144&gt;0,N144*100/L144,0)</f>
        <v>88.439790575916234</v>
      </c>
      <c r="P144" s="135">
        <f ca="1">IF(M144&gt;0,N144*100/M144,0)</f>
        <v>93.325966850828735</v>
      </c>
      <c r="Q144" s="135">
        <f ca="1">IFERROR(__xludf.DUMMYFUNCTION("IMPORTRANGE(""https://docs.google.com/spreadsheets/d/1ItG2mGa2ceCfYo0BwxsXqNm01IGEUdYcSSLTEv9YCik/edit?usp=sharing"",""เบิกจ่ายกองทุน!BB56"")"),0)</f>
        <v>0</v>
      </c>
      <c r="R144" s="135">
        <f ca="1">IFERROR(__xludf.DUMMYFUNCTION("IMPORTRANGE(""https://docs.google.com/spreadsheets/d/1ItG2mGa2ceCfYo0BwxsXqNm01IGEUdYcSSLTEv9YCik/edit?usp=sharing"",""เบิกจ่ายกองทุน!BC56"")"),0)</f>
        <v>0</v>
      </c>
      <c r="S144" s="135">
        <f ca="1">IFERROR(__xludf.DUMMYFUNCTION("IMPORTRANGE(""https://docs.google.com/spreadsheets/d/1ItG2mGa2ceCfYo0BwxsXqNm01IGEUdYcSSLTEv9YCik/edit?usp=sharing"",""เบิกจ่ายกองทุน!BD56"")"),0)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>Q146+Q147</f>
        <v>0</v>
      </c>
      <c r="R145" s="135">
        <f>R146+R147</f>
        <v>0</v>
      </c>
      <c r="S145" s="135">
        <f>S146+S147</f>
        <v>0</v>
      </c>
      <c r="T145" s="135">
        <f>IF(Q145&gt;0,S145*100/Q145,0)</f>
        <v>0</v>
      </c>
      <c r="U145" s="135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IFERROR(__xludf.DUMMYFUNCTION("IMPORTRANGE(""https://docs.google.com/spreadsheets/d/1-uDff_7J0KD5mKrp0Vvzr7lt3OU09vwQwhkpOPPYv2Y/edit?usp=sharing"",""งบพรบ!BT56"")"),0)</f>
        <v>0</v>
      </c>
      <c r="M147" s="135">
        <f ca="1">IFERROR(__xludf.DUMMYFUNCTION("IMPORTRANGE(""https://docs.google.com/spreadsheets/d/1-uDff_7J0KD5mKrp0Vvzr7lt3OU09vwQwhkpOPPYv2Y/edit?usp=sharing"",""งบพรบ!BW56"")"),0)</f>
        <v>0</v>
      </c>
      <c r="N147" s="135">
        <f ca="1">IFERROR(__xludf.DUMMYFUNCTION("IMPORTRANGE(""https://docs.google.com/spreadsheets/d/1-uDff_7J0KD5mKrp0Vvzr7lt3OU09vwQwhkpOPPYv2Y/edit?usp=sharing"",""งบพรบ!BY56"")"),0)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v>0</v>
      </c>
      <c r="R147" s="77">
        <v>0</v>
      </c>
      <c r="S147" s="77">
        <v>0</v>
      </c>
      <c r="T147" s="135">
        <f>IF(Q147&gt;0,S147*100/Q147,0)</f>
        <v>0</v>
      </c>
      <c r="U147" s="135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IFERROR(__xludf.DUMMYFUNCTION("IMPORTRANGE(""https://docs.google.com/spreadsheets/d/1eHaY18a8A9IcSdp1K8H6x8fbOy06t2VsZHhMHf-1x7Y/edit?usp=sharing"",""แผน!U56"")"),0)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IFERROR(__xludf.DUMMYFUNCTION("IMPORTRANGE(""https://docs.google.com/spreadsheets/d/1eHaY18a8A9IcSdp1K8H6x8fbOy06t2VsZHhMHf-1x7Y/edit?usp=sharing"",""แผน!V56"")"),0)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IFERROR(__xludf.DUMMYFUNCTION("IMPORTRANGE(""https://docs.google.com/spreadsheets/d/1eHaY18a8A9IcSdp1K8H6x8fbOy06t2VsZHhMHf-1x7Y/edit?usp=sharing"",""แผน!W56"")"),10)</f>
        <v>10</v>
      </c>
      <c r="J152" s="296">
        <v>10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IFERROR(__xludf.DUMMYFUNCTION("IMPORTRANGE(""https://docs.google.com/spreadsheets/d/1eHaY18a8A9IcSdp1K8H6x8fbOy06t2VsZHhMHf-1x7Y/edit?usp=sharing"",""แผน!X56"")"),1)</f>
        <v>1</v>
      </c>
      <c r="J153" s="296">
        <v>1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IFERROR(__xludf.DUMMYFUNCTION("IMPORTRANGE(""https://docs.google.com/spreadsheets/d/1eHaY18a8A9IcSdp1K8H6x8fbOy06t2VsZHhMHf-1x7Y/edit?usp=sharing"",""แผน!Y56"")"),0)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0</v>
      </c>
      <c r="M157" s="217">
        <f ca="1">M158+M159</f>
        <v>4640</v>
      </c>
      <c r="N157" s="217">
        <f ca="1">N158+N159</f>
        <v>0</v>
      </c>
      <c r="O157" s="217">
        <f ca="1">IF(L157&gt;0,N157*100/L157,0)</f>
        <v>0</v>
      </c>
      <c r="P157" s="217">
        <f ca="1">IF(M157&gt;0,N157*100/M157,0)</f>
        <v>0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0</v>
      </c>
      <c r="M159" s="135">
        <f ca="1">M162+M165</f>
        <v>4640</v>
      </c>
      <c r="N159" s="135">
        <f ca="1">N162+N165</f>
        <v>0</v>
      </c>
      <c r="O159" s="135">
        <f ca="1">IF(L159&gt;0,N159*100/L159,0)</f>
        <v>0</v>
      </c>
      <c r="P159" s="135">
        <f ca="1">IF(M159&gt;0,N159*100/M159,0)</f>
        <v>0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0</v>
      </c>
      <c r="M160" s="135">
        <f ca="1">M161+M162</f>
        <v>4640</v>
      </c>
      <c r="N160" s="135">
        <f ca="1">N161+N162</f>
        <v>0</v>
      </c>
      <c r="O160" s="135">
        <f ca="1">IF(L160&gt;0,N160*100/L160,0)</f>
        <v>0</v>
      </c>
      <c r="P160" s="135">
        <f ca="1">IF(M160&gt;0,N160*100/M160,0)</f>
        <v>0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IFERROR(__xludf.DUMMYFUNCTION("IMPORTRANGE(""https://docs.google.com/spreadsheets/d/1-uDff_7J0KD5mKrp0Vvzr7lt3OU09vwQwhkpOPPYv2Y/edit?usp=sharing"",""งบพรบ!CA56"")"),0)</f>
        <v>0</v>
      </c>
      <c r="M162" s="135">
        <f ca="1">IFERROR(__xludf.DUMMYFUNCTION("IMPORTRANGE(""https://docs.google.com/spreadsheets/d/1-uDff_7J0KD5mKrp0Vvzr7lt3OU09vwQwhkpOPPYv2Y/edit?usp=sharing"",""งบพรบ!CF56"")"),4640)</f>
        <v>4640</v>
      </c>
      <c r="N162" s="135">
        <f ca="1">IFERROR(__xludf.DUMMYFUNCTION("IMPORTRANGE(""https://docs.google.com/spreadsheets/d/1-uDff_7J0KD5mKrp0Vvzr7lt3OU09vwQwhkpOPPYv2Y/edit?usp=sharing"",""งบพรบ!CH56"")"),0)</f>
        <v>0</v>
      </c>
      <c r="O162" s="135">
        <f ca="1">IF(L162&gt;0,N162*100/L162,0)</f>
        <v>0</v>
      </c>
      <c r="P162" s="135">
        <f ca="1">IF(M162&gt;0,N162*100/M162,0)</f>
        <v>0</v>
      </c>
      <c r="Q162" s="135">
        <f ca="1">IFERROR(__xludf.DUMMYFUNCTION("IMPORTRANGE(""https://docs.google.com/spreadsheets/d/1ItG2mGa2ceCfYo0BwxsXqNm01IGEUdYcSSLTEv9YCik/edit?usp=sharing"",""เบิกจ่ายกองทุน!AG56"")"),0)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IFERROR(__xludf.DUMMYFUNCTION("IMPORTRANGE(""https://docs.google.com/spreadsheets/d/1ItG2mGa2ceCfYo0BwxsXqNm01IGEUdYcSSLTEv9YCik/edit?usp=sharing"",""เบิกจ่ายกองทุน!AH56"")"),0)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IFERROR(__xludf.DUMMYFUNCTION("IMPORTRANGE(""https://docs.google.com/spreadsheets/d/1ItG2mGa2ceCfYo0BwxsXqNm01IGEUdYcSSLTEv9YCik/edit?usp=sharing"",""เบิกจ่ายกองทุน!AI56"")"),0)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IFERROR(__xludf.DUMMYFUNCTION("IMPORTRANGE(""https://docs.google.com/spreadsheets/d/1-uDff_7J0KD5mKrp0Vvzr7lt3OU09vwQwhkpOPPYv2Y/edit?usp=sharing"",""งบพรบ!CD56"")"),0)</f>
        <v>0</v>
      </c>
      <c r="M165" s="135">
        <f ca="1">IFERROR(__xludf.DUMMYFUNCTION("IMPORTRANGE(""https://docs.google.com/spreadsheets/d/1-uDff_7J0KD5mKrp0Vvzr7lt3OU09vwQwhkpOPPYv2Y/edit?usp=sharing"",""งบพรบ!CG56"")"),0)</f>
        <v>0</v>
      </c>
      <c r="N165" s="135">
        <f ca="1">IFERROR(__xludf.DUMMYFUNCTION("IMPORTRANGE(""https://docs.google.com/spreadsheets/d/1-uDff_7J0KD5mKrp0Vvzr7lt3OU09vwQwhkpOPPYv2Y/edit?usp=sharing"",""งบพรบ!CI56"")"),0)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IFERROR(__xludf.DUMMYFUNCTION("IMPORTRANGE(""https://docs.google.com/spreadsheets/d/1eHaY18a8A9IcSdp1K8H6x8fbOy06t2VsZHhMHf-1x7Y/edit?usp=sharing"",""แผน!Z56"")"),0)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IFERROR(__xludf.DUMMYFUNCTION("IMPORTRANGE(""https://docs.google.com/spreadsheets/d/1eHaY18a8A9IcSdp1K8H6x8fbOy06t2VsZHhMHf-1x7Y/edit?usp=sharing"",""แผน!Z56"")"),0)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IFERROR(__xludf.DUMMYFUNCTION("IMPORTRANGE(""https://docs.google.com/spreadsheets/d/1eHaY18a8A9IcSdp1K8H6x8fbOy06t2VsZHhMHf-1x7Y/edit?usp=sharing"",""แผน!Z56"")"),0)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hidden="1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hidden="1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0</v>
      </c>
      <c r="J172" s="1165">
        <f>J183+J184</f>
        <v>0</v>
      </c>
      <c r="K172" s="1164">
        <f ca="1">IF(I172&gt;0,J172*100/I172,0)</f>
        <v>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hidden="1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0</v>
      </c>
      <c r="M173" s="217">
        <f ca="1">M174+M175</f>
        <v>0</v>
      </c>
      <c r="N173" s="217">
        <f ca="1">N174+N175</f>
        <v>0</v>
      </c>
      <c r="O173" s="217">
        <f ca="1">IF(L173&gt;0,N173*100/L173,0)</f>
        <v>0</v>
      </c>
      <c r="P173" s="217">
        <f ca="1">IF(M173&gt;0,N173*100/M173,0)</f>
        <v>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0</v>
      </c>
      <c r="M175" s="135">
        <f ca="1">M178+M181</f>
        <v>0</v>
      </c>
      <c r="N175" s="135">
        <f ca="1">N178+N181</f>
        <v>0</v>
      </c>
      <c r="O175" s="135">
        <f ca="1">IF(L175&gt;0,N175*100/L175,0)</f>
        <v>0</v>
      </c>
      <c r="P175" s="135">
        <f ca="1">IF(M175&gt;0,N175*100/M175,0)</f>
        <v>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hidden="1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0</v>
      </c>
      <c r="M176" s="135">
        <f ca="1">M177+M178</f>
        <v>0</v>
      </c>
      <c r="N176" s="135">
        <f ca="1">N177+N178</f>
        <v>0</v>
      </c>
      <c r="O176" s="135">
        <f ca="1">IF(L176&gt;0,N176*100/L176,0)</f>
        <v>0</v>
      </c>
      <c r="P176" s="135">
        <f ca="1">IF(M176&gt;0,N176*100/M176,0)</f>
        <v>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IFERROR(__xludf.DUMMYFUNCTION("IMPORTRANGE(""https://docs.google.com/spreadsheets/d/1-uDff_7J0KD5mKrp0Vvzr7lt3OU09vwQwhkpOPPYv2Y/edit?usp=sharing"",""งบพรบ!CK56"")"),0)</f>
        <v>0</v>
      </c>
      <c r="M178" s="135">
        <f ca="1">IFERROR(__xludf.DUMMYFUNCTION("IMPORTRANGE(""https://docs.google.com/spreadsheets/d/1-uDff_7J0KD5mKrp0Vvzr7lt3OU09vwQwhkpOPPYv2Y/edit?usp=sharing"",""งบพรบ!CP56"")"),0)</f>
        <v>0</v>
      </c>
      <c r="N178" s="135">
        <f ca="1">IFERROR(__xludf.DUMMYFUNCTION("IMPORTRANGE(""https://docs.google.com/spreadsheets/d/1-uDff_7J0KD5mKrp0Vvzr7lt3OU09vwQwhkpOPPYv2Y/edit?usp=sharing"",""งบพรบ!CR56"")"),0)</f>
        <v>0</v>
      </c>
      <c r="O178" s="135">
        <f ca="1">IF(L178&gt;0,N178*100/L178,0)</f>
        <v>0</v>
      </c>
      <c r="P178" s="135">
        <f ca="1">IF(M178&gt;0,N178*100/M178,0)</f>
        <v>0</v>
      </c>
      <c r="Q178" s="135">
        <f ca="1">IFERROR(__xludf.DUMMYFUNCTION("IMPORTRANGE(""https://docs.google.com/spreadsheets/d/1ItG2mGa2ceCfYo0BwxsXqNm01IGEUdYcSSLTEv9YCik/edit?usp=sharing"",""เบิกจ่ายกองทุน!BE56"")"),0)</f>
        <v>0</v>
      </c>
      <c r="R178" s="135">
        <f ca="1">IFERROR(__xludf.DUMMYFUNCTION("IMPORTRANGE(""https://docs.google.com/spreadsheets/d/1ItG2mGa2ceCfYo0BwxsXqNm01IGEUdYcSSLTEv9YCik/edit?usp=sharing"",""เบิกจ่ายกองทุน!BF56"")"),0)</f>
        <v>0</v>
      </c>
      <c r="S178" s="135">
        <f ca="1">IFERROR(__xludf.DUMMYFUNCTION("IMPORTRANGE(""https://docs.google.com/spreadsheets/d/1ItG2mGa2ceCfYo0BwxsXqNm01IGEUdYcSSLTEv9YCik/edit?usp=sharing"",""เบิกจ่ายกองทุน!BG56"")"),0)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hidden="1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IFERROR(__xludf.DUMMYFUNCTION("IMPORTRANGE(""https://docs.google.com/spreadsheets/d/1-uDff_7J0KD5mKrp0Vvzr7lt3OU09vwQwhkpOPPYv2Y/edit?usp=sharing"",""งบพรบ!CN56"")"),0)</f>
        <v>0</v>
      </c>
      <c r="M181" s="135">
        <f ca="1">IFERROR(__xludf.DUMMYFUNCTION("IMPORTRANGE(""https://docs.google.com/spreadsheets/d/1-uDff_7J0KD5mKrp0Vvzr7lt3OU09vwQwhkpOPPYv2Y/edit?usp=sharing"",""งบพรบ!CQ56"")"),0)</f>
        <v>0</v>
      </c>
      <c r="N181" s="135">
        <f ca="1">IFERROR(__xludf.DUMMYFUNCTION("IMPORTRANGE(""https://docs.google.com/spreadsheets/d/1-uDff_7J0KD5mKrp0Vvzr7lt3OU09vwQwhkpOPPYv2Y/edit?usp=sharing"",""งบพรบ!CS56"")"),0)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hidden="1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hidden="1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IFERROR(__xludf.DUMMYFUNCTION("IMPORTRANGE(""https://docs.google.com/spreadsheets/d/1eHaY18a8A9IcSdp1K8H6x8fbOy06t2VsZHhMHf-1x7Y/edit?usp=sharing"",""แผน!AA56"")"),0)</f>
        <v>0</v>
      </c>
      <c r="J183" s="296">
        <v>0</v>
      </c>
      <c r="K183" s="77">
        <f ca="1">IF(I183&gt;0,J183*100/I183,0)</f>
        <v>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20</v>
      </c>
      <c r="J185" s="1165">
        <f>J230+J231</f>
        <v>20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81100</v>
      </c>
      <c r="M186" s="217">
        <f ca="1">M187+M188</f>
        <v>81246</v>
      </c>
      <c r="N186" s="217">
        <f ca="1">N187+N188</f>
        <v>75584</v>
      </c>
      <c r="O186" s="217">
        <f ca="1">IF(L186&gt;0,N186*100/L186,0)</f>
        <v>93.198520345252774</v>
      </c>
      <c r="P186" s="217">
        <f ca="1">IF(M186&gt;0,N186*100/M186,0)</f>
        <v>93.031041528198315</v>
      </c>
      <c r="Q186" s="217">
        <f ca="1">Q187+Q188</f>
        <v>43838</v>
      </c>
      <c r="R186" s="217">
        <f ca="1">R187+R188</f>
        <v>43838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81100</v>
      </c>
      <c r="M188" s="135">
        <f ca="1">M191+M194</f>
        <v>81246</v>
      </c>
      <c r="N188" s="135">
        <f ca="1">N191+N194</f>
        <v>75584</v>
      </c>
      <c r="O188" s="135">
        <f ca="1">IF(L188&gt;0,N188*100/L188,0)</f>
        <v>93.198520345252774</v>
      </c>
      <c r="P188" s="135">
        <f ca="1">IF(M188&gt;0,N188*100/M188,0)</f>
        <v>93.031041528198315</v>
      </c>
      <c r="Q188" s="135">
        <f ca="1">Q191+Q194</f>
        <v>43838</v>
      </c>
      <c r="R188" s="135">
        <f ca="1">R191+R194</f>
        <v>43838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81100</v>
      </c>
      <c r="M189" s="135">
        <f ca="1">M190+M191</f>
        <v>81246</v>
      </c>
      <c r="N189" s="135">
        <f ca="1">N190+N191</f>
        <v>75584</v>
      </c>
      <c r="O189" s="135">
        <f ca="1">IF(L189&gt;0,N189*100/L189,0)</f>
        <v>93.198520345252774</v>
      </c>
      <c r="P189" s="135">
        <f ca="1">IF(M189&gt;0,N189*100/M189,0)</f>
        <v>93.031041528198315</v>
      </c>
      <c r="Q189" s="135">
        <f ca="1">Q190+Q191</f>
        <v>43838</v>
      </c>
      <c r="R189" s="135">
        <f ca="1">R190+R191</f>
        <v>43838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IFERROR(__xludf.DUMMYFUNCTION("IMPORTRANGE(""https://docs.google.com/spreadsheets/d/1-uDff_7J0KD5mKrp0Vvzr7lt3OU09vwQwhkpOPPYv2Y/edit?usp=sharing"",""งบพรบ!CU56"")"),81100)</f>
        <v>81100</v>
      </c>
      <c r="M191" s="135">
        <f ca="1">IFERROR(__xludf.DUMMYFUNCTION("IMPORTRANGE(""https://docs.google.com/spreadsheets/d/1-uDff_7J0KD5mKrp0Vvzr7lt3OU09vwQwhkpOPPYv2Y/edit?usp=sharing"",""งบพรบ!CZ56"")"),81246)</f>
        <v>81246</v>
      </c>
      <c r="N191" s="135">
        <f ca="1">IFERROR(__xludf.DUMMYFUNCTION("IMPORTRANGE(""https://docs.google.com/spreadsheets/d/1-uDff_7J0KD5mKrp0Vvzr7lt3OU09vwQwhkpOPPYv2Y/edit?usp=sharing"",""งบพรบ!DB56"")"),75584)</f>
        <v>75584</v>
      </c>
      <c r="O191" s="135">
        <f ca="1">IF(L191&gt;0,N191*100/L191,0)</f>
        <v>93.198520345252774</v>
      </c>
      <c r="P191" s="135">
        <f ca="1">IF(M191&gt;0,N191*100/M191,0)</f>
        <v>93.031041528198315</v>
      </c>
      <c r="Q191" s="135">
        <f ca="1">IFERROR(__xludf.DUMMYFUNCTION("IMPORTRANGE(""https://docs.google.com/spreadsheets/d/1ItG2mGa2ceCfYo0BwxsXqNm01IGEUdYcSSLTEv9YCik/edit?usp=sharing"",""เบิกจ่ายกองทุน!AV56"")"),43838)</f>
        <v>43838</v>
      </c>
      <c r="R191" s="135">
        <f ca="1">IFERROR(__xludf.DUMMYFUNCTION("IMPORTRANGE(""https://docs.google.com/spreadsheets/d/1ItG2mGa2ceCfYo0BwxsXqNm01IGEUdYcSSLTEv9YCik/edit?usp=sharing"",""เบิกจ่ายกองทุน!AW56"")"),43838)</f>
        <v>43838</v>
      </c>
      <c r="S191" s="135">
        <f ca="1">IFERROR(__xludf.DUMMYFUNCTION("IMPORTRANGE(""https://docs.google.com/spreadsheets/d/1ItG2mGa2ceCfYo0BwxsXqNm01IGEUdYcSSLTEv9YCik/edit?usp=sharing"",""เบิกจ่ายกองทุน!AX56"")"),0)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>Q193+Q194</f>
        <v>0</v>
      </c>
      <c r="R192" s="135">
        <f>R193+R194</f>
        <v>0</v>
      </c>
      <c r="S192" s="135">
        <f>S193+S194</f>
        <v>0</v>
      </c>
      <c r="T192" s="135">
        <f>IF(Q192&gt;0,S192*100/Q192,0)</f>
        <v>0</v>
      </c>
      <c r="U192" s="135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IFERROR(__xludf.DUMMYFUNCTION("IMPORTRANGE(""https://docs.google.com/spreadsheets/d/1-uDff_7J0KD5mKrp0Vvzr7lt3OU09vwQwhkpOPPYv2Y/edit?usp=sharing"",""งบพรบ!CX56"")"),0)</f>
        <v>0</v>
      </c>
      <c r="M194" s="135">
        <f ca="1">IFERROR(__xludf.DUMMYFUNCTION("IMPORTRANGE(""https://docs.google.com/spreadsheets/d/1-uDff_7J0KD5mKrp0Vvzr7lt3OU09vwQwhkpOPPYv2Y/edit?usp=sharing"",""งบพรบ!DA56"")"),0)</f>
        <v>0</v>
      </c>
      <c r="N194" s="135">
        <f ca="1">IFERROR(__xludf.DUMMYFUNCTION("IMPORTRANGE(""https://docs.google.com/spreadsheets/d/1-uDff_7J0KD5mKrp0Vvzr7lt3OU09vwQwhkpOPPYv2Y/edit?usp=sharing"",""งบพรบ!DC56"")"),0)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v>0</v>
      </c>
      <c r="R194" s="77">
        <v>0</v>
      </c>
      <c r="S194" s="77">
        <v>0</v>
      </c>
      <c r="T194" s="135">
        <f>IF(Q194&gt;0,S194*100/Q194,0)</f>
        <v>0</v>
      </c>
      <c r="U194" s="135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IFERROR(__xludf.DUMMYFUNCTION("IMPORTRANGE(""https://docs.google.com/spreadsheets/d/1eHaY18a8A9IcSdp1K8H6x8fbOy06t2VsZHhMHf-1x7Y/edit?usp=sharing"",""แผน!AB56"")"),6000)</f>
        <v>6000</v>
      </c>
      <c r="M196" s="90"/>
      <c r="N196" s="959">
        <f>2240+740+240+2255</f>
        <v>5475</v>
      </c>
      <c r="O196" s="217">
        <f ca="1">IF(L196&gt;0,N196*100/L196,0)</f>
        <v>91.25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IFERROR(__xludf.DUMMYFUNCTION("IMPORTRANGE(""https://docs.google.com/spreadsheets/d/1eHaY18a8A9IcSdp1K8H6x8fbOy06t2VsZHhMHf-1x7Y/edit?usp=sharing"",""แผน!AE56"")"),4)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172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172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4</v>
      </c>
      <c r="J202" s="542">
        <f>J209</f>
        <v>1</v>
      </c>
      <c r="K202" s="543">
        <f ca="1">IF(I202&gt;0,J202*100/I202,0)</f>
        <v>25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216">
        <f ca="1">L204+L205+L206+L207</f>
        <v>25162</v>
      </c>
      <c r="M203" s="90"/>
      <c r="N203" s="217">
        <f>N204+N205+N206+N207</f>
        <v>25162</v>
      </c>
      <c r="O203" s="217">
        <f ca="1">IF(L203&gt;0,N203*100/L203,0)</f>
        <v>100</v>
      </c>
      <c r="P203" s="217">
        <f>IF(M203&gt;0,N203*100/M203,0)</f>
        <v>0</v>
      </c>
      <c r="Q203" s="387">
        <f ca="1">Q204+Q205+Q206+Q207</f>
        <v>43838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IFERROR(__xludf.DUMMYFUNCTION("IMPORTRANGE(""https://docs.google.com/spreadsheets/d/1eHaY18a8A9IcSdp1K8H6x8fbOy06t2VsZHhMHf-1x7Y/edit?usp=sharing"",""แผน!AG56"")"),2000)</f>
        <v>2000</v>
      </c>
      <c r="M204" s="90"/>
      <c r="N204" s="391">
        <f>1240+760</f>
        <v>2000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IFERROR(__xludf.DUMMYFUNCTION("IMPORTRANGE(""https://docs.google.com/spreadsheets/d/1eHaY18a8A9IcSdp1K8H6x8fbOy06t2VsZHhMHf-1x7Y/edit?usp=sharing"",""แผน!AH56"")"),0)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>
        <f ca="1">IFERROR(__xludf.DUMMYFUNCTION("IMPORTRANGE(""https://docs.google.com/spreadsheets/d/1eHaY18a8A9IcSdp1K8H6x8fbOy06t2VsZHhMHf-1x7Y/edit?usp=sharing"",""แผน!AI56"")"),12162)</f>
        <v>12162</v>
      </c>
      <c r="M206" s="90"/>
      <c r="N206" s="391">
        <v>12162</v>
      </c>
      <c r="O206" s="231"/>
      <c r="P206" s="90"/>
      <c r="Q206" s="76">
        <f ca="1">IFERROR(__xludf.DUMMYFUNCTION("IMPORTRANGE(""https://docs.google.com/spreadsheets/d/1eHaY18a8A9IcSdp1K8H6x8fbOy06t2VsZHhMHf-1x7Y/edit?usp=sharing"",""แผน!LV56"")"),43838)</f>
        <v>43838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IFERROR(__xludf.DUMMYFUNCTION("IMPORTRANGE(""https://docs.google.com/spreadsheets/d/1eHaY18a8A9IcSdp1K8H6x8fbOy06t2VsZHhMHf-1x7Y/edit?usp=sharing"",""แผน!AJ56"")"),11000)</f>
        <v>11000</v>
      </c>
      <c r="M207" s="90"/>
      <c r="N207" s="391">
        <v>11000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IFERROR(__xludf.DUMMYFUNCTION("IMPORTRANGE(""https://docs.google.com/spreadsheets/d/1eHaY18a8A9IcSdp1K8H6x8fbOy06t2VsZHhMHf-1x7Y/edit?usp=sharing"",""แผน!AK56"")"),4)</f>
        <v>4</v>
      </c>
      <c r="J209" s="296">
        <v>1</v>
      </c>
      <c r="K209" s="748">
        <f ca="1">IF(I209&gt;0,J209*100/I209,0)</f>
        <v>25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IFERROR(__xludf.DUMMYFUNCTION("IMPORTRANGE(""https://docs.google.com/spreadsheets/d/1eHaY18a8A9IcSdp1K8H6x8fbOy06t2VsZHhMHf-1x7Y/edit?usp=sharing"",""แผน!JX56"")"),2)</f>
        <v>2</v>
      </c>
      <c r="J211" s="296">
        <v>2</v>
      </c>
      <c r="K211" s="748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IFERROR(__xludf.DUMMYFUNCTION("IMPORTRANGE(""https://docs.google.com/spreadsheets/d/1eHaY18a8A9IcSdp1K8H6x8fbOy06t2VsZHhMHf-1x7Y/edit?usp=sharing"",""แผน!JY56"")"),1)</f>
        <v>1</v>
      </c>
      <c r="J212" s="296">
        <v>1</v>
      </c>
      <c r="K212" s="748">
        <f ca="1">IF(I212&gt;0,J212*100/I212,0)</f>
        <v>100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216">
        <f ca="1">L215+L216+L217</f>
        <v>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IFERROR(__xludf.DUMMYFUNCTION("IMPORTRANGE(""https://docs.google.com/spreadsheets/d/1eHaY18a8A9IcSdp1K8H6x8fbOy06t2VsZHhMHf-1x7Y/edit?usp=sharing"",""แผน!AM56"")"),0)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IFERROR(__xludf.DUMMYFUNCTION("IMPORTRANGE(""https://docs.google.com/spreadsheets/d/1eHaY18a8A9IcSdp1K8H6x8fbOy06t2VsZHhMHf-1x7Y/edit?usp=sharing"",""แผน!AN56"")"),0)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IFERROR(__xludf.DUMMYFUNCTION("IMPORTRANGE(""https://docs.google.com/spreadsheets/d/1eHaY18a8A9IcSdp1K8H6x8fbOy06t2VsZHhMHf-1x7Y/edit?usp=sharing"",""แผน!AO56"")"),0)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IFERROR(__xludf.DUMMYFUNCTION("IMPORTRANGE(""https://docs.google.com/spreadsheets/d/1eHaY18a8A9IcSdp1K8H6x8fbOy06t2VsZHhMHf-1x7Y/edit?usp=sharing"",""แผน!LY56"")"),0)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IFERROR(__xludf.DUMMYFUNCTION("IMPORTRANGE(""https://docs.google.com/spreadsheets/d/1eHaY18a8A9IcSdp1K8H6x8fbOy06t2VsZHhMHf-1x7Y/edit?usp=sharing"",""แผน!AP56"")"),0)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IFERROR(__xludf.DUMMYFUNCTION("IMPORTRANGE(""https://docs.google.com/spreadsheets/d/1eHaY18a8A9IcSdp1K8H6x8fbOy06t2VsZHhMHf-1x7Y/edit?usp=sharing"",""แผน!AP56"")"),0)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216">
        <f ca="1">L223+L224+L225</f>
        <v>4500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IFERROR(__xludf.DUMMYFUNCTION("IMPORTRANGE(""https://docs.google.com/spreadsheets/d/1eHaY18a8A9IcSdp1K8H6x8fbOy06t2VsZHhMHf-1x7Y/edit?usp=sharing"",""แผน!AR56"")"),2500)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IFERROR(__xludf.DUMMYFUNCTION("IMPORTRANGE(""https://docs.google.com/spreadsheets/d/1eHaY18a8A9IcSdp1K8H6x8fbOy06t2VsZHhMHf-1x7Y/edit?usp=sharing"",""แผน!AS56"")"),2000)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IFERROR(__xludf.DUMMYFUNCTION("IMPORTRANGE(""https://docs.google.com/spreadsheets/d/1eHaY18a8A9IcSdp1K8H6x8fbOy06t2VsZHhMHf-1x7Y/edit?usp=sharing"",""แผน!AT56"")"),0)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IFERROR(__xludf.DUMMYFUNCTION("IMPORTRANGE(""https://docs.google.com/spreadsheets/d/1eHaY18a8A9IcSdp1K8H6x8fbOy06t2VsZHhMHf-1x7Y/edit?usp=sharing"",""แผน!AV56"")"),5000)</f>
        <v>5000</v>
      </c>
      <c r="J228" s="296">
        <v>5000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IFERROR(__xludf.DUMMYFUNCTION("IMPORTRANGE(""https://docs.google.com/spreadsheets/d/1eHaY18a8A9IcSdp1K8H6x8fbOy06t2VsZHhMHf-1x7Y/edit?usp=sharing"",""แผน!AV56"")"),5000)</f>
        <v>5000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IFERROR(__xludf.DUMMYFUNCTION("IMPORTRANGE(""https://docs.google.com/spreadsheets/d/1eHaY18a8A9IcSdp1K8H6x8fbOy06t2VsZHhMHf-1x7Y/edit?usp=sharing"",""แผน!AU56"")"),0)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20</v>
      </c>
      <c r="J231" s="943">
        <f>J242+J253</f>
        <v>20</v>
      </c>
      <c r="K231" s="942">
        <f ca="1">IF(I231&gt;0,J231*100/I231,0)</f>
        <v>100</v>
      </c>
      <c r="L231" s="957"/>
      <c r="M231" s="956"/>
      <c r="N231" s="956"/>
      <c r="O231" s="956"/>
      <c r="P231" s="956"/>
      <c r="Q231" s="956"/>
      <c r="R231" s="956"/>
      <c r="S231" s="956"/>
      <c r="T231" s="956"/>
      <c r="U231" s="956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955">
        <f ca="1">L243+L254</f>
        <v>41600</v>
      </c>
      <c r="M232" s="874"/>
      <c r="N232" s="954">
        <f>N243+N254</f>
        <v>40963</v>
      </c>
      <c r="O232" s="874"/>
      <c r="P232" s="874"/>
      <c r="Q232" s="874"/>
      <c r="R232" s="874"/>
      <c r="S232" s="874"/>
      <c r="T232" s="874"/>
      <c r="U232" s="874"/>
    </row>
    <row r="233" spans="1:21" ht="18.75" hidden="1" x14ac:dyDescent="0.25">
      <c r="A233" s="882"/>
      <c r="B233" s="872"/>
      <c r="C233" s="872"/>
      <c r="D233" s="1286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219">
        <f ca="1">L244+L255</f>
        <v>10000</v>
      </c>
      <c r="M233" s="874"/>
      <c r="N233" s="136">
        <f>N244+N255</f>
        <v>7363</v>
      </c>
      <c r="O233" s="874"/>
      <c r="P233" s="874"/>
      <c r="Q233" s="952">
        <v>0</v>
      </c>
      <c r="R233" s="951">
        <v>0</v>
      </c>
      <c r="S233" s="951">
        <v>0</v>
      </c>
      <c r="T233" s="874"/>
      <c r="U233" s="874"/>
    </row>
    <row r="234" spans="1:21" ht="18.75" hidden="1" x14ac:dyDescent="0.25">
      <c r="A234" s="873"/>
      <c r="B234" s="872"/>
      <c r="C234" s="872"/>
      <c r="D234" s="573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219">
        <f ca="1">L245+L256</f>
        <v>0</v>
      </c>
      <c r="M234" s="874"/>
      <c r="N234" s="136">
        <f>N245+N256</f>
        <v>2000</v>
      </c>
      <c r="O234" s="874"/>
      <c r="P234" s="874"/>
      <c r="Q234" s="79">
        <v>0</v>
      </c>
      <c r="R234" s="80">
        <v>0</v>
      </c>
      <c r="S234" s="80">
        <v>0</v>
      </c>
      <c r="T234" s="874"/>
      <c r="U234" s="874"/>
    </row>
    <row r="235" spans="1:21" ht="18.75" hidden="1" x14ac:dyDescent="0.25">
      <c r="A235" s="873"/>
      <c r="B235" s="872"/>
      <c r="C235" s="872"/>
      <c r="D235" s="573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219">
        <f ca="1">L246+L257</f>
        <v>12600</v>
      </c>
      <c r="M235" s="874"/>
      <c r="N235" s="136">
        <f>N246+N257</f>
        <v>12600</v>
      </c>
      <c r="O235" s="874"/>
      <c r="P235" s="874"/>
      <c r="Q235" s="79">
        <v>0</v>
      </c>
      <c r="R235" s="80">
        <v>0</v>
      </c>
      <c r="S235" s="80">
        <v>0</v>
      </c>
      <c r="T235" s="874"/>
      <c r="U235" s="874"/>
    </row>
    <row r="236" spans="1:21" ht="18.75" hidden="1" x14ac:dyDescent="0.25">
      <c r="A236" s="873"/>
      <c r="B236" s="872"/>
      <c r="C236" s="872"/>
      <c r="D236" s="267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219">
        <f ca="1">L247+L258</f>
        <v>19000</v>
      </c>
      <c r="M236" s="874"/>
      <c r="N236" s="136">
        <f>N247+N258</f>
        <v>19000</v>
      </c>
      <c r="O236" s="874"/>
      <c r="P236" s="874"/>
      <c r="Q236" s="79">
        <v>0</v>
      </c>
      <c r="R236" s="80">
        <v>0</v>
      </c>
      <c r="S236" s="80">
        <v>0</v>
      </c>
      <c r="T236" s="874"/>
      <c r="U236" s="874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950"/>
      <c r="M237" s="874"/>
      <c r="N237" s="874"/>
      <c r="O237" s="881"/>
      <c r="P237" s="881"/>
      <c r="Q237" s="874"/>
      <c r="R237" s="874"/>
      <c r="S237" s="874"/>
      <c r="T237" s="881"/>
      <c r="U237" s="88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20</v>
      </c>
      <c r="J238" s="574">
        <f>J249+J260</f>
        <v>20</v>
      </c>
      <c r="K238" s="80">
        <f ca="1">IF(I238&gt;0,J238*100/I238,0)</f>
        <v>100</v>
      </c>
      <c r="L238" s="950"/>
      <c r="M238" s="874"/>
      <c r="N238" s="874"/>
      <c r="O238" s="874"/>
      <c r="P238" s="874"/>
      <c r="Q238" s="874"/>
      <c r="R238" s="874"/>
      <c r="S238" s="874"/>
      <c r="T238" s="874"/>
      <c r="U238" s="874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950"/>
      <c r="M239" s="874"/>
      <c r="N239" s="874"/>
      <c r="O239" s="881"/>
      <c r="P239" s="881"/>
      <c r="Q239" s="874"/>
      <c r="R239" s="874"/>
      <c r="S239" s="874"/>
      <c r="T239" s="881"/>
      <c r="U239" s="88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20</v>
      </c>
      <c r="J240" s="574">
        <f>J251+J262</f>
        <v>20</v>
      </c>
      <c r="K240" s="80">
        <f ca="1">IF(I240&gt;0,J240*100/I240,0)</f>
        <v>100</v>
      </c>
      <c r="L240" s="950"/>
      <c r="M240" s="874"/>
      <c r="N240" s="874"/>
      <c r="O240" s="874"/>
      <c r="P240" s="874"/>
      <c r="Q240" s="874"/>
      <c r="R240" s="874"/>
      <c r="S240" s="874"/>
      <c r="T240" s="874"/>
      <c r="U240" s="874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950"/>
      <c r="M241" s="874"/>
      <c r="N241" s="874"/>
      <c r="O241" s="874"/>
      <c r="P241" s="874"/>
      <c r="Q241" s="874"/>
      <c r="R241" s="874"/>
      <c r="S241" s="874"/>
      <c r="T241" s="874"/>
      <c r="U241" s="874"/>
    </row>
    <row r="242" spans="1:21" ht="19.5" x14ac:dyDescent="0.3">
      <c r="A242" s="372"/>
      <c r="B242" s="373"/>
      <c r="C242" s="1156" t="s">
        <v>328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20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41600</v>
      </c>
      <c r="M243" s="90"/>
      <c r="N243" s="217">
        <f>N244+N245+N246+N247</f>
        <v>40963</v>
      </c>
      <c r="O243" s="217">
        <f ca="1">IF(L243&gt;0,N243*100/L243,0)</f>
        <v>98.46875</v>
      </c>
      <c r="P243" s="217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IFERROR(__xludf.DUMMYFUNCTION("IMPORTRANGE(""https://docs.google.com/spreadsheets/d/1eHaY18a8A9IcSdp1K8H6x8fbOy06t2VsZHhMHf-1x7Y/edit?usp=sharing"",""แผน!AX56"")"),10000)</f>
        <v>10000</v>
      </c>
      <c r="M244" s="90"/>
      <c r="N244" s="391">
        <f>1000+2443+480+1700+740+1000</f>
        <v>7363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IFERROR(__xludf.DUMMYFUNCTION("IMPORTRANGE(""https://docs.google.com/spreadsheets/d/1eHaY18a8A9IcSdp1K8H6x8fbOy06t2VsZHhMHf-1x7Y/edit?usp=sharing"",""แผน!AY56"")"),0)</f>
        <v>0</v>
      </c>
      <c r="M245" s="90"/>
      <c r="N245" s="391">
        <v>2000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IFERROR(__xludf.DUMMYFUNCTION("IMPORTRANGE(""https://docs.google.com/spreadsheets/d/1eHaY18a8A9IcSdp1K8H6x8fbOy06t2VsZHhMHf-1x7Y/edit?usp=sharing"",""แผน!AZ56"")"),12600)</f>
        <v>12600</v>
      </c>
      <c r="M246" s="90"/>
      <c r="N246" s="391">
        <f>1400+11200</f>
        <v>12600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IFERROR(__xludf.DUMMYFUNCTION("IMPORTRANGE(""https://docs.google.com/spreadsheets/d/1eHaY18a8A9IcSdp1K8H6x8fbOy06t2VsZHhMHf-1x7Y/edit?usp=sharing"",""แผน!BA56"")"),19000)</f>
        <v>19000</v>
      </c>
      <c r="M247" s="90"/>
      <c r="N247" s="391">
        <v>19000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IFERROR(__xludf.DUMMYFUNCTION("IMPORTRANGE(""https://docs.google.com/spreadsheets/d/1eHaY18a8A9IcSdp1K8H6x8fbOy06t2VsZHhMHf-1x7Y/edit?usp=sharing"",""แผน!BG56"")"),20)</f>
        <v>20</v>
      </c>
      <c r="J249" s="816">
        <v>20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IFERROR(__xludf.DUMMYFUNCTION("IMPORTRANGE(""https://docs.google.com/spreadsheets/d/1eHaY18a8A9IcSdp1K8H6x8fbOy06t2VsZHhMHf-1x7Y/edit?usp=sharing"",""แผน!KD56"")"),20)</f>
        <v>20</v>
      </c>
      <c r="J251" s="816">
        <v>20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23" t="s">
        <v>61</v>
      </c>
      <c r="I252" s="241">
        <f ca="1">IFERROR(__xludf.DUMMYFUNCTION("IMPORTRANGE(""https://docs.google.com/spreadsheets/d/1eHaY18a8A9IcSdp1K8H6x8fbOy06t2VsZHhMHf-1x7Y/edit?usp=sharing"",""แผน!KE56"")"),1)</f>
        <v>1</v>
      </c>
      <c r="J252" s="816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134">
        <f ca="1">IFERROR(__xludf.DUMMYFUNCTION("IMPORTRANGE(""https://docs.google.com/spreadsheets/d/1eHaY18a8A9IcSdp1K8H6x8fbOy06t2VsZHhMHf-1x7Y/edit?usp=sharing"",""แผน!BB56"")"),0)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134">
        <f ca="1">IFERROR(__xludf.DUMMYFUNCTION("IMPORTRANGE(""https://docs.google.com/spreadsheets/d/1eHaY18a8A9IcSdp1K8H6x8fbOy06t2VsZHhMHf-1x7Y/edit?usp=sharing"",""แผน!BC56"")"),0)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134">
        <f ca="1">IFERROR(__xludf.DUMMYFUNCTION("IMPORTRANGE(""https://docs.google.com/spreadsheets/d/1eHaY18a8A9IcSdp1K8H6x8fbOy06t2VsZHhMHf-1x7Y/edit?usp=sharing"",""แผน!BD56"")"),0)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134">
        <f ca="1">IFERROR(__xludf.DUMMYFUNCTION("IMPORTRANGE(""https://docs.google.com/spreadsheets/d/1eHaY18a8A9IcSdp1K8H6x8fbOy06t2VsZHhMHf-1x7Y/edit?usp=sharing"",""แผน!BE56"")"),0)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IFERROR(__xludf.DUMMYFUNCTION("IMPORTRANGE(""https://docs.google.com/spreadsheets/d/1eHaY18a8A9IcSdp1K8H6x8fbOy06t2VsZHhMHf-1x7Y/edit?usp=sharing"",""แผน!BH56"")"),0)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1285"/>
      <c r="B265" s="360" t="s">
        <v>114</v>
      </c>
      <c r="C265" s="1284"/>
      <c r="D265" s="1283"/>
      <c r="E265" s="1283"/>
      <c r="F265" s="1283"/>
      <c r="G265" s="1282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0</v>
      </c>
      <c r="M266" s="217">
        <f ca="1">M267+M268</f>
        <v>17605</v>
      </c>
      <c r="N266" s="217">
        <f ca="1">N267+N268</f>
        <v>17605</v>
      </c>
      <c r="O266" s="217">
        <f ca="1">IF(L266&gt;0,N266*100/L266,0)</f>
        <v>0</v>
      </c>
      <c r="P266" s="217">
        <f ca="1">IF(M266&gt;0,N266*100/M266,0)</f>
        <v>100</v>
      </c>
      <c r="Q266" s="217">
        <f ca="1">Q267+Q268</f>
        <v>50660</v>
      </c>
      <c r="R266" s="217">
        <f ca="1">R267+R268</f>
        <v>50660</v>
      </c>
      <c r="S266" s="217">
        <f ca="1">S267+S268</f>
        <v>2980</v>
      </c>
      <c r="T266" s="217">
        <f ca="1">IF(Q266&gt;0,S266*100/Q266,0)</f>
        <v>5.882352941176471</v>
      </c>
      <c r="U266" s="217">
        <f ca="1">IF(R266&gt;0,S266*100/R266,0)</f>
        <v>5.882352941176471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0</v>
      </c>
      <c r="M268" s="135">
        <f ca="1">M271+M274</f>
        <v>17605</v>
      </c>
      <c r="N268" s="135">
        <f ca="1">N271+N274</f>
        <v>17605</v>
      </c>
      <c r="O268" s="135">
        <f ca="1">IF(L268&gt;0,N268*100/L268,0)</f>
        <v>0</v>
      </c>
      <c r="P268" s="135">
        <f ca="1">IF(M268&gt;0,N268*100/M268,0)</f>
        <v>100</v>
      </c>
      <c r="Q268" s="135">
        <f ca="1">Q271+Q274</f>
        <v>50660</v>
      </c>
      <c r="R268" s="135">
        <f ca="1">R271+R274</f>
        <v>50660</v>
      </c>
      <c r="S268" s="135">
        <f ca="1">S271+S274</f>
        <v>2980</v>
      </c>
      <c r="T268" s="135">
        <f ca="1">IF(Q268&gt;0,S268*100/Q268,0)</f>
        <v>5.882352941176471</v>
      </c>
      <c r="U268" s="135">
        <f ca="1">IF(R268&gt;0,S268*100/R268,0)</f>
        <v>5.882352941176471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0</v>
      </c>
      <c r="M269" s="135">
        <f ca="1">M270+M271</f>
        <v>17605</v>
      </c>
      <c r="N269" s="135">
        <f ca="1">N270+N271</f>
        <v>17605</v>
      </c>
      <c r="O269" s="135">
        <f ca="1">IF(L269&gt;0,N269*100/L269,0)</f>
        <v>0</v>
      </c>
      <c r="P269" s="135">
        <f ca="1">IF(M269&gt;0,N269*100/M269,0)</f>
        <v>100</v>
      </c>
      <c r="Q269" s="135">
        <f ca="1">Q270+Q271</f>
        <v>50660</v>
      </c>
      <c r="R269" s="135">
        <f ca="1">R270+R271</f>
        <v>50660</v>
      </c>
      <c r="S269" s="135">
        <f ca="1">S270+S271</f>
        <v>2980</v>
      </c>
      <c r="T269" s="135">
        <f ca="1">IF(Q269&gt;0,S269*100/Q269,0)</f>
        <v>5.882352941176471</v>
      </c>
      <c r="U269" s="135">
        <f ca="1">IF(R269&gt;0,S269*100/R269,0)</f>
        <v>5.882352941176471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IFERROR(__xludf.DUMMYFUNCTION("IMPORTRANGE(""https://docs.google.com/spreadsheets/d/1-uDff_7J0KD5mKrp0Vvzr7lt3OU09vwQwhkpOPPYv2Y/edit?usp=sharing"",""งบพรบ!DE56"")"),0)</f>
        <v>0</v>
      </c>
      <c r="M271" s="135">
        <f ca="1">IFERROR(__xludf.DUMMYFUNCTION("IMPORTRANGE(""https://docs.google.com/spreadsheets/d/1-uDff_7J0KD5mKrp0Vvzr7lt3OU09vwQwhkpOPPYv2Y/edit?usp=sharing"",""งบพรบ!DJ56"")"),17605)</f>
        <v>17605</v>
      </c>
      <c r="N271" s="135">
        <f ca="1">IFERROR(__xludf.DUMMYFUNCTION("IMPORTRANGE(""https://docs.google.com/spreadsheets/d/1-uDff_7J0KD5mKrp0Vvzr7lt3OU09vwQwhkpOPPYv2Y/edit?usp=sharing"",""งบพรบ!DL56"")"),17605)</f>
        <v>17605</v>
      </c>
      <c r="O271" s="135">
        <f ca="1">IF(L271&gt;0,N271*100/L271,0)</f>
        <v>0</v>
      </c>
      <c r="P271" s="135">
        <f ca="1">IF(M271&gt;0,N271*100/M271,0)</f>
        <v>100</v>
      </c>
      <c r="Q271" s="135">
        <f ca="1">IFERROR(__xludf.DUMMYFUNCTION("IMPORTRANGE(""https://docs.google.com/spreadsheets/d/1ItG2mGa2ceCfYo0BwxsXqNm01IGEUdYcSSLTEv9YCik/edit?usp=sharing"",""เบิกจ่ายกองทุน!AJ56"")"),50660)</f>
        <v>50660</v>
      </c>
      <c r="R271" s="135">
        <f ca="1">IFERROR(__xludf.DUMMYFUNCTION("IMPORTRANGE(""https://docs.google.com/spreadsheets/d/1ItG2mGa2ceCfYo0BwxsXqNm01IGEUdYcSSLTEv9YCik/edit?usp=sharing"",""เบิกจ่ายกองทุน!AK56"")"),50660)</f>
        <v>50660</v>
      </c>
      <c r="S271" s="135">
        <f ca="1">IFERROR(__xludf.DUMMYFUNCTION("IMPORTRANGE(""https://docs.google.com/spreadsheets/d/1ItG2mGa2ceCfYo0BwxsXqNm01IGEUdYcSSLTEv9YCik/edit?usp=sharing"",""เบิกจ่ายกองทุน!AL56"")"),2980)</f>
        <v>2980</v>
      </c>
      <c r="T271" s="135">
        <f ca="1">IF(Q271&gt;0,S271*100/Q271,0)</f>
        <v>5.882352941176471</v>
      </c>
      <c r="U271" s="135">
        <f ca="1">IF(R271&gt;0,S271*100/R271,0)</f>
        <v>5.882352941176471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IFERROR(__xludf.DUMMYFUNCTION("IMPORTRANGE(""https://docs.google.com/spreadsheets/d/1-uDff_7J0KD5mKrp0Vvzr7lt3OU09vwQwhkpOPPYv2Y/edit?usp=sharing"",""งบพรบ!DH56"")"),0)</f>
        <v>0</v>
      </c>
      <c r="M274" s="135">
        <f ca="1">IFERROR(__xludf.DUMMYFUNCTION("IMPORTRANGE(""https://docs.google.com/spreadsheets/d/1-uDff_7J0KD5mKrp0Vvzr7lt3OU09vwQwhkpOPPYv2Y/edit?usp=sharing"",""งบพรบ!DK56"")"),0)</f>
        <v>0</v>
      </c>
      <c r="N274" s="135">
        <f ca="1">IFERROR(__xludf.DUMMYFUNCTION("IMPORTRANGE(""https://docs.google.com/spreadsheets/d/1-uDff_7J0KD5mKrp0Vvzr7lt3OU09vwQwhkpOPPYv2Y/edit?usp=sharing"",""งบพรบ!DM56"")"),0)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72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5">
        <f ca="1">IFERROR(__xludf.DUMMYFUNCTION("IMPORTRANGE(""https://docs.google.com/spreadsheets/d/1eHaY18a8A9IcSdp1K8H6x8fbOy06t2VsZHhMHf-1x7Y/edit?usp=sharing"",""แผน!EC56"")"),22)</f>
        <v>22</v>
      </c>
      <c r="J276" s="770">
        <v>0</v>
      </c>
      <c r="K276" s="977">
        <f ca="1">IF(I276&gt;0,J276*100/I276,0)</f>
        <v>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5"/>
      <c r="B277" s="737"/>
      <c r="C277" s="737"/>
      <c r="D277" s="1146" t="s">
        <v>116</v>
      </c>
      <c r="E277" s="738"/>
      <c r="F277" s="738"/>
      <c r="G277" s="739"/>
      <c r="H277" s="1145" t="s">
        <v>35</v>
      </c>
      <c r="I277" s="758">
        <v>0</v>
      </c>
      <c r="J277" s="758">
        <v>0</v>
      </c>
      <c r="K277" s="1144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IFERROR(__xludf.DUMMYFUNCTION("IMPORTRANGE(""https://docs.google.com/spreadsheets/d/1-uDff_7J0KD5mKrp0Vvzr7lt3OU09vwQwhkpOPPYv2Y/edit?usp=sharing"",""งบพรบ!DO56"")"),0)</f>
        <v>0</v>
      </c>
      <c r="M287" s="135">
        <f ca="1">IFERROR(__xludf.DUMMYFUNCTION("IMPORTRANGE(""https://docs.google.com/spreadsheets/d/1-uDff_7J0KD5mKrp0Vvzr7lt3OU09vwQwhkpOPPYv2Y/edit?usp=sharing"",""งบพรบ!DT56"")"),0)</f>
        <v>0</v>
      </c>
      <c r="N287" s="135">
        <f ca="1">IFERROR(__xludf.DUMMYFUNCTION("IMPORTRANGE(""https://docs.google.com/spreadsheets/d/1-uDff_7J0KD5mKrp0Vvzr7lt3OU09vwQwhkpOPPYv2Y/edit?usp=sharing"",""งบพรบ!DV56"")"),0)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IFERROR(__xludf.DUMMYFUNCTION("IMPORTRANGE(""https://docs.google.com/spreadsheets/d/1-uDff_7J0KD5mKrp0Vvzr7lt3OU09vwQwhkpOPPYv2Y/edit?usp=sharing"",""งบพรบ!DR56"")"),0)</f>
        <v>0</v>
      </c>
      <c r="M290" s="135">
        <f ca="1">IFERROR(__xludf.DUMMYFUNCTION("IMPORTRANGE(""https://docs.google.com/spreadsheets/d/1-uDff_7J0KD5mKrp0Vvzr7lt3OU09vwQwhkpOPPYv2Y/edit?usp=sharing"",""งบพรบ!DU56"")"),0)</f>
        <v>0</v>
      </c>
      <c r="N290" s="135">
        <f ca="1">IFERROR(__xludf.DUMMYFUNCTION("IMPORTRANGE(""https://docs.google.com/spreadsheets/d/1-uDff_7J0KD5mKrp0Vvzr7lt3OU09vwQwhkpOPPYv2Y/edit?usp=sharing"",""งบพรบ!DW56"")"),0)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IFERROR(__xludf.DUMMYFUNCTION("IMPORTRANGE(""https://docs.google.com/spreadsheets/d/1eHaY18a8A9IcSdp1K8H6x8fbOy06t2VsZHhMHf-1x7Y/edit?usp=sharing"",""แผน!EE56"")"),0)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IFERROR(__xludf.DUMMYFUNCTION("IMPORTRANGE(""https://docs.google.com/spreadsheets/d/1eHaY18a8A9IcSdp1K8H6x8fbOy06t2VsZHhMHf-1x7Y/edit?usp=sharing"",""แผน!ED56"")"),0)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IFERROR(__xludf.DUMMYFUNCTION("IMPORTRANGE(""https://docs.google.com/spreadsheets/d/1eHaY18a8A9IcSdp1K8H6x8fbOy06t2VsZHhMHf-1x7Y/edit?usp=sharing"",""แผน!ED56"")"),0)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IFERROR(__xludf.DUMMYFUNCTION("IMPORTRANGE(""https://docs.google.com/spreadsheets/d/1eHaY18a8A9IcSdp1K8H6x8fbOy06t2VsZHhMHf-1x7Y/edit?usp=sharing"",""แผน!ED56"")"),0)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228095.39</v>
      </c>
      <c r="R303" s="217">
        <f ca="1">R304+R305</f>
        <v>228095</v>
      </c>
      <c r="S303" s="217">
        <f ca="1">S304+S305</f>
        <v>64076.5</v>
      </c>
      <c r="T303" s="217">
        <f ca="1">IF(Q303&gt;0,S303*100/Q303,0)</f>
        <v>28.091975028517673</v>
      </c>
      <c r="U303" s="217">
        <f ca="1">IF(R303&gt;0,S303*100/R303,0)</f>
        <v>28.09202306056687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228095.39</v>
      </c>
      <c r="R305" s="135">
        <f ca="1">R308+R311</f>
        <v>228095</v>
      </c>
      <c r="S305" s="135">
        <f ca="1">S308+S311</f>
        <v>64076.5</v>
      </c>
      <c r="T305" s="135">
        <f ca="1">IF(Q305&gt;0,S305*100/Q305,0)</f>
        <v>28.091975028517673</v>
      </c>
      <c r="U305" s="135">
        <f ca="1">IF(R305&gt;0,S305*100/R305,0)</f>
        <v>28.09202306056687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228095.39</v>
      </c>
      <c r="R306" s="135">
        <f ca="1">R307+R308</f>
        <v>228095</v>
      </c>
      <c r="S306" s="135">
        <f ca="1">S307+S308</f>
        <v>64076.5</v>
      </c>
      <c r="T306" s="135">
        <f ca="1">IF(Q306&gt;0,S306*100/Q306,0)</f>
        <v>28.091975028517673</v>
      </c>
      <c r="U306" s="135">
        <f ca="1">IF(R306&gt;0,S306*100/R306,0)</f>
        <v>28.09202306056687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IFERROR(__xludf.DUMMYFUNCTION("IMPORTRANGE(""https://docs.google.com/spreadsheets/d/1-uDff_7J0KD5mKrp0Vvzr7lt3OU09vwQwhkpOPPYv2Y/edit?usp=sharing"",""งบพรบ!DY56"")"),0)</f>
        <v>0</v>
      </c>
      <c r="M308" s="135">
        <f ca="1">IFERROR(__xludf.DUMMYFUNCTION("IMPORTRANGE(""https://docs.google.com/spreadsheets/d/1-uDff_7J0KD5mKrp0Vvzr7lt3OU09vwQwhkpOPPYv2Y/edit?usp=sharing"",""งบพรบ!ED56"")"),0)</f>
        <v>0</v>
      </c>
      <c r="N308" s="135">
        <f ca="1">IFERROR(__xludf.DUMMYFUNCTION("IMPORTRANGE(""https://docs.google.com/spreadsheets/d/1-uDff_7J0KD5mKrp0Vvzr7lt3OU09vwQwhkpOPPYv2Y/edit?usp=sharing"",""งบพรบ!EF56"")"),0)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IFERROR(__xludf.DUMMYFUNCTION("IMPORTRANGE(""https://docs.google.com/spreadsheets/d/1ItG2mGa2ceCfYo0BwxsXqNm01IGEUdYcSSLTEv9YCik/edit?usp=sharing"",""เบิกจ่ายกองทุน!AP56"")"),228095.39)</f>
        <v>228095.39</v>
      </c>
      <c r="R308" s="135">
        <f ca="1">IFERROR(__xludf.DUMMYFUNCTION("IMPORTRANGE(""https://docs.google.com/spreadsheets/d/1ItG2mGa2ceCfYo0BwxsXqNm01IGEUdYcSSLTEv9YCik/edit?usp=sharing"",""เบิกจ่ายกองทุน!AQ56"")"),228095)</f>
        <v>228095</v>
      </c>
      <c r="S308" s="135">
        <f ca="1">IFERROR(__xludf.DUMMYFUNCTION("IMPORTRANGE(""https://docs.google.com/spreadsheets/d/1ItG2mGa2ceCfYo0BwxsXqNm01IGEUdYcSSLTEv9YCik/edit?usp=sharing"",""เบิกจ่ายกองทุน!AR56"")"),64076.5)</f>
        <v>64076.5</v>
      </c>
      <c r="T308" s="135">
        <f ca="1">IF(Q308&gt;0,S308*100/Q308,0)</f>
        <v>28.091975028517673</v>
      </c>
      <c r="U308" s="135">
        <f ca="1">IF(R308&gt;0,S308*100/R308,0)</f>
        <v>28.09202306056687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IFERROR(__xludf.DUMMYFUNCTION("IMPORTRANGE(""https://docs.google.com/spreadsheets/d/1-uDff_7J0KD5mKrp0Vvzr7lt3OU09vwQwhkpOPPYv2Y/edit?usp=sharing"",""งบพรบ!EB56"")"),0)</f>
        <v>0</v>
      </c>
      <c r="M311" s="135">
        <f ca="1">IFERROR(__xludf.DUMMYFUNCTION("IMPORTRANGE(""https://docs.google.com/spreadsheets/d/1-uDff_7J0KD5mKrp0Vvzr7lt3OU09vwQwhkpOPPYv2Y/edit?usp=sharing"",""งบพรบ!EE56"")"),0)</f>
        <v>0</v>
      </c>
      <c r="N311" s="135">
        <f ca="1">IFERROR(__xludf.DUMMYFUNCTION("IMPORTRANGE(""https://docs.google.com/spreadsheets/d/1-uDff_7J0KD5mKrp0Vvzr7lt3OU09vwQwhkpOPPYv2Y/edit?usp=sharing"",""งบพรบ!EG56"")"),0)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IFERROR(__xludf.DUMMYFUNCTION("IMPORTRANGE(""https://docs.google.com/spreadsheets/d/1eHaY18a8A9IcSdp1K8H6x8fbOy06t2VsZHhMHf-1x7Y/edit?usp=sharing"",""แผน!EF56"")"),25)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1</v>
      </c>
      <c r="J319" s="599">
        <f>J330</f>
        <v>1</v>
      </c>
      <c r="K319" s="593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30000</v>
      </c>
      <c r="M320" s="217">
        <f ca="1">M321+M322</f>
        <v>30000</v>
      </c>
      <c r="N320" s="217">
        <f ca="1">N321+N322</f>
        <v>11860</v>
      </c>
      <c r="O320" s="217">
        <f ca="1">IF(L320&gt;0,N320*100/L320,0)</f>
        <v>39.533333333333331</v>
      </c>
      <c r="P320" s="217">
        <f ca="1">IF(M320&gt;0,N320*100/M320,0)</f>
        <v>39.533333333333331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30000</v>
      </c>
      <c r="M322" s="135">
        <f ca="1">M325+M328</f>
        <v>30000</v>
      </c>
      <c r="N322" s="135">
        <f ca="1">N325+N328</f>
        <v>11860</v>
      </c>
      <c r="O322" s="135">
        <f ca="1">IF(L322&gt;0,N322*100/L322,0)</f>
        <v>39.533333333333331</v>
      </c>
      <c r="P322" s="135">
        <f ca="1">IF(M322&gt;0,N322*100/M322,0)</f>
        <v>39.533333333333331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30000</v>
      </c>
      <c r="M323" s="135">
        <f ca="1">M324+M325</f>
        <v>30000</v>
      </c>
      <c r="N323" s="135">
        <f ca="1">N324+N325</f>
        <v>11860</v>
      </c>
      <c r="O323" s="135">
        <f ca="1">IF(L323&gt;0,N323*100/L323,0)</f>
        <v>39.533333333333331</v>
      </c>
      <c r="P323" s="135">
        <f ca="1">IF(M323&gt;0,N323*100/M323,0)</f>
        <v>39.533333333333331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IFERROR(__xludf.DUMMYFUNCTION("IMPORTRANGE(""https://docs.google.com/spreadsheets/d/1-uDff_7J0KD5mKrp0Vvzr7lt3OU09vwQwhkpOPPYv2Y/edit?usp=sharing"",""งบพรบ!EI56"")"),30000)</f>
        <v>30000</v>
      </c>
      <c r="M325" s="135">
        <f ca="1">IFERROR(__xludf.DUMMYFUNCTION("IMPORTRANGE(""https://docs.google.com/spreadsheets/d/1-uDff_7J0KD5mKrp0Vvzr7lt3OU09vwQwhkpOPPYv2Y/edit?usp=sharing"",""งบพรบ!EN56"")"),30000)</f>
        <v>30000</v>
      </c>
      <c r="N325" s="135">
        <f ca="1">IFERROR(__xludf.DUMMYFUNCTION("IMPORTRANGE(""https://docs.google.com/spreadsheets/d/1-uDff_7J0KD5mKrp0Vvzr7lt3OU09vwQwhkpOPPYv2Y/edit?usp=sharing"",""งบพรบ!EP56"")"),11860)</f>
        <v>11860</v>
      </c>
      <c r="O325" s="135">
        <f ca="1">IF(L325&gt;0,N325*100/L325,0)</f>
        <v>39.533333333333331</v>
      </c>
      <c r="P325" s="135">
        <f ca="1">IF(M325&gt;0,N325*100/M325,0)</f>
        <v>39.533333333333331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IFERROR(__xludf.DUMMYFUNCTION("IMPORTRANGE(""https://docs.google.com/spreadsheets/d/1-uDff_7J0KD5mKrp0Vvzr7lt3OU09vwQwhkpOPPYv2Y/edit?usp=sharing"",""งบพรบ!EL56"")"),0)</f>
        <v>0</v>
      </c>
      <c r="M328" s="135">
        <f ca="1">IFERROR(__xludf.DUMMYFUNCTION("IMPORTRANGE(""https://docs.google.com/spreadsheets/d/1-uDff_7J0KD5mKrp0Vvzr7lt3OU09vwQwhkpOPPYv2Y/edit?usp=sharing"",""งบพรบ!EO56"")"),0)</f>
        <v>0</v>
      </c>
      <c r="N328" s="135">
        <f ca="1">IFERROR(__xludf.DUMMYFUNCTION("IMPORTRANGE(""https://docs.google.com/spreadsheets/d/1-uDff_7J0KD5mKrp0Vvzr7lt3OU09vwQwhkpOPPYv2Y/edit?usp=sharing"",""งบพรบ!EQ56"")"),0)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IFERROR(__xludf.DUMMYFUNCTION("IMPORTRANGE(""https://docs.google.com/spreadsheets/d/1eHaY18a8A9IcSdp1K8H6x8fbOy06t2VsZHhMHf-1x7Y/edit?usp=sharing"",""แผน!EJ56"")"),1)</f>
        <v>1</v>
      </c>
      <c r="J330" s="296">
        <v>1</v>
      </c>
      <c r="K330" s="77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940</v>
      </c>
      <c r="J332" s="519">
        <f ca="1">J344+J347+J348+J349+J353+J354</f>
        <v>6498</v>
      </c>
      <c r="K332" s="520">
        <f ca="1">IF(I332&gt;0,J332*100/I332,0)</f>
        <v>691.27659574468089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106000</v>
      </c>
      <c r="M333" s="217">
        <f ca="1">M334+M335</f>
        <v>111000</v>
      </c>
      <c r="N333" s="217">
        <f ca="1">N334+N335</f>
        <v>100345.2</v>
      </c>
      <c r="O333" s="217">
        <f ca="1">IF(L333&gt;0,N333*100/L333,0)</f>
        <v>94.665283018867925</v>
      </c>
      <c r="P333" s="217">
        <f ca="1">IF(M333&gt;0,N333*100/M333,0)</f>
        <v>90.401081081081088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106000</v>
      </c>
      <c r="M335" s="135">
        <f ca="1">M338+M341</f>
        <v>111000</v>
      </c>
      <c r="N335" s="135">
        <f ca="1">N338+N341</f>
        <v>100345.2</v>
      </c>
      <c r="O335" s="135">
        <f ca="1">IF(L335&gt;0,N335*100/L335,0)</f>
        <v>94.665283018867925</v>
      </c>
      <c r="P335" s="135">
        <f ca="1">IF(M335&gt;0,N335*100/M335,0)</f>
        <v>90.401081081081088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106000</v>
      </c>
      <c r="M336" s="135">
        <f ca="1">M337+M338</f>
        <v>111000</v>
      </c>
      <c r="N336" s="135">
        <f ca="1">N337+N338</f>
        <v>100345.2</v>
      </c>
      <c r="O336" s="135">
        <f ca="1">IF(L336&gt;0,N336*100/L336,0)</f>
        <v>94.665283018867925</v>
      </c>
      <c r="P336" s="135">
        <f ca="1">IF(M336&gt;0,N336*100/M336,0)</f>
        <v>90.401081081081088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IFERROR(__xludf.DUMMYFUNCTION("IMPORTRANGE(""https://docs.google.com/spreadsheets/d/1-uDff_7J0KD5mKrp0Vvzr7lt3OU09vwQwhkpOPPYv2Y/edit?usp=sharing"",""งบพรบ!ES56"")"),106000)</f>
        <v>106000</v>
      </c>
      <c r="M338" s="135">
        <f ca="1">IFERROR(__xludf.DUMMYFUNCTION("IMPORTRANGE(""https://docs.google.com/spreadsheets/d/1-uDff_7J0KD5mKrp0Vvzr7lt3OU09vwQwhkpOPPYv2Y/edit?usp=sharing"",""งบพรบ!EX56"")"),111000)</f>
        <v>111000</v>
      </c>
      <c r="N338" s="135">
        <f ca="1">IFERROR(__xludf.DUMMYFUNCTION("IMPORTRANGE(""https://docs.google.com/spreadsheets/d/1-uDff_7J0KD5mKrp0Vvzr7lt3OU09vwQwhkpOPPYv2Y/edit?usp=sharing"",""งบพรบ!EZ56"")"),100345.2)</f>
        <v>100345.2</v>
      </c>
      <c r="O338" s="135">
        <f ca="1">IF(L338&gt;0,N338*100/L338,0)</f>
        <v>94.665283018867925</v>
      </c>
      <c r="P338" s="135">
        <f ca="1">IF(M338&gt;0,N338*100/M338,0)</f>
        <v>90.401081081081088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IFERROR(__xludf.DUMMYFUNCTION("IMPORTRANGE(""https://docs.google.com/spreadsheets/d/1-uDff_7J0KD5mKrp0Vvzr7lt3OU09vwQwhkpOPPYv2Y/edit?usp=sharing"",""งบพรบ!EV56"")"),0)</f>
        <v>0</v>
      </c>
      <c r="M341" s="135">
        <f ca="1">IFERROR(__xludf.DUMMYFUNCTION("IMPORTRANGE(""https://docs.google.com/spreadsheets/d/1-uDff_7J0KD5mKrp0Vvzr7lt3OU09vwQwhkpOPPYv2Y/edit?usp=sharing"",""งบพรบ!EY56"")"),0)</f>
        <v>0</v>
      </c>
      <c r="N341" s="135">
        <f ca="1">IFERROR(__xludf.DUMMYFUNCTION("IMPORTRANGE(""https://docs.google.com/spreadsheets/d/1-uDff_7J0KD5mKrp0Vvzr7lt3OU09vwQwhkpOPPYv2Y/edit?usp=sharing"",""งบพรบ!FA56"")"),0)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637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IFERROR(__xludf.DUMMYFUNCTION("IMPORTRANGE(""https://docs.google.com/spreadsheets/d/1eHaY18a8A9IcSdp1K8H6x8fbOy06t2VsZHhMHf-1x7Y/edit?usp=sharing"",""แผน!EK56"")"),940)</f>
        <v>940</v>
      </c>
      <c r="J344" s="295">
        <f ca="1">IFERROR(__xludf.DUMMYFUNCTION("IMPORTRANGE(""https://docs.google.com/spreadsheets/d/1awYsYK3VOup2i3Pq_Yjnu8DRu_mYwSBnCR2QPthd0rU/edit?usp=sharing"",""ศูนย์ยกเว้นโฉนด!D56"")"),628)</f>
        <v>628</v>
      </c>
      <c r="K344" s="77">
        <f ca="1">IF(I344&gt;0,J344*100/I344,0)</f>
        <v>66.808510638297875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IFERROR(__xludf.DUMMYFUNCTION("IMPORTRANGE(""https://docs.google.com/spreadsheets/d/1eHaY18a8A9IcSdp1K8H6x8fbOy06t2VsZHhMHf-1x7Y/edit?usp=sharing"",""แผน!EL56"")"),3)</f>
        <v>3</v>
      </c>
      <c r="J346" s="295">
        <f ca="1">IFERROR(__xludf.DUMMYFUNCTION("IMPORTRANGE(""https://docs.google.com/spreadsheets/d/1awYsYK3VOup2i3Pq_Yjnu8DRu_mYwSBnCR2QPthd0rU/edit?usp=sharing"",""ศูนย์รวม!E56"")"),7)</f>
        <v>7</v>
      </c>
      <c r="K346" s="77">
        <f ca="1">IF(I346&gt;0,J346*100/I346,0)</f>
        <v>233.33333333333334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IFERROR(__xludf.DUMMYFUNCTION("IMPORTRANGE(""https://docs.google.com/spreadsheets/d/1awYsYK3VOup2i3Pq_Yjnu8DRu_mYwSBnCR2QPthd0rU/edit?usp=sharing"",""ศูนย์ยกเว้นโฉนด!F56"")"),0)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IFERROR(__xludf.DUMMYFUNCTION("IMPORTRANGE(""https://docs.google.com/spreadsheets/d/1awYsYK3VOup2i3Pq_Yjnu8DRu_mYwSBnCR2QPthd0rU/edit?usp=sharing"",""ศูนย์ยกเว้นโฉนด!G56"")"),9)</f>
        <v>9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IFERROR(__xludf.DUMMYFUNCTION("IMPORTRANGE(""https://docs.google.com/spreadsheets/d/1awYsYK3VOup2i3Pq_Yjnu8DRu_mYwSBnCR2QPthd0rU/edit?usp=sharing"",""ศูนย์ยกเว้นโฉนด!H56"")"),0)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6160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IFERROR(__xludf.DUMMYFUNCTION("IMPORTRANGE(""https://docs.google.com/spreadsheets/d/1awYsYK3VOup2i3Pq_Yjnu8DRu_mYwSBnCR2QPthd0rU/edit?usp=sharing"",""โฉนดM3!G56"")"),299)</f>
        <v>299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IFERROR(__xludf.DUMMYFUNCTION("IMPORTRANGE(""https://docs.google.com/spreadsheets/d/1awYsYK3VOup2i3Pq_Yjnu8DRu_mYwSBnCR2QPthd0rU/edit?usp=sharing"",""โฉนดM3!H56"")"),5670)</f>
        <v>5670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IFERROR(__xludf.DUMMYFUNCTION("IMPORTRANGE(""https://docs.google.com/spreadsheets/d/1awYsYK3VOup2i3Pq_Yjnu8DRu_mYwSBnCR2QPthd0rU/edit?usp=sharing"",""โฉนดM3!I56"")"),191)</f>
        <v>191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601325</v>
      </c>
      <c r="M356" s="217">
        <f ca="1">M357+M358</f>
        <v>601325</v>
      </c>
      <c r="N356" s="217">
        <f ca="1">N357+N358</f>
        <v>510303.8</v>
      </c>
      <c r="O356" s="217">
        <f ca="1">IF(L356&gt;0,N356*100/L356,0)</f>
        <v>84.863227040286034</v>
      </c>
      <c r="P356" s="217">
        <f ca="1">IF(M356&gt;0,N356*100/M356,0)</f>
        <v>84.863227040286034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601325</v>
      </c>
      <c r="M358" s="135">
        <f ca="1">M361+M364</f>
        <v>601325</v>
      </c>
      <c r="N358" s="135">
        <f ca="1">N361+N364</f>
        <v>510303.8</v>
      </c>
      <c r="O358" s="135">
        <f ca="1">IF(L358&gt;0,N358*100/L358,0)</f>
        <v>84.863227040286034</v>
      </c>
      <c r="P358" s="135">
        <f ca="1">IF(M358&gt;0,N358*100/M358,0)</f>
        <v>84.863227040286034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601325</v>
      </c>
      <c r="M359" s="135">
        <f ca="1">M360+M361</f>
        <v>601325</v>
      </c>
      <c r="N359" s="135">
        <f ca="1">N360+N361</f>
        <v>510303.8</v>
      </c>
      <c r="O359" s="135">
        <f ca="1">IF(L359&gt;0,N359*100/L359,0)</f>
        <v>84.863227040286034</v>
      </c>
      <c r="P359" s="135">
        <f ca="1">IF(M359&gt;0,N359*100/M359,0)</f>
        <v>84.863227040286034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IFERROR(__xludf.DUMMYFUNCTION("IMPORTRANGE(""https://docs.google.com/spreadsheets/d/1-uDff_7J0KD5mKrp0Vvzr7lt3OU09vwQwhkpOPPYv2Y/edit?usp=sharing"",""งบพรบ!FC56"")"),601325)</f>
        <v>601325</v>
      </c>
      <c r="M361" s="135">
        <f ca="1">IFERROR(__xludf.DUMMYFUNCTION("IMPORTRANGE(""https://docs.google.com/spreadsheets/d/1-uDff_7J0KD5mKrp0Vvzr7lt3OU09vwQwhkpOPPYv2Y/edit?usp=sharing"",""งบพรบ!FH56"")"),601325)</f>
        <v>601325</v>
      </c>
      <c r="N361" s="135">
        <f ca="1">IFERROR(__xludf.DUMMYFUNCTION("IMPORTRANGE(""https://docs.google.com/spreadsheets/d/1-uDff_7J0KD5mKrp0Vvzr7lt3OU09vwQwhkpOPPYv2Y/edit?usp=sharing"",""งบพรบ!FJ56"")"),510303.8)</f>
        <v>510303.8</v>
      </c>
      <c r="O361" s="135">
        <f ca="1">IF(L361&gt;0,N361*100/L361,0)</f>
        <v>84.863227040286034</v>
      </c>
      <c r="P361" s="135">
        <f ca="1">IF(M361&gt;0,N361*100/M361,0)</f>
        <v>84.863227040286034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IFERROR(__xludf.DUMMYFUNCTION("IMPORTRANGE(""https://docs.google.com/spreadsheets/d/1-uDff_7J0KD5mKrp0Vvzr7lt3OU09vwQwhkpOPPYv2Y/edit?usp=sharing"",""งบพรบ!FF56"")"),0)</f>
        <v>0</v>
      </c>
      <c r="M364" s="135">
        <f ca="1">IFERROR(__xludf.DUMMYFUNCTION("IMPORTRANGE(""https://docs.google.com/spreadsheets/d/1-uDff_7J0KD5mKrp0Vvzr7lt3OU09vwQwhkpOPPYv2Y/edit?usp=sharing"",""งบพรบ!FI56"")"),0)</f>
        <v>0</v>
      </c>
      <c r="N364" s="135">
        <f ca="1">IFERROR(__xludf.DUMMYFUNCTION("IMPORTRANGE(""https://docs.google.com/spreadsheets/d/1-uDff_7J0KD5mKrp0Vvzr7lt3OU09vwQwhkpOPPYv2Y/edit?usp=sharing"",""งบพรบ!FK56"")"),0)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205</v>
      </c>
      <c r="J365" s="542">
        <f ca="1">J371</f>
        <v>265</v>
      </c>
      <c r="K365" s="543">
        <f ca="1">IF(I365&gt;0,J365*100/I365,0)</f>
        <v>129.26829268292684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IFERROR(__xludf.DUMMYFUNCTION("IMPORTRANGE(""https://docs.google.com/spreadsheets/d/1tdoBKaGub7dwA3U6UFTqxio9LNnvDCQjHKmttSEBsFQ/edit?usp=sharing"",""จัดที่ดิน!AB56"")"),248)</f>
        <v>248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IFERROR(__xludf.DUMMYFUNCTION("IMPORTRANGE(""https://docs.google.com/spreadsheets/d/1eHaY18a8A9IcSdp1K8H6x8fbOy06t2VsZHhMHf-1x7Y/edit?usp=sharing"",""แผน!EW56"")"),1140)</f>
        <v>1140</v>
      </c>
      <c r="J368" s="1094">
        <f ca="1">IFERROR(__xludf.DUMMYFUNCTION("IMPORTRANGE(""https://docs.google.com/spreadsheets/d/1tdoBKaGub7dwA3U6UFTqxio9LNnvDCQjHKmttSEBsFQ/edit?usp=sharing"",""จัดที่ดิน!AC56"")"),2707.64)</f>
        <v>2707.64</v>
      </c>
      <c r="K368" s="77">
        <f ca="1">IF(I368&gt;0,J368*100/I368,0)</f>
        <v>237.51228070175438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IFERROR(__xludf.DUMMYFUNCTION("IMPORTRANGE(""https://docs.google.com/spreadsheets/d/1eHaY18a8A9IcSdp1K8H6x8fbOy06t2VsZHhMHf-1x7Y/edit?usp=sharing"",""แผน!EX56"")"),205)</f>
        <v>205</v>
      </c>
      <c r="J369" s="295">
        <f ca="1">IFERROR(__xludf.DUMMYFUNCTION("IMPORTRANGE(""https://docs.google.com/spreadsheets/d/1tdoBKaGub7dwA3U6UFTqxio9LNnvDCQjHKmttSEBsFQ/edit?usp=sharing"",""จัดที่ดิน!AD56"")"),304)</f>
        <v>304</v>
      </c>
      <c r="K369" s="77">
        <f ca="1">IF(I369&gt;0,J369*100/I369,0)</f>
        <v>148.29268292682926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IFERROR(__xludf.DUMMYFUNCTION("IMPORTRANGE(""https://docs.google.com/spreadsheets/d/1tdoBKaGub7dwA3U6UFTqxio9LNnvDCQjHKmttSEBsFQ/edit?usp=sharing"",""จัดที่ดิน!AE56"")"),4930.46999999999)</f>
        <v>4930.4699999999903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IFERROR(__xludf.DUMMYFUNCTION("IMPORTRANGE(""https://docs.google.com/spreadsheets/d/1eHaY18a8A9IcSdp1K8H6x8fbOy06t2VsZHhMHf-1x7Y/edit?usp=sharing"",""แผน!EY56"")"),205)</f>
        <v>205</v>
      </c>
      <c r="J371" s="295">
        <f ca="1">IFERROR(__xludf.DUMMYFUNCTION("IMPORTRANGE(""https://docs.google.com/spreadsheets/d/1tdoBKaGub7dwA3U6UFTqxio9LNnvDCQjHKmttSEBsFQ/edit?usp=sharing"",""จัดที่ดิน!AF56"")"),265)</f>
        <v>265</v>
      </c>
      <c r="K371" s="77">
        <f ca="1">IF(I371&gt;0,J371*100/I371,0)</f>
        <v>129.26829268292684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IFERROR(__xludf.DUMMYFUNCTION("IMPORTRANGE(""https://docs.google.com/spreadsheets/d/1tdoBKaGub7dwA3U6UFTqxio9LNnvDCQjHKmttSEBsFQ/edit?usp=sharing"",""จัดที่ดิน!AG56"")"),4077.99)</f>
        <v>4077.99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>L376+L377</f>
        <v>0</v>
      </c>
      <c r="M375" s="217">
        <f>M376+M377</f>
        <v>0</v>
      </c>
      <c r="N375" s="217">
        <f>N376+N377</f>
        <v>0</v>
      </c>
      <c r="O375" s="217">
        <f>IF(L375&gt;0,N375*100/L375,0)</f>
        <v>0</v>
      </c>
      <c r="P375" s="217">
        <f>IF(M375&gt;0,N375*100/M375,0)</f>
        <v>0</v>
      </c>
      <c r="Q375" s="217">
        <f ca="1">Q376+Q377</f>
        <v>62500</v>
      </c>
      <c r="R375" s="217">
        <f ca="1">R376+R377</f>
        <v>62500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>L380+L383</f>
        <v>0</v>
      </c>
      <c r="M377" s="135">
        <f>M380+M383</f>
        <v>0</v>
      </c>
      <c r="N377" s="135">
        <f>N380+N383</f>
        <v>0</v>
      </c>
      <c r="O377" s="135">
        <f>IF(L377&gt;0,N377*100/L377,0)</f>
        <v>0</v>
      </c>
      <c r="P377" s="135">
        <f>IF(M377&gt;0,N377*100/M377,0)</f>
        <v>0</v>
      </c>
      <c r="Q377" s="135">
        <f ca="1">Q380+Q383</f>
        <v>62500</v>
      </c>
      <c r="R377" s="135">
        <f ca="1">R380+R383</f>
        <v>62500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>L379+L380</f>
        <v>0</v>
      </c>
      <c r="M378" s="135">
        <f>M379+M380</f>
        <v>0</v>
      </c>
      <c r="N378" s="135">
        <f>N379+N380</f>
        <v>0</v>
      </c>
      <c r="O378" s="135">
        <f>IF(L378&gt;0,N378*100/L378,0)</f>
        <v>0</v>
      </c>
      <c r="P378" s="135">
        <f>IF(M378&gt;0,N378*100/M378,0)</f>
        <v>0</v>
      </c>
      <c r="Q378" s="135">
        <f ca="1">Q379+Q380</f>
        <v>62500</v>
      </c>
      <c r="R378" s="135">
        <f ca="1">R379+R380</f>
        <v>62500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135">
        <f>IF(L380&gt;0,N380*100/L380,0)</f>
        <v>0</v>
      </c>
      <c r="P380" s="135">
        <f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IFERROR(__xludf.DUMMYFUNCTION("IMPORTRANGE(""https://docs.google.com/spreadsheets/d/1ItG2mGa2ceCfYo0BwxsXqNm01IGEUdYcSSLTEv9YCik/edit?usp=sharing"",""เบิกจ่ายกองทุน!AY56"")"),62500)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IFERROR(__xludf.DUMMYFUNCTION("IMPORTRANGE(""https://docs.google.com/spreadsheets/d/1ItG2mGa2ceCfYo0BwxsXqNm01IGEUdYcSSLTEv9YCik/edit?usp=sharing"",""เบิกจ่ายกองทุน!AZ56"")"),62500)</f>
        <v>62500</v>
      </c>
      <c r="S380" s="135">
        <f ca="1">IFERROR(__xludf.DUMMYFUNCTION("IMPORTRANGE(""https://docs.google.com/spreadsheets/d/1ItG2mGa2ceCfYo0BwxsXqNm01IGEUdYcSSLTEv9YCik/edit?usp=sharing"",""เบิกจ่ายกองทุน!BA56"")"),0)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>L382+L383</f>
        <v>0</v>
      </c>
      <c r="M381" s="135">
        <f>M382+M383</f>
        <v>0</v>
      </c>
      <c r="N381" s="135">
        <f>N382+N383</f>
        <v>0</v>
      </c>
      <c r="O381" s="135">
        <f>IF(L381&gt;0,N381*100/L381,0)</f>
        <v>0</v>
      </c>
      <c r="P381" s="135">
        <f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135">
        <f>IF(L383&gt;0,N383*100/L383,0)</f>
        <v>0</v>
      </c>
      <c r="P383" s="135">
        <f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IFERROR(__xludf.DUMMYFUNCTION("IMPORTRANGE(""https://docs.google.com/spreadsheets/d/1w5rwWK1o49a35cNtocGL0gxDwhFSTZUQu90BiH9_zqM/edit?usp=sharing"",""RTK!H56"")"),0)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IFERROR(__xludf.DUMMYFUNCTION("IMPORTRANGE(""https://docs.google.com/spreadsheets/d/1w5rwWK1o49a35cNtocGL0gxDwhFSTZUQu90BiH9_zqM/edit?usp=sharing"",""RTK!G56"")"),1000)</f>
        <v>1000</v>
      </c>
      <c r="J386" s="295">
        <f ca="1">IFERROR(__xludf.DUMMYFUNCTION("IMPORTRANGE(""https://docs.google.com/spreadsheets/d/1w5rwWK1o49a35cNtocGL0gxDwhFSTZUQu90BiH9_zqM/edit?usp=sharing"",""RTK!I56"")"),0)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IFERROR(__xludf.DUMMYFUNCTION("IMPORTRANGE(""https://docs.google.com/spreadsheets/d/1w5rwWK1o49a35cNtocGL0gxDwhFSTZUQu90BiH9_zqM/edit?usp=sharing"",""RTK!L56"")"),0)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IFERROR(__xludf.DUMMYFUNCTION("IMPORTRANGE(""https://docs.google.com/spreadsheets/d/1w5rwWK1o49a35cNtocGL0gxDwhFSTZUQu90BiH9_zqM/edit?usp=sharing"",""RTK!K56"")"),0)</f>
        <v>0</v>
      </c>
      <c r="J388" s="241">
        <f ca="1">IFERROR(__xludf.DUMMYFUNCTION("IMPORTRANGE(""https://docs.google.com/spreadsheets/d/1w5rwWK1o49a35cNtocGL0gxDwhFSTZUQu90BiH9_zqM/edit?usp=sharing"",""RTK!M56"")"),0)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>Q393+Q394</f>
        <v>0</v>
      </c>
      <c r="R392" s="217">
        <f>R393+R394</f>
        <v>0</v>
      </c>
      <c r="S392" s="217">
        <f>S393+S394</f>
        <v>0</v>
      </c>
      <c r="T392" s="217">
        <f>IF(Q392&gt;0,S392*100/Q392,0)</f>
        <v>0</v>
      </c>
      <c r="U392" s="217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>Q397+Q400</f>
        <v>0</v>
      </c>
      <c r="R394" s="135">
        <f>R397+R400</f>
        <v>0</v>
      </c>
      <c r="S394" s="135">
        <f>S397+S400</f>
        <v>0</v>
      </c>
      <c r="T394" s="135">
        <f>IF(Q394&gt;0,S394*100/Q394,0)</f>
        <v>0</v>
      </c>
      <c r="U394" s="135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>Q396+Q397</f>
        <v>0</v>
      </c>
      <c r="R395" s="135">
        <f>R396+R397</f>
        <v>0</v>
      </c>
      <c r="S395" s="135">
        <f>S396+S397</f>
        <v>0</v>
      </c>
      <c r="T395" s="135">
        <f>IF(Q395&gt;0,S395*100/Q395,0)</f>
        <v>0</v>
      </c>
      <c r="U395" s="135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v>0</v>
      </c>
      <c r="R397" s="77">
        <v>0</v>
      </c>
      <c r="S397" s="77">
        <v>0</v>
      </c>
      <c r="T397" s="135">
        <f>IF(Q397&gt;0,S397*100/Q397,0)</f>
        <v>0</v>
      </c>
      <c r="U397" s="135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16">
        <f>L414+L415</f>
        <v>0</v>
      </c>
      <c r="M413" s="217">
        <f>M414+M415</f>
        <v>0</v>
      </c>
      <c r="N413" s="217">
        <f>N414+N415</f>
        <v>0</v>
      </c>
      <c r="O413" s="217">
        <f>IF(L413&gt;0,N413*100/L413,0)</f>
        <v>0</v>
      </c>
      <c r="P413" s="217">
        <f>IF(M413&gt;0,N413*100/M413,0)</f>
        <v>0</v>
      </c>
      <c r="Q413" s="217">
        <f ca="1">Q414+Q415</f>
        <v>0</v>
      </c>
      <c r="R413" s="217">
        <f ca="1">R414+R415</f>
        <v>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>L418+L421</f>
        <v>0</v>
      </c>
      <c r="M415" s="135">
        <f>M418+M421</f>
        <v>0</v>
      </c>
      <c r="N415" s="135">
        <f>N418+N421</f>
        <v>0</v>
      </c>
      <c r="O415" s="135">
        <f>IF(L415&gt;0,N415*100/L415,0)</f>
        <v>0</v>
      </c>
      <c r="P415" s="135">
        <f>IF(M415&gt;0,N415*100/M415,0)</f>
        <v>0</v>
      </c>
      <c r="Q415" s="135">
        <f ca="1">Q418+Q421</f>
        <v>0</v>
      </c>
      <c r="R415" s="135">
        <f ca="1">R418+R421</f>
        <v>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>L417+L418</f>
        <v>0</v>
      </c>
      <c r="M416" s="135">
        <f>M417+M418</f>
        <v>0</v>
      </c>
      <c r="N416" s="135">
        <f>N417+N418</f>
        <v>0</v>
      </c>
      <c r="O416" s="135">
        <f>IF(L416&gt;0,N416*100/L416,0)</f>
        <v>0</v>
      </c>
      <c r="P416" s="135">
        <f>IF(M416&gt;0,N416*100/M416,0)</f>
        <v>0</v>
      </c>
      <c r="Q416" s="135">
        <f ca="1">Q417+Q418</f>
        <v>0</v>
      </c>
      <c r="R416" s="135">
        <f ca="1">R417+R418</f>
        <v>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135">
        <f>IF(L418&gt;0,N418*100/L418,0)</f>
        <v>0</v>
      </c>
      <c r="P418" s="135">
        <f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IFERROR(__xludf.DUMMYFUNCTION("IMPORTRANGE(""https://docs.google.com/spreadsheets/d/1ItG2mGa2ceCfYo0BwxsXqNm01IGEUdYcSSLTEv9YCik/edit?usp=sharing"",""เบิกจ่ายกองทุน!BH56"")"),0)</f>
        <v>0</v>
      </c>
      <c r="R418" s="135">
        <f ca="1">IFERROR(__xludf.DUMMYFUNCTION("IMPORTRANGE(""https://docs.google.com/spreadsheets/d/1ItG2mGa2ceCfYo0BwxsXqNm01IGEUdYcSSLTEv9YCik/edit?usp=sharing"",""เบิกจ่ายกองทุน!BI56"")"),0)</f>
        <v>0</v>
      </c>
      <c r="S418" s="135">
        <f ca="1">IFERROR(__xludf.DUMMYFUNCTION("IMPORTRANGE(""https://docs.google.com/spreadsheets/d/1ItG2mGa2ceCfYo0BwxsXqNm01IGEUdYcSSLTEv9YCik/edit?usp=sharing"",""เบิกจ่ายกองทุน!BJ56"")"),0)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>L420+L421</f>
        <v>0</v>
      </c>
      <c r="M419" s="135">
        <f>M420+M421</f>
        <v>0</v>
      </c>
      <c r="N419" s="135">
        <f>N420+N421</f>
        <v>0</v>
      </c>
      <c r="O419" s="135">
        <f>IF(L419&gt;0,N419*100/L419,0)</f>
        <v>0</v>
      </c>
      <c r="P419" s="135">
        <f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135">
        <f>IF(L421&gt;0,N421*100/L421,0)</f>
        <v>0</v>
      </c>
      <c r="P421" s="135">
        <f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IFERROR(__xludf.DUMMYFUNCTION("IMPORTRANGE(""https://docs.google.com/spreadsheets/d/1eHaY18a8A9IcSdp1K8H6x8fbOy06t2VsZHhMHf-1x7Y/edit?usp=sharing"",""แผน!HJ56"")"),0)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IFERROR(__xludf.DUMMYFUNCTION("IMPORTRANGE(""https://docs.google.com/spreadsheets/d/1eHaY18a8A9IcSdp1K8H6x8fbOy06t2VsZHhMHf-1x7Y/edit?usp=sharing"",""แผน!HK56"")"),0)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IFERROR(__xludf.DUMMYFUNCTION("IMPORTRANGE(""https://docs.google.com/spreadsheets/d/1eHaY18a8A9IcSdp1K8H6x8fbOy06t2VsZHhMHf-1x7Y/edit?usp=sharing"",""แผน!HJ56"")"),0)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IFERROR(__xludf.DUMMYFUNCTION("IMPORTRANGE(""https://docs.google.com/spreadsheets/d/1eHaY18a8A9IcSdp1K8H6x8fbOy06t2VsZHhMHf-1x7Y/edit?usp=sharing"",""แผน!HK56"")"),0)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IFERROR(__xludf.DUMMYFUNCTION("IMPORTRANGE(""https://docs.google.com/spreadsheets/d/1eHaY18a8A9IcSdp1K8H6x8fbOy06t2VsZHhMHf-1x7Y/edit?usp=sharing"",""แผน!HJ56"")"),0)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IFERROR(__xludf.DUMMYFUNCTION("IMPORTRANGE(""https://docs.google.com/spreadsheets/d/1eHaY18a8A9IcSdp1K8H6x8fbOy06t2VsZHhMHf-1x7Y/edit?usp=sharing"",""แผน!HK56"")"),0)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IFERROR(__xludf.DUMMYFUNCTION("IMPORTRANGE(""https://docs.google.com/spreadsheets/d/1eHaY18a8A9IcSdp1K8H6x8fbOy06t2VsZHhMHf-1x7Y/edit?usp=sharing"",""แผน!HL56"")"),0)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IFERROR(__xludf.DUMMYFUNCTION("IMPORTRANGE(""https://docs.google.com/spreadsheets/d/1eHaY18a8A9IcSdp1K8H6x8fbOy06t2VsZHhMHf-1x7Y/edit?usp=sharing"",""แผน!HM56"")"),0)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IFERROR(__xludf.DUMMYFUNCTION("IMPORTRANGE(""https://docs.google.com/spreadsheets/d/1eHaY18a8A9IcSdp1K8H6x8fbOy06t2VsZHhMHf-1x7Y/edit?usp=sharing"",""แผน!HN56"")"),0)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IFERROR(__xludf.DUMMYFUNCTION("IMPORTRANGE(""https://docs.google.com/spreadsheets/d/1eHaY18a8A9IcSdp1K8H6x8fbOy06t2VsZHhMHf-1x7Y/edit?usp=sharing"",""แผน!HO56"")"),0)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50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16">
        <f>L494+L495</f>
        <v>0</v>
      </c>
      <c r="M493" s="217">
        <f>M494+M495</f>
        <v>0</v>
      </c>
      <c r="N493" s="217">
        <f>N494+N495</f>
        <v>0</v>
      </c>
      <c r="O493" s="217">
        <f>IF(L493&gt;0,N493*100/L493,0)</f>
        <v>0</v>
      </c>
      <c r="P493" s="217">
        <f>IF(M493&gt;0,N493*100/M493,0)</f>
        <v>0</v>
      </c>
      <c r="Q493" s="217">
        <f ca="1">Q494+Q495</f>
        <v>699850</v>
      </c>
      <c r="R493" s="217">
        <f ca="1">R494+R495</f>
        <v>699850</v>
      </c>
      <c r="S493" s="217">
        <f ca="1">S494+S495</f>
        <v>87659</v>
      </c>
      <c r="T493" s="217">
        <f ca="1">IF(Q493&gt;0,S493*100/Q493,0)</f>
        <v>12.525398299635636</v>
      </c>
      <c r="U493" s="217">
        <f ca="1">IF(R493&gt;0,S493*100/R493,0)</f>
        <v>12.525398299635636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>L498+L501</f>
        <v>0</v>
      </c>
      <c r="M495" s="135">
        <f>M498+M501</f>
        <v>0</v>
      </c>
      <c r="N495" s="135">
        <f>N498+N501</f>
        <v>0</v>
      </c>
      <c r="O495" s="135">
        <f>IF(L495&gt;0,N495*100/L495,0)</f>
        <v>0</v>
      </c>
      <c r="P495" s="135">
        <f>IF(M495&gt;0,N495*100/M495,0)</f>
        <v>0</v>
      </c>
      <c r="Q495" s="135">
        <f ca="1">Q498+Q501</f>
        <v>699850</v>
      </c>
      <c r="R495" s="135">
        <f ca="1">R498+R501</f>
        <v>699850</v>
      </c>
      <c r="S495" s="135">
        <f ca="1">S498+S501</f>
        <v>87659</v>
      </c>
      <c r="T495" s="135">
        <f ca="1">IF(Q495&gt;0,S495*100/Q495,0)</f>
        <v>12.525398299635636</v>
      </c>
      <c r="U495" s="135">
        <f ca="1">IF(R495&gt;0,S495*100/R495,0)</f>
        <v>12.525398299635636</v>
      </c>
    </row>
    <row r="496" spans="1:21" ht="18.75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>L497+L498</f>
        <v>0</v>
      </c>
      <c r="M496" s="135">
        <f>M497+M498</f>
        <v>0</v>
      </c>
      <c r="N496" s="135">
        <f>N497+N498</f>
        <v>0</v>
      </c>
      <c r="O496" s="135">
        <f>IF(L496&gt;0,N496*100/L496,0)</f>
        <v>0</v>
      </c>
      <c r="P496" s="135">
        <f>IF(M496&gt;0,N496*100/M496,0)</f>
        <v>0</v>
      </c>
      <c r="Q496" s="135">
        <f ca="1">Q497+Q498</f>
        <v>699850</v>
      </c>
      <c r="R496" s="135">
        <f ca="1">R497+R498</f>
        <v>699850</v>
      </c>
      <c r="S496" s="135">
        <f ca="1">S497+S498</f>
        <v>87659</v>
      </c>
      <c r="T496" s="135">
        <f ca="1">IF(Q496&gt;0,S496*100/Q496,0)</f>
        <v>12.525398299635636</v>
      </c>
      <c r="U496" s="135">
        <f ca="1">IF(R496&gt;0,S496*100/R496,0)</f>
        <v>12.525398299635636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135">
        <f>IF(L498&gt;0,N498*100/L498,0)</f>
        <v>0</v>
      </c>
      <c r="P498" s="135">
        <f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IFERROR(__xludf.DUMMYFUNCTION("IMPORTRANGE(""https://docs.google.com/spreadsheets/d/1ItG2mGa2ceCfYo0BwxsXqNm01IGEUdYcSSLTEv9YCik/edit?usp=sharing"",""เบิกจ่ายกองทุน!X56"")"),699850)</f>
        <v>699850</v>
      </c>
      <c r="R498" s="135">
        <f ca="1">IFERROR(__xludf.DUMMYFUNCTION("IMPORTRANGE(""https://docs.google.com/spreadsheets/d/1ItG2mGa2ceCfYo0BwxsXqNm01IGEUdYcSSLTEv9YCik/edit?usp=sharing"",""เบิกจ่ายกองทุน!Y56"")"),699850)</f>
        <v>699850</v>
      </c>
      <c r="S498" s="135">
        <f ca="1">IFERROR(__xludf.DUMMYFUNCTION("IMPORTRANGE(""https://docs.google.com/spreadsheets/d/1ItG2mGa2ceCfYo0BwxsXqNm01IGEUdYcSSLTEv9YCik/edit?usp=sharing"",""เบิกจ่ายกองทุน!Z56"")"),87659)</f>
        <v>87659</v>
      </c>
      <c r="T498" s="135">
        <f ca="1">IF(Q498&gt;0,S498*100/Q498,0)</f>
        <v>12.525398299635636</v>
      </c>
      <c r="U498" s="135">
        <f ca="1">IF(R498&gt;0,S498*100/R498,0)</f>
        <v>12.525398299635636</v>
      </c>
    </row>
    <row r="499" spans="1:21" ht="18.75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>L500+L501</f>
        <v>0</v>
      </c>
      <c r="M499" s="135">
        <f>M500+M501</f>
        <v>0</v>
      </c>
      <c r="N499" s="135">
        <f>N500+N501</f>
        <v>0</v>
      </c>
      <c r="O499" s="135">
        <f>IF(L499&gt;0,N499*100/L499,0)</f>
        <v>0</v>
      </c>
      <c r="P499" s="135">
        <f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135">
        <f>IF(L501&gt;0,N501*100/L501,0)</f>
        <v>0</v>
      </c>
      <c r="P501" s="135">
        <f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IFERROR(__xludf.DUMMYFUNCTION("IMPORTRANGE(""https://docs.google.com/spreadsheets/d/1eHaY18a8A9IcSdp1K8H6x8fbOy06t2VsZHhMHf-1x7Y/edit?usp=sharing"",""แผน!GX56"")"),50)</f>
        <v>50</v>
      </c>
      <c r="J503" s="603">
        <f ca="1">IF(AND(J504=I503,J505=I503,J506=I503,J507=I503),I503,0)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IFERROR(__xludf.DUMMYFUNCTION("IMPORTRANGE(""https://docs.google.com/spreadsheets/d/1eHaY18a8A9IcSdp1K8H6x8fbOy06t2VsZHhMHf-1x7Y/edit?usp=sharing"",""แผน!GY56"")"),0)</f>
        <v>0</v>
      </c>
      <c r="J504" s="296">
        <v>50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IFERROR(__xludf.DUMMYFUNCTION("IMPORTRANGE(""https://docs.google.com/spreadsheets/d/1eHaY18a8A9IcSdp1K8H6x8fbOy06t2VsZHhMHf-1x7Y/edit?usp=sharing"",""แผน!GZ56"")"),0)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IFERROR(__xludf.DUMMYFUNCTION("IMPORTRANGE(""https://docs.google.com/spreadsheets/d/1eHaY18a8A9IcSdp1K8H6x8fbOy06t2VsZHhMHf-1x7Y/edit?usp=sharing"",""แผน!HA56"")"),0)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IFERROR(__xludf.DUMMYFUNCTION("IMPORTRANGE(""https://docs.google.com/spreadsheets/d/1eHaY18a8A9IcSdp1K8H6x8fbOy06t2VsZHhMHf-1x7Y/edit?usp=sharing"",""แผน!HB56"")"),0)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IFERROR(__xludf.DUMMYFUNCTION("IMPORTRANGE(""https://docs.google.com/spreadsheets/d/1eHaY18a8A9IcSdp1K8H6x8fbOy06t2VsZHhMHf-1x7Y/edit?usp=sharing"",""แผน!HC56"")"),0)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IFERROR(__xludf.DUMMYFUNCTION("IMPORTRANGE(""https://docs.google.com/spreadsheets/d/1-uDff_7J0KD5mKrp0Vvzr7lt3OU09vwQwhkpOPPYv2Y/edit?usp=sharing"",""งบพรบ!FM56"")"),0)</f>
        <v>0</v>
      </c>
      <c r="M518" s="135">
        <f ca="1">IFERROR(__xludf.DUMMYFUNCTION("IMPORTRANGE(""https://docs.google.com/spreadsheets/d/1-uDff_7J0KD5mKrp0Vvzr7lt3OU09vwQwhkpOPPYv2Y/edit?usp=sharing"",""งบพรบ!FR56"")"),0)</f>
        <v>0</v>
      </c>
      <c r="N518" s="135">
        <f ca="1">IFERROR(__xludf.DUMMYFUNCTION("IMPORTRANGE(""https://docs.google.com/spreadsheets/d/1-uDff_7J0KD5mKrp0Vvzr7lt3OU09vwQwhkpOPPYv2Y/edit?usp=sharing"",""งบพรบ!FT56"")"),0)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IFERROR(__xludf.DUMMYFUNCTION("IMPORTRANGE(""https://docs.google.com/spreadsheets/d/1-uDff_7J0KD5mKrp0Vvzr7lt3OU09vwQwhkpOPPYv2Y/edit?usp=sharing"",""งบพรบ!FP56"")"),0)</f>
        <v>0</v>
      </c>
      <c r="M521" s="135">
        <f ca="1">IFERROR(__xludf.DUMMYFUNCTION("IMPORTRANGE(""https://docs.google.com/spreadsheets/d/1-uDff_7J0KD5mKrp0Vvzr7lt3OU09vwQwhkpOPPYv2Y/edit?usp=sharing"",""งบพรบ!FS56"")"),0)</f>
        <v>0</v>
      </c>
      <c r="N521" s="135">
        <f ca="1">IFERROR(__xludf.DUMMYFUNCTION("IMPORTRANGE(""https://docs.google.com/spreadsheets/d/1-uDff_7J0KD5mKrp0Vvzr7lt3OU09vwQwhkpOPPYv2Y/edit?usp=sharing"",""งบพรบ!FU56"")"),0)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>L535+L536</f>
        <v>0</v>
      </c>
      <c r="M534" s="217">
        <f>M535+M536</f>
        <v>0</v>
      </c>
      <c r="N534" s="217">
        <f>N535+N536</f>
        <v>0</v>
      </c>
      <c r="O534" s="217">
        <f>IF(L534&gt;0,N534*100/L534,0)</f>
        <v>0</v>
      </c>
      <c r="P534" s="217">
        <f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>L539+L542</f>
        <v>0</v>
      </c>
      <c r="M536" s="135">
        <f>M539+M542</f>
        <v>0</v>
      </c>
      <c r="N536" s="135">
        <f>N539+N542</f>
        <v>0</v>
      </c>
      <c r="O536" s="135">
        <f>IF(L536&gt;0,N536*100/L536,0)</f>
        <v>0</v>
      </c>
      <c r="P536" s="135">
        <f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>L538+L539</f>
        <v>0</v>
      </c>
      <c r="M537" s="135">
        <f>M538+M539</f>
        <v>0</v>
      </c>
      <c r="N537" s="135">
        <f>N538+N539</f>
        <v>0</v>
      </c>
      <c r="O537" s="135">
        <f>IF(L537&gt;0,N537*100/L537,0)</f>
        <v>0</v>
      </c>
      <c r="P537" s="135">
        <f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135">
        <f>IF(L539&gt;0,N539*100/L539,0)</f>
        <v>0</v>
      </c>
      <c r="P539" s="135">
        <f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>L541+L542</f>
        <v>0</v>
      </c>
      <c r="M540" s="135">
        <f>M541+M542</f>
        <v>0</v>
      </c>
      <c r="N540" s="135">
        <f>N541+N542</f>
        <v>0</v>
      </c>
      <c r="O540" s="135">
        <f>IF(L540&gt;0,N540*100/L540,0)</f>
        <v>0</v>
      </c>
      <c r="P540" s="135">
        <f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135">
        <f>IF(L542&gt;0,N542*100/L542,0)</f>
        <v>0</v>
      </c>
      <c r="P542" s="135">
        <f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>L556+L557</f>
        <v>0</v>
      </c>
      <c r="M555" s="217">
        <f>M556+M557</f>
        <v>0</v>
      </c>
      <c r="N555" s="217">
        <f>N556+N557</f>
        <v>0</v>
      </c>
      <c r="O555" s="217">
        <f>IF(L555&gt;0,N555*100/L555,0)</f>
        <v>0</v>
      </c>
      <c r="P555" s="217">
        <f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>L560+L563</f>
        <v>0</v>
      </c>
      <c r="M557" s="135">
        <f>M560+M563</f>
        <v>0</v>
      </c>
      <c r="N557" s="135">
        <f>N560+N563</f>
        <v>0</v>
      </c>
      <c r="O557" s="135">
        <f>IF(L557&gt;0,N557*100/L557,0)</f>
        <v>0</v>
      </c>
      <c r="P557" s="135">
        <f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>L559+L560</f>
        <v>0</v>
      </c>
      <c r="M558" s="135">
        <f>M559+M560</f>
        <v>0</v>
      </c>
      <c r="N558" s="135">
        <f>N559+N560</f>
        <v>0</v>
      </c>
      <c r="O558" s="135">
        <f>IF(L558&gt;0,N558*100/L558,0)</f>
        <v>0</v>
      </c>
      <c r="P558" s="135">
        <f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135">
        <f>IF(L560&gt;0,N560*100/L560,0)</f>
        <v>0</v>
      </c>
      <c r="P560" s="135">
        <f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134">
        <f>L562+L563</f>
        <v>0</v>
      </c>
      <c r="M561" s="135">
        <f>M562+M563</f>
        <v>0</v>
      </c>
      <c r="N561" s="135">
        <f>N562+N563</f>
        <v>0</v>
      </c>
      <c r="O561" s="135">
        <f>IF(L561&gt;0,N561*100/L561,0)</f>
        <v>0</v>
      </c>
      <c r="P561" s="135">
        <f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135">
        <f>IF(L563&gt;0,N563*100/L563,0)</f>
        <v>0</v>
      </c>
      <c r="P563" s="135">
        <f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16">
        <f>L577+L578</f>
        <v>0</v>
      </c>
      <c r="M576" s="217">
        <f>M577+M578</f>
        <v>0</v>
      </c>
      <c r="N576" s="217">
        <f>N577+N578</f>
        <v>0</v>
      </c>
      <c r="O576" s="217">
        <f>IF(L576&gt;0,N576*100/L576,0)</f>
        <v>0</v>
      </c>
      <c r="P576" s="217">
        <f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134">
        <f>L581+L584</f>
        <v>0</v>
      </c>
      <c r="M578" s="135">
        <f>M581+M584</f>
        <v>0</v>
      </c>
      <c r="N578" s="135">
        <f>N581+N584</f>
        <v>0</v>
      </c>
      <c r="O578" s="135">
        <f>IF(L578&gt;0,N578*100/L578,0)</f>
        <v>0</v>
      </c>
      <c r="P578" s="135">
        <f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>L580+L581</f>
        <v>0</v>
      </c>
      <c r="M579" s="135">
        <f>M580+M581</f>
        <v>0</v>
      </c>
      <c r="N579" s="135">
        <f>N580+N581</f>
        <v>0</v>
      </c>
      <c r="O579" s="135">
        <f>IF(L579&gt;0,N579*100/L579,0)</f>
        <v>0</v>
      </c>
      <c r="P579" s="135">
        <f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135">
        <f>IF(L581&gt;0,N581*100/L581,0)</f>
        <v>0</v>
      </c>
      <c r="P581" s="135">
        <f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134">
        <f>L583+L584</f>
        <v>0</v>
      </c>
      <c r="M582" s="135">
        <f>M583+M584</f>
        <v>0</v>
      </c>
      <c r="N582" s="135">
        <f>N583+N584</f>
        <v>0</v>
      </c>
      <c r="O582" s="135">
        <f>IF(L582&gt;0,N582*100/L582,0)</f>
        <v>0</v>
      </c>
      <c r="P582" s="135">
        <f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135">
        <f>IF(L584&gt;0,N584*100/L584,0)</f>
        <v>0</v>
      </c>
      <c r="P584" s="135">
        <f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16">
        <f>L600+L601</f>
        <v>0</v>
      </c>
      <c r="M599" s="217">
        <f>M600+M601</f>
        <v>0</v>
      </c>
      <c r="N599" s="217">
        <f>N600+N601</f>
        <v>0</v>
      </c>
      <c r="O599" s="217">
        <f>IF(L599&gt;0,N599*100/L599,0)</f>
        <v>0</v>
      </c>
      <c r="P599" s="217">
        <f>IF(M599&gt;0,N599*100/M599,0)</f>
        <v>0</v>
      </c>
      <c r="Q599" s="217">
        <f>Q600+Q601</f>
        <v>0</v>
      </c>
      <c r="R599" s="217">
        <f>R600+R601</f>
        <v>0</v>
      </c>
      <c r="S599" s="217">
        <f>S600+S601</f>
        <v>0</v>
      </c>
      <c r="T599" s="217">
        <f>IF(Q599&gt;0,S599*100/Q599,0)</f>
        <v>0</v>
      </c>
      <c r="U599" s="217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219">
        <f>L603+L606</f>
        <v>0</v>
      </c>
      <c r="M600" s="136">
        <f>M603+M606</f>
        <v>0</v>
      </c>
      <c r="N600" s="136">
        <f>N603+N606</f>
        <v>0</v>
      </c>
      <c r="O600" s="136">
        <f>IF(L600&gt;0,N600*100/L600,0)</f>
        <v>0</v>
      </c>
      <c r="P600" s="136">
        <f>IF(M600&gt;0,N600*100/M600,0)</f>
        <v>0</v>
      </c>
      <c r="Q600" s="136">
        <f>Q603+Q606</f>
        <v>0</v>
      </c>
      <c r="R600" s="136">
        <f>R603+R606</f>
        <v>0</v>
      </c>
      <c r="S600" s="136">
        <f>S603+S606</f>
        <v>0</v>
      </c>
      <c r="T600" s="136">
        <f>IF(Q600&gt;0,S600*100/Q600,0)</f>
        <v>0</v>
      </c>
      <c r="U600" s="136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134">
        <f>L604+L607</f>
        <v>0</v>
      </c>
      <c r="M601" s="135">
        <f>M604+M607</f>
        <v>0</v>
      </c>
      <c r="N601" s="135">
        <f>N604+N607</f>
        <v>0</v>
      </c>
      <c r="O601" s="135">
        <f>IF(L601&gt;0,N601*100/L601,0)</f>
        <v>0</v>
      </c>
      <c r="P601" s="135">
        <f>IF(M601&gt;0,N601*100/M601,0)</f>
        <v>0</v>
      </c>
      <c r="Q601" s="135">
        <f>Q604+Q607</f>
        <v>0</v>
      </c>
      <c r="R601" s="135">
        <f>R604+R607</f>
        <v>0</v>
      </c>
      <c r="S601" s="135">
        <f>S604+S607</f>
        <v>0</v>
      </c>
      <c r="T601" s="135">
        <f>IF(Q601&gt;0,S601*100/Q601,0)</f>
        <v>0</v>
      </c>
      <c r="U601" s="135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134">
        <f>L603+L604</f>
        <v>0</v>
      </c>
      <c r="M602" s="135">
        <f>M603+M604</f>
        <v>0</v>
      </c>
      <c r="N602" s="135">
        <f>N603+N604</f>
        <v>0</v>
      </c>
      <c r="O602" s="135">
        <f>IF(L602&gt;0,N602*100/L602,0)</f>
        <v>0</v>
      </c>
      <c r="P602" s="135">
        <f>IF(M602&gt;0,N602*100/M602,0)</f>
        <v>0</v>
      </c>
      <c r="Q602" s="135">
        <f>Q603+Q604</f>
        <v>0</v>
      </c>
      <c r="R602" s="135">
        <f>R603+R604</f>
        <v>0</v>
      </c>
      <c r="S602" s="135">
        <f>S603+S604</f>
        <v>0</v>
      </c>
      <c r="T602" s="135">
        <f>IF(Q602&gt;0,S602*100/Q602,0)</f>
        <v>0</v>
      </c>
      <c r="U602" s="135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136">
        <f>IF(L603&gt;0,N603*100/L603,0)</f>
        <v>0</v>
      </c>
      <c r="P603" s="136">
        <f>IF(M603&gt;0,N603*100/M603,0)</f>
        <v>0</v>
      </c>
      <c r="Q603" s="80">
        <v>0</v>
      </c>
      <c r="R603" s="80">
        <v>0</v>
      </c>
      <c r="S603" s="80">
        <v>0</v>
      </c>
      <c r="T603" s="136">
        <f>IF(Q603&gt;0,S603*100/Q603,0)</f>
        <v>0</v>
      </c>
      <c r="U603" s="136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135">
        <f>IF(L604&gt;0,N604*100/L604,0)</f>
        <v>0</v>
      </c>
      <c r="P604" s="135">
        <f>IF(M604&gt;0,N604*100/M604,0)</f>
        <v>0</v>
      </c>
      <c r="Q604" s="77">
        <v>0</v>
      </c>
      <c r="R604" s="77">
        <v>0</v>
      </c>
      <c r="S604" s="77">
        <v>0</v>
      </c>
      <c r="T604" s="135">
        <f>IF(Q604&gt;0,S604*100/Q604,0)</f>
        <v>0</v>
      </c>
      <c r="U604" s="135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134">
        <f>L606+L607</f>
        <v>0</v>
      </c>
      <c r="M605" s="135">
        <f>M606+M607</f>
        <v>0</v>
      </c>
      <c r="N605" s="135">
        <f>N606+N607</f>
        <v>0</v>
      </c>
      <c r="O605" s="135">
        <f>IF(L605&gt;0,N605*100/L605,0)</f>
        <v>0</v>
      </c>
      <c r="P605" s="135">
        <f>IF(M605&gt;0,N605*100/M605,0)</f>
        <v>0</v>
      </c>
      <c r="Q605" s="135">
        <f>Q606+Q607</f>
        <v>0</v>
      </c>
      <c r="R605" s="135">
        <f>R606+R607</f>
        <v>0</v>
      </c>
      <c r="S605" s="135">
        <f>S606+S607</f>
        <v>0</v>
      </c>
      <c r="T605" s="135">
        <f>IF(Q605&gt;0,S605*100/Q605,0)</f>
        <v>0</v>
      </c>
      <c r="U605" s="135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136">
        <f>IF(L606&gt;0,N606*100/L606,0)</f>
        <v>0</v>
      </c>
      <c r="P606" s="136">
        <f>IF(M606&gt;0,N606*100/M606,0)</f>
        <v>0</v>
      </c>
      <c r="Q606" s="80">
        <v>0</v>
      </c>
      <c r="R606" s="80">
        <v>0</v>
      </c>
      <c r="S606" s="80">
        <v>0</v>
      </c>
      <c r="T606" s="136">
        <f>IF(Q606&gt;0,S606*100/Q606,0)</f>
        <v>0</v>
      </c>
      <c r="U606" s="136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135">
        <f>IF(L607&gt;0,N607*100/L607,0)</f>
        <v>0</v>
      </c>
      <c r="P607" s="135">
        <f>IF(M607&gt;0,N607*100/M607,0)</f>
        <v>0</v>
      </c>
      <c r="Q607" s="77">
        <v>0</v>
      </c>
      <c r="R607" s="77">
        <v>0</v>
      </c>
      <c r="S607" s="77">
        <v>0</v>
      </c>
      <c r="T607" s="135">
        <f>IF(Q607&gt;0,S607*100/Q607,0)</f>
        <v>0</v>
      </c>
      <c r="U607" s="135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0</v>
      </c>
      <c r="J615" s="1259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1875</v>
      </c>
      <c r="R616" s="217">
        <f ca="1">R617+R618</f>
        <v>1875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1875</v>
      </c>
      <c r="R618" s="135">
        <f ca="1">R621+R624</f>
        <v>1875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1875</v>
      </c>
      <c r="R619" s="135">
        <f ca="1">R620+R621</f>
        <v>1875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IFERROR(__xludf.DUMMYFUNCTION("IMPORTRANGE(""https://docs.google.com/spreadsheets/d/1ItG2mGa2ceCfYo0BwxsXqNm01IGEUdYcSSLTEv9YCik/edit?usp=sharing"",""เบิกจ่ายกองทุน!F56"")"),1875)</f>
        <v>1875</v>
      </c>
      <c r="R621" s="135">
        <f ca="1">IFERROR(__xludf.DUMMYFUNCTION("IMPORTRANGE(""https://docs.google.com/spreadsheets/d/1ItG2mGa2ceCfYo0BwxsXqNm01IGEUdYcSSLTEv9YCik/edit?usp=sharing"",""เบิกจ่ายกองทุน!G56"")"),1875)</f>
        <v>1875</v>
      </c>
      <c r="S621" s="135">
        <f ca="1">IFERROR(__xludf.DUMMYFUNCTION("IMPORTRANGE(""https://docs.google.com/spreadsheets/d/1ItG2mGa2ceCfYo0BwxsXqNm01IGEUdYcSSLTEv9YCik/edit?usp=sharing"",""เบิกจ่ายกองทุน!H56"")"),0)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841">
        <f ca="1">IFERROR(__xludf.DUMMYFUNCTION("IMPORTRANGE(""https://docs.google.com/spreadsheets/d/1eHaY18a8A9IcSdp1K8H6x8fbOy06t2VsZHhMHf-1x7Y/edit?usp=sharing"",""แผน!ID56"")"),0)</f>
        <v>0</v>
      </c>
      <c r="J626" s="840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824">
        <f ca="1">IFERROR(__xludf.DUMMYFUNCTION("IMPORTRANGE(""https://docs.google.com/spreadsheets/d/1eHaY18a8A9IcSdp1K8H6x8fbOy06t2VsZHhMHf-1x7Y/edit?usp=sharing"",""แผน!IC56"")"),1)</f>
        <v>1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824">
        <f ca="1">IFERROR(__xludf.DUMMYFUNCTION("IMPORTRANGE(""https://docs.google.com/spreadsheets/d/1eHaY18a8A9IcSdp1K8H6x8fbOy06t2VsZHhMHf-1x7Y/edit?usp=sharing"",""แผน!IC56"")"),1)</f>
        <v>1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839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839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839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839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839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839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828">
        <f ca="1">IFERROR(__xludf.DUMMYFUNCTION("IMPORTRANGE(""https://docs.google.com/spreadsheets/d/1eHaY18a8A9IcSdp1K8H6x8fbOy06t2VsZHhMHf-1x7Y/edit?usp=sharing"",""แผน!IE56"")"),0)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839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839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839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839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839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hidden="1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0</v>
      </c>
      <c r="R642" s="217">
        <f ca="1">R643+R644</f>
        <v>0</v>
      </c>
      <c r="S642" s="217">
        <f ca="1">S643+S644</f>
        <v>0</v>
      </c>
      <c r="T642" s="217">
        <f ca="1">IF(Q642&gt;0,S642*100/Q642,0)</f>
        <v>0</v>
      </c>
      <c r="U642" s="217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0</v>
      </c>
      <c r="R644" s="135">
        <f ca="1">R647+R650</f>
        <v>0</v>
      </c>
      <c r="S644" s="135">
        <f ca="1">S647+S650</f>
        <v>0</v>
      </c>
      <c r="T644" s="135">
        <f ca="1">IF(Q644&gt;0,S644*100/Q644,0)</f>
        <v>0</v>
      </c>
      <c r="U644" s="135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0</v>
      </c>
      <c r="R645" s="135">
        <f ca="1">R646+R647</f>
        <v>0</v>
      </c>
      <c r="S645" s="135">
        <f ca="1">S646+S647</f>
        <v>0</v>
      </c>
      <c r="T645" s="135">
        <f ca="1">IF(Q645&gt;0,S645*100/Q645,0)</f>
        <v>0</v>
      </c>
      <c r="U645" s="135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IFERROR(__xludf.DUMMYFUNCTION("IMPORTRANGE(""https://docs.google.com/spreadsheets/d/1ItG2mGa2ceCfYo0BwxsXqNm01IGEUdYcSSLTEv9YCik/edit?usp=sharing"",""เบิกจ่ายกองทุน!I56"")"),0)</f>
        <v>0</v>
      </c>
      <c r="R647" s="135">
        <f ca="1">IFERROR(__xludf.DUMMYFUNCTION("IMPORTRANGE(""https://docs.google.com/spreadsheets/d/1ItG2mGa2ceCfYo0BwxsXqNm01IGEUdYcSSLTEv9YCik/edit?usp=sharing"",""เบิกจ่ายกองทุน!J56"")"),0)</f>
        <v>0</v>
      </c>
      <c r="S647" s="135">
        <f ca="1">IFERROR(__xludf.DUMMYFUNCTION("IMPORTRANGE(""https://docs.google.com/spreadsheets/d/1ItG2mGa2ceCfYo0BwxsXqNm01IGEUdYcSSLTEv9YCik/edit?usp=sharing"",""เบิกจ่ายกองทุน!K56"")"),0)</f>
        <v>0</v>
      </c>
      <c r="T647" s="135">
        <f ca="1">IF(Q647&gt;0,S647*100/Q647,0)</f>
        <v>0</v>
      </c>
      <c r="U647" s="135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IFERROR(__xludf.DUMMYFUNCTION("IMPORTRANGE(""https://docs.google.com/spreadsheets/d/1eHaY18a8A9IcSdp1K8H6x8fbOy06t2VsZHhMHf-1x7Y/edit?usp=sharing"",""แผน!IF56"")"),0)</f>
        <v>0</v>
      </c>
      <c r="J652" s="295">
        <f ca="1">IFERROR(__xludf.DUMMYFUNCTION("IMPORTRANGE(""https://docs.google.com/spreadsheets/d/1tdoBKaGub7dwA3U6UFTqxio9LNnvDCQjHKmttSEBsFQ/edit?usp=sharing"",""จัดที่ดิน!AU56"")"),0)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IFERROR(__xludf.DUMMYFUNCTION("IMPORTRANGE(""https://docs.google.com/spreadsheets/d/1eHaY18a8A9IcSdp1K8H6x8fbOy06t2VsZHhMHf-1x7Y/edit?usp=sharing"",""แผน!IG56"")"),0)</f>
        <v>0</v>
      </c>
      <c r="J653" s="295">
        <f ca="1">IFERROR(__xludf.DUMMYFUNCTION("IMPORTRANGE(""https://docs.google.com/spreadsheets/d/1tdoBKaGub7dwA3U6UFTqxio9LNnvDCQjHKmttSEBsFQ/edit?usp=sharing"",""จัดที่ดิน!AW56"")"),0)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IFERROR(__xludf.DUMMYFUNCTION("IMPORTRANGE(""https://docs.google.com/spreadsheets/d/1eHaY18a8A9IcSdp1K8H6x8fbOy06t2VsZHhMHf-1x7Y/edit?usp=sharing"",""แผน!IH56"")"),0)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IFERROR(__xludf.DUMMYFUNCTION("IMPORTRANGE(""https://docs.google.com/spreadsheets/d/1eHaY18a8A9IcSdp1K8H6x8fbOy06t2VsZHhMHf-1x7Y/edit?usp=sharing"",""แผน!II56"")"),0)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IFERROR(__xludf.DUMMYFUNCTION("IMPORTRANGE(""https://docs.google.com/spreadsheets/d/1eHaY18a8A9IcSdp1K8H6x8fbOy06t2VsZHhMHf-1x7Y/edit?usp=sharing"",""แผน!IJ56"")"),0)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IFERROR(__xludf.DUMMYFUNCTION("IMPORTRANGE(""https://docs.google.com/spreadsheets/d/1eHaY18a8A9IcSdp1K8H6x8fbOy06t2VsZHhMHf-1x7Y/edit?usp=sharing"",""แผน!IK56"")"),0)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IFERROR(__xludf.DUMMYFUNCTION("IMPORTRANGE(""https://docs.google.com/spreadsheets/d/1tdoBKaGub7dwA3U6UFTqxio9LNnvDCQjHKmttSEBsFQ/edit?usp=sharing"",""จัดที่ดิน!AY56"")"),0)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IFERROR(__xludf.DUMMYFUNCTION("IMPORTRANGE(""https://docs.google.com/spreadsheets/d/1tdoBKaGub7dwA3U6UFTqxio9LNnvDCQjHKmttSEBsFQ/edit?usp=sharing"",""จัดที่ดิน!AZ56"")"),0)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IFERROR(__xludf.DUMMYFUNCTION("IMPORTRANGE(""https://docs.google.com/spreadsheets/d/1eHaY18a8A9IcSdp1K8H6x8fbOy06t2VsZHhMHf-1x7Y/edit?usp=sharing"",""แผน!IL56"")"),0)</f>
        <v>0</v>
      </c>
      <c r="J673" s="295">
        <f ca="1">IFERROR(__xludf.DUMMYFUNCTION("IMPORTRANGE(""https://docs.google.com/spreadsheets/d/1tdoBKaGub7dwA3U6UFTqxio9LNnvDCQjHKmttSEBsFQ/edit?usp=sharing"",""จัดที่ดิน!BA56"")"),0)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IFERROR(__xludf.DUMMYFUNCTION("IMPORTRANGE(""https://docs.google.com/spreadsheets/d/1eHaY18a8A9IcSdp1K8H6x8fbOy06t2VsZHhMHf-1x7Y/edit?usp=sharing"",""แผน!IM56"")"),0)</f>
        <v>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IFERROR(__xludf.DUMMYFUNCTION("IMPORTRANGE(""https://docs.google.com/spreadsheets/d/1eHaY18a8A9IcSdp1K8H6x8fbOy06t2VsZHhMHf-1x7Y/edit?usp=sharing"",""แผน!IN56"")"),0)</f>
        <v>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IFERROR(__xludf.DUMMYFUNCTION("IMPORTRANGE(""https://docs.google.com/spreadsheets/d/1eHaY18a8A9IcSdp1K8H6x8fbOy06t2VsZHhMHf-1x7Y/edit?usp=sharing"",""แผน!IO56"")"),0)</f>
        <v>0</v>
      </c>
      <c r="J676" s="295">
        <f ca="1">IFERROR(__xludf.DUMMYFUNCTION("IMPORTRANGE(""https://docs.google.com/spreadsheets/d/1tdoBKaGub7dwA3U6UFTqxio9LNnvDCQjHKmttSEBsFQ/edit?usp=sharing"",""จัดที่ดิน!BF56"")"),0)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IFERROR(__xludf.DUMMYFUNCTION("IMPORTRANGE(""https://docs.google.com/spreadsheets/d/1tdoBKaGub7dwA3U6UFTqxio9LNnvDCQjHKmttSEBsFQ/edit?usp=sharing"",""จัดที่ดิน!BG56"")"),0)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IFERROR(__xludf.DUMMYFUNCTION("IMPORTRANGE(""https://docs.google.com/spreadsheets/d/1eHaY18a8A9IcSdp1K8H6x8fbOy06t2VsZHhMHf-1x7Y/edit?usp=sharing"",""แผน!IP56"")"),0)</f>
        <v>0</v>
      </c>
      <c r="J678" s="295">
        <f ca="1">IFERROR(__xludf.DUMMYFUNCTION("IMPORTRANGE(""https://docs.google.com/spreadsheets/d/1tdoBKaGub7dwA3U6UFTqxio9LNnvDCQjHKmttSEBsFQ/edit?usp=sharing"",""จัดที่ดิน!BH56"")"),0)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IFERROR(__xludf.DUMMYFUNCTION("IMPORTRANGE(""https://docs.google.com/spreadsheets/d/1eHaY18a8A9IcSdp1K8H6x8fbOy06t2VsZHhMHf-1x7Y/edit?usp=sharing"",""แผน!IQ56"")"),0)</f>
        <v>0</v>
      </c>
      <c r="J679" s="295">
        <f ca="1">IFERROR(__xludf.DUMMYFUNCTION("IMPORTRANGE(""https://docs.google.com/spreadsheets/d/1tdoBKaGub7dwA3U6UFTqxio9LNnvDCQjHKmttSEBsFQ/edit?usp=sharing"",""จัดที่ดิน!BK56"")"),0)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IFERROR(__xludf.DUMMYFUNCTION("IMPORTRANGE(""https://docs.google.com/spreadsheets/d/1tdoBKaGub7dwA3U6UFTqxio9LNnvDCQjHKmttSEBsFQ/edit?usp=sharing"",""จัดที่ดิน!BL56"")"),0)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IFERROR(__xludf.DUMMYFUNCTION("IMPORTRANGE(""https://docs.google.com/spreadsheets/d/1eHaY18a8A9IcSdp1K8H6x8fbOy06t2VsZHhMHf-1x7Y/edit?usp=sharing"",""แผน!IR56"")"),0)</f>
        <v>0</v>
      </c>
      <c r="J681" s="295">
        <f ca="1">IFERROR(__xludf.DUMMYFUNCTION("IMPORTRANGE(""https://docs.google.com/spreadsheets/d/1tdoBKaGub7dwA3U6UFTqxio9LNnvDCQjHKmttSEBsFQ/edit?usp=sharing"",""จัดที่ดิน!BM56"")"),0)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IFERROR(__xludf.DUMMYFUNCTION("IMPORTRANGE(""https://docs.google.com/spreadsheets/d/1eHaY18a8A9IcSdp1K8H6x8fbOy06t2VsZHhMHf-1x7Y/edit?usp=sharing"",""แผน!IS56"")"),0)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65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169770</v>
      </c>
      <c r="R690" s="217">
        <f ca="1">R691+R692</f>
        <v>169770</v>
      </c>
      <c r="S690" s="217">
        <f ca="1">S691+S692</f>
        <v>55985</v>
      </c>
      <c r="T690" s="217">
        <f ca="1">IF(Q690&gt;0,S690*100/Q690,0)</f>
        <v>32.976968840195561</v>
      </c>
      <c r="U690" s="217">
        <f ca="1">IF(R690&gt;0,S690*100/R690,0)</f>
        <v>32.976968840195561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169770</v>
      </c>
      <c r="R692" s="135">
        <f ca="1">R695+R698</f>
        <v>169770</v>
      </c>
      <c r="S692" s="135">
        <f ca="1">S695+S698</f>
        <v>55985</v>
      </c>
      <c r="T692" s="135">
        <f ca="1">IF(Q692&gt;0,S692*100/Q692,0)</f>
        <v>32.976968840195561</v>
      </c>
      <c r="U692" s="135">
        <f ca="1">IF(R692&gt;0,S692*100/R692,0)</f>
        <v>32.976968840195561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169770</v>
      </c>
      <c r="R693" s="135">
        <f ca="1">R694+R695</f>
        <v>169770</v>
      </c>
      <c r="S693" s="135">
        <f ca="1">S694+S695</f>
        <v>55985</v>
      </c>
      <c r="T693" s="135">
        <f ca="1">IF(Q693&gt;0,S693*100/Q693,0)</f>
        <v>32.976968840195561</v>
      </c>
      <c r="U693" s="135">
        <f ca="1">IF(R693&gt;0,S693*100/R693,0)</f>
        <v>32.976968840195561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IFERROR(__xludf.DUMMYFUNCTION("IMPORTRANGE(""https://docs.google.com/spreadsheets/d/1ItG2mGa2ceCfYo0BwxsXqNm01IGEUdYcSSLTEv9YCik/edit?usp=sharing"",""เบิกจ่ายกองทุน!L56"")"),169770)</f>
        <v>169770</v>
      </c>
      <c r="R695" s="135">
        <f ca="1">IFERROR(__xludf.DUMMYFUNCTION("IMPORTRANGE(""https://docs.google.com/spreadsheets/d/1ItG2mGa2ceCfYo0BwxsXqNm01IGEUdYcSSLTEv9YCik/edit?usp=sharing"",""เบิกจ่ายกองทุน!M56"")"),169770)</f>
        <v>169770</v>
      </c>
      <c r="S695" s="135">
        <f ca="1">IFERROR(__xludf.DUMMYFUNCTION("IMPORTRANGE(""https://docs.google.com/spreadsheets/d/1ItG2mGa2ceCfYo0BwxsXqNm01IGEUdYcSSLTEv9YCik/edit?usp=sharing"",""เบิกจ่ายกองทุน!N56"")"),55985)</f>
        <v>55985</v>
      </c>
      <c r="T695" s="135">
        <f ca="1">IF(Q695&gt;0,S695*100/Q695,0)</f>
        <v>32.976968840195561</v>
      </c>
      <c r="U695" s="135">
        <f ca="1">IF(R695&gt;0,S695*100/R695,0)</f>
        <v>32.976968840195561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IFERROR(__xludf.DUMMYFUNCTION("IMPORTRANGE(""https://docs.google.com/spreadsheets/d/1eHaY18a8A9IcSdp1K8H6x8fbOy06t2VsZHhMHf-1x7Y/edit?usp=sharing"",""แผน!LC56"")"),0)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IFERROR(__xludf.DUMMYFUNCTION("IMPORTRANGE(""https://docs.google.com/spreadsheets/d/1eHaY18a8A9IcSdp1K8H6x8fbOy06t2VsZHhMHf-1x7Y/edit?usp=sharing"",""แผน!LI56"")"),68)</f>
        <v>68</v>
      </c>
      <c r="J701" s="603">
        <f ca="1">IFERROR(__xludf.DUMMYFUNCTION("IMPORTRANGE(""https://docs.google.com/spreadsheets/d/1tdoBKaGub7dwA3U6UFTqxio9LNnvDCQjHKmttSEBsFQ/edit?usp=sharing"",""จัดที่ดิน!AP56"")"),6)</f>
        <v>6</v>
      </c>
      <c r="K701" s="266">
        <f ca="1">IF(I701&gt;0,J701*100/I701,0)</f>
        <v>8.8235294117647065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IFERROR(__xludf.DUMMYFUNCTION("IMPORTRANGE(""https://docs.google.com/spreadsheets/d/1tdoBKaGub7dwA3U6UFTqxio9LNnvDCQjHKmttSEBsFQ/edit?usp=sharing"",""จัดที่ดิน!AQ56"")"),7.57)</f>
        <v>7.57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IFERROR(__xludf.DUMMYFUNCTION("IMPORTRANGE(""https://docs.google.com/spreadsheets/d/1eHaY18a8A9IcSdp1K8H6x8fbOy06t2VsZHhMHf-1x7Y/edit?usp=sharing"",""แผน!LJ56"")"),65)</f>
        <v>65</v>
      </c>
      <c r="J703" s="295">
        <f ca="1">IFERROR(__xludf.DUMMYFUNCTION("IMPORTRANGE(""https://docs.google.com/spreadsheets/d/1tdoBKaGub7dwA3U6UFTqxio9LNnvDCQjHKmttSEBsFQ/edit?usp=sharing"",""จัดที่ดิน!AP56"")"),6)</f>
        <v>6</v>
      </c>
      <c r="K703" s="77">
        <f ca="1">IF(I703&gt;0,J703*100/I703,0)</f>
        <v>9.2307692307692299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IFERROR(__xludf.DUMMYFUNCTION("IMPORTRANGE(""https://docs.google.com/spreadsheets/d/1tdoBKaGub7dwA3U6UFTqxio9LNnvDCQjHKmttSEBsFQ/edit?usp=sharing"",""จัดที่ดิน!AP56"")"),6)</f>
        <v>6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IFERROR(__xludf.DUMMYFUNCTION("IMPORTRANGE(""https://docs.google.com/spreadsheets/d/1eHaY18a8A9IcSdp1K8H6x8fbOy06t2VsZHhMHf-1x7Y/edit?usp=sharing"",""แผน!LK56"")"),3)</f>
        <v>3</v>
      </c>
      <c r="J705" s="295">
        <f ca="1">IFERROR(__xludf.DUMMYFUNCTION("IMPORTRANGE(""https://docs.google.com/spreadsheets/d/1tdoBKaGub7dwA3U6UFTqxio9LNnvDCQjHKmttSEBsFQ/edit?usp=sharing"",""จัดที่ดิน!AQ56"")"),7.57)</f>
        <v>7.57</v>
      </c>
      <c r="K705" s="748">
        <f ca="1">IF(I705&gt;0,J705*100/I705,0)</f>
        <v>252.33333333333334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IFERROR(__xludf.DUMMYFUNCTION("IMPORTRANGE(""https://docs.google.com/spreadsheets/d/1tdoBKaGub7dwA3U6UFTqxio9LNnvDCQjHKmttSEBsFQ/edit?usp=sharing"",""จัดที่ดิน!AP56"")"),6)</f>
        <v>6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IFERROR(__xludf.DUMMYFUNCTION("IMPORTRANGE(""https://docs.google.com/spreadsheets/d/1eHaY18a8A9IcSdp1K8H6x8fbOy06t2VsZHhMHf-1x7Y/edit?usp=sharing"",""แผน!LJ56"")"),65)</f>
        <v>65</v>
      </c>
      <c r="J707" s="295">
        <f ca="1">IFERROR(__xludf.DUMMYFUNCTION("IMPORTRANGE(""https://docs.google.com/spreadsheets/d/1tdoBKaGub7dwA3U6UFTqxio9LNnvDCQjHKmttSEBsFQ/edit?usp=sharing"",""จัดที่ดิน!AR56"")"),0)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IFERROR(__xludf.DUMMYFUNCTION("IMPORTRANGE(""https://docs.google.com/spreadsheets/d/1tdoBKaGub7dwA3U6UFTqxio9LNnvDCQjHKmttSEBsFQ/edit?usp=sharing"",""จัดที่ดิน!AS56"")"),0)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IFERROR(__xludf.DUMMYFUNCTION("IMPORTRANGE(""https://docs.google.com/spreadsheets/d/1eHaY18a8A9IcSdp1K8H6x8fbOy06t2VsZHhMHf-1x7Y/edit?usp=sharing"",""แผน!LK56"")"),3)</f>
        <v>3</v>
      </c>
      <c r="J709" s="295">
        <v>0</v>
      </c>
      <c r="K709" s="77"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v>0</v>
      </c>
      <c r="K710" s="77"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IFERROR(__xludf.DUMMYFUNCTION("IMPORTRANGE(""https://docs.google.com/spreadsheets/d/1eHaY18a8A9IcSdp1K8H6x8fbOy06t2VsZHhMHf-1x7Y/edit?usp=sharing"",""แผน!GA56"")"),21)</f>
        <v>21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IFERROR(__xludf.DUMMYFUNCTION("IMPORTRANGE(""https://docs.google.com/spreadsheets/d/1eHaY18a8A9IcSdp1K8H6x8fbOy06t2VsZHhMHf-1x7Y/edit?usp=sharing"",""แผน!FZ56"")"),200)</f>
        <v>200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175994</v>
      </c>
      <c r="R728" s="217">
        <f ca="1">R729+R730</f>
        <v>175994</v>
      </c>
      <c r="S728" s="217">
        <f ca="1">S729+S730</f>
        <v>5790</v>
      </c>
      <c r="T728" s="217">
        <f ca="1">IF(Q728&gt;0,S728*100/Q728,0)</f>
        <v>3.289884882439174</v>
      </c>
      <c r="U728" s="217">
        <f ca="1">IF(R728&gt;0,S728*100/R728,0)</f>
        <v>3.289884882439174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175994</v>
      </c>
      <c r="R730" s="135">
        <f ca="1">R733+R736</f>
        <v>175994</v>
      </c>
      <c r="S730" s="135">
        <f ca="1">S733+S736</f>
        <v>5790</v>
      </c>
      <c r="T730" s="135">
        <f ca="1">IF(Q730&gt;0,S730*100/Q730,0)</f>
        <v>3.289884882439174</v>
      </c>
      <c r="U730" s="135">
        <f ca="1">IF(R730&gt;0,S730*100/R730,0)</f>
        <v>3.289884882439174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175994</v>
      </c>
      <c r="R731" s="135">
        <f ca="1">R732+R733</f>
        <v>175994</v>
      </c>
      <c r="S731" s="135">
        <f ca="1">S732+S733</f>
        <v>5790</v>
      </c>
      <c r="T731" s="135">
        <f ca="1">IF(Q731&gt;0,S731*100/Q731,0)</f>
        <v>3.289884882439174</v>
      </c>
      <c r="U731" s="135">
        <f ca="1">IF(R731&gt;0,S731*100/R731,0)</f>
        <v>3.289884882439174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IFERROR(__xludf.DUMMYFUNCTION("IMPORTRANGE(""https://docs.google.com/spreadsheets/d/1ItG2mGa2ceCfYo0BwxsXqNm01IGEUdYcSSLTEv9YCik/edit?usp=sharing"",""เบิกจ่ายกองทุน!O56"")"),175994)</f>
        <v>175994</v>
      </c>
      <c r="R733" s="135">
        <f ca="1">IFERROR(__xludf.DUMMYFUNCTION("IMPORTRANGE(""https://docs.google.com/spreadsheets/d/1ItG2mGa2ceCfYo0BwxsXqNm01IGEUdYcSSLTEv9YCik/edit?usp=sharing"",""เบิกจ่ายกองทุน!P56"")"),175994)</f>
        <v>175994</v>
      </c>
      <c r="S733" s="135">
        <f ca="1">IFERROR(__xludf.DUMMYFUNCTION("IMPORTRANGE(""https://docs.google.com/spreadsheets/d/1ItG2mGa2ceCfYo0BwxsXqNm01IGEUdYcSSLTEv9YCik/edit?usp=sharing"",""เบิกจ่ายกองทุน!Q56"")"),5790)</f>
        <v>5790</v>
      </c>
      <c r="T733" s="135">
        <f ca="1">IF(Q733&gt;0,S733*100/Q733,0)</f>
        <v>3.289884882439174</v>
      </c>
      <c r="U733" s="135">
        <f ca="1">IF(R733&gt;0,S733*100/R733,0)</f>
        <v>3.289884882439174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IFERROR(__xludf.DUMMYFUNCTION("IMPORTRANGE(""https://docs.google.com/spreadsheets/d/1eHaY18a8A9IcSdp1K8H6x8fbOy06t2VsZHhMHf-1x7Y/edit?usp=sharing"",""แผน!GB56"")"),160)</f>
        <v>160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IFERROR(__xludf.DUMMYFUNCTION("IMPORTRANGE(""https://docs.google.com/spreadsheets/d/1eHaY18a8A9IcSdp1K8H6x8fbOy06t2VsZHhMHf-1x7Y/edit?usp=sharing"",""แผน!GC56"")"),16)</f>
        <v>16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IFERROR(__xludf.DUMMYFUNCTION("IMPORTRANGE(""https://docs.google.com/spreadsheets/d/1eHaY18a8A9IcSdp1K8H6x8fbOy06t2VsZHhMHf-1x7Y/edit?usp=sharing"",""แผน!GD56"")"),40)</f>
        <v>40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IFERROR(__xludf.DUMMYFUNCTION("IMPORTRANGE(""https://docs.google.com/spreadsheets/d/1eHaY18a8A9IcSdp1K8H6x8fbOy06t2VsZHhMHf-1x7Y/edit?usp=sharing"",""แผน!GE56"")"),4)</f>
        <v>4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IFERROR(__xludf.DUMMYFUNCTION("IMPORTRANGE(""https://docs.google.com/spreadsheets/d/1eHaY18a8A9IcSdp1K8H6x8fbOy06t2VsZHhMHf-1x7Y/edit?usp=sharing"",""แผน!GF56"")"),1)</f>
        <v>1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IFERROR(__xludf.DUMMYFUNCTION("IMPORTRANGE(""https://docs.google.com/spreadsheets/d/1eHaY18a8A9IcSdp1K8H6x8fbOy06t2VsZHhMHf-1x7Y/edit?usp=sharing"",""แผน!GB56"")"),160)</f>
        <v>160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IFERROR(__xludf.DUMMYFUNCTION("IMPORTRANGE(""https://docs.google.com/spreadsheets/d/1eHaY18a8A9IcSdp1K8H6x8fbOy06t2VsZHhMHf-1x7Y/edit?usp=sharing"",""แผน!GD56"")"),40)</f>
        <v>40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20</v>
      </c>
      <c r="J758" s="760">
        <f>J772</f>
        <v>20</v>
      </c>
      <c r="K758" s="746">
        <f ca="1">IF(I758&gt;0,J758*100/I758,0)</f>
        <v>100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25</v>
      </c>
      <c r="J759" s="760">
        <f>J774</f>
        <v>25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121660</v>
      </c>
      <c r="R760" s="217">
        <f ca="1">R761+R762</f>
        <v>121660</v>
      </c>
      <c r="S760" s="217">
        <f ca="1">S761+S762</f>
        <v>94085</v>
      </c>
      <c r="T760" s="217">
        <f ca="1">IF(Q760&gt;0,S760*100/Q760,0)</f>
        <v>77.334374486273219</v>
      </c>
      <c r="U760" s="217">
        <f ca="1">IF(R760&gt;0,S760*100/R760,0)</f>
        <v>77.334374486273219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121660</v>
      </c>
      <c r="R762" s="135">
        <f ca="1">R765+R768</f>
        <v>121660</v>
      </c>
      <c r="S762" s="135">
        <f ca="1">S765+S768</f>
        <v>94085</v>
      </c>
      <c r="T762" s="135">
        <f ca="1">IF(Q762&gt;0,S762*100/Q762,0)</f>
        <v>77.334374486273219</v>
      </c>
      <c r="U762" s="135">
        <f ca="1">IF(R762&gt;0,S762*100/R762,0)</f>
        <v>77.334374486273219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121660</v>
      </c>
      <c r="R763" s="135">
        <f ca="1">R764+R765</f>
        <v>121660</v>
      </c>
      <c r="S763" s="135">
        <f ca="1">S764+S765</f>
        <v>94085</v>
      </c>
      <c r="T763" s="135">
        <f ca="1">IF(Q763&gt;0,S763*100/Q763,0)</f>
        <v>77.334374486273219</v>
      </c>
      <c r="U763" s="135">
        <f ca="1">IF(R763&gt;0,S763*100/R763,0)</f>
        <v>77.334374486273219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IFERROR(__xludf.DUMMYFUNCTION("IMPORTRANGE(""https://docs.google.com/spreadsheets/d/1ItG2mGa2ceCfYo0BwxsXqNm01IGEUdYcSSLTEv9YCik/edit?usp=sharing"",""เบิกจ่ายกองทุน!U56"")"),121660)</f>
        <v>121660</v>
      </c>
      <c r="R765" s="135">
        <f ca="1">IFERROR(__xludf.DUMMYFUNCTION("IMPORTRANGE(""https://docs.google.com/spreadsheets/d/1ItG2mGa2ceCfYo0BwxsXqNm01IGEUdYcSSLTEv9YCik/edit?usp=sharing"",""เบิกจ่ายกองทุน!V56"")"),121660)</f>
        <v>121660</v>
      </c>
      <c r="S765" s="135">
        <f ca="1">IFERROR(__xludf.DUMMYFUNCTION("IMPORTRANGE(""https://docs.google.com/spreadsheets/d/1ItG2mGa2ceCfYo0BwxsXqNm01IGEUdYcSSLTEv9YCik/edit?usp=sharing"",""เบิกจ่ายกองทุน!W56"")"),94085)</f>
        <v>94085</v>
      </c>
      <c r="T765" s="135">
        <f ca="1">IF(Q765&gt;0,S765*100/Q765,0)</f>
        <v>77.334374486273219</v>
      </c>
      <c r="U765" s="135">
        <f ca="1">IF(R765&gt;0,S765*100/R765,0)</f>
        <v>77.334374486273219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IFERROR(__xludf.DUMMYFUNCTION("IMPORTRANGE(""https://docs.google.com/spreadsheets/d/1eHaY18a8A9IcSdp1K8H6x8fbOy06t2VsZHhMHf-1x7Y/edit?usp=sharing"",""แผน!FI56"")"),0)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IFERROR(__xludf.DUMMYFUNCTION("IMPORTRANGE(""https://docs.google.com/spreadsheets/d/1eHaY18a8A9IcSdp1K8H6x8fbOy06t2VsZHhMHf-1x7Y/edit?usp=sharing"",""แผน!FQ56"")"),20)</f>
        <v>20</v>
      </c>
      <c r="J772" s="296">
        <v>20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IFERROR(__xludf.DUMMYFUNCTION("IMPORTRANGE(""https://docs.google.com/spreadsheets/d/1eHaY18a8A9IcSdp1K8H6x8fbOy06t2VsZHhMHf-1x7Y/edit?usp=sharing"",""แผน!FR56"")"),25)</f>
        <v>25</v>
      </c>
      <c r="J774" s="296">
        <v>25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IFERROR(__xludf.DUMMYFUNCTION("IMPORTRANGE(""https://docs.google.com/spreadsheets/d/1eHaY18a8A9IcSdp1K8H6x8fbOy06t2VsZHhMHf-1x7Y/edit?usp=sharing"",""แผน!FS56"")"),25)</f>
        <v>25</v>
      </c>
      <c r="J775" s="296">
        <v>25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IFERROR(__xludf.DUMMYFUNCTION("IMPORTRANGE(""https://docs.google.com/spreadsheets/d/1eHaY18a8A9IcSdp1K8H6x8fbOy06t2VsZHhMHf-1x7Y/edit?usp=sharing"",""แผน!FT56"")"),20)</f>
        <v>20</v>
      </c>
      <c r="J776" s="741">
        <v>20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IFERROR(__xludf.DUMMYFUNCTION("IMPORTRANGE(""https://docs.google.com/spreadsheets/d/10OvvATaaLtwErnr3qtWFcTmtbfpFEt5Bsqel9sXx0uE/edit?usp=sharing"",""งานกองทุน!D56"")"),12210000)</f>
        <v>12210000</v>
      </c>
      <c r="J778" s="295">
        <f ca="1">IFERROR(__xludf.DUMMYFUNCTION("IMPORTRANGE(""https://docs.google.com/spreadsheets/d/10OvvATaaLtwErnr3qtWFcTmtbfpFEt5Bsqel9sXx0uE/edit?usp=sharing"",""งานกองทุน!F56"")"),2689132.58)</f>
        <v>2689132.58</v>
      </c>
      <c r="K778" s="77">
        <f ca="1">IF(I778&gt;0,J778*100/I778,0)</f>
        <v>22.024017854217853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IFERROR(__xludf.DUMMYFUNCTION("IMPORTRANGE(""https://docs.google.com/spreadsheets/d/10OvvATaaLtwErnr3qtWFcTmtbfpFEt5Bsqel9sXx0uE/edit?usp=sharing"",""งานกองทุน!C56"")"),248)</f>
        <v>248</v>
      </c>
      <c r="J779" s="295">
        <f ca="1">IFERROR(__xludf.DUMMYFUNCTION("IMPORTRANGE(""https://docs.google.com/spreadsheets/d/10OvvATaaLtwErnr3qtWFcTmtbfpFEt5Bsqel9sXx0uE/edit?usp=sharing"",""งานกองทุน!E56"")"),65)</f>
        <v>65</v>
      </c>
      <c r="K779" s="77">
        <f ca="1">IF(I779&gt;0,J779*100/I779,0)</f>
        <v>26.20967741935484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IFERROR(__xludf.DUMMYFUNCTION("IMPORTRANGE(""https://docs.google.com/spreadsheets/d/10OvvATaaLtwErnr3qtWFcTmtbfpFEt5Bsqel9sXx0uE/edit?usp=sharing"",""งานกองทุน!I56"")"),"")</f>
        <v/>
      </c>
      <c r="J780" s="295">
        <f ca="1">IFERROR(__xludf.DUMMYFUNCTION("IMPORTRANGE(""https://docs.google.com/spreadsheets/d/10OvvATaaLtwErnr3qtWFcTmtbfpFEt5Bsqel9sXx0uE/edit?usp=sharing"",""งานกองทุน!K56"")"),0)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IFERROR(__xludf.DUMMYFUNCTION("IMPORTRANGE(""https://docs.google.com/spreadsheets/d/10OvvATaaLtwErnr3qtWFcTmtbfpFEt5Bsqel9sXx0uE/edit?usp=sharing"",""งานกองทุน!H56"")"),"")</f>
        <v/>
      </c>
      <c r="J781" s="295">
        <f ca="1">IFERROR(__xludf.DUMMYFUNCTION("IMPORTRANGE(""https://docs.google.com/spreadsheets/d/10OvvATaaLtwErnr3qtWFcTmtbfpFEt5Bsqel9sXx0uE/edit?usp=sharing"",""งานกองทุน!J56"")"),0)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IFERROR(__xludf.DUMMYFUNCTION("IMPORTRANGE(""https://docs.google.com/spreadsheets/d/10OvvATaaLtwErnr3qtWFcTmtbfpFEt5Bsqel9sXx0uE/edit?usp=sharing"",""งานกองทุน!N56"")"),0)</f>
        <v>0</v>
      </c>
      <c r="J782" s="295">
        <f ca="1">IFERROR(__xludf.DUMMYFUNCTION("IMPORTRANGE(""https://docs.google.com/spreadsheets/d/10OvvATaaLtwErnr3qtWFcTmtbfpFEt5Bsqel9sXx0uE/edit?usp=sharing"",""งานกองทุน!P56"")"),0)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IFERROR(__xludf.DUMMYFUNCTION("IMPORTRANGE(""https://docs.google.com/spreadsheets/d/10OvvATaaLtwErnr3qtWFcTmtbfpFEt5Bsqel9sXx0uE/edit?usp=sharing"",""งานกองทุน!M56"")"),0)</f>
        <v>0</v>
      </c>
      <c r="J783" s="295">
        <f ca="1">IFERROR(__xludf.DUMMYFUNCTION("IMPORTRANGE(""https://docs.google.com/spreadsheets/d/10OvvATaaLtwErnr3qtWFcTmtbfpFEt5Bsqel9sXx0uE/edit?usp=sharing"",""งานกองทุน!O56"")"),0)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IFERROR(__xludf.DUMMYFUNCTION("IMPORTRANGE(""https://docs.google.com/spreadsheets/d/10OvvATaaLtwErnr3qtWFcTmtbfpFEt5Bsqel9sXx0uE/edit?usp=sharing"",""งานกองทุน!S56"")"),10892000)</f>
        <v>10892000</v>
      </c>
      <c r="J784" s="295">
        <f ca="1">IFERROR(__xludf.DUMMYFUNCTION("IMPORTRANGE(""https://docs.google.com/spreadsheets/d/10OvvATaaLtwErnr3qtWFcTmtbfpFEt5Bsqel9sXx0uE/edit?usp=sharing"",""งานกองทุน!U56"")"),2420000)</f>
        <v>2420000</v>
      </c>
      <c r="K784" s="77">
        <f ca="1">IF(I784&gt;0,J784*100/I784,0)</f>
        <v>22.21814175541682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IFERROR(__xludf.DUMMYFUNCTION("IMPORTRANGE(""https://docs.google.com/spreadsheets/d/10OvvATaaLtwErnr3qtWFcTmtbfpFEt5Bsqel9sXx0uE/edit?usp=sharing"",""งานกองทุน!R56"")"),389)</f>
        <v>389</v>
      </c>
      <c r="J785" s="773">
        <f ca="1">IFERROR(__xludf.DUMMYFUNCTION("IMPORTRANGE(""https://docs.google.com/spreadsheets/d/10OvvATaaLtwErnr3qtWFcTmtbfpFEt5Bsqel9sXx0uE/edit?usp=sharing"",""งานกองทุน!T56"")"),49)</f>
        <v>49</v>
      </c>
      <c r="K785" s="185">
        <f ca="1">IF(I785&gt;0,J785*100/I785,0)</f>
        <v>12.596401028277635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CBB3-8E01-4CAC-971E-CAC9402441B0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342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792" t="s">
        <v>2</v>
      </c>
      <c r="M4" s="793"/>
      <c r="N4" s="793"/>
      <c r="O4" s="793"/>
      <c r="P4" s="794"/>
      <c r="Q4" s="1309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1053" t="s">
        <v>7</v>
      </c>
      <c r="M5" s="787"/>
      <c r="N5" s="788" t="s">
        <v>8</v>
      </c>
      <c r="O5" s="789"/>
      <c r="P5" s="787"/>
      <c r="Q5" s="786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052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2"/>
      <c r="M7" s="22"/>
      <c r="N7" s="22"/>
      <c r="O7" s="22"/>
      <c r="P7" s="22"/>
      <c r="Q7" s="21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3"/>
      <c r="M8" s="33"/>
      <c r="N8" s="33"/>
      <c r="O8" s="33"/>
      <c r="P8" s="33"/>
      <c r="Q8" s="32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3"/>
      <c r="M10" s="33"/>
      <c r="N10" s="33"/>
      <c r="O10" s="33"/>
      <c r="P10" s="33"/>
      <c r="Q10" s="32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3"/>
      <c r="M11" s="33"/>
      <c r="N11" s="33"/>
      <c r="O11" s="33"/>
      <c r="P11" s="33"/>
      <c r="Q11" s="32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3"/>
      <c r="M13" s="33"/>
      <c r="N13" s="33"/>
      <c r="O13" s="33"/>
      <c r="P13" s="33"/>
      <c r="Q13" s="32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3"/>
      <c r="M14" s="33"/>
      <c r="N14" s="33"/>
      <c r="O14" s="33"/>
      <c r="P14" s="33"/>
      <c r="Q14" s="32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3"/>
      <c r="M15" s="33"/>
      <c r="N15" s="33"/>
      <c r="O15" s="33"/>
      <c r="P15" s="33"/>
      <c r="Q15" s="32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2"/>
      <c r="M16" s="22"/>
      <c r="N16" s="22"/>
      <c r="O16" s="22"/>
      <c r="P16" s="22"/>
      <c r="Q16" s="21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50"/>
      <c r="M17" s="50"/>
      <c r="N17" s="50"/>
      <c r="O17" s="50"/>
      <c r="P17" s="50"/>
      <c r="Q17" s="49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2">
        <f ca="1">L19+L20</f>
        <v>1448132</v>
      </c>
      <c r="M18" s="62">
        <f ca="1">M19+M20</f>
        <v>1553156.3599999999</v>
      </c>
      <c r="N18" s="62">
        <f ca="1">N19+N20</f>
        <v>1308203.67</v>
      </c>
      <c r="O18" s="62">
        <f ca="1">IF(L18&gt;0,N18*100/L18,0)</f>
        <v>90.33732215019073</v>
      </c>
      <c r="P18" s="62">
        <f ca="1">IF(M18&gt;0,N18*100/M18,0)</f>
        <v>84.228716676020952</v>
      </c>
      <c r="Q18" s="61">
        <f ca="1">Q19+Q20</f>
        <v>1187125.24</v>
      </c>
      <c r="R18" s="62">
        <f ca="1">R19+R20</f>
        <v>1187125</v>
      </c>
      <c r="S18" s="62">
        <f ca="1">S19+S20</f>
        <v>173242</v>
      </c>
      <c r="T18" s="62">
        <f ca="1">IF(Q18&gt;0,S18*100/Q18,0)</f>
        <v>14.59340549443629</v>
      </c>
      <c r="U18" s="62">
        <f ca="1">IF(R18&gt;0,S18*100/R18,0)</f>
        <v>14.593408444772033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6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5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8">
        <f ca="1">L23+L26</f>
        <v>1448132</v>
      </c>
      <c r="M20" s="68">
        <f ca="1">M23+M26</f>
        <v>1553156.3599999999</v>
      </c>
      <c r="N20" s="68">
        <f ca="1">N23+N26</f>
        <v>1308203.67</v>
      </c>
      <c r="O20" s="68">
        <f ca="1">IF(L20&gt;0,N20*100/L20,0)</f>
        <v>90.33732215019073</v>
      </c>
      <c r="P20" s="68">
        <f ca="1">IF(M20&gt;0,N20*100/M20,0)</f>
        <v>84.228716676020952</v>
      </c>
      <c r="Q20" s="67">
        <f ca="1">Q23+Q26</f>
        <v>1187125.24</v>
      </c>
      <c r="R20" s="68">
        <f ca="1">R23+R26</f>
        <v>1187125</v>
      </c>
      <c r="S20" s="68">
        <f ca="1">S23+S26</f>
        <v>173242</v>
      </c>
      <c r="T20" s="68">
        <f ca="1">IF(Q20&gt;0,S20*100/Q20,0)</f>
        <v>14.59340549443629</v>
      </c>
      <c r="U20" s="68">
        <f ca="1">IF(R20&gt;0,S20*100/R20,0)</f>
        <v>14.593408444772033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7">
        <f ca="1">L22+L23</f>
        <v>1448132</v>
      </c>
      <c r="M21" s="77">
        <f ca="1">M22+M23</f>
        <v>1553156.3599999999</v>
      </c>
      <c r="N21" s="77">
        <f ca="1">N22+N23</f>
        <v>1308203.67</v>
      </c>
      <c r="O21" s="77">
        <f ca="1">IF(L21&gt;0,N21*100/L21,0)</f>
        <v>90.33732215019073</v>
      </c>
      <c r="P21" s="77">
        <f ca="1">IF(M21&gt;0,N21*100/M21,0)</f>
        <v>84.228716676020952</v>
      </c>
      <c r="Q21" s="76">
        <f ca="1">Q22+Q23</f>
        <v>1187125.24</v>
      </c>
      <c r="R21" s="77">
        <f ca="1">R22+R23</f>
        <v>1187125</v>
      </c>
      <c r="S21" s="77">
        <f ca="1">S22+S23</f>
        <v>173242</v>
      </c>
      <c r="T21" s="77">
        <f ca="1">IF(Q21&gt;0,S21*100/Q21,0)</f>
        <v>14.59340549443629</v>
      </c>
      <c r="U21" s="77">
        <f ca="1">IF(R21&gt;0,S21*100/R21,0)</f>
        <v>14.593408444772033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80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79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7">
        <f ca="1">L49+L64+L77+L99+L130+L144+L162+L191+L178+L271+L287+L308+L325+L338+L361+L518</f>
        <v>1448132</v>
      </c>
      <c r="M23" s="77">
        <f ca="1">M49+M64+M77+M99+M130+M144+M162+M191+M178+M271+M287+M308+M325+M338+M361+M518</f>
        <v>1553156.3599999999</v>
      </c>
      <c r="N23" s="77">
        <f ca="1">N49+N64+N77+N99+N130+N144+N162+N191+N178+N271+N287+N308+N325+N338+N361+N518</f>
        <v>1308203.67</v>
      </c>
      <c r="O23" s="77">
        <f ca="1">IF(L23&gt;0,N23*100/L23,0)</f>
        <v>90.33732215019073</v>
      </c>
      <c r="P23" s="77">
        <f ca="1">IF(M23&gt;0,N23*100/M23,0)</f>
        <v>84.228716676020952</v>
      </c>
      <c r="Q23" s="76">
        <f ca="1">Q77+Q99+Q122+Q144+Q162+Q178+Q191+Q271+Q287+Q308+Q338+Q380+Q397+Q418+Q498+Q604+Q621+Q647+Q695+Q719+Q733+Q765</f>
        <v>1187125.24</v>
      </c>
      <c r="R23" s="77">
        <f ca="1">R77+R99+R122+R144+R162+R178+R191+R271+R287+R308+R338+R380+R397+R418+R498+R604+R621+R647+R695+R719+R733+R765</f>
        <v>1187125</v>
      </c>
      <c r="S23" s="77">
        <f ca="1">S77+S99+S122+S144+S162+S178+S191+S271+S287+S308+S338+S380+S397+S418+S498+S604+S621+S647+S695+S719+S733+S765</f>
        <v>173242</v>
      </c>
      <c r="T23" s="77">
        <f ca="1">IF(Q23&gt;0,S23*100/Q23,0)</f>
        <v>14.59340549443629</v>
      </c>
      <c r="U23" s="77">
        <f ca="1">IF(R23&gt;0,S23*100/R23,0)</f>
        <v>14.593408444772033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7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6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80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79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7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79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77"/>
      <c r="M27" s="77"/>
      <c r="N27" s="77"/>
      <c r="O27" s="77"/>
      <c r="P27" s="77"/>
      <c r="Q27" s="89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0"/>
      <c r="M28" s="80"/>
      <c r="N28" s="80"/>
      <c r="O28" s="80"/>
      <c r="P28" s="80"/>
      <c r="Q28" s="89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85"/>
      <c r="M29" s="185"/>
      <c r="N29" s="185"/>
      <c r="O29" s="185"/>
      <c r="P29" s="185"/>
      <c r="Q29" s="100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2"/>
      <c r="M30" s="22"/>
      <c r="N30" s="22"/>
      <c r="O30" s="22"/>
      <c r="P30" s="22"/>
      <c r="Q30" s="21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3"/>
      <c r="M31" s="33"/>
      <c r="N31" s="33"/>
      <c r="O31" s="33"/>
      <c r="P31" s="33"/>
      <c r="Q31" s="32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3"/>
      <c r="M32" s="33"/>
      <c r="N32" s="33"/>
      <c r="O32" s="33"/>
      <c r="P32" s="33"/>
      <c r="Q32" s="32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3"/>
      <c r="M33" s="33"/>
      <c r="N33" s="33"/>
      <c r="O33" s="33"/>
      <c r="P33" s="33"/>
      <c r="Q33" s="32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3"/>
      <c r="M34" s="33"/>
      <c r="N34" s="33"/>
      <c r="O34" s="33"/>
      <c r="P34" s="33"/>
      <c r="Q34" s="32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3"/>
      <c r="M35" s="33"/>
      <c r="N35" s="33"/>
      <c r="O35" s="33"/>
      <c r="P35" s="33"/>
      <c r="Q35" s="32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3"/>
      <c r="M36" s="33"/>
      <c r="N36" s="33"/>
      <c r="O36" s="33"/>
      <c r="P36" s="33"/>
      <c r="Q36" s="32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3"/>
      <c r="M37" s="33"/>
      <c r="N37" s="33"/>
      <c r="O37" s="33"/>
      <c r="P37" s="33"/>
      <c r="Q37" s="32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3"/>
      <c r="M38" s="33"/>
      <c r="N38" s="33"/>
      <c r="O38" s="33"/>
      <c r="P38" s="33"/>
      <c r="Q38" s="32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2"/>
      <c r="M39" s="22"/>
      <c r="N39" s="22"/>
      <c r="O39" s="22"/>
      <c r="P39" s="22"/>
      <c r="Q39" s="21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08">
        <f ca="1">L44+L59+L72+L94+L125+L139+L157+L173+L186+L266+L282+L303+L320+L333+L356</f>
        <v>1448132</v>
      </c>
      <c r="M40" s="1308">
        <f ca="1">M44+M59+M72+M94+M125+M139+M157+M173+M186+M266+M282+M303+M320+M333+M356</f>
        <v>1553156.3599999999</v>
      </c>
      <c r="N40" s="1308">
        <f ca="1">N44+N59+N72+N94+N125+N139+N157+N173+N186+N266+N282+N303+N320+N333+N356</f>
        <v>1308203.67</v>
      </c>
      <c r="O40" s="1308">
        <f ca="1">IF(L40&gt;0,N40*100/L40,0)</f>
        <v>90.33732215019073</v>
      </c>
      <c r="P40" s="1308">
        <f ca="1">IF(M40&gt;0,N40*100/M40,0)</f>
        <v>84.228716676020952</v>
      </c>
      <c r="Q40" s="1307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306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5"/>
      <c r="M42" s="1015"/>
      <c r="N42" s="1015"/>
      <c r="O42" s="1015"/>
      <c r="P42" s="1015"/>
      <c r="Q42" s="1016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3"/>
      <c r="M43" s="33"/>
      <c r="N43" s="33"/>
      <c r="O43" s="33"/>
      <c r="P43" s="33"/>
      <c r="Q43" s="32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4">
        <f ca="1">L45+L46</f>
        <v>209157</v>
      </c>
      <c r="M44" s="1304">
        <f ca="1">M45+M46</f>
        <v>272961.36</v>
      </c>
      <c r="N44" s="1304">
        <f ca="1">N45+N46</f>
        <v>245134</v>
      </c>
      <c r="O44" s="1304">
        <f ca="1">IF(L44&gt;0,N44*100/L44,0)</f>
        <v>117.20095430705165</v>
      </c>
      <c r="P44" s="1304">
        <f ca="1">IF(M44&gt;0,N44*100/M44,0)</f>
        <v>89.805384908691849</v>
      </c>
      <c r="Q44" s="1305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2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3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0">
        <f ca="1">L49+L52</f>
        <v>209157</v>
      </c>
      <c r="M46" s="1300">
        <f ca="1">M49+M52</f>
        <v>272961.36</v>
      </c>
      <c r="N46" s="1300">
        <f ca="1">N49+N52</f>
        <v>245134</v>
      </c>
      <c r="O46" s="1300">
        <f ca="1">IF(L46&gt;0,N46*100/L46,0)</f>
        <v>117.20095430705165</v>
      </c>
      <c r="P46" s="1300">
        <f ca="1">IF(M46&gt;0,N46*100/M46,0)</f>
        <v>89.805384908691849</v>
      </c>
      <c r="Q46" s="1301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7">
        <f ca="1">L48+L49</f>
        <v>209157</v>
      </c>
      <c r="M47" s="77">
        <f ca="1">M48+M49</f>
        <v>272961.36</v>
      </c>
      <c r="N47" s="77">
        <f ca="1">N48+N49</f>
        <v>245134</v>
      </c>
      <c r="O47" s="77">
        <f ca="1">IF(L47&gt;0,N47*100/L47,0)</f>
        <v>117.20095430705165</v>
      </c>
      <c r="P47" s="77">
        <f ca="1">IF(M47&gt;0,N47*100/M47,0)</f>
        <v>89.805384908691849</v>
      </c>
      <c r="Q47" s="76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80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79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7">
        <f ca="1">IFERROR(__xludf.DUMMYFUNCTION("IMPORTRANGE(""https://docs.google.com/spreadsheets/d/1-uDff_7J0KD5mKrp0Vvzr7lt3OU09vwQwhkpOPPYv2Y/edit?usp=sharing"",""งบพรบ!P57"")"),209157)</f>
        <v>209157</v>
      </c>
      <c r="M49" s="77">
        <f ca="1">IFERROR(__xludf.DUMMYFUNCTION("IMPORTRANGE(""https://docs.google.com/spreadsheets/d/1-uDff_7J0KD5mKrp0Vvzr7lt3OU09vwQwhkpOPPYv2Y/edit?usp=sharing"",""งบพรบ!V57"")"),272961.36)</f>
        <v>272961.36</v>
      </c>
      <c r="N49" s="77">
        <f ca="1">IFERROR(__xludf.DUMMYFUNCTION("IMPORTRANGE(""https://docs.google.com/spreadsheets/d/1-uDff_7J0KD5mKrp0Vvzr7lt3OU09vwQwhkpOPPYv2Y/edit?usp=sharing"",""งบพรบ!Y57"")"),245134)</f>
        <v>245134</v>
      </c>
      <c r="O49" s="77">
        <f ca="1">IF(L49&gt;0,N49*100/L49,0)</f>
        <v>117.20095430705165</v>
      </c>
      <c r="P49" s="77">
        <f ca="1">IF(M49&gt;0,N49*100/M49,0)</f>
        <v>89.805384908691849</v>
      </c>
      <c r="Q49" s="76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7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6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80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79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7">
        <f ca="1">IFERROR(__xludf.DUMMYFUNCTION("IMPORTRANGE(""https://docs.google.com/spreadsheets/d/1-uDff_7J0KD5mKrp0Vvzr7lt3OU09vwQwhkpOPPYv2Y/edit?usp=sharing"",""งบพรบ!S57"")"),0)</f>
        <v>0</v>
      </c>
      <c r="M52" s="77">
        <f ca="1">IFERROR(__xludf.DUMMYFUNCTION("IMPORTRANGE(""https://docs.google.com/spreadsheets/d/1-uDff_7J0KD5mKrp0Vvzr7lt3OU09vwQwhkpOPPYv2Y/edit?usp=sharing"",""งบพรบ!W57"")"),0)</f>
        <v>0</v>
      </c>
      <c r="N52" s="77">
        <f ca="1">IFERROR(__xludf.DUMMYFUNCTION("IMPORTRANGE(""https://docs.google.com/spreadsheets/d/1-uDff_7J0KD5mKrp0Vvzr7lt3OU09vwQwhkpOPPYv2Y/edit?usp=sharing"",""งบพรบ!Z57"")"),0)</f>
        <v>0</v>
      </c>
      <c r="O52" s="77">
        <f ca="1">IF(L52&gt;0,N52*100/L52,0)</f>
        <v>0</v>
      </c>
      <c r="P52" s="77">
        <f ca="1">IF(M52&gt;0,N52*100/M52,0)</f>
        <v>0</v>
      </c>
      <c r="Q52" s="76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77"/>
      <c r="M53" s="77"/>
      <c r="N53" s="77"/>
      <c r="O53" s="77"/>
      <c r="P53" s="77"/>
      <c r="Q53" s="89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0"/>
      <c r="M54" s="80"/>
      <c r="N54" s="80"/>
      <c r="O54" s="80"/>
      <c r="P54" s="80"/>
      <c r="Q54" s="89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85"/>
      <c r="M55" s="185"/>
      <c r="N55" s="185"/>
      <c r="O55" s="185"/>
      <c r="P55" s="185"/>
      <c r="Q55" s="100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1299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50"/>
      <c r="M57" s="150"/>
      <c r="N57" s="150"/>
      <c r="O57" s="150"/>
      <c r="P57" s="150"/>
      <c r="Q57" s="149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8"/>
      <c r="M58" s="158"/>
      <c r="N58" s="158"/>
      <c r="O58" s="158"/>
      <c r="P58" s="158"/>
      <c r="Q58" s="157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7">
        <f ca="1">L60+L61</f>
        <v>423000</v>
      </c>
      <c r="M59" s="1297">
        <f ca="1">M60+M61</f>
        <v>423000</v>
      </c>
      <c r="N59" s="1297">
        <f ca="1">N60+N61</f>
        <v>408151.17</v>
      </c>
      <c r="O59" s="1297">
        <f ca="1">IF(L59&gt;0,N59*100/L59,0)</f>
        <v>96.489638297872347</v>
      </c>
      <c r="P59" s="1297">
        <f ca="1">IF(M59&gt;0,N59*100/M59,0)</f>
        <v>96.489638297872347</v>
      </c>
      <c r="Q59" s="1298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5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6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3">
        <f ca="1">L64+L67</f>
        <v>423000</v>
      </c>
      <c r="M61" s="1293">
        <f ca="1">M64+M67</f>
        <v>423000</v>
      </c>
      <c r="N61" s="1293">
        <f ca="1">N64+N67</f>
        <v>408151.17</v>
      </c>
      <c r="O61" s="1293">
        <f ca="1">IF(L61&gt;0,N61*100/L61,0)</f>
        <v>96.489638297872347</v>
      </c>
      <c r="P61" s="1293">
        <f ca="1">IF(M61&gt;0,N61*100/M61,0)</f>
        <v>96.489638297872347</v>
      </c>
      <c r="Q61" s="1294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7">
        <f ca="1">L63+L64</f>
        <v>423000</v>
      </c>
      <c r="M62" s="77">
        <f ca="1">M63+M64</f>
        <v>423000</v>
      </c>
      <c r="N62" s="77">
        <f ca="1">N63+N64</f>
        <v>408151.17</v>
      </c>
      <c r="O62" s="77">
        <f ca="1">IF(L62&gt;0,N62*100/L62,0)</f>
        <v>96.489638297872347</v>
      </c>
      <c r="P62" s="77">
        <f ca="1">IF(M62&gt;0,N62*100/M62,0)</f>
        <v>96.489638297872347</v>
      </c>
      <c r="Q62" s="76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80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79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7">
        <f ca="1">IFERROR(__xludf.DUMMYFUNCTION("IMPORTRANGE(""https://docs.google.com/spreadsheets/d/1-uDff_7J0KD5mKrp0Vvzr7lt3OU09vwQwhkpOPPYv2Y/edit?usp=sharing"",""งบพรบ!AC57"")"),423000)</f>
        <v>423000</v>
      </c>
      <c r="M64" s="77">
        <f ca="1">IFERROR(__xludf.DUMMYFUNCTION("IMPORTRANGE(""https://docs.google.com/spreadsheets/d/1-uDff_7J0KD5mKrp0Vvzr7lt3OU09vwQwhkpOPPYv2Y/edit?usp=sharing"",""งบพรบ!AH57"")"),423000)</f>
        <v>423000</v>
      </c>
      <c r="N64" s="77">
        <f ca="1">IFERROR(__xludf.DUMMYFUNCTION("IMPORTRANGE(""https://docs.google.com/spreadsheets/d/1-uDff_7J0KD5mKrp0Vvzr7lt3OU09vwQwhkpOPPYv2Y/edit?usp=sharing"",""งบพรบ!AJ57"")"),408151.17)</f>
        <v>408151.17</v>
      </c>
      <c r="O64" s="77">
        <f ca="1">IF(L64&gt;0,N64*100/L64,0)</f>
        <v>96.489638297872347</v>
      </c>
      <c r="P64" s="77">
        <f ca="1">IF(M64&gt;0,N64*100/M64,0)</f>
        <v>96.489638297872347</v>
      </c>
      <c r="Q64" s="76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7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6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80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79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5">
        <f ca="1">IFERROR(__xludf.DUMMYFUNCTION("IMPORTRANGE(""https://docs.google.com/spreadsheets/d/1-uDff_7J0KD5mKrp0Vvzr7lt3OU09vwQwhkpOPPYv2Y/edit?usp=sharing"",""งบพรบ!AF57"")"),0)</f>
        <v>0</v>
      </c>
      <c r="M67" s="185">
        <f ca="1">IFERROR(__xludf.DUMMYFUNCTION("IMPORTRANGE(""https://docs.google.com/spreadsheets/d/1-uDff_7J0KD5mKrp0Vvzr7lt3OU09vwQwhkpOPPYv2Y/edit?usp=sharing"",""งบพรบ!AI57"")"),0)</f>
        <v>0</v>
      </c>
      <c r="N67" s="185">
        <f ca="1">IFERROR(__xludf.DUMMYFUNCTION("IMPORTRANGE(""https://docs.google.com/spreadsheets/d/1-uDff_7J0KD5mKrp0Vvzr7lt3OU09vwQwhkpOPPYv2Y/edit?usp=sharing"",""งบพรบ!AK57"")"),0)</f>
        <v>0</v>
      </c>
      <c r="O67" s="185">
        <f ca="1">IF(L67&gt;0,N67*100/L67,0)</f>
        <v>0</v>
      </c>
      <c r="P67" s="185">
        <f ca="1">IF(M67&gt;0,N67*100/M67,0)</f>
        <v>0</v>
      </c>
      <c r="Q67" s="184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3"/>
      <c r="R68" s="194"/>
      <c r="S68" s="194"/>
      <c r="T68" s="194"/>
      <c r="U68" s="195"/>
    </row>
    <row r="69" spans="1:21" ht="19.5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3"/>
      <c r="M69" s="203"/>
      <c r="N69" s="203"/>
      <c r="O69" s="203"/>
      <c r="P69" s="203"/>
      <c r="Q69" s="202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1</v>
      </c>
      <c r="J70" s="258">
        <f>J82</f>
        <v>1</v>
      </c>
      <c r="K70" s="62">
        <f ca="1">IF(I70&gt;0,J70*100/I70,0)</f>
        <v>100</v>
      </c>
      <c r="L70" s="210"/>
      <c r="M70" s="210"/>
      <c r="N70" s="210"/>
      <c r="O70" s="210"/>
      <c r="P70" s="210"/>
      <c r="Q70" s="209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34</v>
      </c>
      <c r="J71" s="258">
        <f>J83</f>
        <v>34</v>
      </c>
      <c r="K71" s="62">
        <f ca="1">IF(I71&gt;0,J71*100/I71,0)</f>
        <v>100</v>
      </c>
      <c r="L71" s="210"/>
      <c r="M71" s="210"/>
      <c r="N71" s="210"/>
      <c r="O71" s="210"/>
      <c r="P71" s="210"/>
      <c r="Q71" s="209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66">
        <f ca="1">L73+L74</f>
        <v>90000</v>
      </c>
      <c r="M72" s="266">
        <f ca="1">M73+M74</f>
        <v>90000</v>
      </c>
      <c r="N72" s="266">
        <f ca="1">N73+N74</f>
        <v>64000</v>
      </c>
      <c r="O72" s="266">
        <f ca="1">IF(L72&gt;0,N72*100/L72,0)</f>
        <v>71.111111111111114</v>
      </c>
      <c r="P72" s="266">
        <f ca="1">IF(M72&gt;0,N72*100/M72,0)</f>
        <v>71.111111111111114</v>
      </c>
      <c r="Q72" s="393">
        <f ca="1">Q73+Q74</f>
        <v>412380</v>
      </c>
      <c r="R72" s="266">
        <f ca="1">R73+R74</f>
        <v>412380</v>
      </c>
      <c r="S72" s="266">
        <f ca="1">S73+S74</f>
        <v>8540</v>
      </c>
      <c r="T72" s="266">
        <f ca="1">IF(Q72&gt;0,S72*100/Q72,0)</f>
        <v>2.070905475532276</v>
      </c>
      <c r="U72" s="266">
        <f ca="1">IF(R72&gt;0,S72*100/R72,0)</f>
        <v>2.070905475532276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80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79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7">
        <f ca="1">L77+L80</f>
        <v>90000</v>
      </c>
      <c r="M74" s="77">
        <f ca="1">M77+M80</f>
        <v>90000</v>
      </c>
      <c r="N74" s="77">
        <f ca="1">N77+N80</f>
        <v>64000</v>
      </c>
      <c r="O74" s="77">
        <f ca="1">IF(L74&gt;0,N74*100/L74,0)</f>
        <v>71.111111111111114</v>
      </c>
      <c r="P74" s="77">
        <f ca="1">IF(M74&gt;0,N74*100/M74,0)</f>
        <v>71.111111111111114</v>
      </c>
      <c r="Q74" s="76">
        <f ca="1">Q77+Q80</f>
        <v>412380</v>
      </c>
      <c r="R74" s="77">
        <f ca="1">R77+R80</f>
        <v>412380</v>
      </c>
      <c r="S74" s="77">
        <f ca="1">S77+S80</f>
        <v>8540</v>
      </c>
      <c r="T74" s="77">
        <f ca="1">IF(Q74&gt;0,S74*100/Q74,0)</f>
        <v>2.070905475532276</v>
      </c>
      <c r="U74" s="77">
        <f ca="1">IF(R74&gt;0,S74*100/R74,0)</f>
        <v>2.070905475532276</v>
      </c>
    </row>
    <row r="75" spans="1:21" ht="18.75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7">
        <f ca="1">L76+L77</f>
        <v>90000</v>
      </c>
      <c r="M75" s="77">
        <f ca="1">M76+M77</f>
        <v>90000</v>
      </c>
      <c r="N75" s="77">
        <f ca="1">N76+N77</f>
        <v>64000</v>
      </c>
      <c r="O75" s="77">
        <f ca="1">IF(L75&gt;0,N75*100/L75,0)</f>
        <v>71.111111111111114</v>
      </c>
      <c r="P75" s="77">
        <f ca="1">IF(M75&gt;0,N75*100/M75,0)</f>
        <v>71.111111111111114</v>
      </c>
      <c r="Q75" s="76">
        <f ca="1">Q76+Q77</f>
        <v>412380</v>
      </c>
      <c r="R75" s="77">
        <f ca="1">R76+R77</f>
        <v>412380</v>
      </c>
      <c r="S75" s="77">
        <f ca="1">S76+S77</f>
        <v>8540</v>
      </c>
      <c r="T75" s="77">
        <f ca="1">IF(Q75&gt;0,S75*100/Q75,0)</f>
        <v>2.070905475532276</v>
      </c>
      <c r="U75" s="77">
        <f ca="1">IF(R75&gt;0,S75*100/R75,0)</f>
        <v>2.070905475532276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80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79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7">
        <f ca="1">IFERROR(__xludf.DUMMYFUNCTION("IMPORTRANGE(""https://docs.google.com/spreadsheets/d/1-uDff_7J0KD5mKrp0Vvzr7lt3OU09vwQwhkpOPPYv2Y/edit?usp=sharing"",""งบพรบ!AM57"")"),90000)</f>
        <v>90000</v>
      </c>
      <c r="M77" s="77">
        <f ca="1">IFERROR(__xludf.DUMMYFUNCTION("IMPORTRANGE(""https://docs.google.com/spreadsheets/d/1-uDff_7J0KD5mKrp0Vvzr7lt3OU09vwQwhkpOPPYv2Y/edit?usp=sharing"",""งบพรบ!AR57"")"),90000)</f>
        <v>90000</v>
      </c>
      <c r="N77" s="77">
        <f ca="1">IFERROR(__xludf.DUMMYFUNCTION("IMPORTRANGE(""https://docs.google.com/spreadsheets/d/1-uDff_7J0KD5mKrp0Vvzr7lt3OU09vwQwhkpOPPYv2Y/edit?usp=sharing"",""งบพรบ!AT57"")"),64000)</f>
        <v>64000</v>
      </c>
      <c r="O77" s="77">
        <f ca="1">IF(L77&gt;0,N77*100/L77,0)</f>
        <v>71.111111111111114</v>
      </c>
      <c r="P77" s="77">
        <f ca="1">IF(M77&gt;0,N77*100/M77,0)</f>
        <v>71.111111111111114</v>
      </c>
      <c r="Q77" s="76">
        <f ca="1">IFERROR(__xludf.DUMMYFUNCTION("IMPORTRANGE(""https://docs.google.com/spreadsheets/d/1ItG2mGa2ceCfYo0BwxsXqNm01IGEUdYcSSLTEv9YCik/edit?usp=sharing"",""เบิกจ่ายกองทุน!AS57"")"),412380)</f>
        <v>412380</v>
      </c>
      <c r="R77" s="77">
        <f ca="1">IFERROR(__xludf.DUMMYFUNCTION("IMPORTRANGE(""https://docs.google.com/spreadsheets/d/1ItG2mGa2ceCfYo0BwxsXqNm01IGEUdYcSSLTEv9YCik/edit?usp=sharing"",""เบิกจ่ายกองทุน!AT57"")"),412380)</f>
        <v>412380</v>
      </c>
      <c r="S77" s="77">
        <f ca="1">IFERROR(__xludf.DUMMYFUNCTION("IMPORTRANGE(""https://docs.google.com/spreadsheets/d/1ItG2mGa2ceCfYo0BwxsXqNm01IGEUdYcSSLTEv9YCik/edit?usp=sharing"",""เบิกจ่ายกองทุน!AU57"")"),8540)</f>
        <v>8540</v>
      </c>
      <c r="T77" s="77">
        <f ca="1">IF(Q77&gt;0,S77*100/Q77,0)</f>
        <v>2.070905475532276</v>
      </c>
      <c r="U77" s="77">
        <f ca="1">IF(R77&gt;0,S77*100/R77,0)</f>
        <v>2.070905475532276</v>
      </c>
    </row>
    <row r="78" spans="1:21" ht="18.75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7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6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80">
        <v>0</v>
      </c>
      <c r="M79" s="90"/>
      <c r="N79" s="90"/>
      <c r="O79" s="80">
        <f>IF(L79&gt;0,N79*100/L79,0)</f>
        <v>0</v>
      </c>
      <c r="P79" s="80">
        <f>IF(M79&gt;0,N79*100/M79,0)</f>
        <v>0</v>
      </c>
      <c r="Q79" s="79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7">
        <f ca="1">IFERROR(__xludf.DUMMYFUNCTION("IMPORTRANGE(""https://docs.google.com/spreadsheets/d/1-uDff_7J0KD5mKrp0Vvzr7lt3OU09vwQwhkpOPPYv2Y/edit?usp=sharing"",""งบพรบ!AP57"")"),0)</f>
        <v>0</v>
      </c>
      <c r="M80" s="77">
        <f ca="1">IFERROR(__xludf.DUMMYFUNCTION("IMPORTRANGE(""https://docs.google.com/spreadsheets/d/1-uDff_7J0KD5mKrp0Vvzr7lt3OU09vwQwhkpOPPYv2Y/edit?usp=sharing"",""งบพรบ!AS57"")"),0)</f>
        <v>0</v>
      </c>
      <c r="N80" s="77">
        <f ca="1">IFERROR(__xludf.DUMMYFUNCTION("IMPORTRANGE(""https://docs.google.com/spreadsheets/d/1-uDff_7J0KD5mKrp0Vvzr7lt3OU09vwQwhkpOPPYv2Y/edit?usp=sharing"",""งบพรบ!AU57"")"),0)</f>
        <v>0</v>
      </c>
      <c r="O80" s="77">
        <f ca="1">IF(L80&gt;0,N80*100/L80,0)</f>
        <v>0</v>
      </c>
      <c r="P80" s="77">
        <f ca="1">IF(M80&gt;0,N80*100/M80,0)</f>
        <v>0</v>
      </c>
      <c r="Q80" s="76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1"/>
      <c r="M81" s="231"/>
      <c r="N81" s="231"/>
      <c r="O81" s="231"/>
      <c r="P81" s="231"/>
      <c r="Q81" s="230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1</v>
      </c>
      <c r="J82" s="603">
        <f>J84+J86+J88</f>
        <v>1</v>
      </c>
      <c r="K82" s="1125">
        <f ca="1">IF(I82&gt;0,J82*100/I82,0)</f>
        <v>100</v>
      </c>
      <c r="L82" s="231"/>
      <c r="M82" s="231"/>
      <c r="N82" s="231"/>
      <c r="O82" s="231"/>
      <c r="P82" s="231"/>
      <c r="Q82" s="230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34</v>
      </c>
      <c r="J83" s="603">
        <f>J85+J87+J89</f>
        <v>34</v>
      </c>
      <c r="K83" s="1125">
        <f ca="1">IF(I83&gt;0,J83*100/I83,0)</f>
        <v>100</v>
      </c>
      <c r="L83" s="231"/>
      <c r="M83" s="231"/>
      <c r="N83" s="231"/>
      <c r="O83" s="231"/>
      <c r="P83" s="231"/>
      <c r="Q83" s="230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IFERROR(__xludf.DUMMYFUNCTION("IMPORTRANGE(""https://docs.google.com/spreadsheets/d/1eHaY18a8A9IcSdp1K8H6x8fbOy06t2VsZHhMHf-1x7Y/edit?usp=sharing"",""แผน!H57"")"),0)</f>
        <v>0</v>
      </c>
      <c r="J84" s="296">
        <v>0</v>
      </c>
      <c r="K84" s="748">
        <f ca="1">IF(I84&gt;0,J84*100/I84,0)</f>
        <v>0</v>
      </c>
      <c r="L84" s="231"/>
      <c r="M84" s="231"/>
      <c r="N84" s="231"/>
      <c r="O84" s="231"/>
      <c r="P84" s="231"/>
      <c r="Q84" s="230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IFERROR(__xludf.DUMMYFUNCTION("IMPORTRANGE(""https://docs.google.com/spreadsheets/d/1eHaY18a8A9IcSdp1K8H6x8fbOy06t2VsZHhMHf-1x7Y/edit?usp=sharing"",""แผน!I57"")"),0)</f>
        <v>0</v>
      </c>
      <c r="J85" s="296">
        <v>0</v>
      </c>
      <c r="K85" s="748">
        <f ca="1">IF(I85&gt;0,J85*100/I85,0)</f>
        <v>0</v>
      </c>
      <c r="L85" s="231"/>
      <c r="M85" s="231"/>
      <c r="N85" s="231"/>
      <c r="O85" s="231"/>
      <c r="P85" s="231"/>
      <c r="Q85" s="230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IFERROR(__xludf.DUMMYFUNCTION("IMPORTRANGE(""https://docs.google.com/spreadsheets/d/1eHaY18a8A9IcSdp1K8H6x8fbOy06t2VsZHhMHf-1x7Y/edit?usp=sharing"",""แผน!F57"")"),1)</f>
        <v>1</v>
      </c>
      <c r="J86" s="296">
        <v>1</v>
      </c>
      <c r="K86" s="748">
        <f ca="1">IF(I86&gt;0,J86*100/I86,0)</f>
        <v>100</v>
      </c>
      <c r="L86" s="231"/>
      <c r="M86" s="231"/>
      <c r="N86" s="231"/>
      <c r="O86" s="231"/>
      <c r="P86" s="231"/>
      <c r="Q86" s="230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IFERROR(__xludf.DUMMYFUNCTION("IMPORTRANGE(""https://docs.google.com/spreadsheets/d/1eHaY18a8A9IcSdp1K8H6x8fbOy06t2VsZHhMHf-1x7Y/edit?usp=sharing"",""แผน!G57"")"),34)</f>
        <v>34</v>
      </c>
      <c r="J87" s="296">
        <v>34</v>
      </c>
      <c r="K87" s="748">
        <f ca="1">IF(I87&gt;0,J87*100/I87,0)</f>
        <v>100</v>
      </c>
      <c r="L87" s="231"/>
      <c r="M87" s="231"/>
      <c r="N87" s="231"/>
      <c r="O87" s="231"/>
      <c r="P87" s="231"/>
      <c r="Q87" s="230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IFERROR(__xludf.DUMMYFUNCTION("IMPORTRANGE(""https://docs.google.com/spreadsheets/d/1eHaY18a8A9IcSdp1K8H6x8fbOy06t2VsZHhMHf-1x7Y/edit?usp=sharing"",""แผน!D57"")"),0)</f>
        <v>0</v>
      </c>
      <c r="J88" s="296">
        <v>0</v>
      </c>
      <c r="K88" s="748">
        <f ca="1">IF(I88&gt;0,J88*100/I88,0)</f>
        <v>0</v>
      </c>
      <c r="L88" s="231"/>
      <c r="M88" s="231"/>
      <c r="N88" s="231"/>
      <c r="O88" s="231"/>
      <c r="P88" s="231"/>
      <c r="Q88" s="230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IFERROR(__xludf.DUMMYFUNCTION("IMPORTRANGE(""https://docs.google.com/spreadsheets/d/1eHaY18a8A9IcSdp1K8H6x8fbOy06t2VsZHhMHf-1x7Y/edit?usp=sharing"",""แผน!E57"")"),0)</f>
        <v>0</v>
      </c>
      <c r="J89" s="296">
        <v>0</v>
      </c>
      <c r="K89" s="748">
        <f ca="1">IF(I89&gt;0,J89*100/I89,0)</f>
        <v>0</v>
      </c>
      <c r="L89" s="231"/>
      <c r="M89" s="231"/>
      <c r="N89" s="231"/>
      <c r="O89" s="231"/>
      <c r="P89" s="231"/>
      <c r="Q89" s="230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IFERROR(__xludf.DUMMYFUNCTION("IMPORTRANGE(""https://docs.google.com/spreadsheets/d/1eHaY18a8A9IcSdp1K8H6x8fbOy06t2VsZHhMHf-1x7Y/edit?usp=sharing"",""แผน!J57"")"),1)</f>
        <v>1</v>
      </c>
      <c r="J90" s="296">
        <v>1</v>
      </c>
      <c r="K90" s="748">
        <f ca="1">IF(I90&gt;0,J90*100/I90,0)</f>
        <v>100</v>
      </c>
      <c r="L90" s="231"/>
      <c r="M90" s="231"/>
      <c r="N90" s="231"/>
      <c r="O90" s="231"/>
      <c r="P90" s="231"/>
      <c r="Q90" s="230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3"/>
      <c r="M91" s="203"/>
      <c r="N91" s="203"/>
      <c r="O91" s="203"/>
      <c r="P91" s="203"/>
      <c r="Q91" s="202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36</v>
      </c>
      <c r="K92" s="62">
        <f ca="1">IF(I92&gt;0,J92*100/I92,0)</f>
        <v>100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12</v>
      </c>
      <c r="K93" s="62">
        <f ca="1">IF(I93&gt;0,J93*100/I93,0)</f>
        <v>100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393">
        <f ca="1">Q95+Q96</f>
        <v>101304</v>
      </c>
      <c r="R94" s="266">
        <f ca="1">R95+R96</f>
        <v>101304</v>
      </c>
      <c r="S94" s="266">
        <f ca="1">S95+S96</f>
        <v>32675</v>
      </c>
      <c r="T94" s="266">
        <f ca="1">IF(Q94&gt;0,S94*100/Q94,0)</f>
        <v>32.254402590223485</v>
      </c>
      <c r="U94" s="266">
        <f ca="1">IF(R94&gt;0,S94*100/R94,0)</f>
        <v>32.254402590223485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79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6">
        <f ca="1">Q99+Q102</f>
        <v>101304</v>
      </c>
      <c r="R96" s="77">
        <f ca="1">R99+R102</f>
        <v>101304</v>
      </c>
      <c r="S96" s="77">
        <f ca="1">S99+S102</f>
        <v>32675</v>
      </c>
      <c r="T96" s="77">
        <f ca="1">IF(Q96&gt;0,S96*100/Q96,0)</f>
        <v>32.254402590223485</v>
      </c>
      <c r="U96" s="77">
        <f ca="1">IF(R96&gt;0,S96*100/R96,0)</f>
        <v>32.254402590223485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6">
        <f ca="1">Q98+Q99</f>
        <v>101304</v>
      </c>
      <c r="R97" s="77">
        <f ca="1">R98+R99</f>
        <v>101304</v>
      </c>
      <c r="S97" s="77">
        <f ca="1">S98+S99</f>
        <v>32675</v>
      </c>
      <c r="T97" s="77">
        <f ca="1">IF(Q97&gt;0,S97*100/Q97,0)</f>
        <v>32.254402590223485</v>
      </c>
      <c r="U97" s="77">
        <f ca="1">IF(R97&gt;0,S97*100/R97,0)</f>
        <v>32.254402590223485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79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IFERROR(__xludf.DUMMYFUNCTION("IMPORTRANGE(""https://docs.google.com/spreadsheets/d/1-uDff_7J0KD5mKrp0Vvzr7lt3OU09vwQwhkpOPPYv2Y/edit?usp=sharing"",""งบพรบ!AW57"")"),0)</f>
        <v>0</v>
      </c>
      <c r="M99" s="77">
        <f ca="1">IFERROR(__xludf.DUMMYFUNCTION("IMPORTRANGE(""https://docs.google.com/spreadsheets/d/1-uDff_7J0KD5mKrp0Vvzr7lt3OU09vwQwhkpOPPYv2Y/edit?usp=sharing"",""งบพรบ!BB57"")"),0)</f>
        <v>0</v>
      </c>
      <c r="N99" s="77">
        <f ca="1">IFERROR(__xludf.DUMMYFUNCTION("IMPORTRANGE(""https://docs.google.com/spreadsheets/d/1-uDff_7J0KD5mKrp0Vvzr7lt3OU09vwQwhkpOPPYv2Y/edit?usp=sharing"",""งบพรบ!BD57"")"),0)</f>
        <v>0</v>
      </c>
      <c r="O99" s="77">
        <f ca="1">IF(L99&gt;0,N99*100/L99,0)</f>
        <v>0</v>
      </c>
      <c r="P99" s="77">
        <f ca="1">IF(M99&gt;0,N99*100/M99,0)</f>
        <v>0</v>
      </c>
      <c r="Q99" s="76">
        <f ca="1">IFERROR(__xludf.DUMMYFUNCTION("IMPORTRANGE(""https://docs.google.com/spreadsheets/d/1ItG2mGa2ceCfYo0BwxsXqNm01IGEUdYcSSLTEv9YCik/edit?usp=sharing"",""เบิกจ่ายกองทุน!AD57"")"),101304)</f>
        <v>101304</v>
      </c>
      <c r="R99" s="77">
        <f ca="1">IFERROR(__xludf.DUMMYFUNCTION("IMPORTRANGE(""https://docs.google.com/spreadsheets/d/1ItG2mGa2ceCfYo0BwxsXqNm01IGEUdYcSSLTEv9YCik/edit?usp=sharing"",""เบิกจ่ายกองทุน!AE57"")"),101304)</f>
        <v>101304</v>
      </c>
      <c r="S99" s="77">
        <f ca="1">IFERROR(__xludf.DUMMYFUNCTION("IMPORTRANGE(""https://docs.google.com/spreadsheets/d/1ItG2mGa2ceCfYo0BwxsXqNm01IGEUdYcSSLTEv9YCik/edit?usp=sharing"",""เบิกจ่ายกองทุน!AF57"")"),32675)</f>
        <v>32675</v>
      </c>
      <c r="T99" s="77">
        <f ca="1">IF(Q99&gt;0,S99*100/Q99,0)</f>
        <v>32.254402590223485</v>
      </c>
      <c r="U99" s="77">
        <f ca="1">IF(R99&gt;0,S99*100/R99,0)</f>
        <v>32.254402590223485</v>
      </c>
    </row>
    <row r="100" spans="1:21" ht="18.75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6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79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IFERROR(__xludf.DUMMYFUNCTION("IMPORTRANGE(""https://docs.google.com/spreadsheets/d/1-uDff_7J0KD5mKrp0Vvzr7lt3OU09vwQwhkpOPPYv2Y/edit?usp=sharing"",""งบพรบ!AZ57"")"),0)</f>
        <v>0</v>
      </c>
      <c r="M102" s="77">
        <f ca="1">IFERROR(__xludf.DUMMYFUNCTION("IMPORTRANGE(""https://docs.google.com/spreadsheets/d/1-uDff_7J0KD5mKrp0Vvzr7lt3OU09vwQwhkpOPPYv2Y/edit?usp=sharing"",""งบพรบ!BC57"")"),0)</f>
        <v>0</v>
      </c>
      <c r="N102" s="77">
        <f ca="1">IFERROR(__xludf.DUMMYFUNCTION("IMPORTRANGE(""https://docs.google.com/spreadsheets/d/1-uDff_7J0KD5mKrp0Vvzr7lt3OU09vwQwhkpOPPYv2Y/edit?usp=sharing"",""งบพรบ!BE57"")"),0)</f>
        <v>0</v>
      </c>
      <c r="O102" s="77">
        <f ca="1">IF(L102&gt;0,N102*100/L102,0)</f>
        <v>0</v>
      </c>
      <c r="P102" s="77">
        <f ca="1">IF(M102&gt;0,N102*100/M102,0)</f>
        <v>0</v>
      </c>
      <c r="Q102" s="76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IFERROR(__xludf.DUMMYFUNCTION("IMPORTRANGE(""https://docs.google.com/spreadsheets/d/1eHaY18a8A9IcSdp1K8H6x8fbOy06t2VsZHhMHf-1x7Y/edit?usp=sharing"",""แผน!N57"")"),36)</f>
        <v>36</v>
      </c>
      <c r="J108" s="296">
        <v>36</v>
      </c>
      <c r="K108" s="77">
        <f ca="1">IF(I108&gt;0,J108*100/I108,0)</f>
        <v>100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IFERROR(__xludf.DUMMYFUNCTION("IMPORTRANGE(""https://docs.google.com/spreadsheets/d/1eHaY18a8A9IcSdp1K8H6x8fbOy06t2VsZHhMHf-1x7Y/edit?usp=sharing"",""แผน!O57"")"),12)</f>
        <v>12</v>
      </c>
      <c r="J109" s="296">
        <v>12</v>
      </c>
      <c r="K109" s="77">
        <f ca="1">IF(I109&gt;0,J109*100/I109,0)</f>
        <v>100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766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IFERROR(__xludf.DUMMYFUNCTION("IMPORTRANGE(""https://docs.google.com/spreadsheets/d/1eHaY18a8A9IcSdp1K8H6x8fbOy06t2VsZHhMHf-1x7Y/edit?usp=sharing"",""แผน!N57"")"),36)</f>
        <v>36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IFERROR(__xludf.DUMMYFUNCTION("IMPORTRANGE(""https://docs.google.com/spreadsheets/d/1eHaY18a8A9IcSdp1K8H6x8fbOy06t2VsZHhMHf-1x7Y/edit?usp=sharing"",""แผน!O57"")"),12)</f>
        <v>12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2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393">
        <f ca="1">Q118+Q119</f>
        <v>209360</v>
      </c>
      <c r="R117" s="266">
        <f ca="1">R118+R119</f>
        <v>209360</v>
      </c>
      <c r="S117" s="266">
        <f ca="1">S118+S119</f>
        <v>109725</v>
      </c>
      <c r="T117" s="266">
        <f ca="1">IF(Q117&gt;0,S117*100/Q117,0)</f>
        <v>52.409724875811996</v>
      </c>
      <c r="U117" s="266">
        <f ca="1">IF(R117&gt;0,S117*100/R117,0)</f>
        <v>52.409724875811996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79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6">
        <f ca="1">Q122+Q125</f>
        <v>209360</v>
      </c>
      <c r="R119" s="77">
        <f ca="1">R122+R125</f>
        <v>209360</v>
      </c>
      <c r="S119" s="77">
        <f ca="1">S122+S125</f>
        <v>109725</v>
      </c>
      <c r="T119" s="77">
        <f ca="1">IF(Q119&gt;0,S119*100/Q119,0)</f>
        <v>52.409724875811996</v>
      </c>
      <c r="U119" s="77">
        <f ca="1">IF(R119&gt;0,S119*100/R119,0)</f>
        <v>52.409724875811996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6">
        <f ca="1">Q121+Q122</f>
        <v>209360</v>
      </c>
      <c r="R120" s="77">
        <f ca="1">R121+R122</f>
        <v>209360</v>
      </c>
      <c r="S120" s="77">
        <f ca="1">S121+S122</f>
        <v>109725</v>
      </c>
      <c r="T120" s="77">
        <f ca="1">IF(Q120&gt;0,S120*100/Q120,0)</f>
        <v>52.409724875811996</v>
      </c>
      <c r="U120" s="77">
        <f ca="1">IF(R120&gt;0,S120*100/R120,0)</f>
        <v>52.409724875811996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79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IFERROR(__xludf.DUMMYFUNCTION("IMPORTRANGE(""https://docs.google.com/spreadsheets/d/1-uDff_7J0KD5mKrp0Vvzr7lt3OU09vwQwhkpOPPYv2Y/edit?usp=sharing"",""งบพรบ!BG57"")"),0)</f>
        <v>0</v>
      </c>
      <c r="M122" s="77">
        <f ca="1">IFERROR(__xludf.DUMMYFUNCTION("IMPORTRANGE(""https://docs.google.com/spreadsheets/d/1-uDff_7J0KD5mKrp0Vvzr7lt3OU09vwQwhkpOPPYv2Y/edit?usp=sharing"",""งบพรบ!BL57"")"),0)</f>
        <v>0</v>
      </c>
      <c r="N122" s="77">
        <f ca="1">IFERROR(__xludf.DUMMYFUNCTION("IMPORTRANGE(""https://docs.google.com/spreadsheets/d/1-uDff_7J0KD5mKrp0Vvzr7lt3OU09vwQwhkpOPPYv2Y/edit?usp=sharing"",""งบพรบ!BN57"")"),0)</f>
        <v>0</v>
      </c>
      <c r="O122" s="77">
        <f ca="1">IF(L122&gt;0,N122*100/L122,0)</f>
        <v>0</v>
      </c>
      <c r="P122" s="77">
        <f ca="1">IF(M122&gt;0,N122*100/M122,0)</f>
        <v>0</v>
      </c>
      <c r="Q122" s="76">
        <f ca="1">IFERROR(__xludf.DUMMYFUNCTION("IMPORTRANGE(""https://docs.google.com/spreadsheets/d/1ItG2mGa2ceCfYo0BwxsXqNm01IGEUdYcSSLTEv9YCik/edit?usp=sharing"",""เบิกจ่ายกองทุน!R57"")"),209360)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IFERROR(__xludf.DUMMYFUNCTION("IMPORTRANGE(""https://docs.google.com/spreadsheets/d/1ItG2mGa2ceCfYo0BwxsXqNm01IGEUdYcSSLTEv9YCik/edit?usp=sharing"",""เบิกจ่ายกองทุน!S57"")"),209360)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IFERROR(__xludf.DUMMYFUNCTION("IMPORTRANGE(""https://docs.google.com/spreadsheets/d/1ItG2mGa2ceCfYo0BwxsXqNm01IGEUdYcSSLTEv9YCik/edit?usp=sharing"",""เบิกจ่ายกองทุน!T57"")"),109725)</f>
        <v>109725</v>
      </c>
      <c r="T122" s="77">
        <f ca="1">IF(Q122&gt;0,S122*100/Q122,0)</f>
        <v>52.409724875811996</v>
      </c>
      <c r="U122" s="77">
        <f ca="1">IF(R122&gt;0,S122*100/R122,0)</f>
        <v>52.409724875811996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6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79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IFERROR(__xludf.DUMMYFUNCTION("IMPORTRANGE(""https://docs.google.com/spreadsheets/d/1-uDff_7J0KD5mKrp0Vvzr7lt3OU09vwQwhkpOPPYv2Y/edit?usp=sharing"",""งบพรบ!BJ57"")"),0)</f>
        <v>0</v>
      </c>
      <c r="M125" s="77">
        <f ca="1">IFERROR(__xludf.DUMMYFUNCTION("IMPORTRANGE(""https://docs.google.com/spreadsheets/d/1-uDff_7J0KD5mKrp0Vvzr7lt3OU09vwQwhkpOPPYv2Y/edit?usp=sharing"",""งบพรบ!BM57"")"),0)</f>
        <v>0</v>
      </c>
      <c r="N125" s="77">
        <f ca="1">IFERROR(__xludf.DUMMYFUNCTION("IMPORTRANGE(""https://docs.google.com/spreadsheets/d/1-uDff_7J0KD5mKrp0Vvzr7lt3OU09vwQwhkpOPPYv2Y/edit?usp=sharing"",""งบพรบ!BO57"")"),0)</f>
        <v>0</v>
      </c>
      <c r="O125" s="77">
        <f ca="1">IF(L125&gt;0,N125*100/L125,0)</f>
        <v>0</v>
      </c>
      <c r="P125" s="77">
        <f ca="1">IF(M125&gt;0,N125*100/M125,0)</f>
        <v>0</v>
      </c>
      <c r="Q125" s="76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388"/>
      <c r="M126" s="388"/>
      <c r="N126" s="388"/>
      <c r="O126" s="388"/>
      <c r="P126" s="388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IFERROR(__xludf.DUMMYFUNCTION("IMPORTRANGE(""https://docs.google.com/spreadsheets/d/1eHaY18a8A9IcSdp1K8H6x8fbOy06t2VsZHhMHf-1x7Y/edit?usp=sharing"",""แผน!FF57"")"),20)</f>
        <v>20</v>
      </c>
      <c r="J127" s="296">
        <v>20</v>
      </c>
      <c r="K127" s="77">
        <f ca="1">IF(I127&gt;0,J127*100/I127,0)</f>
        <v>100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IFERROR(__xludf.DUMMYFUNCTION("IMPORTRANGE(""https://docs.google.com/spreadsheets/d/1eHaY18a8A9IcSdp1K8H6x8fbOy06t2VsZHhMHf-1x7Y/edit?usp=sharing"",""แผน!FG57"")"),0)</f>
        <v>0</v>
      </c>
      <c r="J128" s="296">
        <v>0</v>
      </c>
      <c r="K128" s="77">
        <f ca="1">IF(I128&gt;0,J128*100/I128,0)</f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IFERROR(__xludf.DUMMYFUNCTION("IMPORTRANGE(""https://docs.google.com/spreadsheets/d/1eHaY18a8A9IcSdp1K8H6x8fbOy06t2VsZHhMHf-1x7Y/edit?usp=sharing"",""แผน!FH57"")"),20)</f>
        <v>20</v>
      </c>
      <c r="J129" s="296">
        <v>20</v>
      </c>
      <c r="K129" s="77">
        <f ca="1">IF(I129&gt;0,J129*100/I129,0)</f>
        <v>100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IFERROR(__xludf.DUMMYFUNCTION("IMPORTRANGE(""https://docs.google.com/spreadsheets/d/1eHaY18a8A9IcSdp1K8H6x8fbOy06t2VsZHhMHf-1x7Y/edit?usp=sharing"",""แผน!FI57"")"),0)</f>
        <v>0</v>
      </c>
      <c r="J130" s="296">
        <v>0</v>
      </c>
      <c r="K130" s="77">
        <f ca="1">IF(I130&gt;0,J130*100/I130,0)</f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2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10"/>
      <c r="M135" s="210"/>
      <c r="N135" s="210"/>
      <c r="O135" s="210"/>
      <c r="P135" s="210"/>
      <c r="Q135" s="209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10"/>
      <c r="M136" s="210"/>
      <c r="N136" s="210"/>
      <c r="O136" s="210"/>
      <c r="P136" s="210"/>
      <c r="Q136" s="209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10"/>
      <c r="M137" s="210"/>
      <c r="N137" s="210"/>
      <c r="O137" s="210"/>
      <c r="P137" s="210"/>
      <c r="Q137" s="209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10"/>
      <c r="M138" s="210"/>
      <c r="N138" s="210"/>
      <c r="O138" s="210"/>
      <c r="P138" s="210"/>
      <c r="Q138" s="209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66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393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80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79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7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6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7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6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80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79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7">
        <f ca="1">IFERROR(__xludf.DUMMYFUNCTION("IMPORTRANGE(""https://docs.google.com/spreadsheets/d/1-uDff_7J0KD5mKrp0Vvzr7lt3OU09vwQwhkpOPPYv2Y/edit?usp=sharing"",""งบพรบ!BQ57"")"),0)</f>
        <v>0</v>
      </c>
      <c r="M144" s="77">
        <f ca="1">IFERROR(__xludf.DUMMYFUNCTION("IMPORTRANGE(""https://docs.google.com/spreadsheets/d/1-uDff_7J0KD5mKrp0Vvzr7lt3OU09vwQwhkpOPPYv2Y/edit?usp=sharing"",""งบพรบ!BV57"")"),0)</f>
        <v>0</v>
      </c>
      <c r="N144" s="77">
        <f ca="1">IFERROR(__xludf.DUMMYFUNCTION("IMPORTRANGE(""https://docs.google.com/spreadsheets/d/1-uDff_7J0KD5mKrp0Vvzr7lt3OU09vwQwhkpOPPYv2Y/edit?usp=sharing"",""งบพรบ!BX57"")"),0)</f>
        <v>0</v>
      </c>
      <c r="O144" s="77">
        <f ca="1">IF(L144&gt;0,N144*100/L144,0)</f>
        <v>0</v>
      </c>
      <c r="P144" s="77">
        <f ca="1">IF(M144&gt;0,N144*100/M144,0)</f>
        <v>0</v>
      </c>
      <c r="Q144" s="76">
        <f ca="1">IFERROR(__xludf.DUMMYFUNCTION("IMPORTRANGE(""https://docs.google.com/spreadsheets/d/1ItG2mGa2ceCfYo0BwxsXqNm01IGEUdYcSSLTEv9YCik/edit?usp=sharing"",""เบิกจ่ายกองทุน!BB57"")"),0)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IFERROR(__xludf.DUMMYFUNCTION("IMPORTRANGE(""https://docs.google.com/spreadsheets/d/1ItG2mGa2ceCfYo0BwxsXqNm01IGEUdYcSSLTEv9YCik/edit?usp=sharing"",""เบิกจ่ายกองทุน!BC57"")"),0)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IFERROR(__xludf.DUMMYFUNCTION("IMPORTRANGE(""https://docs.google.com/spreadsheets/d/1ItG2mGa2ceCfYo0BwxsXqNm01IGEUdYcSSLTEv9YCik/edit?usp=sharing"",""เบิกจ่ายกองทุน!BD57"")"),0)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7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6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80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79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7">
        <f ca="1">IFERROR(__xludf.DUMMYFUNCTION("IMPORTRANGE(""https://docs.google.com/spreadsheets/d/1-uDff_7J0KD5mKrp0Vvzr7lt3OU09vwQwhkpOPPYv2Y/edit?usp=sharing"",""งบพรบ!BT57"")"),0)</f>
        <v>0</v>
      </c>
      <c r="M147" s="77">
        <f ca="1">IFERROR(__xludf.DUMMYFUNCTION("IMPORTRANGE(""https://docs.google.com/spreadsheets/d/1-uDff_7J0KD5mKrp0Vvzr7lt3OU09vwQwhkpOPPYv2Y/edit?usp=sharing"",""งบพรบ!BW57"")"),0)</f>
        <v>0</v>
      </c>
      <c r="N147" s="77">
        <f ca="1">IFERROR(__xludf.DUMMYFUNCTION("IMPORTRANGE(""https://docs.google.com/spreadsheets/d/1-uDff_7J0KD5mKrp0Vvzr7lt3OU09vwQwhkpOPPYv2Y/edit?usp=sharing"",""งบพรบ!BY57"")"),0)</f>
        <v>0</v>
      </c>
      <c r="O147" s="77">
        <f ca="1">IF(L147&gt;0,N147*100/L147,0)</f>
        <v>0</v>
      </c>
      <c r="P147" s="77">
        <f ca="1">IF(M147&gt;0,N147*100/M147,0)</f>
        <v>0</v>
      </c>
      <c r="Q147" s="76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90"/>
      <c r="M148" s="90"/>
      <c r="N148" s="90"/>
      <c r="O148" s="90"/>
      <c r="P148" s="90"/>
      <c r="Q148" s="89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90"/>
      <c r="M149" s="90"/>
      <c r="N149" s="90"/>
      <c r="O149" s="90"/>
      <c r="P149" s="90"/>
      <c r="Q149" s="89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IFERROR(__xludf.DUMMYFUNCTION("IMPORTRANGE(""https://docs.google.com/spreadsheets/d/1eHaY18a8A9IcSdp1K8H6x8fbOy06t2VsZHhMHf-1x7Y/edit?usp=sharing"",""แผน!U57"")"),0)</f>
        <v>0</v>
      </c>
      <c r="J150" s="296">
        <v>0</v>
      </c>
      <c r="K150" s="77">
        <f ca="1">IF(I150&gt;0,J150*100/I150,0)</f>
        <v>0</v>
      </c>
      <c r="L150" s="90"/>
      <c r="M150" s="90"/>
      <c r="N150" s="90"/>
      <c r="O150" s="90"/>
      <c r="P150" s="90"/>
      <c r="Q150" s="89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IFERROR(__xludf.DUMMYFUNCTION("IMPORTRANGE(""https://docs.google.com/spreadsheets/d/1eHaY18a8A9IcSdp1K8H6x8fbOy06t2VsZHhMHf-1x7Y/edit?usp=sharing"",""แผน!V57"")"),0)</f>
        <v>0</v>
      </c>
      <c r="J151" s="296">
        <v>0</v>
      </c>
      <c r="K151" s="77">
        <f ca="1">IF(I151&gt;0,J151*100/I151,0)</f>
        <v>0</v>
      </c>
      <c r="L151" s="90"/>
      <c r="M151" s="90"/>
      <c r="N151" s="90"/>
      <c r="O151" s="90"/>
      <c r="P151" s="90"/>
      <c r="Q151" s="89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IFERROR(__xludf.DUMMYFUNCTION("IMPORTRANGE(""https://docs.google.com/spreadsheets/d/1eHaY18a8A9IcSdp1K8H6x8fbOy06t2VsZHhMHf-1x7Y/edit?usp=sharing"",""แผน!W57"")"),0)</f>
        <v>0</v>
      </c>
      <c r="J152" s="296">
        <v>0</v>
      </c>
      <c r="K152" s="77">
        <f ca="1">IF(I152&gt;0,J152*100/I152,0)</f>
        <v>0</v>
      </c>
      <c r="L152" s="90"/>
      <c r="M152" s="90"/>
      <c r="N152" s="90"/>
      <c r="O152" s="90"/>
      <c r="P152" s="90"/>
      <c r="Q152" s="89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IFERROR(__xludf.DUMMYFUNCTION("IMPORTRANGE(""https://docs.google.com/spreadsheets/d/1eHaY18a8A9IcSdp1K8H6x8fbOy06t2VsZHhMHf-1x7Y/edit?usp=sharing"",""แผน!X57"")"),0)</f>
        <v>0</v>
      </c>
      <c r="J153" s="296">
        <v>0</v>
      </c>
      <c r="K153" s="77">
        <f ca="1">IF(I153&gt;0,J153*100/I153,0)</f>
        <v>0</v>
      </c>
      <c r="L153" s="90"/>
      <c r="M153" s="90"/>
      <c r="N153" s="90"/>
      <c r="O153" s="90"/>
      <c r="P153" s="90"/>
      <c r="Q153" s="89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IFERROR(__xludf.DUMMYFUNCTION("IMPORTRANGE(""https://docs.google.com/spreadsheets/d/1eHaY18a8A9IcSdp1K8H6x8fbOy06t2VsZHhMHf-1x7Y/edit?usp=sharing"",""แผน!Y57"")"),0)</f>
        <v>0</v>
      </c>
      <c r="J154" s="296">
        <v>0</v>
      </c>
      <c r="K154" s="77">
        <f ca="1">IF(I154&gt;0,J154*100/I154,0)</f>
        <v>0</v>
      </c>
      <c r="L154" s="90"/>
      <c r="M154" s="90"/>
      <c r="N154" s="90"/>
      <c r="O154" s="90"/>
      <c r="P154" s="90"/>
      <c r="Q154" s="89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2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10"/>
      <c r="M156" s="210"/>
      <c r="N156" s="210"/>
      <c r="O156" s="210"/>
      <c r="P156" s="210"/>
      <c r="Q156" s="209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66">
        <f ca="1">L158+L159</f>
        <v>3000</v>
      </c>
      <c r="M157" s="266">
        <f ca="1">M158+M159</f>
        <v>4890</v>
      </c>
      <c r="N157" s="266">
        <f ca="1">N158+N159</f>
        <v>2250</v>
      </c>
      <c r="O157" s="266">
        <f ca="1">IF(L157&gt;0,N157*100/L157,0)</f>
        <v>75</v>
      </c>
      <c r="P157" s="266">
        <f ca="1">IF(M157&gt;0,N157*100/M157,0)</f>
        <v>46.012269938650306</v>
      </c>
      <c r="Q157" s="393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80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79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7">
        <f ca="1">L162+L165</f>
        <v>3000</v>
      </c>
      <c r="M159" s="77">
        <f ca="1">M162+M165</f>
        <v>4890</v>
      </c>
      <c r="N159" s="77">
        <f ca="1">N162+N165</f>
        <v>2250</v>
      </c>
      <c r="O159" s="77">
        <f ca="1">IF(L159&gt;0,N159*100/L159,0)</f>
        <v>75</v>
      </c>
      <c r="P159" s="77">
        <f ca="1">IF(M159&gt;0,N159*100/M159,0)</f>
        <v>46.012269938650306</v>
      </c>
      <c r="Q159" s="76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7">
        <f ca="1">L161+L162</f>
        <v>3000</v>
      </c>
      <c r="M160" s="77">
        <f ca="1">M161+M162</f>
        <v>4890</v>
      </c>
      <c r="N160" s="77">
        <f ca="1">N161+N162</f>
        <v>2250</v>
      </c>
      <c r="O160" s="77">
        <f ca="1">IF(L160&gt;0,N160*100/L160,0)</f>
        <v>75</v>
      </c>
      <c r="P160" s="77">
        <f ca="1">IF(M160&gt;0,N160*100/M160,0)</f>
        <v>46.012269938650306</v>
      </c>
      <c r="Q160" s="76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80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79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7">
        <f ca="1">IFERROR(__xludf.DUMMYFUNCTION("IMPORTRANGE(""https://docs.google.com/spreadsheets/d/1-uDff_7J0KD5mKrp0Vvzr7lt3OU09vwQwhkpOPPYv2Y/edit?usp=sharing"",""งบพรบ!CA57"")"),3000)</f>
        <v>3000</v>
      </c>
      <c r="M162" s="77">
        <f ca="1">IFERROR(__xludf.DUMMYFUNCTION("IMPORTRANGE(""https://docs.google.com/spreadsheets/d/1-uDff_7J0KD5mKrp0Vvzr7lt3OU09vwQwhkpOPPYv2Y/edit?usp=sharing"",""งบพรบ!CF57"")"),4890)</f>
        <v>4890</v>
      </c>
      <c r="N162" s="77">
        <f ca="1">IFERROR(__xludf.DUMMYFUNCTION("IMPORTRANGE(""https://docs.google.com/spreadsheets/d/1-uDff_7J0KD5mKrp0Vvzr7lt3OU09vwQwhkpOPPYv2Y/edit?usp=sharing"",""งบพรบ!CH57"")"),2250)</f>
        <v>2250</v>
      </c>
      <c r="O162" s="77">
        <f ca="1">IF(L162&gt;0,N162*100/L162,0)</f>
        <v>75</v>
      </c>
      <c r="P162" s="77">
        <f ca="1">IF(M162&gt;0,N162*100/M162,0)</f>
        <v>46.012269938650306</v>
      </c>
      <c r="Q162" s="76">
        <f ca="1">IFERROR(__xludf.DUMMYFUNCTION("IMPORTRANGE(""https://docs.google.com/spreadsheets/d/1ItG2mGa2ceCfYo0BwxsXqNm01IGEUdYcSSLTEv9YCik/edit?usp=sharing"",""เบิกจ่ายกองทุน!AG57"")"),0)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IFERROR(__xludf.DUMMYFUNCTION("IMPORTRANGE(""https://docs.google.com/spreadsheets/d/1ItG2mGa2ceCfYo0BwxsXqNm01IGEUdYcSSLTEv9YCik/edit?usp=sharing"",""เบิกจ่ายกองทุน!AH57"")"),0)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IFERROR(__xludf.DUMMYFUNCTION("IMPORTRANGE(""https://docs.google.com/spreadsheets/d/1ItG2mGa2ceCfYo0BwxsXqNm01IGEUdYcSSLTEv9YCik/edit?usp=sharing"",""เบิกจ่ายกองทุน!AI57"")"),0)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7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6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80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79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7">
        <f ca="1">IFERROR(__xludf.DUMMYFUNCTION("IMPORTRANGE(""https://docs.google.com/spreadsheets/d/1-uDff_7J0KD5mKrp0Vvzr7lt3OU09vwQwhkpOPPYv2Y/edit?usp=sharing"",""งบพรบ!CD57"")"),0)</f>
        <v>0</v>
      </c>
      <c r="M165" s="77">
        <f ca="1">IFERROR(__xludf.DUMMYFUNCTION("IMPORTRANGE(""https://docs.google.com/spreadsheets/d/1-uDff_7J0KD5mKrp0Vvzr7lt3OU09vwQwhkpOPPYv2Y/edit?usp=sharing"",""งบพรบ!CG57"")"),0)</f>
        <v>0</v>
      </c>
      <c r="N165" s="77">
        <f ca="1">IFERROR(__xludf.DUMMYFUNCTION("IMPORTRANGE(""https://docs.google.com/spreadsheets/d/1-uDff_7J0KD5mKrp0Vvzr7lt3OU09vwQwhkpOPPYv2Y/edit?usp=sharing"",""งบพรบ!CI57"")"),0)</f>
        <v>0</v>
      </c>
      <c r="O165" s="77">
        <f ca="1">IF(L165&gt;0,N165*100/L165,0)</f>
        <v>0</v>
      </c>
      <c r="P165" s="77">
        <f ca="1">IF(M165&gt;0,N165*100/M165,0)</f>
        <v>0</v>
      </c>
      <c r="Q165" s="76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90"/>
      <c r="M166" s="90"/>
      <c r="N166" s="90"/>
      <c r="O166" s="90"/>
      <c r="P166" s="90"/>
      <c r="Q166" s="89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IFERROR(__xludf.DUMMYFUNCTION("IMPORTRANGE(""https://docs.google.com/spreadsheets/d/1eHaY18a8A9IcSdp1K8H6x8fbOy06t2VsZHhMHf-1x7Y/edit?usp=sharing"",""แผน!Z57"")"),15)</f>
        <v>15</v>
      </c>
      <c r="J167" s="296">
        <v>15</v>
      </c>
      <c r="K167" s="77">
        <f ca="1">IF(I167&gt;0,J167*100/I167,0)</f>
        <v>100</v>
      </c>
      <c r="L167" s="90"/>
      <c r="M167" s="90"/>
      <c r="N167" s="90"/>
      <c r="O167" s="90"/>
      <c r="P167" s="90"/>
      <c r="Q167" s="89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90"/>
      <c r="M168" s="90"/>
      <c r="N168" s="90"/>
      <c r="O168" s="90"/>
      <c r="P168" s="90"/>
      <c r="Q168" s="89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1"/>
      <c r="M169" s="101"/>
      <c r="N169" s="101"/>
      <c r="O169" s="101"/>
      <c r="P169" s="101"/>
      <c r="Q169" s="100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8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8"/>
      <c r="M171" s="358"/>
      <c r="N171" s="358"/>
      <c r="O171" s="358"/>
      <c r="P171" s="358"/>
      <c r="Q171" s="357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7"/>
      <c r="M172" s="367"/>
      <c r="N172" s="367"/>
      <c r="O172" s="367"/>
      <c r="P172" s="367"/>
      <c r="Q172" s="366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66">
        <f ca="1">L174+L175</f>
        <v>19590</v>
      </c>
      <c r="M173" s="266">
        <f ca="1">M174+M175</f>
        <v>33360</v>
      </c>
      <c r="N173" s="266">
        <f ca="1">N174+N175</f>
        <v>33360</v>
      </c>
      <c r="O173" s="266">
        <f ca="1">IF(L173&gt;0,N173*100/L173,0)</f>
        <v>170.29096477794792</v>
      </c>
      <c r="P173" s="266">
        <f ca="1">IF(M173&gt;0,N173*100/M173,0)</f>
        <v>100</v>
      </c>
      <c r="Q173" s="393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80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79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7">
        <f ca="1">L178+L181</f>
        <v>19590</v>
      </c>
      <c r="M175" s="77">
        <f ca="1">M178+M181</f>
        <v>33360</v>
      </c>
      <c r="N175" s="77">
        <f ca="1">N178+N181</f>
        <v>33360</v>
      </c>
      <c r="O175" s="77">
        <f ca="1">IF(L175&gt;0,N175*100/L175,0)</f>
        <v>170.29096477794792</v>
      </c>
      <c r="P175" s="77">
        <f ca="1">IF(M175&gt;0,N175*100/M175,0)</f>
        <v>100</v>
      </c>
      <c r="Q175" s="76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7">
        <f ca="1">L177+L178</f>
        <v>19590</v>
      </c>
      <c r="M176" s="77">
        <f ca="1">M177+M178</f>
        <v>33360</v>
      </c>
      <c r="N176" s="77">
        <f ca="1">N177+N178</f>
        <v>33360</v>
      </c>
      <c r="O176" s="77">
        <f ca="1">IF(L176&gt;0,N176*100/L176,0)</f>
        <v>170.29096477794792</v>
      </c>
      <c r="P176" s="77">
        <f ca="1">IF(M176&gt;0,N176*100/M176,0)</f>
        <v>100</v>
      </c>
      <c r="Q176" s="76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80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79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7">
        <f ca="1">IFERROR(__xludf.DUMMYFUNCTION("IMPORTRANGE(""https://docs.google.com/spreadsheets/d/1-uDff_7J0KD5mKrp0Vvzr7lt3OU09vwQwhkpOPPYv2Y/edit?usp=sharing"",""งบพรบ!CK57"")"),19590)</f>
        <v>19590</v>
      </c>
      <c r="M178" s="77">
        <f ca="1">IFERROR(__xludf.DUMMYFUNCTION("IMPORTRANGE(""https://docs.google.com/spreadsheets/d/1-uDff_7J0KD5mKrp0Vvzr7lt3OU09vwQwhkpOPPYv2Y/edit?usp=sharing"",""งบพรบ!CP57"")"),33360)</f>
        <v>33360</v>
      </c>
      <c r="N178" s="77">
        <f ca="1">IFERROR(__xludf.DUMMYFUNCTION("IMPORTRANGE(""https://docs.google.com/spreadsheets/d/1-uDff_7J0KD5mKrp0Vvzr7lt3OU09vwQwhkpOPPYv2Y/edit?usp=sharing"",""งบพรบ!CR57"")"),33360)</f>
        <v>33360</v>
      </c>
      <c r="O178" s="77">
        <f ca="1">IF(L178&gt;0,N178*100/L178,0)</f>
        <v>170.29096477794792</v>
      </c>
      <c r="P178" s="77">
        <f ca="1">IF(M178&gt;0,N178*100/M178,0)</f>
        <v>100</v>
      </c>
      <c r="Q178" s="76">
        <f ca="1">IFERROR(__xludf.DUMMYFUNCTION("IMPORTRANGE(""https://docs.google.com/spreadsheets/d/1ItG2mGa2ceCfYo0BwxsXqNm01IGEUdYcSSLTEv9YCik/edit?usp=sharing"",""เบิกจ่ายกองทุน!BE57"")"),0)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IFERROR(__xludf.DUMMYFUNCTION("IMPORTRANGE(""https://docs.google.com/spreadsheets/d/1ItG2mGa2ceCfYo0BwxsXqNm01IGEUdYcSSLTEv9YCik/edit?usp=sharing"",""เบิกจ่ายกองทุน!BF57"")"),0)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IFERROR(__xludf.DUMMYFUNCTION("IMPORTRANGE(""https://docs.google.com/spreadsheets/d/1ItG2mGa2ceCfYo0BwxsXqNm01IGEUdYcSSLTEv9YCik/edit?usp=sharing"",""เบิกจ่ายกองทุน!BG57"")"),0)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7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6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80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79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7">
        <f ca="1">IFERROR(__xludf.DUMMYFUNCTION("IMPORTRANGE(""https://docs.google.com/spreadsheets/d/1-uDff_7J0KD5mKrp0Vvzr7lt3OU09vwQwhkpOPPYv2Y/edit?usp=sharing"",""งบพรบ!CN57"")"),0)</f>
        <v>0</v>
      </c>
      <c r="M181" s="77">
        <f ca="1">IFERROR(__xludf.DUMMYFUNCTION("IMPORTRANGE(""https://docs.google.com/spreadsheets/d/1-uDff_7J0KD5mKrp0Vvzr7lt3OU09vwQwhkpOPPYv2Y/edit?usp=sharing"",""งบพรบ!CQ57"")"),0)</f>
        <v>0</v>
      </c>
      <c r="N181" s="77">
        <f ca="1">IFERROR(__xludf.DUMMYFUNCTION("IMPORTRANGE(""https://docs.google.com/spreadsheets/d/1-uDff_7J0KD5mKrp0Vvzr7lt3OU09vwQwhkpOPPYv2Y/edit?usp=sharing"",""งบพรบ!CS57"")"),0)</f>
        <v>0</v>
      </c>
      <c r="O181" s="77">
        <f ca="1">IF(L181&gt;0,N181*100/L181,0)</f>
        <v>0</v>
      </c>
      <c r="P181" s="77">
        <f ca="1">IF(M181&gt;0,N181*100/M181,0)</f>
        <v>0</v>
      </c>
      <c r="Q181" s="76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90"/>
      <c r="M182" s="90"/>
      <c r="N182" s="90"/>
      <c r="O182" s="90"/>
      <c r="P182" s="90"/>
      <c r="Q182" s="89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IFERROR(__xludf.DUMMYFUNCTION("IMPORTRANGE(""https://docs.google.com/spreadsheets/d/1eHaY18a8A9IcSdp1K8H6x8fbOy06t2VsZHhMHf-1x7Y/edit?usp=sharing"",""แผน!AA57"")"),7)</f>
        <v>7</v>
      </c>
      <c r="J183" s="296">
        <v>7</v>
      </c>
      <c r="K183" s="77">
        <f ca="1">IF(I183&gt;0,J183*100/I183,0)</f>
        <v>100</v>
      </c>
      <c r="L183" s="90"/>
      <c r="M183" s="90"/>
      <c r="N183" s="90"/>
      <c r="O183" s="90"/>
      <c r="P183" s="90"/>
      <c r="Q183" s="89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90"/>
      <c r="M184" s="90"/>
      <c r="N184" s="90"/>
      <c r="O184" s="90"/>
      <c r="P184" s="90"/>
      <c r="Q184" s="89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7"/>
      <c r="M185" s="367"/>
      <c r="N185" s="367"/>
      <c r="O185" s="367"/>
      <c r="P185" s="367"/>
      <c r="Q185" s="366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66">
        <f ca="1">L187+L188</f>
        <v>98200</v>
      </c>
      <c r="M186" s="266">
        <f ca="1">M187+M188</f>
        <v>93760</v>
      </c>
      <c r="N186" s="266">
        <f ca="1">N187+N188</f>
        <v>66456.5</v>
      </c>
      <c r="O186" s="266">
        <f ca="1">IF(L186&gt;0,N186*100/L186,0)</f>
        <v>67.674643584521391</v>
      </c>
      <c r="P186" s="266">
        <f ca="1">IF(M186&gt;0,N186*100/M186,0)</f>
        <v>70.879372866894201</v>
      </c>
      <c r="Q186" s="393">
        <f ca="1">Q187+Q188</f>
        <v>14000</v>
      </c>
      <c r="R186" s="266">
        <f ca="1">R187+R188</f>
        <v>14000</v>
      </c>
      <c r="S186" s="266">
        <f ca="1">S187+S188</f>
        <v>500</v>
      </c>
      <c r="T186" s="266">
        <f ca="1">IF(Q186&gt;0,S186*100/Q186,0)</f>
        <v>3.5714285714285716</v>
      </c>
      <c r="U186" s="266">
        <f ca="1">IF(R186&gt;0,S186*100/R186,0)</f>
        <v>3.5714285714285716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80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79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7">
        <f ca="1">L191+L194</f>
        <v>98200</v>
      </c>
      <c r="M188" s="77">
        <f ca="1">M191+M194</f>
        <v>93760</v>
      </c>
      <c r="N188" s="77">
        <f ca="1">N191+N194</f>
        <v>66456.5</v>
      </c>
      <c r="O188" s="77">
        <f ca="1">IF(L188&gt;0,N188*100/L188,0)</f>
        <v>67.674643584521391</v>
      </c>
      <c r="P188" s="77">
        <f ca="1">IF(M188&gt;0,N188*100/M188,0)</f>
        <v>70.879372866894201</v>
      </c>
      <c r="Q188" s="76">
        <f ca="1">Q191+Q194</f>
        <v>14000</v>
      </c>
      <c r="R188" s="77">
        <f ca="1">R191+R194</f>
        <v>14000</v>
      </c>
      <c r="S188" s="77">
        <f ca="1">S191+S194</f>
        <v>500</v>
      </c>
      <c r="T188" s="77">
        <f ca="1">IF(Q188&gt;0,S188*100/Q188,0)</f>
        <v>3.5714285714285716</v>
      </c>
      <c r="U188" s="77">
        <f ca="1">IF(R188&gt;0,S188*100/R188,0)</f>
        <v>3.5714285714285716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7">
        <f ca="1">L190+L191</f>
        <v>98200</v>
      </c>
      <c r="M189" s="77">
        <f ca="1">M190+M191</f>
        <v>93760</v>
      </c>
      <c r="N189" s="77">
        <f ca="1">N190+N191</f>
        <v>66456.5</v>
      </c>
      <c r="O189" s="77">
        <f ca="1">IF(L189&gt;0,N189*100/L189,0)</f>
        <v>67.674643584521391</v>
      </c>
      <c r="P189" s="77">
        <f ca="1">IF(M189&gt;0,N189*100/M189,0)</f>
        <v>70.879372866894201</v>
      </c>
      <c r="Q189" s="76">
        <f ca="1">Q190+Q191</f>
        <v>14000</v>
      </c>
      <c r="R189" s="77">
        <f ca="1">R190+R191</f>
        <v>14000</v>
      </c>
      <c r="S189" s="77">
        <f ca="1">S190+S191</f>
        <v>500</v>
      </c>
      <c r="T189" s="77">
        <f ca="1">IF(Q189&gt;0,S189*100/Q189,0)</f>
        <v>3.5714285714285716</v>
      </c>
      <c r="U189" s="77">
        <f ca="1">IF(R189&gt;0,S189*100/R189,0)</f>
        <v>3.5714285714285716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80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79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7">
        <f ca="1">IFERROR(__xludf.DUMMYFUNCTION("IMPORTRANGE(""https://docs.google.com/spreadsheets/d/1-uDff_7J0KD5mKrp0Vvzr7lt3OU09vwQwhkpOPPYv2Y/edit?usp=sharing"",""งบพรบ!CU57"")"),98200)</f>
        <v>98200</v>
      </c>
      <c r="M191" s="77">
        <f ca="1">IFERROR(__xludf.DUMMYFUNCTION("IMPORTRANGE(""https://docs.google.com/spreadsheets/d/1-uDff_7J0KD5mKrp0Vvzr7lt3OU09vwQwhkpOPPYv2Y/edit?usp=sharing"",""งบพรบ!CZ57"")"),93760)</f>
        <v>93760</v>
      </c>
      <c r="N191" s="77">
        <f ca="1">IFERROR(__xludf.DUMMYFUNCTION("IMPORTRANGE(""https://docs.google.com/spreadsheets/d/1-uDff_7J0KD5mKrp0Vvzr7lt3OU09vwQwhkpOPPYv2Y/edit?usp=sharing"",""งบพรบ!DB57"")"),66456.5)</f>
        <v>66456.5</v>
      </c>
      <c r="O191" s="77">
        <f ca="1">IF(L191&gt;0,N191*100/L191,0)</f>
        <v>67.674643584521391</v>
      </c>
      <c r="P191" s="77">
        <f ca="1">IF(M191&gt;0,N191*100/M191,0)</f>
        <v>70.879372866894201</v>
      </c>
      <c r="Q191" s="76">
        <f ca="1">IFERROR(__xludf.DUMMYFUNCTION("IMPORTRANGE(""https://docs.google.com/spreadsheets/d/1ItG2mGa2ceCfYo0BwxsXqNm01IGEUdYcSSLTEv9YCik/edit?usp=sharing"",""เบิกจ่ายกองทุน!AV57"")"),14000)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IFERROR(__xludf.DUMMYFUNCTION("IMPORTRANGE(""https://docs.google.com/spreadsheets/d/1ItG2mGa2ceCfYo0BwxsXqNm01IGEUdYcSSLTEv9YCik/edit?usp=sharing"",""เบิกจ่ายกองทุน!AW57"")"),14000)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IFERROR(__xludf.DUMMYFUNCTION("IMPORTRANGE(""https://docs.google.com/spreadsheets/d/1ItG2mGa2ceCfYo0BwxsXqNm01IGEUdYcSSLTEv9YCik/edit?usp=sharing"",""เบิกจ่ายกองทุน!AX57"")"),500)</f>
        <v>500</v>
      </c>
      <c r="T191" s="77">
        <f ca="1">IF(Q191&gt;0,S191*100/Q191,0)</f>
        <v>3.5714285714285716</v>
      </c>
      <c r="U191" s="77">
        <f ca="1">IF(R191&gt;0,S191*100/R191,0)</f>
        <v>3.5714285714285716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7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6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80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79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7">
        <f ca="1">IFERROR(__xludf.DUMMYFUNCTION("IMPORTRANGE(""https://docs.google.com/spreadsheets/d/1-uDff_7J0KD5mKrp0Vvzr7lt3OU09vwQwhkpOPPYv2Y/edit?usp=sharing"",""งบพรบ!CX57"")"),0)</f>
        <v>0</v>
      </c>
      <c r="M194" s="77">
        <f ca="1">IFERROR(__xludf.DUMMYFUNCTION("IMPORTRANGE(""https://docs.google.com/spreadsheets/d/1-uDff_7J0KD5mKrp0Vvzr7lt3OU09vwQwhkpOPPYv2Y/edit?usp=sharing"",""งบพรบ!DA57"")"),0)</f>
        <v>0</v>
      </c>
      <c r="N194" s="77">
        <f ca="1">IFERROR(__xludf.DUMMYFUNCTION("IMPORTRANGE(""https://docs.google.com/spreadsheets/d/1-uDff_7J0KD5mKrp0Vvzr7lt3OU09vwQwhkpOPPYv2Y/edit?usp=sharing"",""งบพรบ!DC57"")"),0)</f>
        <v>0</v>
      </c>
      <c r="O194" s="77">
        <f ca="1">IF(L194&gt;0,N194*100/L194,0)</f>
        <v>0</v>
      </c>
      <c r="P194" s="77">
        <f ca="1">IF(M194&gt;0,N194*100/M194,0)</f>
        <v>0</v>
      </c>
      <c r="Q194" s="76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2"/>
      <c r="M195" s="382"/>
      <c r="N195" s="382"/>
      <c r="O195" s="382"/>
      <c r="P195" s="382"/>
      <c r="Q195" s="381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266">
        <f ca="1">IFERROR(__xludf.DUMMYFUNCTION("IMPORTRANGE(""https://docs.google.com/spreadsheets/d/1eHaY18a8A9IcSdp1K8H6x8fbOy06t2VsZHhMHf-1x7Y/edit?usp=sharing"",""แผน!AB57"")"),6000)</f>
        <v>6000</v>
      </c>
      <c r="M196" s="90"/>
      <c r="N196" s="959">
        <v>360</v>
      </c>
      <c r="O196" s="266">
        <f ca="1">IF(L196&gt;0,N196*100/L196,0)</f>
        <v>6</v>
      </c>
      <c r="P196" s="266">
        <f>IF(M196&gt;0,N196*100/M196,0)</f>
        <v>0</v>
      </c>
      <c r="Q196" s="89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90"/>
      <c r="M197" s="90"/>
      <c r="N197" s="90"/>
      <c r="O197" s="90"/>
      <c r="P197" s="90"/>
      <c r="Q197" s="89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IFERROR(__xludf.DUMMYFUNCTION("IMPORTRANGE(""https://docs.google.com/spreadsheets/d/1eHaY18a8A9IcSdp1K8H6x8fbOy06t2VsZHhMHf-1x7Y/edit?usp=sharing"",""แผน!AE57"")"),4)</f>
        <v>4</v>
      </c>
      <c r="J198" s="296">
        <v>2</v>
      </c>
      <c r="K198" s="77">
        <f ca="1">IF(I198&gt;0,J198*100/I198,0)</f>
        <v>50</v>
      </c>
      <c r="L198" s="90"/>
      <c r="M198" s="90"/>
      <c r="N198" s="90"/>
      <c r="O198" s="90"/>
      <c r="P198" s="90"/>
      <c r="Q198" s="89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100</v>
      </c>
      <c r="K199" s="90"/>
      <c r="L199" s="90"/>
      <c r="M199" s="90"/>
      <c r="N199" s="90"/>
      <c r="O199" s="90"/>
      <c r="P199" s="90"/>
      <c r="Q199" s="89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100</v>
      </c>
      <c r="K200" s="90"/>
      <c r="L200" s="90"/>
      <c r="M200" s="90"/>
      <c r="N200" s="90"/>
      <c r="O200" s="90"/>
      <c r="P200" s="90"/>
      <c r="Q200" s="89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90"/>
      <c r="M201" s="90"/>
      <c r="N201" s="90"/>
      <c r="O201" s="90"/>
      <c r="P201" s="90"/>
      <c r="Q201" s="89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2"/>
      <c r="M202" s="382"/>
      <c r="N202" s="382"/>
      <c r="O202" s="382"/>
      <c r="P202" s="382"/>
      <c r="Q202" s="381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266">
        <f ca="1">L204+L205+L206+L207</f>
        <v>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7">
        <f ca="1">IFERROR(__xludf.DUMMYFUNCTION("IMPORTRANGE(""https://docs.google.com/spreadsheets/d/1eHaY18a8A9IcSdp1K8H6x8fbOy06t2VsZHhMHf-1x7Y/edit?usp=sharing"",""แผน!AG57"")"),1000)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7">
        <f ca="1">IFERROR(__xludf.DUMMYFUNCTION("IMPORTRANGE(""https://docs.google.com/spreadsheets/d/1eHaY18a8A9IcSdp1K8H6x8fbOy06t2VsZHhMHf-1x7Y/edit?usp=sharing"",""แผน!AH57"")"),0)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7">
        <f ca="1">IFERROR(__xludf.DUMMYFUNCTION("IMPORTRANGE(""https://docs.google.com/spreadsheets/d/1eHaY18a8A9IcSdp1K8H6x8fbOy06t2VsZHhMHf-1x7Y/edit?usp=sharing"",""แผน!AI57"")"),0)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IFERROR(__xludf.DUMMYFUNCTION("IMPORTRANGE(""https://docs.google.com/spreadsheets/d/1eHaY18a8A9IcSdp1K8H6x8fbOy06t2VsZHhMHf-1x7Y/edit?usp=sharing"",""แผน!LV57"")"),14000)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7">
        <f ca="1">IFERROR(__xludf.DUMMYFUNCTION("IMPORTRANGE(""https://docs.google.com/spreadsheets/d/1eHaY18a8A9IcSdp1K8H6x8fbOy06t2VsZHhMHf-1x7Y/edit?usp=sharing"",""แผน!AJ57"")"),4000)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1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IFERROR(__xludf.DUMMYFUNCTION("IMPORTRANGE(""https://docs.google.com/spreadsheets/d/1eHaY18a8A9IcSdp1K8H6x8fbOy06t2VsZHhMHf-1x7Y/edit?usp=sharing"",""แผน!AK57"")"),1)</f>
        <v>1</v>
      </c>
      <c r="J209" s="296">
        <v>1</v>
      </c>
      <c r="K209" s="748">
        <f ca="1">IF(I209&gt;0,J209*100/I209,0)</f>
        <v>100</v>
      </c>
      <c r="L209" s="90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90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IFERROR(__xludf.DUMMYFUNCTION("IMPORTRANGE(""https://docs.google.com/spreadsheets/d/1eHaY18a8A9IcSdp1K8H6x8fbOy06t2VsZHhMHf-1x7Y/edit?usp=sharing"",""แผน!JX57"")"),1)</f>
        <v>1</v>
      </c>
      <c r="J211" s="296">
        <v>0</v>
      </c>
      <c r="K211" s="748">
        <f ca="1">IF(I211&gt;0,J211*100/I211,0)</f>
        <v>0</v>
      </c>
      <c r="L211" s="90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IFERROR(__xludf.DUMMYFUNCTION("IMPORTRANGE(""https://docs.google.com/spreadsheets/d/1eHaY18a8A9IcSdp1K8H6x8fbOy06t2VsZHhMHf-1x7Y/edit?usp=sharing"",""แผน!JY57"")"),0)</f>
        <v>0</v>
      </c>
      <c r="J212" s="296">
        <v>0</v>
      </c>
      <c r="K212" s="748">
        <f ca="1">IF(I212&gt;0,J212*100/I212,0)</f>
        <v>0</v>
      </c>
      <c r="L212" s="90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2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266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7">
        <f ca="1">IFERROR(__xludf.DUMMYFUNCTION("IMPORTRANGE(""https://docs.google.com/spreadsheets/d/1eHaY18a8A9IcSdp1K8H6x8fbOy06t2VsZHhMHf-1x7Y/edit?usp=sharing"",""แผน!AM57"")"),0)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7">
        <f ca="1">IFERROR(__xludf.DUMMYFUNCTION("IMPORTRANGE(""https://docs.google.com/spreadsheets/d/1eHaY18a8A9IcSdp1K8H6x8fbOy06t2VsZHhMHf-1x7Y/edit?usp=sharing"",""แผน!AN57"")"),0)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7">
        <f ca="1">IFERROR(__xludf.DUMMYFUNCTION("IMPORTRANGE(""https://docs.google.com/spreadsheets/d/1eHaY18a8A9IcSdp1K8H6x8fbOy06t2VsZHhMHf-1x7Y/edit?usp=sharing"",""แผน!AO57"")"),0)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IFERROR(__xludf.DUMMYFUNCTION("IMPORTRANGE(""https://docs.google.com/spreadsheets/d/1eHaY18a8A9IcSdp1K8H6x8fbOy06t2VsZHhMHf-1x7Y/edit?usp=sharing"",""แผน!LY57"")"),0)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90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IFERROR(__xludf.DUMMYFUNCTION("IMPORTRANGE(""https://docs.google.com/spreadsheets/d/1eHaY18a8A9IcSdp1K8H6x8fbOy06t2VsZHhMHf-1x7Y/edit?usp=sharing"",""แผน!AP57"")"),0)</f>
        <v>0</v>
      </c>
      <c r="J219" s="296">
        <v>0</v>
      </c>
      <c r="K219" s="77">
        <f ca="1">IF(I219&gt;0,J219*100/I219,0)</f>
        <v>0</v>
      </c>
      <c r="L219" s="90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IFERROR(__xludf.DUMMYFUNCTION("IMPORTRANGE(""https://docs.google.com/spreadsheets/d/1eHaY18a8A9IcSdp1K8H6x8fbOy06t2VsZHhMHf-1x7Y/edit?usp=sharing"",""แผน!AP57"")"),0)</f>
        <v>0</v>
      </c>
      <c r="J220" s="296">
        <v>0</v>
      </c>
      <c r="K220" s="77">
        <f ca="1">IF(I220&gt;0,J220*100/I220,0)</f>
        <v>0</v>
      </c>
      <c r="L220" s="90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12800</v>
      </c>
      <c r="J221" s="542">
        <f>J229</f>
        <v>0</v>
      </c>
      <c r="K221" s="543">
        <f ca="1">IF(I221&gt;0,J221*100/I221,0)</f>
        <v>0</v>
      </c>
      <c r="L221" s="382"/>
      <c r="M221" s="382"/>
      <c r="N221" s="382"/>
      <c r="O221" s="382"/>
      <c r="P221" s="382"/>
      <c r="Q221" s="381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266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89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7">
        <f ca="1">IFERROR(__xludf.DUMMYFUNCTION("IMPORTRANGE(""https://docs.google.com/spreadsheets/d/1eHaY18a8A9IcSdp1K8H6x8fbOy06t2VsZHhMHf-1x7Y/edit?usp=sharing"",""แผน!AR57"")"),2500)</f>
        <v>2500</v>
      </c>
      <c r="M223" s="90"/>
      <c r="N223" s="391">
        <v>0</v>
      </c>
      <c r="O223" s="231"/>
      <c r="P223" s="90"/>
      <c r="Q223" s="89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7">
        <f ca="1">IFERROR(__xludf.DUMMYFUNCTION("IMPORTRANGE(""https://docs.google.com/spreadsheets/d/1eHaY18a8A9IcSdp1K8H6x8fbOy06t2VsZHhMHf-1x7Y/edit?usp=sharing"",""แผน!AS57"")"),2000)</f>
        <v>2000</v>
      </c>
      <c r="M224" s="90"/>
      <c r="N224" s="391">
        <v>0</v>
      </c>
      <c r="O224" s="231"/>
      <c r="P224" s="90"/>
      <c r="Q224" s="89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7">
        <f ca="1">IFERROR(__xludf.DUMMYFUNCTION("IMPORTRANGE(""https://docs.google.com/spreadsheets/d/1eHaY18a8A9IcSdp1K8H6x8fbOy06t2VsZHhMHf-1x7Y/edit?usp=sharing"",""แผน!AT57"")"),0)</f>
        <v>0</v>
      </c>
      <c r="M225" s="90"/>
      <c r="N225" s="391">
        <v>0</v>
      </c>
      <c r="O225" s="231"/>
      <c r="P225" s="90"/>
      <c r="Q225" s="89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1"/>
      <c r="M226" s="231"/>
      <c r="N226" s="231"/>
      <c r="O226" s="231"/>
      <c r="P226" s="231"/>
      <c r="Q226" s="230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1"/>
      <c r="M227" s="231"/>
      <c r="N227" s="231"/>
      <c r="O227" s="231"/>
      <c r="P227" s="231"/>
      <c r="Q227" s="230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IFERROR(__xludf.DUMMYFUNCTION("IMPORTRANGE(""https://docs.google.com/spreadsheets/d/1eHaY18a8A9IcSdp1K8H6x8fbOy06t2VsZHhMHf-1x7Y/edit?usp=sharing"",""แผน!AV57"")"),12800)</f>
        <v>12800</v>
      </c>
      <c r="J228" s="296">
        <v>0</v>
      </c>
      <c r="K228" s="748">
        <f ca="1">IF(I228&gt;0,J228*100/I228,0)</f>
        <v>0</v>
      </c>
      <c r="L228" s="231"/>
      <c r="M228" s="231"/>
      <c r="N228" s="231"/>
      <c r="O228" s="231"/>
      <c r="P228" s="231"/>
      <c r="Q228" s="230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IFERROR(__xludf.DUMMYFUNCTION("IMPORTRANGE(""https://docs.google.com/spreadsheets/d/1eHaY18a8A9IcSdp1K8H6x8fbOy06t2VsZHhMHf-1x7Y/edit?usp=sharing"",""แผน!AV57"")"),12800)</f>
        <v>12800</v>
      </c>
      <c r="J229" s="296">
        <v>0</v>
      </c>
      <c r="K229" s="748">
        <f ca="1">IF(I229&gt;0,J229*100/I229,0)</f>
        <v>0</v>
      </c>
      <c r="L229" s="90"/>
      <c r="M229" s="90"/>
      <c r="N229" s="90"/>
      <c r="O229" s="90"/>
      <c r="P229" s="90"/>
      <c r="Q229" s="89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IFERROR(__xludf.DUMMYFUNCTION("IMPORTRANGE(""https://docs.google.com/spreadsheets/d/1eHaY18a8A9IcSdp1K8H6x8fbOy06t2VsZHhMHf-1x7Y/edit?usp=sharing"",""แผน!AU57"")"),0)</f>
        <v>0</v>
      </c>
      <c r="J230" s="296">
        <v>0</v>
      </c>
      <c r="K230" s="748">
        <f ca="1">IF(I230&gt;0,J230*100/I230,0)</f>
        <v>0</v>
      </c>
      <c r="L230" s="90"/>
      <c r="M230" s="90"/>
      <c r="N230" s="90"/>
      <c r="O230" s="90"/>
      <c r="P230" s="90"/>
      <c r="Q230" s="89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0</v>
      </c>
      <c r="J231" s="943">
        <f>J242+J253</f>
        <v>0</v>
      </c>
      <c r="K231" s="942">
        <f ca="1">IF(I231&gt;0,J231*100/I231,0)</f>
        <v>0</v>
      </c>
      <c r="L231" s="956"/>
      <c r="M231" s="956"/>
      <c r="N231" s="956"/>
      <c r="O231" s="956"/>
      <c r="P231" s="956"/>
      <c r="Q231" s="957"/>
      <c r="R231" s="956"/>
      <c r="S231" s="956"/>
      <c r="T231" s="956"/>
      <c r="U231" s="956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287">
        <f ca="1">L243+L254</f>
        <v>0</v>
      </c>
      <c r="M232" s="874"/>
      <c r="N232" s="1287">
        <f>N243+N254</f>
        <v>0</v>
      </c>
      <c r="O232" s="874"/>
      <c r="P232" s="874"/>
      <c r="Q232" s="950"/>
      <c r="R232" s="874"/>
      <c r="S232" s="874"/>
      <c r="T232" s="874"/>
      <c r="U232" s="874"/>
    </row>
    <row r="233" spans="1:21" ht="18.75" hidden="1" x14ac:dyDescent="0.25">
      <c r="A233" s="882"/>
      <c r="B233" s="872"/>
      <c r="C233" s="872"/>
      <c r="D233" s="573" t="s">
        <v>86</v>
      </c>
      <c r="E233" s="870"/>
      <c r="F233" s="870"/>
      <c r="G233" s="869"/>
      <c r="H233" s="275" t="s">
        <v>14</v>
      </c>
      <c r="I233" s="876"/>
      <c r="J233" s="876"/>
      <c r="K233" s="881"/>
      <c r="L233" s="80">
        <f ca="1">L244+L255</f>
        <v>0</v>
      </c>
      <c r="M233" s="874"/>
      <c r="N233" s="80">
        <f>N244+N255</f>
        <v>0</v>
      </c>
      <c r="O233" s="874"/>
      <c r="P233" s="874"/>
      <c r="Q233" s="952">
        <v>0</v>
      </c>
      <c r="R233" s="951">
        <v>0</v>
      </c>
      <c r="S233" s="951">
        <v>0</v>
      </c>
      <c r="T233" s="874"/>
      <c r="U233" s="874"/>
    </row>
    <row r="234" spans="1:21" ht="18.75" hidden="1" x14ac:dyDescent="0.25">
      <c r="A234" s="873"/>
      <c r="B234" s="872"/>
      <c r="C234" s="872"/>
      <c r="D234" s="573" t="s">
        <v>88</v>
      </c>
      <c r="E234" s="870"/>
      <c r="F234" s="870"/>
      <c r="G234" s="869"/>
      <c r="H234" s="275" t="s">
        <v>14</v>
      </c>
      <c r="I234" s="875"/>
      <c r="J234" s="875"/>
      <c r="K234" s="874"/>
      <c r="L234" s="80">
        <f ca="1">L245+L256</f>
        <v>0</v>
      </c>
      <c r="M234" s="874"/>
      <c r="N234" s="80">
        <f>N245+N256</f>
        <v>0</v>
      </c>
      <c r="O234" s="874"/>
      <c r="P234" s="874"/>
      <c r="Q234" s="79">
        <v>0</v>
      </c>
      <c r="R234" s="80">
        <v>0</v>
      </c>
      <c r="S234" s="80">
        <v>0</v>
      </c>
      <c r="T234" s="874"/>
      <c r="U234" s="874"/>
    </row>
    <row r="235" spans="1:21" ht="18.75" hidden="1" x14ac:dyDescent="0.25">
      <c r="A235" s="873"/>
      <c r="B235" s="872"/>
      <c r="C235" s="872"/>
      <c r="D235" s="573" t="s">
        <v>106</v>
      </c>
      <c r="E235" s="870"/>
      <c r="F235" s="870"/>
      <c r="G235" s="869"/>
      <c r="H235" s="275" t="s">
        <v>14</v>
      </c>
      <c r="I235" s="875"/>
      <c r="J235" s="875"/>
      <c r="K235" s="874"/>
      <c r="L235" s="80">
        <f ca="1">L246+L257</f>
        <v>0</v>
      </c>
      <c r="M235" s="874"/>
      <c r="N235" s="80">
        <f>N246+N257</f>
        <v>0</v>
      </c>
      <c r="O235" s="874"/>
      <c r="P235" s="874"/>
      <c r="Q235" s="79">
        <v>0</v>
      </c>
      <c r="R235" s="80">
        <v>0</v>
      </c>
      <c r="S235" s="80">
        <v>0</v>
      </c>
      <c r="T235" s="874"/>
      <c r="U235" s="874"/>
    </row>
    <row r="236" spans="1:21" ht="18.75" hidden="1" x14ac:dyDescent="0.25">
      <c r="A236" s="873"/>
      <c r="B236" s="872"/>
      <c r="C236" s="872"/>
      <c r="D236" s="267" t="s">
        <v>107</v>
      </c>
      <c r="E236" s="870"/>
      <c r="F236" s="870"/>
      <c r="G236" s="869"/>
      <c r="H236" s="275" t="s">
        <v>14</v>
      </c>
      <c r="I236" s="875"/>
      <c r="J236" s="875"/>
      <c r="K236" s="874"/>
      <c r="L236" s="80">
        <f ca="1">L247+L258</f>
        <v>0</v>
      </c>
      <c r="M236" s="874"/>
      <c r="N236" s="80">
        <f>N247+N258</f>
        <v>0</v>
      </c>
      <c r="O236" s="874"/>
      <c r="P236" s="874"/>
      <c r="Q236" s="79">
        <v>0</v>
      </c>
      <c r="R236" s="80">
        <v>0</v>
      </c>
      <c r="S236" s="80">
        <v>0</v>
      </c>
      <c r="T236" s="874"/>
      <c r="U236" s="874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74"/>
      <c r="M237" s="874"/>
      <c r="N237" s="874"/>
      <c r="O237" s="881"/>
      <c r="P237" s="881"/>
      <c r="Q237" s="950"/>
      <c r="R237" s="874"/>
      <c r="S237" s="874"/>
      <c r="T237" s="881"/>
      <c r="U237" s="88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0</v>
      </c>
      <c r="J238" s="574">
        <f>J249+J260</f>
        <v>0</v>
      </c>
      <c r="K238" s="80">
        <f ca="1">IF(I238&gt;0,J238*100/I238,0)</f>
        <v>0</v>
      </c>
      <c r="L238" s="874"/>
      <c r="M238" s="874"/>
      <c r="N238" s="874"/>
      <c r="O238" s="874"/>
      <c r="P238" s="874"/>
      <c r="Q238" s="950"/>
      <c r="R238" s="874"/>
      <c r="S238" s="874"/>
      <c r="T238" s="874"/>
      <c r="U238" s="874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74"/>
      <c r="M239" s="874"/>
      <c r="N239" s="874"/>
      <c r="O239" s="881"/>
      <c r="P239" s="881"/>
      <c r="Q239" s="950"/>
      <c r="R239" s="874"/>
      <c r="S239" s="874"/>
      <c r="T239" s="881"/>
      <c r="U239" s="88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>I251+I262</f>
        <v>0</v>
      </c>
      <c r="J240" s="574">
        <f>J251+J262</f>
        <v>0</v>
      </c>
      <c r="K240" s="80">
        <f>IF(I240&gt;0,J240*100/I240,0)</f>
        <v>0</v>
      </c>
      <c r="L240" s="874"/>
      <c r="M240" s="874"/>
      <c r="N240" s="874"/>
      <c r="O240" s="874"/>
      <c r="P240" s="874"/>
      <c r="Q240" s="950"/>
      <c r="R240" s="874"/>
      <c r="S240" s="874"/>
      <c r="T240" s="874"/>
      <c r="U240" s="874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>I252+I263</f>
        <v>0</v>
      </c>
      <c r="J241" s="574">
        <f>J252+J263</f>
        <v>0</v>
      </c>
      <c r="K241" s="80">
        <f>IF(I241&gt;0,J241*100/I241,0)</f>
        <v>0</v>
      </c>
      <c r="L241" s="874"/>
      <c r="M241" s="874"/>
      <c r="N241" s="874"/>
      <c r="O241" s="874"/>
      <c r="P241" s="874"/>
      <c r="Q241" s="950"/>
      <c r="R241" s="874"/>
      <c r="S241" s="874"/>
      <c r="T241" s="874"/>
      <c r="U241" s="874"/>
    </row>
    <row r="242" spans="1:21" ht="19.5" hidden="1" x14ac:dyDescent="0.3">
      <c r="A242" s="949"/>
      <c r="B242" s="948"/>
      <c r="C242" s="1155" t="s">
        <v>111</v>
      </c>
      <c r="D242" s="946"/>
      <c r="E242" s="946"/>
      <c r="F242" s="946"/>
      <c r="G242" s="945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956"/>
      <c r="M242" s="956"/>
      <c r="N242" s="956"/>
      <c r="O242" s="956"/>
      <c r="P242" s="956"/>
      <c r="Q242" s="957"/>
      <c r="R242" s="956"/>
      <c r="S242" s="956"/>
      <c r="T242" s="956"/>
      <c r="U242" s="956"/>
    </row>
    <row r="243" spans="1:21" ht="19.5" hidden="1" x14ac:dyDescent="0.3">
      <c r="A243" s="882"/>
      <c r="B243" s="872"/>
      <c r="C243" s="940" t="s">
        <v>18</v>
      </c>
      <c r="D243" s="822" t="s">
        <v>19</v>
      </c>
      <c r="E243" s="870"/>
      <c r="F243" s="870"/>
      <c r="G243" s="869"/>
      <c r="H243" s="684" t="s">
        <v>14</v>
      </c>
      <c r="I243" s="876"/>
      <c r="J243" s="876"/>
      <c r="K243" s="881"/>
      <c r="L243" s="1287">
        <f ca="1">L244+L245+L246+L247</f>
        <v>0</v>
      </c>
      <c r="M243" s="874"/>
      <c r="N243" s="1287">
        <f>N244+N245+N246+N247</f>
        <v>0</v>
      </c>
      <c r="O243" s="1287">
        <f ca="1">IF(L243&gt;0,N243*100/L243,0)</f>
        <v>0</v>
      </c>
      <c r="P243" s="1287">
        <f>IF(M243&gt;0,N243*100/M243,0)</f>
        <v>0</v>
      </c>
      <c r="Q243" s="950"/>
      <c r="R243" s="874"/>
      <c r="S243" s="874"/>
      <c r="T243" s="874"/>
      <c r="U243" s="874"/>
    </row>
    <row r="244" spans="1:21" ht="18.75" hidden="1" x14ac:dyDescent="0.25">
      <c r="A244" s="882"/>
      <c r="B244" s="872"/>
      <c r="C244" s="872"/>
      <c r="D244" s="573" t="s">
        <v>86</v>
      </c>
      <c r="E244" s="870"/>
      <c r="F244" s="870"/>
      <c r="G244" s="869"/>
      <c r="H244" s="275" t="s">
        <v>14</v>
      </c>
      <c r="I244" s="876"/>
      <c r="J244" s="876"/>
      <c r="K244" s="881"/>
      <c r="L244" s="80">
        <f ca="1">IFERROR(__xludf.DUMMYFUNCTION("IMPORTRANGE(""https://docs.google.com/spreadsheets/d/1eHaY18a8A9IcSdp1K8H6x8fbOy06t2VsZHhMHf-1x7Y/edit?usp=sharing"",""แผน!AX57"")"),0)</f>
        <v>0</v>
      </c>
      <c r="M244" s="874"/>
      <c r="N244" s="1292">
        <v>0</v>
      </c>
      <c r="O244" s="874"/>
      <c r="P244" s="874"/>
      <c r="Q244" s="950"/>
      <c r="R244" s="874"/>
      <c r="S244" s="874"/>
      <c r="T244" s="874"/>
      <c r="U244" s="874"/>
    </row>
    <row r="245" spans="1:21" ht="18.75" hidden="1" x14ac:dyDescent="0.25">
      <c r="A245" s="873"/>
      <c r="B245" s="872"/>
      <c r="C245" s="872"/>
      <c r="D245" s="573" t="s">
        <v>88</v>
      </c>
      <c r="E245" s="870"/>
      <c r="F245" s="870"/>
      <c r="G245" s="869"/>
      <c r="H245" s="275" t="s">
        <v>14</v>
      </c>
      <c r="I245" s="875"/>
      <c r="J245" s="875"/>
      <c r="K245" s="874"/>
      <c r="L245" s="80">
        <f ca="1">IFERROR(__xludf.DUMMYFUNCTION("IMPORTRANGE(""https://docs.google.com/spreadsheets/d/1eHaY18a8A9IcSdp1K8H6x8fbOy06t2VsZHhMHf-1x7Y/edit?usp=sharing"",""แผน!AY57"")"),0)</f>
        <v>0</v>
      </c>
      <c r="M245" s="874"/>
      <c r="N245" s="1292">
        <v>0</v>
      </c>
      <c r="O245" s="874"/>
      <c r="P245" s="874"/>
      <c r="Q245" s="950"/>
      <c r="R245" s="874"/>
      <c r="S245" s="874"/>
      <c r="T245" s="874"/>
      <c r="U245" s="874"/>
    </row>
    <row r="246" spans="1:21" ht="18.75" hidden="1" x14ac:dyDescent="0.25">
      <c r="A246" s="873"/>
      <c r="B246" s="872"/>
      <c r="C246" s="872"/>
      <c r="D246" s="573" t="s">
        <v>106</v>
      </c>
      <c r="E246" s="870"/>
      <c r="F246" s="870"/>
      <c r="G246" s="869"/>
      <c r="H246" s="275" t="s">
        <v>14</v>
      </c>
      <c r="I246" s="875"/>
      <c r="J246" s="875"/>
      <c r="K246" s="874"/>
      <c r="L246" s="80">
        <f ca="1">IFERROR(__xludf.DUMMYFUNCTION("IMPORTRANGE(""https://docs.google.com/spreadsheets/d/1eHaY18a8A9IcSdp1K8H6x8fbOy06t2VsZHhMHf-1x7Y/edit?usp=sharing"",""แผน!AZ57"")"),0)</f>
        <v>0</v>
      </c>
      <c r="M246" s="874"/>
      <c r="N246" s="1292">
        <v>0</v>
      </c>
      <c r="O246" s="874"/>
      <c r="P246" s="874"/>
      <c r="Q246" s="950"/>
      <c r="R246" s="874"/>
      <c r="S246" s="874"/>
      <c r="T246" s="874"/>
      <c r="U246" s="874"/>
    </row>
    <row r="247" spans="1:21" ht="18.75" hidden="1" x14ac:dyDescent="0.25">
      <c r="A247" s="873"/>
      <c r="B247" s="872"/>
      <c r="C247" s="872"/>
      <c r="D247" s="267" t="s">
        <v>107</v>
      </c>
      <c r="E247" s="870"/>
      <c r="F247" s="870"/>
      <c r="G247" s="869"/>
      <c r="H247" s="275" t="s">
        <v>14</v>
      </c>
      <c r="I247" s="875"/>
      <c r="J247" s="875"/>
      <c r="K247" s="874"/>
      <c r="L247" s="80">
        <f ca="1">IFERROR(__xludf.DUMMYFUNCTION("IMPORTRANGE(""https://docs.google.com/spreadsheets/d/1eHaY18a8A9IcSdp1K8H6x8fbOy06t2VsZHhMHf-1x7Y/edit?usp=sharing"",""แผน!BA57"")"),0)</f>
        <v>0</v>
      </c>
      <c r="M247" s="874"/>
      <c r="N247" s="1292">
        <v>0</v>
      </c>
      <c r="O247" s="874"/>
      <c r="P247" s="874"/>
      <c r="Q247" s="950"/>
      <c r="R247" s="874"/>
      <c r="S247" s="874"/>
      <c r="T247" s="874"/>
      <c r="U247" s="874"/>
    </row>
    <row r="248" spans="1:21" ht="19.5" hidden="1" x14ac:dyDescent="0.3">
      <c r="A248" s="880"/>
      <c r="B248" s="871"/>
      <c r="C248" s="940" t="s">
        <v>18</v>
      </c>
      <c r="D248" s="846" t="s">
        <v>38</v>
      </c>
      <c r="E248" s="879"/>
      <c r="F248" s="879"/>
      <c r="G248" s="878"/>
      <c r="H248" s="1157"/>
      <c r="I248" s="876"/>
      <c r="J248" s="875"/>
      <c r="K248" s="874"/>
      <c r="L248" s="874"/>
      <c r="M248" s="874"/>
      <c r="N248" s="874"/>
      <c r="O248" s="881"/>
      <c r="P248" s="881"/>
      <c r="Q248" s="950"/>
      <c r="R248" s="874"/>
      <c r="S248" s="874"/>
      <c r="T248" s="881"/>
      <c r="U248" s="881"/>
    </row>
    <row r="249" spans="1:21" ht="18.75" hidden="1" x14ac:dyDescent="0.25">
      <c r="A249" s="880"/>
      <c r="B249" s="871"/>
      <c r="C249" s="871"/>
      <c r="D249" s="310" t="s">
        <v>108</v>
      </c>
      <c r="E249" s="937"/>
      <c r="F249" s="937"/>
      <c r="G249" s="877"/>
      <c r="H249" s="687" t="s">
        <v>35</v>
      </c>
      <c r="I249" s="574">
        <f ca="1">IFERROR(__xludf.DUMMYFUNCTION("IMPORTRANGE(""https://docs.google.com/spreadsheets/d/1eHaY18a8A9IcSdp1K8H6x8fbOy06t2VsZHhMHf-1x7Y/edit?usp=sharing"",""แผน!BG57"")"),0)</f>
        <v>0</v>
      </c>
      <c r="J249" s="867">
        <v>0</v>
      </c>
      <c r="K249" s="80">
        <f ca="1">IF(I249&gt;0,J249*100/I249,0)</f>
        <v>0</v>
      </c>
      <c r="L249" s="874"/>
      <c r="M249" s="874"/>
      <c r="N249" s="874"/>
      <c r="O249" s="874"/>
      <c r="P249" s="874"/>
      <c r="Q249" s="950"/>
      <c r="R249" s="874"/>
      <c r="S249" s="874"/>
      <c r="T249" s="874"/>
      <c r="U249" s="874"/>
    </row>
    <row r="250" spans="1:21" ht="18.75" hidden="1" x14ac:dyDescent="0.25">
      <c r="A250" s="880"/>
      <c r="B250" s="871"/>
      <c r="C250" s="871"/>
      <c r="D250" s="939" t="s">
        <v>43</v>
      </c>
      <c r="E250" s="937"/>
      <c r="F250" s="937"/>
      <c r="G250" s="877"/>
      <c r="H250" s="1157"/>
      <c r="I250" s="875"/>
      <c r="J250" s="875"/>
      <c r="K250" s="874"/>
      <c r="L250" s="874"/>
      <c r="M250" s="874"/>
      <c r="N250" s="874"/>
      <c r="O250" s="881"/>
      <c r="P250" s="881"/>
      <c r="Q250" s="950"/>
      <c r="R250" s="874"/>
      <c r="S250" s="874"/>
      <c r="T250" s="881"/>
      <c r="U250" s="881"/>
    </row>
    <row r="251" spans="1:21" ht="18.75" hidden="1" x14ac:dyDescent="0.25">
      <c r="A251" s="880"/>
      <c r="B251" s="871"/>
      <c r="C251" s="871"/>
      <c r="D251" s="871"/>
      <c r="E251" s="938" t="s">
        <v>109</v>
      </c>
      <c r="F251" s="937"/>
      <c r="G251" s="877"/>
      <c r="H251" s="687" t="s">
        <v>35</v>
      </c>
      <c r="I251" s="574">
        <v>0</v>
      </c>
      <c r="J251" s="867">
        <v>0</v>
      </c>
      <c r="K251" s="80">
        <f>IF(I251&gt;0,J251*100/I251,0)</f>
        <v>0</v>
      </c>
      <c r="L251" s="874"/>
      <c r="M251" s="874"/>
      <c r="N251" s="874"/>
      <c r="O251" s="874"/>
      <c r="P251" s="874"/>
      <c r="Q251" s="950"/>
      <c r="R251" s="874"/>
      <c r="S251" s="874"/>
      <c r="T251" s="874"/>
      <c r="U251" s="874"/>
    </row>
    <row r="252" spans="1:21" ht="18.75" hidden="1" x14ac:dyDescent="0.25">
      <c r="A252" s="880"/>
      <c r="B252" s="871"/>
      <c r="C252" s="871"/>
      <c r="D252" s="871"/>
      <c r="E252" s="938" t="s">
        <v>110</v>
      </c>
      <c r="F252" s="937"/>
      <c r="G252" s="877"/>
      <c r="H252" s="687" t="s">
        <v>61</v>
      </c>
      <c r="I252" s="574">
        <v>0</v>
      </c>
      <c r="J252" s="867">
        <v>0</v>
      </c>
      <c r="K252" s="80">
        <f>IF(I252&gt;0,J252*100/I252,0)</f>
        <v>0</v>
      </c>
      <c r="L252" s="874"/>
      <c r="M252" s="874"/>
      <c r="N252" s="874"/>
      <c r="O252" s="874"/>
      <c r="P252" s="874"/>
      <c r="Q252" s="950"/>
      <c r="R252" s="874"/>
      <c r="S252" s="874"/>
      <c r="T252" s="874"/>
      <c r="U252" s="874"/>
    </row>
    <row r="253" spans="1:21" ht="19.5" hidden="1" x14ac:dyDescent="0.3">
      <c r="A253" s="949"/>
      <c r="B253" s="948"/>
      <c r="C253" s="1155" t="s">
        <v>112</v>
      </c>
      <c r="D253" s="946"/>
      <c r="E253" s="946"/>
      <c r="F253" s="946"/>
      <c r="G253" s="945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956"/>
      <c r="M253" s="956"/>
      <c r="N253" s="956"/>
      <c r="O253" s="956"/>
      <c r="P253" s="956"/>
      <c r="Q253" s="957"/>
      <c r="R253" s="956"/>
      <c r="S253" s="956"/>
      <c r="T253" s="956"/>
      <c r="U253" s="956"/>
    </row>
    <row r="254" spans="1:21" ht="19.5" hidden="1" x14ac:dyDescent="0.3">
      <c r="A254" s="882"/>
      <c r="B254" s="872"/>
      <c r="C254" s="940" t="s">
        <v>18</v>
      </c>
      <c r="D254" s="941" t="s">
        <v>19</v>
      </c>
      <c r="E254" s="870"/>
      <c r="F254" s="870"/>
      <c r="G254" s="869"/>
      <c r="H254" s="684" t="s">
        <v>14</v>
      </c>
      <c r="I254" s="876"/>
      <c r="J254" s="876"/>
      <c r="K254" s="881"/>
      <c r="L254" s="1287">
        <f ca="1">L255+L256+L257+L258</f>
        <v>0</v>
      </c>
      <c r="M254" s="874"/>
      <c r="N254" s="1287">
        <f>N255+N256+N257+N258</f>
        <v>0</v>
      </c>
      <c r="O254" s="1287">
        <f ca="1">IF(L254&gt;0,N254*100/L254,0)</f>
        <v>0</v>
      </c>
      <c r="P254" s="1287">
        <f>IF(M254&gt;0,N254*100/M254,0)</f>
        <v>0</v>
      </c>
      <c r="Q254" s="950"/>
      <c r="R254" s="874"/>
      <c r="S254" s="874"/>
      <c r="T254" s="874"/>
      <c r="U254" s="874"/>
    </row>
    <row r="255" spans="1:21" ht="18.75" hidden="1" x14ac:dyDescent="0.25">
      <c r="A255" s="882"/>
      <c r="B255" s="872"/>
      <c r="C255" s="872"/>
      <c r="D255" s="573" t="s">
        <v>86</v>
      </c>
      <c r="E255" s="870"/>
      <c r="F255" s="870"/>
      <c r="G255" s="869"/>
      <c r="H255" s="275" t="s">
        <v>14</v>
      </c>
      <c r="I255" s="876"/>
      <c r="J255" s="876"/>
      <c r="K255" s="881"/>
      <c r="L255" s="80">
        <f ca="1">IFERROR(__xludf.DUMMYFUNCTION("IMPORTRANGE(""https://docs.google.com/spreadsheets/d/1eHaY18a8A9IcSdp1K8H6x8fbOy06t2VsZHhMHf-1x7Y/edit?usp=sharing"",""แผน!BB57"")"),0)</f>
        <v>0</v>
      </c>
      <c r="M255" s="874"/>
      <c r="N255" s="1292">
        <v>0</v>
      </c>
      <c r="O255" s="874"/>
      <c r="P255" s="874"/>
      <c r="Q255" s="950"/>
      <c r="R255" s="874"/>
      <c r="S255" s="874"/>
      <c r="T255" s="874"/>
      <c r="U255" s="874"/>
    </row>
    <row r="256" spans="1:21" ht="18.75" hidden="1" x14ac:dyDescent="0.25">
      <c r="A256" s="873"/>
      <c r="B256" s="872"/>
      <c r="C256" s="872"/>
      <c r="D256" s="573" t="s">
        <v>88</v>
      </c>
      <c r="E256" s="870"/>
      <c r="F256" s="870"/>
      <c r="G256" s="869"/>
      <c r="H256" s="275" t="s">
        <v>14</v>
      </c>
      <c r="I256" s="875"/>
      <c r="J256" s="875"/>
      <c r="K256" s="874"/>
      <c r="L256" s="80">
        <f ca="1">IFERROR(__xludf.DUMMYFUNCTION("IMPORTRANGE(""https://docs.google.com/spreadsheets/d/1eHaY18a8A9IcSdp1K8H6x8fbOy06t2VsZHhMHf-1x7Y/edit?usp=sharing"",""แผน!BC57"")"),0)</f>
        <v>0</v>
      </c>
      <c r="M256" s="874"/>
      <c r="N256" s="1292">
        <v>0</v>
      </c>
      <c r="O256" s="874"/>
      <c r="P256" s="874"/>
      <c r="Q256" s="950"/>
      <c r="R256" s="874"/>
      <c r="S256" s="874"/>
      <c r="T256" s="874"/>
      <c r="U256" s="874"/>
    </row>
    <row r="257" spans="1:21" ht="18.75" hidden="1" x14ac:dyDescent="0.25">
      <c r="A257" s="873"/>
      <c r="B257" s="872"/>
      <c r="C257" s="872"/>
      <c r="D257" s="573" t="s">
        <v>106</v>
      </c>
      <c r="E257" s="870"/>
      <c r="F257" s="870"/>
      <c r="G257" s="869"/>
      <c r="H257" s="275" t="s">
        <v>14</v>
      </c>
      <c r="I257" s="875"/>
      <c r="J257" s="875"/>
      <c r="K257" s="874"/>
      <c r="L257" s="80">
        <f ca="1">IFERROR(__xludf.DUMMYFUNCTION("IMPORTRANGE(""https://docs.google.com/spreadsheets/d/1eHaY18a8A9IcSdp1K8H6x8fbOy06t2VsZHhMHf-1x7Y/edit?usp=sharing"",""แผน!BD57"")"),0)</f>
        <v>0</v>
      </c>
      <c r="M257" s="874"/>
      <c r="N257" s="1292">
        <v>0</v>
      </c>
      <c r="O257" s="874"/>
      <c r="P257" s="874"/>
      <c r="Q257" s="950"/>
      <c r="R257" s="874"/>
      <c r="S257" s="874"/>
      <c r="T257" s="874"/>
      <c r="U257" s="874"/>
    </row>
    <row r="258" spans="1:21" ht="18.75" hidden="1" x14ac:dyDescent="0.25">
      <c r="A258" s="873"/>
      <c r="B258" s="872"/>
      <c r="C258" s="872"/>
      <c r="D258" s="267" t="s">
        <v>107</v>
      </c>
      <c r="E258" s="870"/>
      <c r="F258" s="870"/>
      <c r="G258" s="869"/>
      <c r="H258" s="275" t="s">
        <v>14</v>
      </c>
      <c r="I258" s="875"/>
      <c r="J258" s="875"/>
      <c r="K258" s="874"/>
      <c r="L258" s="80">
        <f ca="1">IFERROR(__xludf.DUMMYFUNCTION("IMPORTRANGE(""https://docs.google.com/spreadsheets/d/1eHaY18a8A9IcSdp1K8H6x8fbOy06t2VsZHhMHf-1x7Y/edit?usp=sharing"",""แผน!BE57"")"),0)</f>
        <v>0</v>
      </c>
      <c r="M258" s="874"/>
      <c r="N258" s="1292">
        <v>0</v>
      </c>
      <c r="O258" s="874"/>
      <c r="P258" s="874"/>
      <c r="Q258" s="950"/>
      <c r="R258" s="874"/>
      <c r="S258" s="874"/>
      <c r="T258" s="874"/>
      <c r="U258" s="874"/>
    </row>
    <row r="259" spans="1:21" ht="19.5" hidden="1" x14ac:dyDescent="0.3">
      <c r="A259" s="880"/>
      <c r="B259" s="871"/>
      <c r="C259" s="940" t="s">
        <v>18</v>
      </c>
      <c r="D259" s="846" t="s">
        <v>38</v>
      </c>
      <c r="E259" s="879"/>
      <c r="F259" s="879"/>
      <c r="G259" s="878"/>
      <c r="H259" s="877"/>
      <c r="I259" s="876"/>
      <c r="J259" s="875"/>
      <c r="K259" s="874"/>
      <c r="L259" s="874"/>
      <c r="M259" s="874"/>
      <c r="N259" s="874"/>
      <c r="O259" s="881"/>
      <c r="P259" s="881"/>
      <c r="Q259" s="950"/>
      <c r="R259" s="874"/>
      <c r="S259" s="874"/>
      <c r="T259" s="881"/>
      <c r="U259" s="881"/>
    </row>
    <row r="260" spans="1:21" ht="18.75" hidden="1" x14ac:dyDescent="0.25">
      <c r="A260" s="880"/>
      <c r="B260" s="871"/>
      <c r="C260" s="871"/>
      <c r="D260" s="310" t="s">
        <v>108</v>
      </c>
      <c r="E260" s="937"/>
      <c r="F260" s="937"/>
      <c r="G260" s="877"/>
      <c r="H260" s="687" t="s">
        <v>35</v>
      </c>
      <c r="I260" s="574">
        <f ca="1">IFERROR(__xludf.DUMMYFUNCTION("IMPORTRANGE(""https://docs.google.com/spreadsheets/d/1eHaY18a8A9IcSdp1K8H6x8fbOy06t2VsZHhMHf-1x7Y/edit?usp=sharing"",""แผน!BH57"")"),0)</f>
        <v>0</v>
      </c>
      <c r="J260" s="867">
        <v>0</v>
      </c>
      <c r="K260" s="80">
        <f ca="1">IF(I260&gt;0,J260*100/I260,0)</f>
        <v>0</v>
      </c>
      <c r="L260" s="874"/>
      <c r="M260" s="874"/>
      <c r="N260" s="874"/>
      <c r="O260" s="874"/>
      <c r="P260" s="874"/>
      <c r="Q260" s="950"/>
      <c r="R260" s="874"/>
      <c r="S260" s="874"/>
      <c r="T260" s="874"/>
      <c r="U260" s="874"/>
    </row>
    <row r="261" spans="1:21" ht="18.75" hidden="1" x14ac:dyDescent="0.25">
      <c r="A261" s="880"/>
      <c r="B261" s="871"/>
      <c r="C261" s="871"/>
      <c r="D261" s="939" t="s">
        <v>43</v>
      </c>
      <c r="E261" s="937"/>
      <c r="F261" s="937"/>
      <c r="G261" s="877"/>
      <c r="H261" s="1157"/>
      <c r="I261" s="875"/>
      <c r="J261" s="875"/>
      <c r="K261" s="874"/>
      <c r="L261" s="874"/>
      <c r="M261" s="874"/>
      <c r="N261" s="874"/>
      <c r="O261" s="881"/>
      <c r="P261" s="881"/>
      <c r="Q261" s="950"/>
      <c r="R261" s="874"/>
      <c r="S261" s="874"/>
      <c r="T261" s="881"/>
      <c r="U261" s="881"/>
    </row>
    <row r="262" spans="1:21" ht="18.75" hidden="1" x14ac:dyDescent="0.25">
      <c r="A262" s="880"/>
      <c r="B262" s="871"/>
      <c r="C262" s="871"/>
      <c r="D262" s="871"/>
      <c r="E262" s="938" t="s">
        <v>109</v>
      </c>
      <c r="F262" s="937"/>
      <c r="G262" s="877"/>
      <c r="H262" s="687" t="s">
        <v>35</v>
      </c>
      <c r="I262" s="875"/>
      <c r="J262" s="867">
        <v>0</v>
      </c>
      <c r="K262" s="80">
        <f>IF(I262&gt;0,J262*100/I262,0)</f>
        <v>0</v>
      </c>
      <c r="L262" s="874"/>
      <c r="M262" s="874"/>
      <c r="N262" s="874"/>
      <c r="O262" s="874"/>
      <c r="P262" s="874"/>
      <c r="Q262" s="950"/>
      <c r="R262" s="874"/>
      <c r="S262" s="874"/>
      <c r="T262" s="874"/>
      <c r="U262" s="874"/>
    </row>
    <row r="263" spans="1:21" ht="18.75" hidden="1" x14ac:dyDescent="0.25">
      <c r="A263" s="880"/>
      <c r="B263" s="871"/>
      <c r="C263" s="871"/>
      <c r="D263" s="871"/>
      <c r="E263" s="938" t="s">
        <v>110</v>
      </c>
      <c r="F263" s="937"/>
      <c r="G263" s="877"/>
      <c r="H263" s="687" t="s">
        <v>61</v>
      </c>
      <c r="I263" s="875"/>
      <c r="J263" s="867">
        <v>0</v>
      </c>
      <c r="K263" s="80">
        <f>IF(I263&gt;0,J263*100/I263,0)</f>
        <v>0</v>
      </c>
      <c r="L263" s="874"/>
      <c r="M263" s="874"/>
      <c r="N263" s="874"/>
      <c r="O263" s="874"/>
      <c r="P263" s="874"/>
      <c r="Q263" s="950"/>
      <c r="R263" s="874"/>
      <c r="S263" s="874"/>
      <c r="T263" s="874"/>
      <c r="U263" s="874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356"/>
      <c r="M264" s="356"/>
      <c r="N264" s="356"/>
      <c r="O264" s="356"/>
      <c r="P264" s="356"/>
      <c r="Q264" s="1274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365"/>
      <c r="M265" s="365"/>
      <c r="N265" s="365"/>
      <c r="O265" s="365"/>
      <c r="P265" s="365"/>
      <c r="Q265" s="1273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1291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80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79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1290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1290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80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79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IFERROR(__xludf.DUMMYFUNCTION("IMPORTRANGE(""https://docs.google.com/spreadsheets/d/1-uDff_7J0KD5mKrp0Vvzr7lt3OU09vwQwhkpOPPYv2Y/edit?usp=sharing"",""งบพรบ!DE57"")"),0)</f>
        <v>0</v>
      </c>
      <c r="M271" s="91">
        <f ca="1">IFERROR(__xludf.DUMMYFUNCTION("IMPORTRANGE(""https://docs.google.com/spreadsheets/d/1-uDff_7J0KD5mKrp0Vvzr7lt3OU09vwQwhkpOPPYv2Y/edit?usp=sharing"",""งบพรบ!DJ57"")"),5000)</f>
        <v>5000</v>
      </c>
      <c r="N271" s="91">
        <f ca="1">IFERROR(__xludf.DUMMYFUNCTION("IMPORTRANGE(""https://docs.google.com/spreadsheets/d/1-uDff_7J0KD5mKrp0Vvzr7lt3OU09vwQwhkpOPPYv2Y/edit?usp=sharing"",""งบพรบ!DL57"")"),0)</f>
        <v>0</v>
      </c>
      <c r="O271" s="91">
        <f ca="1">IF(L271&gt;0,N271*100/L271,0)</f>
        <v>0</v>
      </c>
      <c r="P271" s="91">
        <f ca="1">IF(M271&gt;0,N271*100/M271,0)</f>
        <v>0</v>
      </c>
      <c r="Q271" s="1290">
        <f ca="1">IFERROR(__xludf.DUMMYFUNCTION("IMPORTRANGE(""https://docs.google.com/spreadsheets/d/1ItG2mGa2ceCfYo0BwxsXqNm01IGEUdYcSSLTEv9YCik/edit?usp=sharing"",""เบิกจ่ายกองทุน!AJ57"")"),50660)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IFERROR(__xludf.DUMMYFUNCTION("IMPORTRANGE(""https://docs.google.com/spreadsheets/d/1ItG2mGa2ceCfYo0BwxsXqNm01IGEUdYcSSLTEv9YCik/edit?usp=sharing"",""เบิกจ่ายกองทุน!AK57"")"),50660)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IFERROR(__xludf.DUMMYFUNCTION("IMPORTRANGE(""https://docs.google.com/spreadsheets/d/1ItG2mGa2ceCfYo0BwxsXqNm01IGEUdYcSSLTEv9YCik/edit?usp=sharing"",""เบิกจ่ายกองทุน!AL57"")"),0)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1290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80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79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IFERROR(__xludf.DUMMYFUNCTION("IMPORTRANGE(""https://docs.google.com/spreadsheets/d/1-uDff_7J0KD5mKrp0Vvzr7lt3OU09vwQwhkpOPPYv2Y/edit?usp=sharing"",""งบพรบ!DH57"")"),0)</f>
        <v>0</v>
      </c>
      <c r="M274" s="91">
        <f ca="1">IFERROR(__xludf.DUMMYFUNCTION("IMPORTRANGE(""https://docs.google.com/spreadsheets/d/1-uDff_7J0KD5mKrp0Vvzr7lt3OU09vwQwhkpOPPYv2Y/edit?usp=sharing"",""งบพรบ!DK57"")"),0)</f>
        <v>0</v>
      </c>
      <c r="N274" s="91">
        <f ca="1">IFERROR(__xludf.DUMMYFUNCTION("IMPORTRANGE(""https://docs.google.com/spreadsheets/d/1-uDff_7J0KD5mKrp0Vvzr7lt3OU09vwQwhkpOPPYv2Y/edit?usp=sharing"",""งบพรบ!DM57"")"),0)</f>
        <v>0</v>
      </c>
      <c r="O274" s="91">
        <f ca="1">IF(L274&gt;0,N274*100/L274,0)</f>
        <v>0</v>
      </c>
      <c r="P274" s="91">
        <f ca="1">IF(M274&gt;0,N274*100/M274,0)</f>
        <v>0</v>
      </c>
      <c r="Q274" s="1290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1269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IFERROR(__xludf.DUMMYFUNCTION("IMPORTRANGE(""https://docs.google.com/spreadsheets/d/1eHaY18a8A9IcSdp1K8H6x8fbOy06t2VsZHhMHf-1x7Y/edit?usp=sharing"",""แผน!EC57"")"),22)</f>
        <v>22</v>
      </c>
      <c r="J276" s="931">
        <v>0</v>
      </c>
      <c r="K276" s="88">
        <f ca="1">IF(I276&gt;0,J276*100/I276,0)</f>
        <v>0</v>
      </c>
      <c r="L276" s="87"/>
      <c r="M276" s="87"/>
      <c r="N276" s="87"/>
      <c r="O276" s="87"/>
      <c r="P276" s="87"/>
      <c r="Q276" s="523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4"/>
      <c r="M277" s="1264"/>
      <c r="N277" s="1264"/>
      <c r="O277" s="1264"/>
      <c r="P277" s="1264"/>
      <c r="Q277" s="1265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3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3"/>
      <c r="M279" s="463"/>
      <c r="N279" s="463"/>
      <c r="O279" s="463"/>
      <c r="P279" s="463"/>
      <c r="Q279" s="462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4"/>
      <c r="M280" s="474"/>
      <c r="N280" s="474"/>
      <c r="O280" s="474"/>
      <c r="P280" s="474"/>
      <c r="Q280" s="473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4"/>
      <c r="M281" s="474"/>
      <c r="N281" s="474"/>
      <c r="O281" s="474"/>
      <c r="P281" s="474"/>
      <c r="Q281" s="473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66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393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80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79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7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6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7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6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80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79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7">
        <f ca="1">IFERROR(__xludf.DUMMYFUNCTION("IMPORTRANGE(""https://docs.google.com/spreadsheets/d/1-uDff_7J0KD5mKrp0Vvzr7lt3OU09vwQwhkpOPPYv2Y/edit?usp=sharing"",""งบพรบ!DO57"")"),0)</f>
        <v>0</v>
      </c>
      <c r="M287" s="77">
        <f ca="1">IFERROR(__xludf.DUMMYFUNCTION("IMPORTRANGE(""https://docs.google.com/spreadsheets/d/1-uDff_7J0KD5mKrp0Vvzr7lt3OU09vwQwhkpOPPYv2Y/edit?usp=sharing"",""งบพรบ!DT57"")"),0)</f>
        <v>0</v>
      </c>
      <c r="N287" s="77">
        <f ca="1">IFERROR(__xludf.DUMMYFUNCTION("IMPORTRANGE(""https://docs.google.com/spreadsheets/d/1-uDff_7J0KD5mKrp0Vvzr7lt3OU09vwQwhkpOPPYv2Y/edit?usp=sharing"",""งบพรบ!DV57"")"),0)</f>
        <v>0</v>
      </c>
      <c r="O287" s="77">
        <f ca="1">IF(L287&gt;0,N287*100/L287,0)</f>
        <v>0</v>
      </c>
      <c r="P287" s="77">
        <f ca="1">IF(M287&gt;0,N287*100/M287,0)</f>
        <v>0</v>
      </c>
      <c r="Q287" s="76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7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6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80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79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7">
        <f ca="1">IFERROR(__xludf.DUMMYFUNCTION("IMPORTRANGE(""https://docs.google.com/spreadsheets/d/1-uDff_7J0KD5mKrp0Vvzr7lt3OU09vwQwhkpOPPYv2Y/edit?usp=sharing"",""งบพรบ!DR57"")"),0)</f>
        <v>0</v>
      </c>
      <c r="M290" s="77">
        <f ca="1">IFERROR(__xludf.DUMMYFUNCTION("IMPORTRANGE(""https://docs.google.com/spreadsheets/d/1-uDff_7J0KD5mKrp0Vvzr7lt3OU09vwQwhkpOPPYv2Y/edit?usp=sharing"",""งบพรบ!DU57"")"),0)</f>
        <v>0</v>
      </c>
      <c r="N290" s="77">
        <f ca="1">IFERROR(__xludf.DUMMYFUNCTION("IMPORTRANGE(""https://docs.google.com/spreadsheets/d/1-uDff_7J0KD5mKrp0Vvzr7lt3OU09vwQwhkpOPPYv2Y/edit?usp=sharing"",""งบพรบ!DW57"")"),0)</f>
        <v>0</v>
      </c>
      <c r="O290" s="77">
        <f ca="1">IF(L290&gt;0,N290*100/L290,0)</f>
        <v>0</v>
      </c>
      <c r="P290" s="77">
        <f ca="1">IF(M290&gt;0,N290*100/M290,0)</f>
        <v>0</v>
      </c>
      <c r="Q290" s="76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1"/>
      <c r="M291" s="231"/>
      <c r="N291" s="231"/>
      <c r="O291" s="231"/>
      <c r="P291" s="231"/>
      <c r="Q291" s="230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IFERROR(__xludf.DUMMYFUNCTION("IMPORTRANGE(""https://docs.google.com/spreadsheets/d/1eHaY18a8A9IcSdp1K8H6x8fbOy06t2VsZHhMHf-1x7Y/edit?usp=sharing"",""แผน!EE57"")"),0)</f>
        <v>0</v>
      </c>
      <c r="J292" s="296">
        <v>0</v>
      </c>
      <c r="K292" s="748">
        <f ca="1">IF(I292&gt;0,J292*100/I292,0)</f>
        <v>0</v>
      </c>
      <c r="L292" s="231"/>
      <c r="M292" s="231"/>
      <c r="N292" s="231"/>
      <c r="O292" s="231"/>
      <c r="P292" s="231"/>
      <c r="Q292" s="230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IFERROR(__xludf.DUMMYFUNCTION("IMPORTRANGE(""https://docs.google.com/spreadsheets/d/1eHaY18a8A9IcSdp1K8H6x8fbOy06t2VsZHhMHf-1x7Y/edit?usp=sharing"",""แผน!ED57"")"),0)</f>
        <v>0</v>
      </c>
      <c r="J293" s="603">
        <f>J296</f>
        <v>0</v>
      </c>
      <c r="K293" s="1125">
        <f ca="1">IF(I293&gt;0,J293*100/I293,0)</f>
        <v>0</v>
      </c>
      <c r="L293" s="231"/>
      <c r="M293" s="231"/>
      <c r="N293" s="231"/>
      <c r="O293" s="231"/>
      <c r="P293" s="231"/>
      <c r="Q293" s="230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1"/>
      <c r="M294" s="231"/>
      <c r="N294" s="231"/>
      <c r="O294" s="231"/>
      <c r="P294" s="231"/>
      <c r="Q294" s="230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IFERROR(__xludf.DUMMYFUNCTION("IMPORTRANGE(""https://docs.google.com/spreadsheets/d/1eHaY18a8A9IcSdp1K8H6x8fbOy06t2VsZHhMHf-1x7Y/edit?usp=sharing"",""แผน!ED57"")"),0)</f>
        <v>0</v>
      </c>
      <c r="J295" s="296">
        <v>0</v>
      </c>
      <c r="K295" s="748">
        <f ca="1">IF(I295&gt;0,J295*100/I295,0)</f>
        <v>0</v>
      </c>
      <c r="L295" s="231"/>
      <c r="M295" s="231"/>
      <c r="N295" s="231"/>
      <c r="O295" s="231"/>
      <c r="P295" s="231"/>
      <c r="Q295" s="230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IFERROR(__xludf.DUMMYFUNCTION("IMPORTRANGE(""https://docs.google.com/spreadsheets/d/1eHaY18a8A9IcSdp1K8H6x8fbOy06t2VsZHhMHf-1x7Y/edit?usp=sharing"",""แผน!ED57"")"),0)</f>
        <v>0</v>
      </c>
      <c r="J296" s="296">
        <v>0</v>
      </c>
      <c r="K296" s="748">
        <f ca="1">IF(I296&gt;0,J296*100/I296,0)</f>
        <v>0</v>
      </c>
      <c r="L296" s="231"/>
      <c r="M296" s="231"/>
      <c r="N296" s="231"/>
      <c r="O296" s="231"/>
      <c r="P296" s="231"/>
      <c r="Q296" s="230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3"/>
      <c r="M297" s="33"/>
      <c r="N297" s="33"/>
      <c r="O297" s="33"/>
      <c r="P297" s="33"/>
      <c r="Q297" s="32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3"/>
      <c r="M298" s="33"/>
      <c r="N298" s="33"/>
      <c r="O298" s="33"/>
      <c r="P298" s="33"/>
      <c r="Q298" s="32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2"/>
      <c r="M299" s="22"/>
      <c r="N299" s="22"/>
      <c r="O299" s="22"/>
      <c r="P299" s="22"/>
      <c r="Q299" s="21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4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4"/>
      <c r="M301" s="504"/>
      <c r="N301" s="504"/>
      <c r="O301" s="504"/>
      <c r="P301" s="504"/>
      <c r="Q301" s="503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4"/>
      <c r="M302" s="514"/>
      <c r="N302" s="514"/>
      <c r="O302" s="514"/>
      <c r="P302" s="514"/>
      <c r="Q302" s="513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66">
        <f ca="1">L304+L305</f>
        <v>133500</v>
      </c>
      <c r="M303" s="266">
        <f ca="1">M304+M305</f>
        <v>133500</v>
      </c>
      <c r="N303" s="266">
        <f ca="1">N304+N305</f>
        <v>117860</v>
      </c>
      <c r="O303" s="266">
        <f ca="1">IF(L303&gt;0,N303*100/L303,0)</f>
        <v>88.284644194756552</v>
      </c>
      <c r="P303" s="266">
        <f ca="1">IF(M303&gt;0,N303*100/M303,0)</f>
        <v>88.284644194756552</v>
      </c>
      <c r="Q303" s="393">
        <f ca="1">Q304+Q305</f>
        <v>144609.24</v>
      </c>
      <c r="R303" s="266">
        <f ca="1">R304+R305</f>
        <v>144609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80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79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7">
        <f ca="1">L308+L311</f>
        <v>133500</v>
      </c>
      <c r="M305" s="77">
        <f ca="1">M308+M311</f>
        <v>133500</v>
      </c>
      <c r="N305" s="77">
        <f ca="1">N308+N311</f>
        <v>117860</v>
      </c>
      <c r="O305" s="77">
        <f ca="1">IF(L305&gt;0,N305*100/L305,0)</f>
        <v>88.284644194756552</v>
      </c>
      <c r="P305" s="77">
        <f ca="1">IF(M305&gt;0,N305*100/M305,0)</f>
        <v>88.284644194756552</v>
      </c>
      <c r="Q305" s="76">
        <f ca="1">Q308+Q311</f>
        <v>144609.24</v>
      </c>
      <c r="R305" s="77">
        <f ca="1">R308+R311</f>
        <v>144609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7">
        <f ca="1">L307+L308</f>
        <v>133500</v>
      </c>
      <c r="M306" s="77">
        <f ca="1">M307+M308</f>
        <v>133500</v>
      </c>
      <c r="N306" s="77">
        <f ca="1">N307+N308</f>
        <v>117860</v>
      </c>
      <c r="O306" s="77">
        <f ca="1">IF(L306&gt;0,N306*100/L306,0)</f>
        <v>88.284644194756552</v>
      </c>
      <c r="P306" s="77">
        <f ca="1">IF(M306&gt;0,N306*100/M306,0)</f>
        <v>88.284644194756552</v>
      </c>
      <c r="Q306" s="76">
        <f ca="1">Q307+Q308</f>
        <v>144609.24</v>
      </c>
      <c r="R306" s="77">
        <f ca="1">R307+R308</f>
        <v>144609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80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79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7">
        <f ca="1">IFERROR(__xludf.DUMMYFUNCTION("IMPORTRANGE(""https://docs.google.com/spreadsheets/d/1-uDff_7J0KD5mKrp0Vvzr7lt3OU09vwQwhkpOPPYv2Y/edit?usp=sharing"",""งบพรบ!DY57"")"),133500)</f>
        <v>133500</v>
      </c>
      <c r="M308" s="77">
        <f ca="1">IFERROR(__xludf.DUMMYFUNCTION("IMPORTRANGE(""https://docs.google.com/spreadsheets/d/1-uDff_7J0KD5mKrp0Vvzr7lt3OU09vwQwhkpOPPYv2Y/edit?usp=sharing"",""งบพรบ!ED57"")"),133500)</f>
        <v>133500</v>
      </c>
      <c r="N308" s="77">
        <f ca="1">IFERROR(__xludf.DUMMYFUNCTION("IMPORTRANGE(""https://docs.google.com/spreadsheets/d/1-uDff_7J0KD5mKrp0Vvzr7lt3OU09vwQwhkpOPPYv2Y/edit?usp=sharing"",""งบพรบ!EF57"")"),117860)</f>
        <v>117860</v>
      </c>
      <c r="O308" s="77">
        <f ca="1">IF(L308&gt;0,N308*100/L308,0)</f>
        <v>88.284644194756552</v>
      </c>
      <c r="P308" s="77">
        <f ca="1">IF(M308&gt;0,N308*100/M308,0)</f>
        <v>88.284644194756552</v>
      </c>
      <c r="Q308" s="76">
        <f ca="1">IFERROR(__xludf.DUMMYFUNCTION("IMPORTRANGE(""https://docs.google.com/spreadsheets/d/1ItG2mGa2ceCfYo0BwxsXqNm01IGEUdYcSSLTEv9YCik/edit?usp=sharing"",""เบิกจ่ายกองทุน!AP57"")"),144609.24)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IFERROR(__xludf.DUMMYFUNCTION("IMPORTRANGE(""https://docs.google.com/spreadsheets/d/1ItG2mGa2ceCfYo0BwxsXqNm01IGEUdYcSSLTEv9YCik/edit?usp=sharing"",""เบิกจ่ายกองทุน!AQ57"")"),144609)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IFERROR(__xludf.DUMMYFUNCTION("IMPORTRANGE(""https://docs.google.com/spreadsheets/d/1ItG2mGa2ceCfYo0BwxsXqNm01IGEUdYcSSLTEv9YCik/edit?usp=sharing"",""เบิกจ่ายกองทุน!AR57"")"),0)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7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6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80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79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7">
        <f ca="1">IFERROR(__xludf.DUMMYFUNCTION("IMPORTRANGE(""https://docs.google.com/spreadsheets/d/1-uDff_7J0KD5mKrp0Vvzr7lt3OU09vwQwhkpOPPYv2Y/edit?usp=sharing"",""งบพรบ!EB57"")"),0)</f>
        <v>0</v>
      </c>
      <c r="M311" s="77">
        <f ca="1">IFERROR(__xludf.DUMMYFUNCTION("IMPORTRANGE(""https://docs.google.com/spreadsheets/d/1-uDff_7J0KD5mKrp0Vvzr7lt3OU09vwQwhkpOPPYv2Y/edit?usp=sharing"",""งบพรบ!EE57"")"),0)</f>
        <v>0</v>
      </c>
      <c r="N311" s="77">
        <f ca="1">IFERROR(__xludf.DUMMYFUNCTION("IMPORTRANGE(""https://docs.google.com/spreadsheets/d/1-uDff_7J0KD5mKrp0Vvzr7lt3OU09vwQwhkpOPPYv2Y/edit?usp=sharing"",""งบพรบ!EG57"")"),0)</f>
        <v>0</v>
      </c>
      <c r="O311" s="77">
        <f ca="1">IF(L311&gt;0,N311*100/L311,0)</f>
        <v>0</v>
      </c>
      <c r="P311" s="77">
        <f ca="1">IF(M311&gt;0,N311*100/M311,0)</f>
        <v>0</v>
      </c>
      <c r="Q311" s="76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90"/>
      <c r="M312" s="90"/>
      <c r="N312" s="90"/>
      <c r="O312" s="90"/>
      <c r="P312" s="90"/>
      <c r="Q312" s="89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3"/>
      <c r="M313" s="33"/>
      <c r="N313" s="33"/>
      <c r="O313" s="33"/>
      <c r="P313" s="33"/>
      <c r="Q313" s="32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IFERROR(__xludf.DUMMYFUNCTION("IMPORTRANGE(""https://docs.google.com/spreadsheets/d/1eHaY18a8A9IcSdp1K8H6x8fbOy06t2VsZHhMHf-1x7Y/edit?usp=sharing"",""แผน!EF57"")"),20)</f>
        <v>20</v>
      </c>
      <c r="J314" s="296">
        <v>20</v>
      </c>
      <c r="K314" s="77">
        <f ca="1">IF(I314&gt;0,J314*100/I314,0)</f>
        <v>100</v>
      </c>
      <c r="L314" s="90"/>
      <c r="M314" s="90"/>
      <c r="N314" s="90"/>
      <c r="O314" s="90"/>
      <c r="P314" s="90"/>
      <c r="Q314" s="89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3"/>
      <c r="M315" s="33"/>
      <c r="N315" s="33"/>
      <c r="O315" s="33"/>
      <c r="P315" s="33"/>
      <c r="Q315" s="32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3"/>
      <c r="M316" s="33"/>
      <c r="N316" s="33"/>
      <c r="O316" s="33"/>
      <c r="P316" s="33"/>
      <c r="Q316" s="32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3"/>
      <c r="M317" s="33"/>
      <c r="N317" s="33"/>
      <c r="O317" s="33"/>
      <c r="P317" s="33"/>
      <c r="Q317" s="32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4"/>
      <c r="M318" s="504"/>
      <c r="N318" s="504"/>
      <c r="O318" s="504"/>
      <c r="P318" s="504"/>
      <c r="Q318" s="503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4"/>
      <c r="M319" s="514"/>
      <c r="N319" s="514"/>
      <c r="O319" s="514"/>
      <c r="P319" s="514"/>
      <c r="Q319" s="513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66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393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80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79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7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6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7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6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80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79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7">
        <f ca="1">IFERROR(__xludf.DUMMYFUNCTION("IMPORTRANGE(""https://docs.google.com/spreadsheets/d/1-uDff_7J0KD5mKrp0Vvzr7lt3OU09vwQwhkpOPPYv2Y/edit?usp=sharing"",""งบพรบ!EI57"")"),0)</f>
        <v>0</v>
      </c>
      <c r="M325" s="77">
        <f ca="1">IFERROR(__xludf.DUMMYFUNCTION("IMPORTRANGE(""https://docs.google.com/spreadsheets/d/1-uDff_7J0KD5mKrp0Vvzr7lt3OU09vwQwhkpOPPYv2Y/edit?usp=sharing"",""งบพรบ!EN57"")"),0)</f>
        <v>0</v>
      </c>
      <c r="N325" s="77">
        <f ca="1">IFERROR(__xludf.DUMMYFUNCTION("IMPORTRANGE(""https://docs.google.com/spreadsheets/d/1-uDff_7J0KD5mKrp0Vvzr7lt3OU09vwQwhkpOPPYv2Y/edit?usp=sharing"",""งบพรบ!EP57"")"),0)</f>
        <v>0</v>
      </c>
      <c r="O325" s="77">
        <f ca="1">IF(L325&gt;0,N325*100/L325,0)</f>
        <v>0</v>
      </c>
      <c r="P325" s="77">
        <f ca="1">IF(M325&gt;0,N325*100/M325,0)</f>
        <v>0</v>
      </c>
      <c r="Q325" s="76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7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6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80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79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7">
        <f ca="1">IFERROR(__xludf.DUMMYFUNCTION("IMPORTRANGE(""https://docs.google.com/spreadsheets/d/1-uDff_7J0KD5mKrp0Vvzr7lt3OU09vwQwhkpOPPYv2Y/edit?usp=sharing"",""งบพรบ!EL57"")"),0)</f>
        <v>0</v>
      </c>
      <c r="M328" s="77">
        <f ca="1">IFERROR(__xludf.DUMMYFUNCTION("IMPORTRANGE(""https://docs.google.com/spreadsheets/d/1-uDff_7J0KD5mKrp0Vvzr7lt3OU09vwQwhkpOPPYv2Y/edit?usp=sharing"",""งบพรบ!EO57"")"),0)</f>
        <v>0</v>
      </c>
      <c r="N328" s="77">
        <f ca="1">IFERROR(__xludf.DUMMYFUNCTION("IMPORTRANGE(""https://docs.google.com/spreadsheets/d/1-uDff_7J0KD5mKrp0Vvzr7lt3OU09vwQwhkpOPPYv2Y/edit?usp=sharing"",""งบพรบ!EQ57"")"),0)</f>
        <v>0</v>
      </c>
      <c r="O328" s="77">
        <f ca="1">IF(L328&gt;0,N328*100/L328,0)</f>
        <v>0</v>
      </c>
      <c r="P328" s="77">
        <f ca="1">IF(M328&gt;0,N328*100/M328,0)</f>
        <v>0</v>
      </c>
      <c r="Q328" s="76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90"/>
      <c r="M329" s="90"/>
      <c r="N329" s="90"/>
      <c r="O329" s="231"/>
      <c r="P329" s="231"/>
      <c r="Q329" s="89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IFERROR(__xludf.DUMMYFUNCTION("IMPORTRANGE(""https://docs.google.com/spreadsheets/d/1eHaY18a8A9IcSdp1K8H6x8fbOy06t2VsZHhMHf-1x7Y/edit?usp=sharing"",""แผน!EJ57"")"),0)</f>
        <v>0</v>
      </c>
      <c r="J330" s="296">
        <v>0</v>
      </c>
      <c r="K330" s="77">
        <f ca="1">IF(I330&gt;0,J330*100/I330,0)</f>
        <v>0</v>
      </c>
      <c r="L330" s="90"/>
      <c r="M330" s="90"/>
      <c r="N330" s="90"/>
      <c r="O330" s="231"/>
      <c r="P330" s="231"/>
      <c r="Q330" s="89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4"/>
      <c r="M331" s="504"/>
      <c r="N331" s="504"/>
      <c r="O331" s="504"/>
      <c r="P331" s="504"/>
      <c r="Q331" s="503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540</v>
      </c>
      <c r="J332" s="519">
        <f ca="1">J344+J347+J348+J349+J353+J354</f>
        <v>1590</v>
      </c>
      <c r="K332" s="520">
        <f ca="1">IF(I332&gt;0,J332*100/I332,0)</f>
        <v>294.44444444444446</v>
      </c>
      <c r="L332" s="514"/>
      <c r="M332" s="514"/>
      <c r="N332" s="514"/>
      <c r="O332" s="514"/>
      <c r="P332" s="514"/>
      <c r="Q332" s="513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66">
        <f ca="1">L334+L335</f>
        <v>103000</v>
      </c>
      <c r="M333" s="266">
        <f ca="1">M334+M335</f>
        <v>108000</v>
      </c>
      <c r="N333" s="266">
        <f ca="1">N334+N335</f>
        <v>82367</v>
      </c>
      <c r="O333" s="266">
        <f ca="1">IF(L333&gt;0,N333*100/L333,0)</f>
        <v>79.96796116504855</v>
      </c>
      <c r="P333" s="266">
        <f ca="1">IF(M333&gt;0,N333*100/M333,0)</f>
        <v>76.265740740740739</v>
      </c>
      <c r="Q333" s="393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80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79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7">
        <f ca="1">L338+L341</f>
        <v>103000</v>
      </c>
      <c r="M335" s="77">
        <f ca="1">M338+M341</f>
        <v>108000</v>
      </c>
      <c r="N335" s="77">
        <f ca="1">N338+N341</f>
        <v>82367</v>
      </c>
      <c r="O335" s="77">
        <f ca="1">IF(L335&gt;0,N335*100/L335,0)</f>
        <v>79.96796116504855</v>
      </c>
      <c r="P335" s="77">
        <f ca="1">IF(M335&gt;0,N335*100/M335,0)</f>
        <v>76.265740740740739</v>
      </c>
      <c r="Q335" s="76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7">
        <f ca="1">L337+L338</f>
        <v>103000</v>
      </c>
      <c r="M336" s="77">
        <f ca="1">M337+M338</f>
        <v>108000</v>
      </c>
      <c r="N336" s="77">
        <f ca="1">N337+N338</f>
        <v>82367</v>
      </c>
      <c r="O336" s="77">
        <f ca="1">IF(L336&gt;0,N336*100/L336,0)</f>
        <v>79.96796116504855</v>
      </c>
      <c r="P336" s="77">
        <f ca="1">IF(M336&gt;0,N336*100/M336,0)</f>
        <v>76.265740740740739</v>
      </c>
      <c r="Q336" s="76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80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79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7">
        <f ca="1">IFERROR(__xludf.DUMMYFUNCTION("IMPORTRANGE(""https://docs.google.com/spreadsheets/d/1-uDff_7J0KD5mKrp0Vvzr7lt3OU09vwQwhkpOPPYv2Y/edit?usp=sharing"",""งบพรบ!ES57"")"),103000)</f>
        <v>103000</v>
      </c>
      <c r="M338" s="77">
        <f ca="1">IFERROR(__xludf.DUMMYFUNCTION("IMPORTRANGE(""https://docs.google.com/spreadsheets/d/1-uDff_7J0KD5mKrp0Vvzr7lt3OU09vwQwhkpOPPYv2Y/edit?usp=sharing"",""งบพรบ!EX57"")"),108000)</f>
        <v>108000</v>
      </c>
      <c r="N338" s="77">
        <f ca="1">IFERROR(__xludf.DUMMYFUNCTION("IMPORTRANGE(""https://docs.google.com/spreadsheets/d/1-uDff_7J0KD5mKrp0Vvzr7lt3OU09vwQwhkpOPPYv2Y/edit?usp=sharing"",""งบพรบ!EZ57"")"),82367)</f>
        <v>82367</v>
      </c>
      <c r="O338" s="77">
        <f ca="1">IF(L338&gt;0,N338*100/L338,0)</f>
        <v>79.96796116504855</v>
      </c>
      <c r="P338" s="77">
        <f ca="1">IF(M338&gt;0,N338*100/M338,0)</f>
        <v>76.265740740740739</v>
      </c>
      <c r="Q338" s="76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7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6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80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79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7">
        <f ca="1">IFERROR(__xludf.DUMMYFUNCTION("IMPORTRANGE(""https://docs.google.com/spreadsheets/d/1-uDff_7J0KD5mKrp0Vvzr7lt3OU09vwQwhkpOPPYv2Y/edit?usp=sharing"",""งบพรบ!EV57"")"),0)</f>
        <v>0</v>
      </c>
      <c r="M341" s="77">
        <f ca="1">IFERROR(__xludf.DUMMYFUNCTION("IMPORTRANGE(""https://docs.google.com/spreadsheets/d/1-uDff_7J0KD5mKrp0Vvzr7lt3OU09vwQwhkpOPPYv2Y/edit?usp=sharing"",""งบพรบ!EY57"")"),0)</f>
        <v>0</v>
      </c>
      <c r="N341" s="77">
        <f ca="1">IFERROR(__xludf.DUMMYFUNCTION("IMPORTRANGE(""https://docs.google.com/spreadsheets/d/1-uDff_7J0KD5mKrp0Vvzr7lt3OU09vwQwhkpOPPYv2Y/edit?usp=sharing"",""งบพรบ!FA57"")"),0)</f>
        <v>0</v>
      </c>
      <c r="O341" s="77">
        <f ca="1">IF(L341&gt;0,N341*100/L341,0)</f>
        <v>0</v>
      </c>
      <c r="P341" s="77">
        <f ca="1">IF(M341&gt;0,N341*100/M341,0)</f>
        <v>0</v>
      </c>
      <c r="Q341" s="76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90"/>
      <c r="M342" s="90"/>
      <c r="N342" s="90"/>
      <c r="O342" s="231"/>
      <c r="P342" s="231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494</v>
      </c>
      <c r="K343" s="531">
        <v>0</v>
      </c>
      <c r="L343" s="1289"/>
      <c r="M343" s="1289"/>
      <c r="N343" s="1289"/>
      <c r="O343" s="1289"/>
      <c r="P343" s="1289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IFERROR(__xludf.DUMMYFUNCTION("IMPORTRANGE(""https://docs.google.com/spreadsheets/d/1eHaY18a8A9IcSdp1K8H6x8fbOy06t2VsZHhMHf-1x7Y/edit?usp=sharing"",""แผน!EK57"")"),540)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IFERROR(__xludf.DUMMYFUNCTION("IMPORTRANGE(""https://docs.google.com/spreadsheets/d/1awYsYK3VOup2i3Pq_Yjnu8DRu_mYwSBnCR2QPthd0rU/edit?usp=sharing"",""ศูนย์ยกเว้นโฉนด!D57"")"),491)</f>
        <v>491</v>
      </c>
      <c r="K344" s="77">
        <f ca="1">IF(I344&gt;0,J344*100/I344,0)</f>
        <v>90.925925925925924</v>
      </c>
      <c r="L344" s="90"/>
      <c r="M344" s="90"/>
      <c r="N344" s="90"/>
      <c r="O344" s="90"/>
      <c r="P344" s="90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90"/>
      <c r="M345" s="90"/>
      <c r="N345" s="90"/>
      <c r="O345" s="90"/>
      <c r="P345" s="90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IFERROR(__xludf.DUMMYFUNCTION("IMPORTRANGE(""https://docs.google.com/spreadsheets/d/1eHaY18a8A9IcSdp1K8H6x8fbOy06t2VsZHhMHf-1x7Y/edit?usp=sharing"",""แผน!EL57"")"),3)</f>
        <v>3</v>
      </c>
      <c r="J346" s="295">
        <f ca="1">IFERROR(__xludf.DUMMYFUNCTION("IMPORTRANGE(""https://docs.google.com/spreadsheets/d/1awYsYK3VOup2i3Pq_Yjnu8DRu_mYwSBnCR2QPthd0rU/edit?usp=sharing"",""ศูนย์รวม!E57"")"),5)</f>
        <v>5</v>
      </c>
      <c r="K346" s="77">
        <f ca="1">IF(I346&gt;0,J346*100/I346,0)</f>
        <v>166.66666666666666</v>
      </c>
      <c r="L346" s="90"/>
      <c r="M346" s="90"/>
      <c r="N346" s="90"/>
      <c r="O346" s="90"/>
      <c r="P346" s="90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IFERROR(__xludf.DUMMYFUNCTION("IMPORTRANGE(""https://docs.google.com/spreadsheets/d/1awYsYK3VOup2i3Pq_Yjnu8DRu_mYwSBnCR2QPthd0rU/edit?usp=sharing"",""ศูนย์ยกเว้นโฉนด!F57"")"),0)</f>
        <v>0</v>
      </c>
      <c r="K347" s="90"/>
      <c r="L347" s="90"/>
      <c r="M347" s="90"/>
      <c r="N347" s="90"/>
      <c r="O347" s="90"/>
      <c r="P347" s="90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IFERROR(__xludf.DUMMYFUNCTION("IMPORTRANGE(""https://docs.google.com/spreadsheets/d/1awYsYK3VOup2i3Pq_Yjnu8DRu_mYwSBnCR2QPthd0rU/edit?usp=sharing"",""ศูนย์ยกเว้นโฉนด!G57"")"),3)</f>
        <v>3</v>
      </c>
      <c r="K348" s="90"/>
      <c r="L348" s="90"/>
      <c r="M348" s="90"/>
      <c r="N348" s="90"/>
      <c r="O348" s="90"/>
      <c r="P348" s="90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IFERROR(__xludf.DUMMYFUNCTION("IMPORTRANGE(""https://docs.google.com/spreadsheets/d/1awYsYK3VOup2i3Pq_Yjnu8DRu_mYwSBnCR2QPthd0rU/edit?usp=sharing"",""ศูนย์ยกเว้นโฉนด!H57"")"),0)</f>
        <v>0</v>
      </c>
      <c r="K349" s="90"/>
      <c r="L349" s="90"/>
      <c r="M349" s="90"/>
      <c r="N349" s="90"/>
      <c r="O349" s="90"/>
      <c r="P349" s="90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90"/>
      <c r="M350" s="90"/>
      <c r="N350" s="90"/>
      <c r="O350" s="90"/>
      <c r="P350" s="90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1100</v>
      </c>
      <c r="K351" s="543">
        <v>0</v>
      </c>
      <c r="L351" s="382"/>
      <c r="M351" s="382"/>
      <c r="N351" s="382"/>
      <c r="O351" s="382"/>
      <c r="P351" s="382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IFERROR(__xludf.DUMMYFUNCTION("IMPORTRANGE(""https://docs.google.com/spreadsheets/d/1awYsYK3VOup2i3Pq_Yjnu8DRu_mYwSBnCR2QPthd0rU/edit?usp=sharing"",""โฉนดM3!G57"")"),4)</f>
        <v>4</v>
      </c>
      <c r="K352" s="90"/>
      <c r="L352" s="90"/>
      <c r="M352" s="90"/>
      <c r="N352" s="90"/>
      <c r="O352" s="90"/>
      <c r="P352" s="90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IFERROR(__xludf.DUMMYFUNCTION("IMPORTRANGE(""https://docs.google.com/spreadsheets/d/1awYsYK3VOup2i3Pq_Yjnu8DRu_mYwSBnCR2QPthd0rU/edit?usp=sharing"",""โฉนดM3!H57"")"),1016)</f>
        <v>1016</v>
      </c>
      <c r="K353" s="90"/>
      <c r="L353" s="90"/>
      <c r="M353" s="90"/>
      <c r="N353" s="90"/>
      <c r="O353" s="90"/>
      <c r="P353" s="90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IFERROR(__xludf.DUMMYFUNCTION("IMPORTRANGE(""https://docs.google.com/spreadsheets/d/1awYsYK3VOup2i3Pq_Yjnu8DRu_mYwSBnCR2QPthd0rU/edit?usp=sharing"",""โฉนดM3!I57"")"),80)</f>
        <v>80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4"/>
      <c r="M355" s="514"/>
      <c r="N355" s="514"/>
      <c r="O355" s="514"/>
      <c r="P355" s="514"/>
      <c r="Q355" s="513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66">
        <f ca="1">L357+L358</f>
        <v>368685</v>
      </c>
      <c r="M356" s="266">
        <f ca="1">M357+M358</f>
        <v>388685</v>
      </c>
      <c r="N356" s="266">
        <f ca="1">N357+N358</f>
        <v>288625</v>
      </c>
      <c r="O356" s="266">
        <f ca="1">IF(L356&gt;0,N356*100/L356,0)</f>
        <v>78.284985828010363</v>
      </c>
      <c r="P356" s="266">
        <f ca="1">IF(M356&gt;0,N356*100/M356,0)</f>
        <v>74.256788916474775</v>
      </c>
      <c r="Q356" s="393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80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79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7">
        <f ca="1">L361+L364</f>
        <v>368685</v>
      </c>
      <c r="M358" s="77">
        <f ca="1">M361+M364</f>
        <v>388685</v>
      </c>
      <c r="N358" s="77">
        <f ca="1">N361+N364</f>
        <v>288625</v>
      </c>
      <c r="O358" s="77">
        <f ca="1">IF(L358&gt;0,N358*100/L358,0)</f>
        <v>78.284985828010363</v>
      </c>
      <c r="P358" s="77">
        <f ca="1">IF(M358&gt;0,N358*100/M358,0)</f>
        <v>74.256788916474775</v>
      </c>
      <c r="Q358" s="76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7">
        <f ca="1">L360+L361</f>
        <v>368685</v>
      </c>
      <c r="M359" s="77">
        <f ca="1">M360+M361</f>
        <v>388685</v>
      </c>
      <c r="N359" s="77">
        <f ca="1">N360+N361</f>
        <v>288625</v>
      </c>
      <c r="O359" s="77">
        <f ca="1">IF(L359&gt;0,N359*100/L359,0)</f>
        <v>78.284985828010363</v>
      </c>
      <c r="P359" s="77">
        <f ca="1">IF(M359&gt;0,N359*100/M359,0)</f>
        <v>74.256788916474775</v>
      </c>
      <c r="Q359" s="76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80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79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7">
        <f ca="1">IFERROR(__xludf.DUMMYFUNCTION("IMPORTRANGE(""https://docs.google.com/spreadsheets/d/1-uDff_7J0KD5mKrp0Vvzr7lt3OU09vwQwhkpOPPYv2Y/edit?usp=sharing"",""งบพรบ!FC57"")"),368685)</f>
        <v>368685</v>
      </c>
      <c r="M361" s="77">
        <f ca="1">IFERROR(__xludf.DUMMYFUNCTION("IMPORTRANGE(""https://docs.google.com/spreadsheets/d/1-uDff_7J0KD5mKrp0Vvzr7lt3OU09vwQwhkpOPPYv2Y/edit?usp=sharing"",""งบพรบ!FH57"")"),388685)</f>
        <v>388685</v>
      </c>
      <c r="N361" s="77">
        <f ca="1">IFERROR(__xludf.DUMMYFUNCTION("IMPORTRANGE(""https://docs.google.com/spreadsheets/d/1-uDff_7J0KD5mKrp0Vvzr7lt3OU09vwQwhkpOPPYv2Y/edit?usp=sharing"",""งบพรบ!FJ57"")"),288625)</f>
        <v>288625</v>
      </c>
      <c r="O361" s="77">
        <f ca="1">IF(L361&gt;0,N361*100/L361,0)</f>
        <v>78.284985828010363</v>
      </c>
      <c r="P361" s="77">
        <f ca="1">IF(M361&gt;0,N361*100/M361,0)</f>
        <v>74.256788916474775</v>
      </c>
      <c r="Q361" s="76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7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6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80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79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7">
        <f ca="1">IFERROR(__xludf.DUMMYFUNCTION("IMPORTRANGE(""https://docs.google.com/spreadsheets/d/1-uDff_7J0KD5mKrp0Vvzr7lt3OU09vwQwhkpOPPYv2Y/edit?usp=sharing"",""งบพรบ!FF57"")"),0)</f>
        <v>0</v>
      </c>
      <c r="M364" s="77">
        <f ca="1">IFERROR(__xludf.DUMMYFUNCTION("IMPORTRANGE(""https://docs.google.com/spreadsheets/d/1-uDff_7J0KD5mKrp0Vvzr7lt3OU09vwQwhkpOPPYv2Y/edit?usp=sharing"",""งบพรบ!FI57"")"),0)</f>
        <v>0</v>
      </c>
      <c r="N364" s="77">
        <f ca="1">IFERROR(__xludf.DUMMYFUNCTION("IMPORTRANGE(""https://docs.google.com/spreadsheets/d/1-uDff_7J0KD5mKrp0Vvzr7lt3OU09vwQwhkpOPPYv2Y/edit?usp=sharing"",""งบพรบ!FK57"")"),0)</f>
        <v>0</v>
      </c>
      <c r="O364" s="77">
        <f ca="1">IF(L364&gt;0,N364*100/L364,0)</f>
        <v>0</v>
      </c>
      <c r="P364" s="77">
        <f ca="1">IF(M364&gt;0,N364*100/M364,0)</f>
        <v>0</v>
      </c>
      <c r="Q364" s="76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53</v>
      </c>
      <c r="J365" s="542">
        <f ca="1">J371</f>
        <v>48</v>
      </c>
      <c r="K365" s="543">
        <f ca="1">IF(I365&gt;0,J365*100/I365,0)</f>
        <v>90.566037735849051</v>
      </c>
      <c r="L365" s="382"/>
      <c r="M365" s="382"/>
      <c r="N365" s="382"/>
      <c r="O365" s="382"/>
      <c r="P365" s="382"/>
      <c r="Q365" s="381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1"/>
      <c r="M366" s="231"/>
      <c r="N366" s="231"/>
      <c r="O366" s="231"/>
      <c r="P366" s="231"/>
      <c r="Q366" s="230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IFERROR(__xludf.DUMMYFUNCTION("IMPORTRANGE(""https://docs.google.com/spreadsheets/d/1tdoBKaGub7dwA3U6UFTqxio9LNnvDCQjHKmttSEBsFQ/edit?usp=sharing"",""จัดที่ดิน!AB57"")"),0)</f>
        <v>0</v>
      </c>
      <c r="K367" s="77">
        <f>IF(I367&gt;0,J367*100/I367,0)</f>
        <v>0</v>
      </c>
      <c r="L367" s="231"/>
      <c r="M367" s="231"/>
      <c r="N367" s="231"/>
      <c r="O367" s="231"/>
      <c r="P367" s="231"/>
      <c r="Q367" s="230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IFERROR(__xludf.DUMMYFUNCTION("IMPORTRANGE(""https://docs.google.com/spreadsheets/d/1eHaY18a8A9IcSdp1K8H6x8fbOy06t2VsZHhMHf-1x7Y/edit?usp=sharing"",""แผน!EW57"")"),70)</f>
        <v>70</v>
      </c>
      <c r="J368" s="1094">
        <f ca="1">IFERROR(__xludf.DUMMYFUNCTION("IMPORTRANGE(""https://docs.google.com/spreadsheets/d/1tdoBKaGub7dwA3U6UFTqxio9LNnvDCQjHKmttSEBsFQ/edit?usp=sharing"",""จัดที่ดิน!AC57"")"),0)</f>
        <v>0</v>
      </c>
      <c r="K368" s="77">
        <f ca="1">IF(I368&gt;0,J368*100/I368,0)</f>
        <v>0</v>
      </c>
      <c r="L368" s="231"/>
      <c r="M368" s="231"/>
      <c r="N368" s="231"/>
      <c r="O368" s="231"/>
      <c r="P368" s="231"/>
      <c r="Q368" s="230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IFERROR(__xludf.DUMMYFUNCTION("IMPORTRANGE(""https://docs.google.com/spreadsheets/d/1eHaY18a8A9IcSdp1K8H6x8fbOy06t2VsZHhMHf-1x7Y/edit?usp=sharing"",""แผน!EX57"")"),53)</f>
        <v>53</v>
      </c>
      <c r="J369" s="295">
        <f ca="1">IFERROR(__xludf.DUMMYFUNCTION("IMPORTRANGE(""https://docs.google.com/spreadsheets/d/1tdoBKaGub7dwA3U6UFTqxio9LNnvDCQjHKmttSEBsFQ/edit?usp=sharing"",""จัดที่ดิน!AD57"")"),41)</f>
        <v>41</v>
      </c>
      <c r="K369" s="77">
        <f ca="1">IF(I369&gt;0,J369*100/I369,0)</f>
        <v>77.35849056603773</v>
      </c>
      <c r="L369" s="231"/>
      <c r="M369" s="231"/>
      <c r="N369" s="231"/>
      <c r="O369" s="231"/>
      <c r="P369" s="231"/>
      <c r="Q369" s="230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IFERROR(__xludf.DUMMYFUNCTION("IMPORTRANGE(""https://docs.google.com/spreadsheets/d/1tdoBKaGub7dwA3U6UFTqxio9LNnvDCQjHKmttSEBsFQ/edit?usp=sharing"",""จัดที่ดิน!AE57"")"),683.459999999999)</f>
        <v>683.45999999999901</v>
      </c>
      <c r="K370" s="77">
        <f>IF(I370&gt;0,J370*100/I370,0)</f>
        <v>0</v>
      </c>
      <c r="L370" s="231"/>
      <c r="M370" s="231"/>
      <c r="N370" s="231"/>
      <c r="O370" s="231"/>
      <c r="P370" s="231"/>
      <c r="Q370" s="230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IFERROR(__xludf.DUMMYFUNCTION("IMPORTRANGE(""https://docs.google.com/spreadsheets/d/1eHaY18a8A9IcSdp1K8H6x8fbOy06t2VsZHhMHf-1x7Y/edit?usp=sharing"",""แผน!EY57"")"),53)</f>
        <v>53</v>
      </c>
      <c r="J371" s="295">
        <f ca="1">IFERROR(__xludf.DUMMYFUNCTION("IMPORTRANGE(""https://docs.google.com/spreadsheets/d/1tdoBKaGub7dwA3U6UFTqxio9LNnvDCQjHKmttSEBsFQ/edit?usp=sharing"",""จัดที่ดิน!AF57"")"),48)</f>
        <v>48</v>
      </c>
      <c r="K371" s="77">
        <f ca="1">IF(I371&gt;0,J371*100/I371,0)</f>
        <v>90.566037735849051</v>
      </c>
      <c r="L371" s="231"/>
      <c r="M371" s="231"/>
      <c r="N371" s="231"/>
      <c r="O371" s="231"/>
      <c r="P371" s="231"/>
      <c r="Q371" s="230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IFERROR(__xludf.DUMMYFUNCTION("IMPORTRANGE(""https://docs.google.com/spreadsheets/d/1tdoBKaGub7dwA3U6UFTqxio9LNnvDCQjHKmttSEBsFQ/edit?usp=sharing"",""จัดที่ดิน!AG57"")"),745.76)</f>
        <v>745.76</v>
      </c>
      <c r="K372" s="77">
        <f>IF(I372&gt;0,J372*100/I372,0)</f>
        <v>0</v>
      </c>
      <c r="L372" s="231"/>
      <c r="M372" s="231"/>
      <c r="N372" s="231"/>
      <c r="O372" s="231"/>
      <c r="P372" s="231"/>
      <c r="Q372" s="230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1"/>
      <c r="M373" s="101"/>
      <c r="N373" s="101"/>
      <c r="O373" s="101"/>
      <c r="P373" s="101"/>
      <c r="Q373" s="100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393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79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6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6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79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6">
        <f ca="1">IFERROR(__xludf.DUMMYFUNCTION("IMPORTRANGE(""https://docs.google.com/spreadsheets/d/1ItG2mGa2ceCfYo0BwxsXqNm01IGEUdYcSSLTEv9YCik/edit?usp=sharing"",""เบิกจ่ายกองทุน!AY57"")"),0)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IFERROR(__xludf.DUMMYFUNCTION("IMPORTRANGE(""https://docs.google.com/spreadsheets/d/1ItG2mGa2ceCfYo0BwxsXqNm01IGEUdYcSSLTEv9YCik/edit?usp=sharing"",""เบิกจ่ายกองทุน!AZ57"")"),0)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IFERROR(__xludf.DUMMYFUNCTION("IMPORTRANGE(""https://docs.google.com/spreadsheets/d/1ItG2mGa2ceCfYo0BwxsXqNm01IGEUdYcSSLTEv9YCik/edit?usp=sharing"",""เบิกจ่ายกองทุน!BA57"")"),0)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6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79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6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IFERROR(__xludf.DUMMYFUNCTION("IMPORTRANGE(""https://docs.google.com/spreadsheets/d/1eHaY18a8A9IcSdp1K8H6x8fbOy06t2VsZHhMHf-1x7Y/edit?usp=sharing"",""แผน!JQ57"")"),0)</f>
        <v>0</v>
      </c>
      <c r="J385" s="295">
        <v>0</v>
      </c>
      <c r="K385" s="77">
        <f ca="1">IF(I385&gt;0,J385*100/I385,0)</f>
        <v>0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IFERROR(__xludf.DUMMYFUNCTION("IMPORTRANGE(""https://docs.google.com/spreadsheets/d/1eHaY18a8A9IcSdp1K8H6x8fbOy06t2VsZHhMHf-1x7Y/edit?usp=sharing"",""แผน!JQ57"")"),0)</f>
        <v>0</v>
      </c>
      <c r="J386" s="295">
        <v>0</v>
      </c>
      <c r="K386" s="77">
        <f ca="1">IF(I386&gt;0,J386*100/I386,0)</f>
        <v>0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90"/>
      <c r="M387" s="90"/>
      <c r="N387" s="90"/>
      <c r="O387" s="90"/>
      <c r="P387" s="90"/>
      <c r="Q387" s="89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90"/>
      <c r="M388" s="90"/>
      <c r="N388" s="90"/>
      <c r="O388" s="90"/>
      <c r="P388" s="90"/>
      <c r="Q388" s="89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393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79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6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6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79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6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6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79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6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66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393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80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79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6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6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79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6">
        <f ca="1">IFERROR(__xludf.DUMMYFUNCTION("IMPORTRANGE(""https://docs.google.com/spreadsheets/d/1ItG2mGa2ceCfYo0BwxsXqNm01IGEUdYcSSLTEv9YCik/edit?usp=sharing"",""เบิกจ่ายกองทุน!BH57"")"),0)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IFERROR(__xludf.DUMMYFUNCTION("IMPORTRANGE(""https://docs.google.com/spreadsheets/d/1ItG2mGa2ceCfYo0BwxsXqNm01IGEUdYcSSLTEv9YCik/edit?usp=sharing"",""เบิกจ่ายกองทุน!BI57"")"),0)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IFERROR(__xludf.DUMMYFUNCTION("IMPORTRANGE(""https://docs.google.com/spreadsheets/d/1ItG2mGa2ceCfYo0BwxsXqNm01IGEUdYcSSLTEv9YCik/edit?usp=sharing"",""เบิกจ่ายกองทุน!BJ57"")"),0)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6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79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6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90"/>
      <c r="M423" s="90"/>
      <c r="N423" s="90"/>
      <c r="O423" s="90"/>
      <c r="P423" s="90"/>
      <c r="Q423" s="89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IFERROR(__xludf.DUMMYFUNCTION("IMPORTRANGE(""https://docs.google.com/spreadsheets/d/1eHaY18a8A9IcSdp1K8H6x8fbOy06t2VsZHhMHf-1x7Y/edit?usp=sharing"",""แผน!HJ57"")"),0)</f>
        <v>0</v>
      </c>
      <c r="J424" s="603">
        <f>J426+J428+J430</f>
        <v>0</v>
      </c>
      <c r="K424" s="266">
        <f ca="1">IF(I424&gt;0,J424*100/I424,0)</f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IFERROR(__xludf.DUMMYFUNCTION("IMPORTRANGE(""https://docs.google.com/spreadsheets/d/1eHaY18a8A9IcSdp1K8H6x8fbOy06t2VsZHhMHf-1x7Y/edit?usp=sharing"",""แผน!HK57"")"),0)</f>
        <v>0</v>
      </c>
      <c r="J425" s="603">
        <f>J427+J429+J431</f>
        <v>0</v>
      </c>
      <c r="K425" s="266">
        <f ca="1">IF(I425&gt;0,J425*100/I425,0)</f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IFERROR(__xludf.DUMMYFUNCTION("IMPORTRANGE(""https://docs.google.com/spreadsheets/d/1eHaY18a8A9IcSdp1K8H6x8fbOy06t2VsZHhMHf-1x7Y/edit?usp=sharing"",""แผน!HJ57"")"),0)</f>
        <v>0</v>
      </c>
      <c r="J432" s="603">
        <f>J434+J436+J438</f>
        <v>0</v>
      </c>
      <c r="K432" s="266">
        <f ca="1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IFERROR(__xludf.DUMMYFUNCTION("IMPORTRANGE(""https://docs.google.com/spreadsheets/d/1eHaY18a8A9IcSdp1K8H6x8fbOy06t2VsZHhMHf-1x7Y/edit?usp=sharing"",""แผน!HK57"")"),0)</f>
        <v>0</v>
      </c>
      <c r="J433" s="603">
        <f>J435+J437+J439</f>
        <v>0</v>
      </c>
      <c r="K433" s="266">
        <f ca="1">IF(I433&gt;0,J433*100/I433,0)</f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IFERROR(__xludf.DUMMYFUNCTION("IMPORTRANGE(""https://docs.google.com/spreadsheets/d/1eHaY18a8A9IcSdp1K8H6x8fbOy06t2VsZHhMHf-1x7Y/edit?usp=sharing"",""แผน!HJ57"")"),0)</f>
        <v>0</v>
      </c>
      <c r="J440" s="603">
        <f>J442+J444+J446+J452+J454</f>
        <v>0</v>
      </c>
      <c r="K440" s="266">
        <f ca="1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IFERROR(__xludf.DUMMYFUNCTION("IMPORTRANGE(""https://docs.google.com/spreadsheets/d/1eHaY18a8A9IcSdp1K8H6x8fbOy06t2VsZHhMHf-1x7Y/edit?usp=sharing"",""แผน!HK57"")"),0)</f>
        <v>0</v>
      </c>
      <c r="J441" s="603">
        <f>J443+J445+J447+J453+J455</f>
        <v>0</v>
      </c>
      <c r="K441" s="266">
        <f ca="1">IF(I441&gt;0,J441*100/I441,0)</f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90"/>
      <c r="M456" s="90"/>
      <c r="N456" s="90"/>
      <c r="O456" s="90"/>
      <c r="P456" s="90"/>
      <c r="Q456" s="89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IFERROR(__xludf.DUMMYFUNCTION("IMPORTRANGE(""https://docs.google.com/spreadsheets/d/1eHaY18a8A9IcSdp1K8H6x8fbOy06t2VsZHhMHf-1x7Y/edit?usp=sharing"",""แผน!HL57"")"),0)</f>
        <v>0</v>
      </c>
      <c r="J457" s="603">
        <f>J459+J467+J473</f>
        <v>0</v>
      </c>
      <c r="K457" s="266">
        <f ca="1">IF(I457&gt;0,J457*100/I457,0)</f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IFERROR(__xludf.DUMMYFUNCTION("IMPORTRANGE(""https://docs.google.com/spreadsheets/d/1eHaY18a8A9IcSdp1K8H6x8fbOy06t2VsZHhMHf-1x7Y/edit?usp=sharing"",""แผน!HM57"")"),0)</f>
        <v>0</v>
      </c>
      <c r="J458" s="603">
        <f>J460+J468+J474</f>
        <v>0</v>
      </c>
      <c r="K458" s="266">
        <f ca="1">IF(I458&gt;0,J458*100/I458,0)</f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90"/>
      <c r="M475" s="90"/>
      <c r="N475" s="90"/>
      <c r="O475" s="90"/>
      <c r="P475" s="90"/>
      <c r="Q475" s="89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90"/>
      <c r="M476" s="90"/>
      <c r="N476" s="90"/>
      <c r="O476" s="90"/>
      <c r="P476" s="90"/>
      <c r="Q476" s="89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90"/>
      <c r="M477" s="90"/>
      <c r="N477" s="90"/>
      <c r="O477" s="90"/>
      <c r="P477" s="90"/>
      <c r="Q477" s="89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IFERROR(__xludf.DUMMYFUNCTION("IMPORTRANGE(""https://docs.google.com/spreadsheets/d/1eHaY18a8A9IcSdp1K8H6x8fbOy06t2VsZHhMHf-1x7Y/edit?usp=sharing"",""แผน!HN57"")"),0)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IFERROR(__xludf.DUMMYFUNCTION("IMPORTRANGE(""https://docs.google.com/spreadsheets/d/1eHaY18a8A9IcSdp1K8H6x8fbOy06t2VsZHhMHf-1x7Y/edit?usp=sharing"",""แผน!HO57"")"),0)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90"/>
      <c r="M484" s="90"/>
      <c r="N484" s="90"/>
      <c r="O484" s="90"/>
      <c r="P484" s="90"/>
      <c r="Q484" s="89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90"/>
      <c r="M485" s="90"/>
      <c r="N485" s="90"/>
      <c r="O485" s="90"/>
      <c r="P485" s="90"/>
      <c r="Q485" s="89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66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393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79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6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6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79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6">
        <f ca="1">IFERROR(__xludf.DUMMYFUNCTION("IMPORTRANGE(""https://docs.google.com/spreadsheets/d/1ItG2mGa2ceCfYo0BwxsXqNm01IGEUdYcSSLTEv9YCik/edit?usp=sharing"",""เบิกจ่ายกองทุน!X57"")"),0)</f>
        <v>0</v>
      </c>
      <c r="R498" s="77">
        <f ca="1">IFERROR(__xludf.DUMMYFUNCTION("IMPORTRANGE(""https://docs.google.com/spreadsheets/d/1ItG2mGa2ceCfYo0BwxsXqNm01IGEUdYcSSLTEv9YCik/edit?usp=sharing"",""เบิกจ่ายกองทุน!Y57"")"),0)</f>
        <v>0</v>
      </c>
      <c r="S498" s="77">
        <f ca="1">IFERROR(__xludf.DUMMYFUNCTION("IMPORTRANGE(""https://docs.google.com/spreadsheets/d/1ItG2mGa2ceCfYo0BwxsXqNm01IGEUdYcSSLTEv9YCik/edit?usp=sharing"",""เบิกจ่ายกองทุน!Z57"")"),0)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6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79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6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IFERROR(__xludf.DUMMYFUNCTION("IMPORTRANGE(""https://docs.google.com/spreadsheets/d/1eHaY18a8A9IcSdp1K8H6x8fbOy06t2VsZHhMHf-1x7Y/edit?usp=sharing"",""แผน!GX57"")"),0)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IFERROR(__xludf.DUMMYFUNCTION("IMPORTRANGE(""https://docs.google.com/spreadsheets/d/1eHaY18a8A9IcSdp1K8H6x8fbOy06t2VsZHhMHf-1x7Y/edit?usp=sharing"",""แผน!GY57"")"),0)</f>
        <v>0</v>
      </c>
      <c r="J504" s="296">
        <v>0</v>
      </c>
      <c r="K504" s="77">
        <f ca="1">IF(I504&gt;0,J504*100/I504,0)</f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IFERROR(__xludf.DUMMYFUNCTION("IMPORTRANGE(""https://docs.google.com/spreadsheets/d/1eHaY18a8A9IcSdp1K8H6x8fbOy06t2VsZHhMHf-1x7Y/edit?usp=sharing"",""แผน!GZ57"")"),0)</f>
        <v>0</v>
      </c>
      <c r="J505" s="296">
        <v>0</v>
      </c>
      <c r="K505" s="77">
        <f ca="1">IF(I505&gt;0,J505*100/I505,0)</f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IFERROR(__xludf.DUMMYFUNCTION("IMPORTRANGE(""https://docs.google.com/spreadsheets/d/1eHaY18a8A9IcSdp1K8H6x8fbOy06t2VsZHhMHf-1x7Y/edit?usp=sharing"",""แผน!HA57"")"),0)</f>
        <v>0</v>
      </c>
      <c r="J506" s="296">
        <v>0</v>
      </c>
      <c r="K506" s="77">
        <f ca="1">IF(I506&gt;0,J506*100/I506,0)</f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IFERROR(__xludf.DUMMYFUNCTION("IMPORTRANGE(""https://docs.google.com/spreadsheets/d/1eHaY18a8A9IcSdp1K8H6x8fbOy06t2VsZHhMHf-1x7Y/edit?usp=sharing"",""แผน!HB57"")"),0)</f>
        <v>0</v>
      </c>
      <c r="J507" s="296">
        <v>0</v>
      </c>
      <c r="K507" s="77">
        <f ca="1">IF(I507&gt;0,J507*100/I507,0)</f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IFERROR(__xludf.DUMMYFUNCTION("IMPORTRANGE(""https://docs.google.com/spreadsheets/d/1eHaY18a8A9IcSdp1K8H6x8fbOy06t2VsZHhMHf-1x7Y/edit?usp=sharing"",""แผน!HC57"")"),0)</f>
        <v>0</v>
      </c>
      <c r="J509" s="741">
        <v>0</v>
      </c>
      <c r="K509" s="185">
        <f ca="1">IF(I509&gt;0,J509*100/I509,0)</f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1082"/>
      <c r="M510" s="1082"/>
      <c r="N510" s="1082"/>
      <c r="O510" s="1082"/>
      <c r="P510" s="1288"/>
      <c r="Q510" s="625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1077"/>
      <c r="M511" s="1077"/>
      <c r="N511" s="1077"/>
      <c r="O511" s="1077"/>
      <c r="P511" s="1077"/>
      <c r="Q511" s="633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5"/>
      <c r="M512" s="645"/>
      <c r="N512" s="645"/>
      <c r="O512" s="645"/>
      <c r="P512" s="645"/>
      <c r="Q512" s="644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1287">
        <f ca="1">L514+L515</f>
        <v>0</v>
      </c>
      <c r="M513" s="1287">
        <f ca="1">M514+M515</f>
        <v>0</v>
      </c>
      <c r="N513" s="1287">
        <f ca="1">N514+N515</f>
        <v>0</v>
      </c>
      <c r="O513" s="1287">
        <f ca="1">IF(L513&gt;0,N513*100/L513,0)</f>
        <v>0</v>
      </c>
      <c r="P513" s="1287">
        <f ca="1">IF(M513&gt;0,N513*100/M513,0)</f>
        <v>0</v>
      </c>
      <c r="Q513" s="393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80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79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80">
        <f ca="1">L518+L521</f>
        <v>0</v>
      </c>
      <c r="M515" s="80">
        <f ca="1">M518+M521</f>
        <v>0</v>
      </c>
      <c r="N515" s="80">
        <f ca="1">N518+N521</f>
        <v>0</v>
      </c>
      <c r="O515" s="80">
        <f ca="1">IF(L515&gt;0,N515*100/L515,0)</f>
        <v>0</v>
      </c>
      <c r="P515" s="80">
        <f ca="1">IF(M515&gt;0,N515*100/M515,0)</f>
        <v>0</v>
      </c>
      <c r="Q515" s="76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80">
        <f ca="1">L517+L518</f>
        <v>0</v>
      </c>
      <c r="M516" s="80">
        <f ca="1">M517+M518</f>
        <v>0</v>
      </c>
      <c r="N516" s="80">
        <f ca="1">N517+N518</f>
        <v>0</v>
      </c>
      <c r="O516" s="80">
        <f ca="1">IF(L516&gt;0,N516*100/L516,0)</f>
        <v>0</v>
      </c>
      <c r="P516" s="80">
        <f ca="1">IF(M516&gt;0,N516*100/M516,0)</f>
        <v>0</v>
      </c>
      <c r="Q516" s="76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80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79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80">
        <f ca="1">IFERROR(__xludf.DUMMYFUNCTION("IMPORTRANGE(""https://docs.google.com/spreadsheets/d/1-uDff_7J0KD5mKrp0Vvzr7lt3OU09vwQwhkpOPPYv2Y/edit?usp=sharing"",""งบพรบ!FM57"")"),0)</f>
        <v>0</v>
      </c>
      <c r="M518" s="80">
        <f ca="1">IFERROR(__xludf.DUMMYFUNCTION("IMPORTRANGE(""https://docs.google.com/spreadsheets/d/1-uDff_7J0KD5mKrp0Vvzr7lt3OU09vwQwhkpOPPYv2Y/edit?usp=sharing"",""งบพรบ!FR57"")"),0)</f>
        <v>0</v>
      </c>
      <c r="N518" s="80">
        <f ca="1">IFERROR(__xludf.DUMMYFUNCTION("IMPORTRANGE(""https://docs.google.com/spreadsheets/d/1-uDff_7J0KD5mKrp0Vvzr7lt3OU09vwQwhkpOPPYv2Y/edit?usp=sharing"",""งบพรบ!FT57"")"),0)</f>
        <v>0</v>
      </c>
      <c r="O518" s="80">
        <f ca="1">IF(L518&gt;0,N518*100/L518,0)</f>
        <v>0</v>
      </c>
      <c r="P518" s="80">
        <f ca="1">IF(M518&gt;0,N518*100/M518,0)</f>
        <v>0</v>
      </c>
      <c r="Q518" s="76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80">
        <f ca="1">L520+L521</f>
        <v>0</v>
      </c>
      <c r="M519" s="80">
        <f ca="1">M520+M521</f>
        <v>0</v>
      </c>
      <c r="N519" s="80">
        <f ca="1">N520+N521</f>
        <v>0</v>
      </c>
      <c r="O519" s="80">
        <f ca="1">IF(L519&gt;0,N519*100/L519,0)</f>
        <v>0</v>
      </c>
      <c r="P519" s="80">
        <f ca="1">IF(M519&gt;0,N519*100/M519,0)</f>
        <v>0</v>
      </c>
      <c r="Q519" s="76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80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79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80">
        <f ca="1">IFERROR(__xludf.DUMMYFUNCTION("IMPORTRANGE(""https://docs.google.com/spreadsheets/d/1-uDff_7J0KD5mKrp0Vvzr7lt3OU09vwQwhkpOPPYv2Y/edit?usp=sharing"",""งบพรบ!FP57"")"),0)</f>
        <v>0</v>
      </c>
      <c r="M521" s="80">
        <f ca="1">IFERROR(__xludf.DUMMYFUNCTION("IMPORTRANGE(""https://docs.google.com/spreadsheets/d/1-uDff_7J0KD5mKrp0Vvzr7lt3OU09vwQwhkpOPPYv2Y/edit?usp=sharing"",""งบพรบ!FS57"")"),0)</f>
        <v>0</v>
      </c>
      <c r="N521" s="80">
        <f ca="1">IFERROR(__xludf.DUMMYFUNCTION("IMPORTRANGE(""https://docs.google.com/spreadsheets/d/1-uDff_7J0KD5mKrp0Vvzr7lt3OU09vwQwhkpOPPYv2Y/edit?usp=sharing"",""งบพรบ!FU57"")"),0)</f>
        <v>0</v>
      </c>
      <c r="O521" s="80">
        <f ca="1">IF(L521&gt;0,N521*100/L521,0)</f>
        <v>0</v>
      </c>
      <c r="P521" s="80">
        <f ca="1">IF(M521&gt;0,N521*100/M521,0)</f>
        <v>0</v>
      </c>
      <c r="Q521" s="76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90"/>
      <c r="M522" s="90"/>
      <c r="N522" s="90"/>
      <c r="O522" s="231"/>
      <c r="P522" s="231"/>
      <c r="Q522" s="89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90"/>
      <c r="M523" s="90"/>
      <c r="N523" s="90"/>
      <c r="O523" s="90"/>
      <c r="P523" s="90"/>
      <c r="Q523" s="89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101"/>
      <c r="M524" s="101"/>
      <c r="N524" s="101"/>
      <c r="O524" s="101"/>
      <c r="P524" s="101"/>
      <c r="Q524" s="89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658"/>
      <c r="M525" s="658"/>
      <c r="N525" s="658"/>
      <c r="O525" s="658"/>
      <c r="P525" s="658"/>
      <c r="Q525" s="579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5"/>
      <c r="M533" s="645"/>
      <c r="N533" s="645"/>
      <c r="O533" s="645"/>
      <c r="P533" s="645"/>
      <c r="Q533" s="644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393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79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6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6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79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6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6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79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6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8"/>
      <c r="M544" s="578"/>
      <c r="N544" s="578"/>
      <c r="O544" s="578"/>
      <c r="P544" s="578"/>
      <c r="Q544" s="579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5"/>
      <c r="M554" s="645"/>
      <c r="N554" s="645"/>
      <c r="O554" s="645"/>
      <c r="P554" s="645"/>
      <c r="Q554" s="644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393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79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6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6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79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6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6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79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6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8"/>
      <c r="M565" s="578"/>
      <c r="N565" s="578"/>
      <c r="O565" s="578"/>
      <c r="P565" s="578"/>
      <c r="Q565" s="579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5"/>
      <c r="M575" s="645"/>
      <c r="N575" s="645"/>
      <c r="O575" s="645"/>
      <c r="P575" s="645"/>
      <c r="Q575" s="644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393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79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6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6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79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6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6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79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6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8"/>
      <c r="M586" s="578"/>
      <c r="N586" s="578"/>
      <c r="O586" s="578"/>
      <c r="P586" s="578"/>
      <c r="Q586" s="579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8"/>
      <c r="M587" s="578"/>
      <c r="N587" s="578"/>
      <c r="O587" s="578"/>
      <c r="P587" s="578"/>
      <c r="Q587" s="579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2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10"/>
      <c r="M597" s="210"/>
      <c r="N597" s="210"/>
      <c r="O597" s="210"/>
      <c r="P597" s="210"/>
      <c r="Q597" s="209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10"/>
      <c r="M598" s="210"/>
      <c r="N598" s="210"/>
      <c r="O598" s="210"/>
      <c r="P598" s="210"/>
      <c r="Q598" s="209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66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393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80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79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7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6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7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6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80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79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7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6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7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6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80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79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7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6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90"/>
      <c r="M608" s="90"/>
      <c r="N608" s="90"/>
      <c r="O608" s="90"/>
      <c r="P608" s="90"/>
      <c r="Q608" s="89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90"/>
      <c r="M609" s="90"/>
      <c r="N609" s="90"/>
      <c r="O609" s="90"/>
      <c r="P609" s="90"/>
      <c r="Q609" s="89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90"/>
      <c r="M610" s="90"/>
      <c r="N610" s="90"/>
      <c r="O610" s="90"/>
      <c r="P610" s="90"/>
      <c r="Q610" s="89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90"/>
      <c r="M611" s="90"/>
      <c r="N611" s="90"/>
      <c r="O611" s="90"/>
      <c r="P611" s="90"/>
      <c r="Q611" s="89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8"/>
      <c r="M612" s="698"/>
      <c r="N612" s="698"/>
      <c r="O612" s="698"/>
      <c r="P612" s="698"/>
      <c r="Q612" s="699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6"/>
      <c r="M613" s="706"/>
      <c r="N613" s="706"/>
      <c r="O613" s="706"/>
      <c r="P613" s="706"/>
      <c r="Q613" s="707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4"/>
      <c r="M614" s="714"/>
      <c r="N614" s="714"/>
      <c r="O614" s="714"/>
      <c r="P614" s="714"/>
      <c r="Q614" s="715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3"/>
      <c r="M615" s="723"/>
      <c r="N615" s="723"/>
      <c r="O615" s="723"/>
      <c r="P615" s="723"/>
      <c r="Q615" s="724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66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393">
        <f ca="1">Q617+Q618</f>
        <v>6700</v>
      </c>
      <c r="R616" s="266">
        <f ca="1">R617+R618</f>
        <v>6700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79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6">
        <f ca="1">Q621+Q624</f>
        <v>6700</v>
      </c>
      <c r="R618" s="77">
        <f ca="1">R621+R624</f>
        <v>6700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6">
        <f ca="1">Q620+Q621</f>
        <v>6700</v>
      </c>
      <c r="R619" s="77">
        <f ca="1">R620+R621</f>
        <v>6700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79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6">
        <f ca="1">IFERROR(__xludf.DUMMYFUNCTION("IMPORTRANGE(""https://docs.google.com/spreadsheets/d/1ItG2mGa2ceCfYo0BwxsXqNm01IGEUdYcSSLTEv9YCik/edit?usp=sharing"",""เบิกจ่ายกองทุน!F57"")"),6700)</f>
        <v>6700</v>
      </c>
      <c r="R621" s="77">
        <f ca="1">IFERROR(__xludf.DUMMYFUNCTION("IMPORTRANGE(""https://docs.google.com/spreadsheets/d/1ItG2mGa2ceCfYo0BwxsXqNm01IGEUdYcSSLTEv9YCik/edit?usp=sharing"",""เบิกจ่ายกองทุน!G57"")"),6700)</f>
        <v>6700</v>
      </c>
      <c r="S621" s="77">
        <f ca="1">IFERROR(__xludf.DUMMYFUNCTION("IMPORTRANGE(""https://docs.google.com/spreadsheets/d/1ItG2mGa2ceCfYo0BwxsXqNm01IGEUdYcSSLTEv9YCik/edit?usp=sharing"",""เบิกจ่ายกองทุน!H57"")"),0)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6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79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6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IFERROR(__xludf.DUMMYFUNCTION("IMPORTRANGE(""https://docs.google.com/spreadsheets/d/1eHaY18a8A9IcSdp1K8H6x8fbOy06t2VsZHhMHf-1x7Y/edit?usp=sharing"",""แผน!ID57"")"),50)</f>
        <v>50</v>
      </c>
      <c r="J626" s="603">
        <f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IFERROR(__xludf.DUMMYFUNCTION("IMPORTRANGE(""https://docs.google.com/spreadsheets/d/1eHaY18a8A9IcSdp1K8H6x8fbOy06t2VsZHhMHf-1x7Y/edit?usp=sharing"",""แผน!IC57"")"),0)</f>
        <v>0</v>
      </c>
      <c r="J627" s="296">
        <v>0</v>
      </c>
      <c r="K627" s="77">
        <f ca="1">IF(I627&gt;0,(J627*100)/I627,0)</f>
        <v>0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IFERROR(__xludf.DUMMYFUNCTION("IMPORTRANGE(""https://docs.google.com/spreadsheets/d/1eHaY18a8A9IcSdp1K8H6x8fbOy06t2VsZHhMHf-1x7Y/edit?usp=sharing"",""แผน!IC57"")"),0)</f>
        <v>0</v>
      </c>
      <c r="J628" s="296">
        <v>0</v>
      </c>
      <c r="K628" s="77">
        <f ca="1">IF(I628&gt;0,(J628*100)/I628,0)</f>
        <v>0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IFERROR(__xludf.DUMMYFUNCTION("IMPORTRANGE(""https://docs.google.com/spreadsheets/d/1eHaY18a8A9IcSdp1K8H6x8fbOy06t2VsZHhMHf-1x7Y/edit?usp=sharing"",""แผน!IE57"")"),0)</f>
        <v>0</v>
      </c>
      <c r="J635" s="603">
        <f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3"/>
      <c r="M641" s="723"/>
      <c r="N641" s="723"/>
      <c r="O641" s="723"/>
      <c r="P641" s="723"/>
      <c r="Q641" s="724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66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393">
        <f ca="1">Q643+Q644</f>
        <v>10480</v>
      </c>
      <c r="R642" s="266">
        <f ca="1">R643+R644</f>
        <v>10480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79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6">
        <f ca="1">Q647+Q650</f>
        <v>10480</v>
      </c>
      <c r="R644" s="77">
        <f ca="1">R647+R650</f>
        <v>10480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6">
        <f ca="1">Q646+Q647</f>
        <v>10480</v>
      </c>
      <c r="R645" s="77">
        <f ca="1">R646+R647</f>
        <v>10480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79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6">
        <f ca="1">IFERROR(__xludf.DUMMYFUNCTION("IMPORTRANGE(""https://docs.google.com/spreadsheets/d/1ItG2mGa2ceCfYo0BwxsXqNm01IGEUdYcSSLTEv9YCik/edit?usp=sharing"",""เบิกจ่ายกองทุน!I57"")"),10480)</f>
        <v>10480</v>
      </c>
      <c r="R647" s="77">
        <f ca="1">IFERROR(__xludf.DUMMYFUNCTION("IMPORTRANGE(""https://docs.google.com/spreadsheets/d/1ItG2mGa2ceCfYo0BwxsXqNm01IGEUdYcSSLTEv9YCik/edit?usp=sharing"",""เบิกจ่ายกองทุน!J57"")"),10480)</f>
        <v>10480</v>
      </c>
      <c r="S647" s="77">
        <f ca="1">IFERROR(__xludf.DUMMYFUNCTION("IMPORTRANGE(""https://docs.google.com/spreadsheets/d/1ItG2mGa2ceCfYo0BwxsXqNm01IGEUdYcSSLTEv9YCik/edit?usp=sharing"",""เบิกจ่ายกองทุน!K57"")"),0)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6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79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6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IFERROR(__xludf.DUMMYFUNCTION("IMPORTRANGE(""https://docs.google.com/spreadsheets/d/1eHaY18a8A9IcSdp1K8H6x8fbOy06t2VsZHhMHf-1x7Y/edit?usp=sharing"",""แผน!IF57"")"),0)</f>
        <v>0</v>
      </c>
      <c r="J652" s="295">
        <f ca="1">IFERROR(__xludf.DUMMYFUNCTION("IMPORTRANGE(""https://docs.google.com/spreadsheets/d/1tdoBKaGub7dwA3U6UFTqxio9LNnvDCQjHKmttSEBsFQ/edit?usp=sharing"",""จัดที่ดิน!AU57"")"),0)</f>
        <v>0</v>
      </c>
      <c r="K652" s="77">
        <f ca="1">IF(I652&gt;0,J652*100/I652,0)</f>
        <v>0</v>
      </c>
      <c r="L652" s="90"/>
      <c r="M652" s="90"/>
      <c r="N652" s="732"/>
      <c r="O652" s="90"/>
      <c r="P652" s="90"/>
      <c r="Q652" s="89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IFERROR(__xludf.DUMMYFUNCTION("IMPORTRANGE(""https://docs.google.com/spreadsheets/d/1eHaY18a8A9IcSdp1K8H6x8fbOy06t2VsZHhMHf-1x7Y/edit?usp=sharing"",""แผน!IG57"")"),0)</f>
        <v>0</v>
      </c>
      <c r="J653" s="295">
        <f ca="1">IFERROR(__xludf.DUMMYFUNCTION("IMPORTRANGE(""https://docs.google.com/spreadsheets/d/1tdoBKaGub7dwA3U6UFTqxio9LNnvDCQjHKmttSEBsFQ/edit?usp=sharing"",""จัดที่ดิน!AW57"")"),0)</f>
        <v>0</v>
      </c>
      <c r="K653" s="77">
        <f ca="1">IF(I653&gt;0,J653*100/I653,0)</f>
        <v>0</v>
      </c>
      <c r="L653" s="90"/>
      <c r="M653" s="90"/>
      <c r="N653" s="732"/>
      <c r="O653" s="90"/>
      <c r="P653" s="90"/>
      <c r="Q653" s="89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IFERROR(__xludf.DUMMYFUNCTION("IMPORTRANGE(""https://docs.google.com/spreadsheets/d/1eHaY18a8A9IcSdp1K8H6x8fbOy06t2VsZHhMHf-1x7Y/edit?usp=sharing"",""แผน!IH57"")"),120)</f>
        <v>120</v>
      </c>
      <c r="J654" s="603">
        <f>J657+J660</f>
        <v>0</v>
      </c>
      <c r="K654" s="266">
        <f ca="1">IF(I654&gt;0,J654*100/I654,0)</f>
        <v>0</v>
      </c>
      <c r="L654" s="90"/>
      <c r="M654" s="90"/>
      <c r="N654" s="732"/>
      <c r="O654" s="90"/>
      <c r="P654" s="90"/>
      <c r="Q654" s="89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90"/>
      <c r="M655" s="90"/>
      <c r="N655" s="732"/>
      <c r="O655" s="90"/>
      <c r="P655" s="90"/>
      <c r="Q655" s="89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90"/>
      <c r="M656" s="90"/>
      <c r="N656" s="732"/>
      <c r="O656" s="90"/>
      <c r="P656" s="90"/>
      <c r="Q656" s="89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IFERROR(__xludf.DUMMYFUNCTION("IMPORTRANGE(""https://docs.google.com/spreadsheets/d/1eHaY18a8A9IcSdp1K8H6x8fbOy06t2VsZHhMHf-1x7Y/edit?usp=sharing"",""แผน!II57"")"),20)</f>
        <v>20</v>
      </c>
      <c r="J657" s="296">
        <v>0</v>
      </c>
      <c r="K657" s="90"/>
      <c r="L657" s="90"/>
      <c r="M657" s="90"/>
      <c r="N657" s="732"/>
      <c r="O657" s="90"/>
      <c r="P657" s="90"/>
      <c r="Q657" s="89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90"/>
      <c r="M658" s="90"/>
      <c r="N658" s="732"/>
      <c r="O658" s="90"/>
      <c r="P658" s="90"/>
      <c r="Q658" s="89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90"/>
      <c r="M659" s="90"/>
      <c r="N659" s="732"/>
      <c r="O659" s="90"/>
      <c r="P659" s="90"/>
      <c r="Q659" s="89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IFERROR(__xludf.DUMMYFUNCTION("IMPORTRANGE(""https://docs.google.com/spreadsheets/d/1eHaY18a8A9IcSdp1K8H6x8fbOy06t2VsZHhMHf-1x7Y/edit?usp=sharing"",""แผน!IJ57"")"),100)</f>
        <v>100</v>
      </c>
      <c r="J660" s="296">
        <v>0</v>
      </c>
      <c r="K660" s="90"/>
      <c r="L660" s="90"/>
      <c r="M660" s="90"/>
      <c r="N660" s="732"/>
      <c r="O660" s="90"/>
      <c r="P660" s="90"/>
      <c r="Q660" s="89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IFERROR(__xludf.DUMMYFUNCTION("IMPORTRANGE(""https://docs.google.com/spreadsheets/d/1eHaY18a8A9IcSdp1K8H6x8fbOy06t2VsZHhMHf-1x7Y/edit?usp=sharing"",""แผน!IK57"")"),0)</f>
        <v>0</v>
      </c>
      <c r="J661" s="603">
        <f>J667+J670</f>
        <v>0</v>
      </c>
      <c r="K661" s="266">
        <f ca="1">IF(I661&gt;0,J661*100/I661,0)</f>
        <v>0</v>
      </c>
      <c r="L661" s="90"/>
      <c r="M661" s="90"/>
      <c r="N661" s="732"/>
      <c r="O661" s="90"/>
      <c r="P661" s="90"/>
      <c r="Q661" s="89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2"/>
      <c r="M662" s="90"/>
      <c r="N662" s="732"/>
      <c r="O662" s="90"/>
      <c r="P662" s="90"/>
      <c r="Q662" s="734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2"/>
      <c r="M663" s="90"/>
      <c r="N663" s="732"/>
      <c r="O663" s="90"/>
      <c r="P663" s="90"/>
      <c r="Q663" s="734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2"/>
      <c r="M664" s="90"/>
      <c r="N664" s="732"/>
      <c r="O664" s="90"/>
      <c r="P664" s="90"/>
      <c r="Q664" s="734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2"/>
      <c r="M665" s="90"/>
      <c r="N665" s="732"/>
      <c r="O665" s="90"/>
      <c r="P665" s="90"/>
      <c r="Q665" s="734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2"/>
      <c r="M666" s="90"/>
      <c r="N666" s="732"/>
      <c r="O666" s="90"/>
      <c r="P666" s="90"/>
      <c r="Q666" s="734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2"/>
      <c r="M667" s="90"/>
      <c r="N667" s="732"/>
      <c r="O667" s="90"/>
      <c r="P667" s="90"/>
      <c r="Q667" s="734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2"/>
      <c r="M668" s="90"/>
      <c r="N668" s="732"/>
      <c r="O668" s="90"/>
      <c r="P668" s="90"/>
      <c r="Q668" s="734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2"/>
      <c r="M669" s="90"/>
      <c r="N669" s="732"/>
      <c r="O669" s="90"/>
      <c r="P669" s="90"/>
      <c r="Q669" s="734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2"/>
      <c r="M670" s="90"/>
      <c r="N670" s="732"/>
      <c r="O670" s="90"/>
      <c r="P670" s="90"/>
      <c r="Q670" s="734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IFERROR(__xludf.DUMMYFUNCTION("IMPORTRANGE(""https://docs.google.com/spreadsheets/d/1tdoBKaGub7dwA3U6UFTqxio9LNnvDCQjHKmttSEBsFQ/edit?usp=sharing"",""จัดที่ดิน!AY57"")"),0)</f>
        <v>0</v>
      </c>
      <c r="K671" s="90"/>
      <c r="L671" s="90"/>
      <c r="M671" s="90"/>
      <c r="N671" s="732"/>
      <c r="O671" s="90"/>
      <c r="P671" s="90"/>
      <c r="Q671" s="89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IFERROR(__xludf.DUMMYFUNCTION("IMPORTRANGE(""https://docs.google.com/spreadsheets/d/1tdoBKaGub7dwA3U6UFTqxio9LNnvDCQjHKmttSEBsFQ/edit?usp=sharing"",""จัดที่ดิน!AZ57"")"),0)</f>
        <v>0</v>
      </c>
      <c r="K672" s="90"/>
      <c r="L672" s="732"/>
      <c r="M672" s="90"/>
      <c r="N672" s="732"/>
      <c r="O672" s="90"/>
      <c r="P672" s="90"/>
      <c r="Q672" s="734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IFERROR(__xludf.DUMMYFUNCTION("IMPORTRANGE(""https://docs.google.com/spreadsheets/d/1eHaY18a8A9IcSdp1K8H6x8fbOy06t2VsZHhMHf-1x7Y/edit?usp=sharing"",""แผน!IL57"")"),100)</f>
        <v>100</v>
      </c>
      <c r="J673" s="295">
        <f ca="1">IFERROR(__xludf.DUMMYFUNCTION("IMPORTRANGE(""https://docs.google.com/spreadsheets/d/1tdoBKaGub7dwA3U6UFTqxio9LNnvDCQjHKmttSEBsFQ/edit?usp=sharing"",""จัดที่ดิน!BA57"")"),0)</f>
        <v>0</v>
      </c>
      <c r="K673" s="77">
        <f ca="1">IF(I673&gt;0,J673*100/I673,0)</f>
        <v>0</v>
      </c>
      <c r="L673" s="732"/>
      <c r="M673" s="90"/>
      <c r="N673" s="732"/>
      <c r="O673" s="90"/>
      <c r="P673" s="90"/>
      <c r="Q673" s="734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IFERROR(__xludf.DUMMYFUNCTION("IMPORTRANGE(""https://docs.google.com/spreadsheets/d/1eHaY18a8A9IcSdp1K8H6x8fbOy06t2VsZHhMHf-1x7Y/edit?usp=sharing"",""แผน!IM57"")"),9)</f>
        <v>9</v>
      </c>
      <c r="J674" s="603">
        <f ca="1">J676+J679</f>
        <v>0</v>
      </c>
      <c r="K674" s="266">
        <f ca="1">IF(I674&gt;0,J674*100/I674,0)</f>
        <v>0</v>
      </c>
      <c r="L674" s="732"/>
      <c r="M674" s="90"/>
      <c r="N674" s="732"/>
      <c r="O674" s="90"/>
      <c r="P674" s="90"/>
      <c r="Q674" s="734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IFERROR(__xludf.DUMMYFUNCTION("IMPORTRANGE(""https://docs.google.com/spreadsheets/d/1eHaY18a8A9IcSdp1K8H6x8fbOy06t2VsZHhMHf-1x7Y/edit?usp=sharing"",""แผน!IN57"")"),140)</f>
        <v>140</v>
      </c>
      <c r="J675" s="603">
        <f ca="1">J678+J681</f>
        <v>0</v>
      </c>
      <c r="K675" s="266">
        <f ca="1">IF(I675&gt;0,J675*100/I675,0)</f>
        <v>0</v>
      </c>
      <c r="L675" s="90"/>
      <c r="M675" s="90"/>
      <c r="N675" s="732"/>
      <c r="O675" s="90"/>
      <c r="P675" s="90"/>
      <c r="Q675" s="89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IFERROR(__xludf.DUMMYFUNCTION("IMPORTRANGE(""https://docs.google.com/spreadsheets/d/1eHaY18a8A9IcSdp1K8H6x8fbOy06t2VsZHhMHf-1x7Y/edit?usp=sharing"",""แผน!IO57"")"),9)</f>
        <v>9</v>
      </c>
      <c r="J676" s="295">
        <f ca="1">IFERROR(__xludf.DUMMYFUNCTION("IMPORTRANGE(""https://docs.google.com/spreadsheets/d/1tdoBKaGub7dwA3U6UFTqxio9LNnvDCQjHKmttSEBsFQ/edit?usp=sharing"",""จัดที่ดิน!BF57"")"),0)</f>
        <v>0</v>
      </c>
      <c r="K676" s="77">
        <f ca="1">IF(I676&gt;0,J676*100/I676,0)</f>
        <v>0</v>
      </c>
      <c r="L676" s="90"/>
      <c r="M676" s="90"/>
      <c r="N676" s="732"/>
      <c r="O676" s="90"/>
      <c r="P676" s="90"/>
      <c r="Q676" s="89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IFERROR(__xludf.DUMMYFUNCTION("IMPORTRANGE(""https://docs.google.com/spreadsheets/d/1tdoBKaGub7dwA3U6UFTqxio9LNnvDCQjHKmttSEBsFQ/edit?usp=sharing"",""จัดที่ดิน!BG57"")"),0)</f>
        <v>0</v>
      </c>
      <c r="K677" s="90"/>
      <c r="L677" s="732"/>
      <c r="M677" s="90"/>
      <c r="N677" s="732"/>
      <c r="O677" s="90"/>
      <c r="P677" s="90"/>
      <c r="Q677" s="734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IFERROR(__xludf.DUMMYFUNCTION("IMPORTRANGE(""https://docs.google.com/spreadsheets/d/1eHaY18a8A9IcSdp1K8H6x8fbOy06t2VsZHhMHf-1x7Y/edit?usp=sharing"",""แผน!IP57"")"),140)</f>
        <v>140</v>
      </c>
      <c r="J678" s="295">
        <f ca="1">IFERROR(__xludf.DUMMYFUNCTION("IMPORTRANGE(""https://docs.google.com/spreadsheets/d/1tdoBKaGub7dwA3U6UFTqxio9LNnvDCQjHKmttSEBsFQ/edit?usp=sharing"",""จัดที่ดิน!BH57"")"),0)</f>
        <v>0</v>
      </c>
      <c r="K678" s="77">
        <f ca="1">IF(I678&gt;0,J678*100/I678,0)</f>
        <v>0</v>
      </c>
      <c r="L678" s="732"/>
      <c r="M678" s="90"/>
      <c r="N678" s="732"/>
      <c r="O678" s="90"/>
      <c r="P678" s="90"/>
      <c r="Q678" s="734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IFERROR(__xludf.DUMMYFUNCTION("IMPORTRANGE(""https://docs.google.com/spreadsheets/d/1eHaY18a8A9IcSdp1K8H6x8fbOy06t2VsZHhMHf-1x7Y/edit?usp=sharing"",""แผน!IQ57"")"),0)</f>
        <v>0</v>
      </c>
      <c r="J679" s="295">
        <f ca="1">IFERROR(__xludf.DUMMYFUNCTION("IMPORTRANGE(""https://docs.google.com/spreadsheets/d/1tdoBKaGub7dwA3U6UFTqxio9LNnvDCQjHKmttSEBsFQ/edit?usp=sharing"",""จัดที่ดิน!BK57"")"),0)</f>
        <v>0</v>
      </c>
      <c r="K679" s="77">
        <f ca="1">IF(I679&gt;0,J679*100/I679,0)</f>
        <v>0</v>
      </c>
      <c r="L679" s="90"/>
      <c r="M679" s="90"/>
      <c r="N679" s="732"/>
      <c r="O679" s="90"/>
      <c r="P679" s="90"/>
      <c r="Q679" s="89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IFERROR(__xludf.DUMMYFUNCTION("IMPORTRANGE(""https://docs.google.com/spreadsheets/d/1tdoBKaGub7dwA3U6UFTqxio9LNnvDCQjHKmttSEBsFQ/edit?usp=sharing"",""จัดที่ดิน!BL57"")"),0)</f>
        <v>0</v>
      </c>
      <c r="K680" s="90"/>
      <c r="L680" s="732"/>
      <c r="M680" s="90"/>
      <c r="N680" s="732"/>
      <c r="O680" s="90"/>
      <c r="P680" s="90"/>
      <c r="Q680" s="734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IFERROR(__xludf.DUMMYFUNCTION("IMPORTRANGE(""https://docs.google.com/spreadsheets/d/1eHaY18a8A9IcSdp1K8H6x8fbOy06t2VsZHhMHf-1x7Y/edit?usp=sharing"",""แผน!IR57"")"),0)</f>
        <v>0</v>
      </c>
      <c r="J681" s="295">
        <f ca="1">IFERROR(__xludf.DUMMYFUNCTION("IMPORTRANGE(""https://docs.google.com/spreadsheets/d/1tdoBKaGub7dwA3U6UFTqxio9LNnvDCQjHKmttSEBsFQ/edit?usp=sharing"",""จัดที่ดิน!BM57"")"),0)</f>
        <v>0</v>
      </c>
      <c r="K681" s="77">
        <f ca="1">IF(I681&gt;0,J681*100/I681,0)</f>
        <v>0</v>
      </c>
      <c r="L681" s="732"/>
      <c r="M681" s="90"/>
      <c r="N681" s="732"/>
      <c r="O681" s="90"/>
      <c r="P681" s="90"/>
      <c r="Q681" s="734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IFERROR(__xludf.DUMMYFUNCTION("IMPORTRANGE(""https://docs.google.com/spreadsheets/d/1eHaY18a8A9IcSdp1K8H6x8fbOy06t2VsZHhMHf-1x7Y/edit?usp=sharing"",""แผน!IS57"")"),0)</f>
        <v>0</v>
      </c>
      <c r="J682" s="603">
        <f>J685+J688</f>
        <v>0</v>
      </c>
      <c r="K682" s="266">
        <f ca="1">IF(I682&gt;0,J682*100/I682,0)</f>
        <v>0</v>
      </c>
      <c r="L682" s="90"/>
      <c r="M682" s="90"/>
      <c r="N682" s="732"/>
      <c r="O682" s="90"/>
      <c r="P682" s="90"/>
      <c r="Q682" s="89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2"/>
      <c r="M683" s="90"/>
      <c r="N683" s="732"/>
      <c r="O683" s="90"/>
      <c r="P683" s="90"/>
      <c r="Q683" s="734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2"/>
      <c r="M684" s="90"/>
      <c r="N684" s="732"/>
      <c r="O684" s="90"/>
      <c r="P684" s="90"/>
      <c r="Q684" s="734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2"/>
      <c r="M685" s="90"/>
      <c r="N685" s="732"/>
      <c r="O685" s="90"/>
      <c r="P685" s="90"/>
      <c r="Q685" s="734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2"/>
      <c r="M686" s="90"/>
      <c r="N686" s="732"/>
      <c r="O686" s="90"/>
      <c r="P686" s="90"/>
      <c r="Q686" s="734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2"/>
      <c r="M687" s="90"/>
      <c r="N687" s="732"/>
      <c r="O687" s="90"/>
      <c r="P687" s="90"/>
      <c r="Q687" s="734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2"/>
      <c r="M688" s="101"/>
      <c r="N688" s="742"/>
      <c r="O688" s="101"/>
      <c r="P688" s="101"/>
      <c r="Q688" s="743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21</v>
      </c>
      <c r="J689" s="760">
        <f ca="1">J707</f>
        <v>0</v>
      </c>
      <c r="K689" s="746">
        <f ca="1">IF(I689&gt;0,J689*100/I689,0)</f>
        <v>0</v>
      </c>
      <c r="L689" s="714"/>
      <c r="M689" s="714"/>
      <c r="N689" s="714"/>
      <c r="O689" s="714"/>
      <c r="P689" s="714"/>
      <c r="Q689" s="715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66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393">
        <f ca="1">Q691+Q692</f>
        <v>126470</v>
      </c>
      <c r="R690" s="266">
        <f ca="1">R691+R692</f>
        <v>126470</v>
      </c>
      <c r="S690" s="266">
        <f ca="1">S691+S692</f>
        <v>4840</v>
      </c>
      <c r="T690" s="266">
        <f ca="1">IF(Q690&gt;0,S690*100/Q690,0)</f>
        <v>3.8269945441606703</v>
      </c>
      <c r="U690" s="266">
        <f ca="1">IF(R690&gt;0,S690*100/R690,0)</f>
        <v>3.8269945441606703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79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6">
        <f ca="1">Q695+Q698</f>
        <v>126470</v>
      </c>
      <c r="R692" s="77">
        <f ca="1">R695+R698</f>
        <v>126470</v>
      </c>
      <c r="S692" s="77">
        <f ca="1">S695+S698</f>
        <v>4840</v>
      </c>
      <c r="T692" s="77">
        <f ca="1">IF(Q692&gt;0,S692*100/Q692,0)</f>
        <v>3.8269945441606703</v>
      </c>
      <c r="U692" s="77">
        <f ca="1">IF(R692&gt;0,S692*100/R692,0)</f>
        <v>3.8269945441606703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6">
        <f ca="1">Q694+Q695</f>
        <v>126470</v>
      </c>
      <c r="R693" s="77">
        <f ca="1">R694+R695</f>
        <v>126470</v>
      </c>
      <c r="S693" s="77">
        <f ca="1">S694+S695</f>
        <v>4840</v>
      </c>
      <c r="T693" s="77">
        <f ca="1">IF(Q693&gt;0,S693*100/Q693,0)</f>
        <v>3.8269945441606703</v>
      </c>
      <c r="U693" s="77">
        <f ca="1">IF(R693&gt;0,S693*100/R693,0)</f>
        <v>3.8269945441606703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79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6">
        <f ca="1">IFERROR(__xludf.DUMMYFUNCTION("IMPORTRANGE(""https://docs.google.com/spreadsheets/d/1ItG2mGa2ceCfYo0BwxsXqNm01IGEUdYcSSLTEv9YCik/edit?usp=sharing"",""เบิกจ่ายกองทุน!L57"")"),126470)</f>
        <v>126470</v>
      </c>
      <c r="R695" s="77">
        <f ca="1">IFERROR(__xludf.DUMMYFUNCTION("IMPORTRANGE(""https://docs.google.com/spreadsheets/d/1ItG2mGa2ceCfYo0BwxsXqNm01IGEUdYcSSLTEv9YCik/edit?usp=sharing"",""เบิกจ่ายกองทุน!M57"")"),126470)</f>
        <v>126470</v>
      </c>
      <c r="S695" s="77">
        <f ca="1">IFERROR(__xludf.DUMMYFUNCTION("IMPORTRANGE(""https://docs.google.com/spreadsheets/d/1ItG2mGa2ceCfYo0BwxsXqNm01IGEUdYcSSLTEv9YCik/edit?usp=sharing"",""เบิกจ่ายกองทุน!N57"")"),4840)</f>
        <v>4840</v>
      </c>
      <c r="T695" s="77">
        <f ca="1">IF(Q695&gt;0,S695*100/Q695,0)</f>
        <v>3.8269945441606703</v>
      </c>
      <c r="U695" s="77">
        <f ca="1">IF(R695&gt;0,S695*100/R695,0)</f>
        <v>3.8269945441606703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6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79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6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IFERROR(__xludf.DUMMYFUNCTION("IMPORTRANGE(""https://docs.google.com/spreadsheets/d/1eHaY18a8A9IcSdp1K8H6x8fbOy06t2VsZHhMHf-1x7Y/edit?usp=sharing"",""แผน!LC57"")"),0)</f>
        <v>0</v>
      </c>
      <c r="J700" s="296">
        <v>0</v>
      </c>
      <c r="K700" s="748">
        <f ca="1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22</v>
      </c>
      <c r="J701" s="603">
        <f ca="1">J703+J705</f>
        <v>1</v>
      </c>
      <c r="K701" s="266">
        <f ca="1">IF(I701&gt;0,J701*100/I701,0)</f>
        <v>4.5454545454545459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1.83</v>
      </c>
      <c r="K702" s="266">
        <f>IF(I702&gt;0,J702*100/I702,0)</f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IFERROR(__xludf.DUMMYFUNCTION("IMPORTRANGE(""https://docs.google.com/spreadsheets/d/1eHaY18a8A9IcSdp1K8H6x8fbOy06t2VsZHhMHf-1x7Y/edit?usp=sharing"",""แผน!LJ57"")"),21)</f>
        <v>21</v>
      </c>
      <c r="J703" s="295">
        <f ca="1">IFERROR(__xludf.DUMMYFUNCTION("IMPORTRANGE(""https://docs.google.com/spreadsheets/d/1tdoBKaGub7dwA3U6UFTqxio9LNnvDCQjHKmttSEBsFQ/edit?usp=sharing"",""จัดที่ดิน!AP57"")"),1)</f>
        <v>1</v>
      </c>
      <c r="K703" s="77">
        <f ca="1">IF(I703&gt;0,J703*100/I703,0)</f>
        <v>4.7619047619047619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IFERROR(__xludf.DUMMYFUNCTION("IMPORTRANGE(""https://docs.google.com/spreadsheets/d/1tdoBKaGub7dwA3U6UFTqxio9LNnvDCQjHKmttSEBsFQ/edit?usp=sharing"",""จัดที่ดิน!AQ57"")"),1.83)</f>
        <v>1.83</v>
      </c>
      <c r="K704" s="77">
        <f>IF(I704&gt;0,J704*100/I704,0)</f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IFERROR(__xludf.DUMMYFUNCTION("IMPORTRANGE(""https://docs.google.com/spreadsheets/d/1eHaY18a8A9IcSdp1K8H6x8fbOy06t2VsZHhMHf-1x7Y/edit?usp=sharing"",""แผน!LK57"")"),1)</f>
        <v>1</v>
      </c>
      <c r="J705" s="295">
        <f ca="1">IFERROR(__xludf.DUMMYFUNCTION("IMPORTRANGE(""https://docs.google.com/spreadsheets/d/1tdoBKaGub7dwA3U6UFTqxio9LNnvDCQjHKmttSEBsFQ/edit?usp=sharing"",""จัดที่ดิน!AR57"")"),0)</f>
        <v>0</v>
      </c>
      <c r="K705" s="748">
        <f ca="1">IF(I705&gt;0,J705*100/I705,0)</f>
        <v>0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IFERROR(__xludf.DUMMYFUNCTION("IMPORTRANGE(""https://docs.google.com/spreadsheets/d/1tdoBKaGub7dwA3U6UFTqxio9LNnvDCQjHKmttSEBsFQ/edit?usp=sharing"",""จัดที่ดิน!AS57"")"),0)</f>
        <v>0</v>
      </c>
      <c r="K706" s="77">
        <f>IF(I706&gt;0,J706*100/I706,0)</f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IFERROR(__xludf.DUMMYFUNCTION("IMPORTRANGE(""https://docs.google.com/spreadsheets/d/1eHaY18a8A9IcSdp1K8H6x8fbOy06t2VsZHhMHf-1x7Y/edit?usp=sharing"",""แผน!LJ57"")"),21)</f>
        <v>21</v>
      </c>
      <c r="J707" s="295">
        <f ca="1">IFERROR(__xludf.DUMMYFUNCTION("IMPORTRANGE(""https://docs.google.com/spreadsheets/d/1tdoBKaGub7dwA3U6UFTqxio9LNnvDCQjHKmttSEBsFQ/edit?usp=sharing"",""จัดที่ดิน!BN57"")"),0)</f>
        <v>0</v>
      </c>
      <c r="K707" s="77">
        <f ca="1">IF(I707&gt;0,J707*100/I707,0)</f>
        <v>0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IFERROR(__xludf.DUMMYFUNCTION("IMPORTRANGE(""https://docs.google.com/spreadsheets/d/1tdoBKaGub7dwA3U6UFTqxio9LNnvDCQjHKmttSEBsFQ/edit?usp=sharing"",""จัดที่ดิน!BO57"")"),0)</f>
        <v>0</v>
      </c>
      <c r="K708" s="77">
        <f>IF(I708&gt;0,J708*100/I708,0)</f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IFERROR(__xludf.DUMMYFUNCTION("IMPORTRANGE(""https://docs.google.com/spreadsheets/d/1eHaY18a8A9IcSdp1K8H6x8fbOy06t2VsZHhMHf-1x7Y/edit?usp=sharing"",""แผน!LK57"")"),1)</f>
        <v>1</v>
      </c>
      <c r="J709" s="295">
        <f ca="1">IFERROR(__xludf.DUMMYFUNCTION("IMPORTRANGE(""https://docs.google.com/spreadsheets/d/1tdoBKaGub7dwA3U6UFTqxio9LNnvDCQjHKmttSEBsFQ/edit?usp=sharing"",""จัดที่ดิน!BP57"")"),0)</f>
        <v>0</v>
      </c>
      <c r="K709" s="77">
        <f ca="1">IF(I709&gt;0,J709*100/I709,0)</f>
        <v>0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IFERROR(__xludf.DUMMYFUNCTION("IMPORTRANGE(""https://docs.google.com/spreadsheets/d/1tdoBKaGub7dwA3U6UFTqxio9LNnvDCQjHKmttSEBsFQ/edit?usp=sharing"",""จัดที่ดิน!BQ57"")"),0)</f>
        <v>0</v>
      </c>
      <c r="K710" s="77">
        <f>IF(I710&gt;0,J710*100/I710,0)</f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4"/>
      <c r="M712" s="714"/>
      <c r="N712" s="714"/>
      <c r="O712" s="714"/>
      <c r="P712" s="714"/>
      <c r="Q712" s="715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4"/>
      <c r="M713" s="714"/>
      <c r="N713" s="714"/>
      <c r="O713" s="714"/>
      <c r="P713" s="714"/>
      <c r="Q713" s="715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66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393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79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6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7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6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79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6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7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6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79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7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6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IFERROR(__xludf.DUMMYFUNCTION("IMPORTRANGE(""https://docs.google.com/spreadsheets/d/1eHaY18a8A9IcSdp1K8H6x8fbOy06t2VsZHhMHf-1x7Y/edit?usp=sharing"",""แผน!GA57"")"),11)</f>
        <v>11</v>
      </c>
      <c r="J726" s="760">
        <f>J742+J746+J749</f>
        <v>10</v>
      </c>
      <c r="K726" s="746">
        <f ca="1">IF(I726&gt;0,J726*100/I726,0)</f>
        <v>90.909090909090907</v>
      </c>
      <c r="L726" s="714"/>
      <c r="M726" s="714"/>
      <c r="N726" s="714"/>
      <c r="O726" s="714"/>
      <c r="P726" s="714"/>
      <c r="Q726" s="715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IFERROR(__xludf.DUMMYFUNCTION("IMPORTRANGE(""https://docs.google.com/spreadsheets/d/1eHaY18a8A9IcSdp1K8H6x8fbOy06t2VsZHhMHf-1x7Y/edit?usp=sharing"",""แผน!FZ57"")"),100)</f>
        <v>100</v>
      </c>
      <c r="J727" s="760">
        <f>J752+J755</f>
        <v>0</v>
      </c>
      <c r="K727" s="746">
        <f ca="1">IF(I727&gt;0,J727*100/I727,0)</f>
        <v>0</v>
      </c>
      <c r="L727" s="714"/>
      <c r="M727" s="714"/>
      <c r="N727" s="714"/>
      <c r="O727" s="714"/>
      <c r="P727" s="714"/>
      <c r="Q727" s="715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66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393">
        <f ca="1">Q729+Q730</f>
        <v>111162</v>
      </c>
      <c r="R728" s="266">
        <f ca="1">R729+R730</f>
        <v>111162</v>
      </c>
      <c r="S728" s="266">
        <f ca="1">S729+S730</f>
        <v>16962</v>
      </c>
      <c r="T728" s="266">
        <f ca="1">IF(Q728&gt;0,S728*100/Q728,0)</f>
        <v>15.258811464349328</v>
      </c>
      <c r="U728" s="266">
        <f ca="1">IF(R728&gt;0,S728*100/R728,0)</f>
        <v>15.258811464349328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79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6">
        <f ca="1">Q733+Q736</f>
        <v>111162</v>
      </c>
      <c r="R730" s="77">
        <f ca="1">R733+R736</f>
        <v>111162</v>
      </c>
      <c r="S730" s="77">
        <f ca="1">S733+S736</f>
        <v>16962</v>
      </c>
      <c r="T730" s="77">
        <f ca="1">IF(Q730&gt;0,S730*100/Q730,0)</f>
        <v>15.258811464349328</v>
      </c>
      <c r="U730" s="77">
        <f ca="1">IF(R730&gt;0,S730*100/R730,0)</f>
        <v>15.258811464349328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6">
        <f ca="1">Q732+Q733</f>
        <v>111162</v>
      </c>
      <c r="R731" s="77">
        <f ca="1">R732+R733</f>
        <v>111162</v>
      </c>
      <c r="S731" s="77">
        <f ca="1">S732+S733</f>
        <v>16962</v>
      </c>
      <c r="T731" s="77">
        <f ca="1">IF(Q731&gt;0,S731*100/Q731,0)</f>
        <v>15.258811464349328</v>
      </c>
      <c r="U731" s="77">
        <f ca="1">IF(R731&gt;0,S731*100/R731,0)</f>
        <v>15.258811464349328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79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6">
        <f ca="1">IFERROR(__xludf.DUMMYFUNCTION("IMPORTRANGE(""https://docs.google.com/spreadsheets/d/1ItG2mGa2ceCfYo0BwxsXqNm01IGEUdYcSSLTEv9YCik/edit?usp=sharing"",""เบิกจ่ายกองทุน!O57"")"),111162)</f>
        <v>111162</v>
      </c>
      <c r="R733" s="77">
        <f ca="1">IFERROR(__xludf.DUMMYFUNCTION("IMPORTRANGE(""https://docs.google.com/spreadsheets/d/1ItG2mGa2ceCfYo0BwxsXqNm01IGEUdYcSSLTEv9YCik/edit?usp=sharing"",""เบิกจ่ายกองทุน!P57"")"),111162)</f>
        <v>111162</v>
      </c>
      <c r="S733" s="77">
        <f ca="1">IFERROR(__xludf.DUMMYFUNCTION("IMPORTRANGE(""https://docs.google.com/spreadsheets/d/1ItG2mGa2ceCfYo0BwxsXqNm01IGEUdYcSSLTEv9YCik/edit?usp=sharing"",""เบิกจ่ายกองทุน!Q57"")"),16962)</f>
        <v>16962</v>
      </c>
      <c r="T733" s="77">
        <f ca="1">IF(Q733&gt;0,S733*100/Q733,0)</f>
        <v>15.258811464349328</v>
      </c>
      <c r="U733" s="77">
        <f ca="1">IF(R733&gt;0,S733*100/R733,0)</f>
        <v>15.258811464349328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6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79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6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IFERROR(__xludf.DUMMYFUNCTION("IMPORTRANGE(""https://docs.google.com/spreadsheets/d/1eHaY18a8A9IcSdp1K8H6x8fbOy06t2VsZHhMHf-1x7Y/edit?usp=sharing"",""แผน!GB57"")"),80)</f>
        <v>80</v>
      </c>
      <c r="J740" s="816">
        <v>0</v>
      </c>
      <c r="K740" s="91">
        <f ca="1">IF(I740&gt;0,J740*100/I740,0)</f>
        <v>0</v>
      </c>
      <c r="L740" s="75"/>
      <c r="M740" s="75"/>
      <c r="N740" s="75"/>
      <c r="O740" s="75"/>
      <c r="P740" s="75"/>
      <c r="Q740" s="523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8</v>
      </c>
      <c r="K741" s="75"/>
      <c r="L741" s="75"/>
      <c r="M741" s="75"/>
      <c r="N741" s="75"/>
      <c r="O741" s="75"/>
      <c r="P741" s="75"/>
      <c r="Q741" s="523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IFERROR(__xludf.DUMMYFUNCTION("IMPORTRANGE(""https://docs.google.com/spreadsheets/d/1eHaY18a8A9IcSdp1K8H6x8fbOy06t2VsZHhMHf-1x7Y/edit?usp=sharing"",""แผน!GC57"")"),8)</f>
        <v>8</v>
      </c>
      <c r="J742" s="816">
        <v>8</v>
      </c>
      <c r="K742" s="91">
        <f ca="1">IF(I742&gt;0,J742*100/I742,0)</f>
        <v>100</v>
      </c>
      <c r="L742" s="75"/>
      <c r="M742" s="75"/>
      <c r="N742" s="75"/>
      <c r="O742" s="75"/>
      <c r="P742" s="75"/>
      <c r="Q742" s="523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75"/>
      <c r="M743" s="75"/>
      <c r="N743" s="75"/>
      <c r="O743" s="75"/>
      <c r="P743" s="75"/>
      <c r="Q743" s="523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IFERROR(__xludf.DUMMYFUNCTION("IMPORTRANGE(""https://docs.google.com/spreadsheets/d/1eHaY18a8A9IcSdp1K8H6x8fbOy06t2VsZHhMHf-1x7Y/edit?usp=sharing"",""แผน!GD57"")"),20)</f>
        <v>20</v>
      </c>
      <c r="J744" s="816">
        <v>0</v>
      </c>
      <c r="K744" s="91">
        <f ca="1">IF(I744&gt;0,J744*100/I744,0)</f>
        <v>0</v>
      </c>
      <c r="L744" s="75"/>
      <c r="M744" s="75"/>
      <c r="N744" s="75"/>
      <c r="O744" s="75"/>
      <c r="P744" s="75"/>
      <c r="Q744" s="523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2</v>
      </c>
      <c r="K745" s="75"/>
      <c r="L745" s="75"/>
      <c r="M745" s="75"/>
      <c r="N745" s="75"/>
      <c r="O745" s="75"/>
      <c r="P745" s="75"/>
      <c r="Q745" s="523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IFERROR(__xludf.DUMMYFUNCTION("IMPORTRANGE(""https://docs.google.com/spreadsheets/d/1eHaY18a8A9IcSdp1K8H6x8fbOy06t2VsZHhMHf-1x7Y/edit?usp=sharing"",""แผน!GE57"")"),2)</f>
        <v>2</v>
      </c>
      <c r="J746" s="816">
        <v>2</v>
      </c>
      <c r="K746" s="91">
        <f ca="1">IF(I746&gt;0,J746*100/I746,0)</f>
        <v>100</v>
      </c>
      <c r="L746" s="75"/>
      <c r="M746" s="75"/>
      <c r="N746" s="75"/>
      <c r="O746" s="75"/>
      <c r="P746" s="75"/>
      <c r="Q746" s="523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75"/>
      <c r="M747" s="75"/>
      <c r="N747" s="75"/>
      <c r="O747" s="75"/>
      <c r="P747" s="75"/>
      <c r="Q747" s="523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75"/>
      <c r="M748" s="75"/>
      <c r="N748" s="75"/>
      <c r="O748" s="75"/>
      <c r="P748" s="75"/>
      <c r="Q748" s="523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IFERROR(__xludf.DUMMYFUNCTION("IMPORTRANGE(""https://docs.google.com/spreadsheets/d/1eHaY18a8A9IcSdp1K8H6x8fbOy06t2VsZHhMHf-1x7Y/edit?usp=sharing"",""แผน!GF57"")"),1)</f>
        <v>1</v>
      </c>
      <c r="J749" s="816">
        <v>0</v>
      </c>
      <c r="K749" s="91">
        <f ca="1">IF(I749&gt;0,J749*100/I749,0)</f>
        <v>0</v>
      </c>
      <c r="L749" s="75"/>
      <c r="M749" s="75"/>
      <c r="N749" s="75"/>
      <c r="O749" s="75"/>
      <c r="P749" s="75"/>
      <c r="Q749" s="523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75"/>
      <c r="M750" s="75"/>
      <c r="N750" s="75"/>
      <c r="O750" s="75"/>
      <c r="P750" s="75"/>
      <c r="Q750" s="523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75"/>
      <c r="M751" s="75"/>
      <c r="N751" s="75"/>
      <c r="O751" s="75"/>
      <c r="P751" s="75"/>
      <c r="Q751" s="523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IFERROR(__xludf.DUMMYFUNCTION("IMPORTRANGE(""https://docs.google.com/spreadsheets/d/1eHaY18a8A9IcSdp1K8H6x8fbOy06t2VsZHhMHf-1x7Y/edit?usp=sharing"",""แผน!GB57"")"),80)</f>
        <v>80</v>
      </c>
      <c r="J752" s="816">
        <v>0</v>
      </c>
      <c r="K752" s="91">
        <f ca="1">IF(I752&gt;0,J752*100/I752,0)</f>
        <v>0</v>
      </c>
      <c r="L752" s="75"/>
      <c r="M752" s="75"/>
      <c r="N752" s="75"/>
      <c r="O752" s="75"/>
      <c r="P752" s="75"/>
      <c r="Q752" s="523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75"/>
      <c r="M753" s="75"/>
      <c r="N753" s="75"/>
      <c r="O753" s="75"/>
      <c r="P753" s="75"/>
      <c r="Q753" s="523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75"/>
      <c r="M754" s="75"/>
      <c r="N754" s="75"/>
      <c r="O754" s="75"/>
      <c r="P754" s="75"/>
      <c r="Q754" s="523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IFERROR(__xludf.DUMMYFUNCTION("IMPORTRANGE(""https://docs.google.com/spreadsheets/d/1eHaY18a8A9IcSdp1K8H6x8fbOy06t2VsZHhMHf-1x7Y/edit?usp=sharing"",""แผน!GD57"")"),20)</f>
        <v>20</v>
      </c>
      <c r="J755" s="816">
        <v>0</v>
      </c>
      <c r="K755" s="91">
        <f ca="1">IF(I755&gt;0,J755*100/I755,0)</f>
        <v>0</v>
      </c>
      <c r="L755" s="75"/>
      <c r="M755" s="75"/>
      <c r="N755" s="75"/>
      <c r="O755" s="75"/>
      <c r="P755" s="75"/>
      <c r="Q755" s="523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75"/>
      <c r="M756" s="75"/>
      <c r="N756" s="75"/>
      <c r="O756" s="75"/>
      <c r="P756" s="75"/>
      <c r="Q756" s="523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4"/>
      <c r="M758" s="714"/>
      <c r="N758" s="714"/>
      <c r="O758" s="714"/>
      <c r="P758" s="714"/>
      <c r="Q758" s="715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4"/>
      <c r="M759" s="714"/>
      <c r="N759" s="714"/>
      <c r="O759" s="714"/>
      <c r="P759" s="714"/>
      <c r="Q759" s="715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66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393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79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6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6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79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6">
        <f ca="1">IFERROR(__xludf.DUMMYFUNCTION("IMPORTRANGE(""https://docs.google.com/spreadsheets/d/1ItG2mGa2ceCfYo0BwxsXqNm01IGEUdYcSSLTEv9YCik/edit?usp=sharing"",""เบิกจ่ายกองทุน!U57"")"),0)</f>
        <v>0</v>
      </c>
      <c r="R765" s="77">
        <f ca="1">IFERROR(__xludf.DUMMYFUNCTION("IMPORTRANGE(""https://docs.google.com/spreadsheets/d/1ItG2mGa2ceCfYo0BwxsXqNm01IGEUdYcSSLTEv9YCik/edit?usp=sharing"",""เบิกจ่ายกองทุน!V57"")"),0)</f>
        <v>0</v>
      </c>
      <c r="S765" s="77">
        <f ca="1">IFERROR(__xludf.DUMMYFUNCTION("IMPORTRANGE(""https://docs.google.com/spreadsheets/d/1ItG2mGa2ceCfYo0BwxsXqNm01IGEUdYcSSLTEv9YCik/edit?usp=sharing"",""เบิกจ่ายกองทุน!W57"")"),0)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6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79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6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IFERROR(__xludf.DUMMYFUNCTION("IMPORTRANGE(""https://docs.google.com/spreadsheets/d/1eHaY18a8A9IcSdp1K8H6x8fbOy06t2VsZHhMHf-1x7Y/edit?usp=sharing"",""แผน!FI57"")"),0)</f>
        <v>0</v>
      </c>
      <c r="J770" s="574"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IFERROR(__xludf.DUMMYFUNCTION("IMPORTRANGE(""https://docs.google.com/spreadsheets/d/1eHaY18a8A9IcSdp1K8H6x8fbOy06t2VsZHhMHf-1x7Y/edit?usp=sharing"",""แผน!FQ57"")"),0)</f>
        <v>0</v>
      </c>
      <c r="J772" s="296">
        <v>0</v>
      </c>
      <c r="K772" s="77">
        <f ca="1">IF(I772&gt;0,J772*100/I772,0)</f>
        <v>0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IFERROR(__xludf.DUMMYFUNCTION("IMPORTRANGE(""https://docs.google.com/spreadsheets/d/1eHaY18a8A9IcSdp1K8H6x8fbOy06t2VsZHhMHf-1x7Y/edit?usp=sharing"",""แผน!FR57"")"),0)</f>
        <v>0</v>
      </c>
      <c r="J774" s="296">
        <v>0</v>
      </c>
      <c r="K774" s="77">
        <f ca="1">IF(I774&gt;0,J774*100/I774,0)</f>
        <v>0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IFERROR(__xludf.DUMMYFUNCTION("IMPORTRANGE(""https://docs.google.com/spreadsheets/d/1eHaY18a8A9IcSdp1K8H6x8fbOy06t2VsZHhMHf-1x7Y/edit?usp=sharing"",""แผน!FS57"")"),0)</f>
        <v>0</v>
      </c>
      <c r="J775" s="296">
        <v>0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IFERROR(__xludf.DUMMYFUNCTION("IMPORTRANGE(""https://docs.google.com/spreadsheets/d/1eHaY18a8A9IcSdp1K8H6x8fbOy06t2VsZHhMHf-1x7Y/edit?usp=sharing"",""แผน!FT57"")"),0)</f>
        <v>0</v>
      </c>
      <c r="J776" s="741">
        <v>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IFERROR(__xludf.DUMMYFUNCTION("IMPORTRANGE(""https://docs.google.com/spreadsheets/d/10OvvATaaLtwErnr3qtWFcTmtbfpFEt5Bsqel9sXx0uE/edit?usp=sharing"",""งานกองทุน!D57"")"),2931595.19)</f>
        <v>2931595.19</v>
      </c>
      <c r="J778" s="295">
        <f ca="1">IFERROR(__xludf.DUMMYFUNCTION("IMPORTRANGE(""https://docs.google.com/spreadsheets/d/10OvvATaaLtwErnr3qtWFcTmtbfpFEt5Bsqel9sXx0uE/edit?usp=sharing"",""งานกองทุน!F57"")"),1102108.79)</f>
        <v>1102108.79</v>
      </c>
      <c r="K778" s="77">
        <f ca="1">IF(I778&gt;0,J778*100/I778,0)</f>
        <v>37.594166949086855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IFERROR(__xludf.DUMMYFUNCTION("IMPORTRANGE(""https://docs.google.com/spreadsheets/d/10OvvATaaLtwErnr3qtWFcTmtbfpFEt5Bsqel9sXx0uE/edit?usp=sharing"",""งานกองทุน!C57"")"),170)</f>
        <v>170</v>
      </c>
      <c r="J779" s="295">
        <f ca="1">IFERROR(__xludf.DUMMYFUNCTION("IMPORTRANGE(""https://docs.google.com/spreadsheets/d/10OvvATaaLtwErnr3qtWFcTmtbfpFEt5Bsqel9sXx0uE/edit?usp=sharing"",""งานกองทุน!E57"")"),60)</f>
        <v>60</v>
      </c>
      <c r="K779" s="77">
        <f ca="1">IF(I779&gt;0,J779*100/I779,0)</f>
        <v>35.294117647058826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IFERROR(__xludf.DUMMYFUNCTION("IMPORTRANGE(""https://docs.google.com/spreadsheets/d/10OvvATaaLtwErnr3qtWFcTmtbfpFEt5Bsqel9sXx0uE/edit?usp=sharing"",""งานกองทุน!I57"")"),6704945.28)</f>
        <v>6704945.2800000003</v>
      </c>
      <c r="J780" s="295">
        <f ca="1">IFERROR(__xludf.DUMMYFUNCTION("IMPORTRANGE(""https://docs.google.com/spreadsheets/d/10OvvATaaLtwErnr3qtWFcTmtbfpFEt5Bsqel9sXx0uE/edit?usp=sharing"",""งานกองทุน!K57"")"),217162.24)</f>
        <v>217162.23999999999</v>
      </c>
      <c r="K780" s="77">
        <f ca="1">IF(I780&gt;0,J780*100/I780,0)</f>
        <v>3.2388368723569956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IFERROR(__xludf.DUMMYFUNCTION("IMPORTRANGE(""https://docs.google.com/spreadsheets/d/10OvvATaaLtwErnr3qtWFcTmtbfpFEt5Bsqel9sXx0uE/edit?usp=sharing"",""งานกองทุน!H57"")"),288)</f>
        <v>288</v>
      </c>
      <c r="J781" s="295">
        <f ca="1">IFERROR(__xludf.DUMMYFUNCTION("IMPORTRANGE(""https://docs.google.com/spreadsheets/d/10OvvATaaLtwErnr3qtWFcTmtbfpFEt5Bsqel9sXx0uE/edit?usp=sharing"",""งานกองทุน!J57"")"),21)</f>
        <v>21</v>
      </c>
      <c r="K781" s="77">
        <f ca="1">IF(I781&gt;0,J781*100/I781,0)</f>
        <v>7.291666666666667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IFERROR(__xludf.DUMMYFUNCTION("IMPORTRANGE(""https://docs.google.com/spreadsheets/d/10OvvATaaLtwErnr3qtWFcTmtbfpFEt5Bsqel9sXx0uE/edit?usp=sharing"",""งานกองทุน!N57"")"),8628977.84)</f>
        <v>8628977.8399999999</v>
      </c>
      <c r="J782" s="295">
        <f ca="1">IFERROR(__xludf.DUMMYFUNCTION("IMPORTRANGE(""https://docs.google.com/spreadsheets/d/10OvvATaaLtwErnr3qtWFcTmtbfpFEt5Bsqel9sXx0uE/edit?usp=sharing"",""งานกองทุน!P57"")"),1147967.06)</f>
        <v>1147967.06</v>
      </c>
      <c r="K782" s="77">
        <f ca="1">IF(I782&gt;0,J782*100/I782,0)</f>
        <v>13.303627396961771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IFERROR(__xludf.DUMMYFUNCTION("IMPORTRANGE(""https://docs.google.com/spreadsheets/d/10OvvATaaLtwErnr3qtWFcTmtbfpFEt5Bsqel9sXx0uE/edit?usp=sharing"",""งานกองทุน!M57"")"),259)</f>
        <v>259</v>
      </c>
      <c r="J783" s="295">
        <f ca="1">IFERROR(__xludf.DUMMYFUNCTION("IMPORTRANGE(""https://docs.google.com/spreadsheets/d/10OvvATaaLtwErnr3qtWFcTmtbfpFEt5Bsqel9sXx0uE/edit?usp=sharing"",""งานกองทุน!O57"")"),105)</f>
        <v>105</v>
      </c>
      <c r="K783" s="77">
        <f ca="1">IF(I783&gt;0,J783*100/I783,0)</f>
        <v>40.54054054054054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IFERROR(__xludf.DUMMYFUNCTION("IMPORTRANGE(""https://docs.google.com/spreadsheets/d/10OvvATaaLtwErnr3qtWFcTmtbfpFEt5Bsqel9sXx0uE/edit?usp=sharing"",""งานกองทุน!S57"")"),3640000)</f>
        <v>3640000</v>
      </c>
      <c r="J784" s="295">
        <f ca="1">IFERROR(__xludf.DUMMYFUNCTION("IMPORTRANGE(""https://docs.google.com/spreadsheets/d/10OvvATaaLtwErnr3qtWFcTmtbfpFEt5Bsqel9sXx0uE/edit?usp=sharing"",""งานกองทุน!U57"")"),660000)</f>
        <v>660000</v>
      </c>
      <c r="K784" s="77">
        <f ca="1">IF(I784&gt;0,J784*100/I784,0)</f>
        <v>18.131868131868131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IFERROR(__xludf.DUMMYFUNCTION("IMPORTRANGE(""https://docs.google.com/spreadsheets/d/10OvvATaaLtwErnr3qtWFcTmtbfpFEt5Bsqel9sXx0uE/edit?usp=sharing"",""งานกองทุน!R57"")"),130)</f>
        <v>130</v>
      </c>
      <c r="J785" s="773">
        <f ca="1">IFERROR(__xludf.DUMMYFUNCTION("IMPORTRANGE(""https://docs.google.com/spreadsheets/d/10OvvATaaLtwErnr3qtWFcTmtbfpFEt5Bsqel9sXx0uE/edit?usp=sharing"",""งานกองทุน!T57"")"),18)</f>
        <v>18</v>
      </c>
      <c r="K785" s="185">
        <f ca="1">IF(I785&gt;0,J785*100/I785,0)</f>
        <v>13.846153846153847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7A5A-35C4-487B-B3B1-580511AB0D0F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1" width="15.140625" customWidth="1"/>
    <col min="12" max="14" width="21.28515625" bestFit="1" customWidth="1"/>
    <col min="15" max="15" width="20.140625" bestFit="1" customWidth="1"/>
    <col min="16" max="16" width="22" bestFit="1" customWidth="1"/>
    <col min="17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343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792" t="s">
        <v>2</v>
      </c>
      <c r="M4" s="793"/>
      <c r="N4" s="793"/>
      <c r="O4" s="793"/>
      <c r="P4" s="794"/>
      <c r="Q4" s="1309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1053" t="s">
        <v>7</v>
      </c>
      <c r="M5" s="787"/>
      <c r="N5" s="788" t="s">
        <v>8</v>
      </c>
      <c r="O5" s="789"/>
      <c r="P5" s="787"/>
      <c r="Q5" s="786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052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2"/>
      <c r="M7" s="22"/>
      <c r="N7" s="22"/>
      <c r="O7" s="22"/>
      <c r="P7" s="22"/>
      <c r="Q7" s="21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3"/>
      <c r="M8" s="33"/>
      <c r="N8" s="33"/>
      <c r="O8" s="33"/>
      <c r="P8" s="33"/>
      <c r="Q8" s="32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3"/>
      <c r="M10" s="33"/>
      <c r="N10" s="33"/>
      <c r="O10" s="33"/>
      <c r="P10" s="33"/>
      <c r="Q10" s="32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3"/>
      <c r="M11" s="33"/>
      <c r="N11" s="33"/>
      <c r="O11" s="33"/>
      <c r="P11" s="33"/>
      <c r="Q11" s="32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3"/>
      <c r="M13" s="33"/>
      <c r="N13" s="33"/>
      <c r="O13" s="33"/>
      <c r="P13" s="33"/>
      <c r="Q13" s="32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3"/>
      <c r="M14" s="33"/>
      <c r="N14" s="33"/>
      <c r="O14" s="33"/>
      <c r="P14" s="33"/>
      <c r="Q14" s="32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3"/>
      <c r="M15" s="33"/>
      <c r="N15" s="33"/>
      <c r="O15" s="33"/>
      <c r="P15" s="33"/>
      <c r="Q15" s="32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2"/>
      <c r="M16" s="22"/>
      <c r="N16" s="22"/>
      <c r="O16" s="22"/>
      <c r="P16" s="22"/>
      <c r="Q16" s="21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50"/>
      <c r="M17" s="50"/>
      <c r="N17" s="50"/>
      <c r="O17" s="50"/>
      <c r="P17" s="50"/>
      <c r="Q17" s="49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2">
        <f ca="1">L19+L20</f>
        <v>1301350</v>
      </c>
      <c r="M18" s="62">
        <f ca="1">M19+M20</f>
        <v>1334400</v>
      </c>
      <c r="N18" s="62">
        <f ca="1">N19+N20</f>
        <v>1056400.6599999999</v>
      </c>
      <c r="O18" s="62">
        <f ca="1">IF(L18&gt;0,N18*100/L18,0)</f>
        <v>81.177289737580196</v>
      </c>
      <c r="P18" s="62">
        <f ca="1">IF(M18&gt;0,N18*100/M18,0)</f>
        <v>79.166716127098312</v>
      </c>
      <c r="Q18" s="61">
        <f ca="1">Q19+Q20</f>
        <v>604679</v>
      </c>
      <c r="R18" s="62">
        <f ca="1">R19+R20</f>
        <v>548179</v>
      </c>
      <c r="S18" s="62">
        <f ca="1">S19+S20</f>
        <v>203425</v>
      </c>
      <c r="T18" s="62">
        <f ca="1">IF(Q18&gt;0,S18*100/Q18,0)</f>
        <v>33.641816567137276</v>
      </c>
      <c r="U18" s="62">
        <f ca="1">IF(R18&gt;0,S18*100/R18,0)</f>
        <v>37.109228919750663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6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5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8">
        <f ca="1">L23+L26</f>
        <v>1301350</v>
      </c>
      <c r="M20" s="68">
        <f ca="1">M23+M26</f>
        <v>1334400</v>
      </c>
      <c r="N20" s="68">
        <f ca="1">N23+N26</f>
        <v>1056400.6599999999</v>
      </c>
      <c r="O20" s="68">
        <f ca="1">IF(L20&gt;0,N20*100/L20,0)</f>
        <v>81.177289737580196</v>
      </c>
      <c r="P20" s="68">
        <f ca="1">IF(M20&gt;0,N20*100/M20,0)</f>
        <v>79.166716127098312</v>
      </c>
      <c r="Q20" s="67">
        <f ca="1">Q23+Q26</f>
        <v>604679</v>
      </c>
      <c r="R20" s="68">
        <f ca="1">R23+R26</f>
        <v>548179</v>
      </c>
      <c r="S20" s="68">
        <f ca="1">S23+S26</f>
        <v>203425</v>
      </c>
      <c r="T20" s="68">
        <f ca="1">IF(Q20&gt;0,S20*100/Q20,0)</f>
        <v>33.641816567137276</v>
      </c>
      <c r="U20" s="68">
        <f ca="1">IF(R20&gt;0,S20*100/R20,0)</f>
        <v>37.109228919750663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7">
        <f ca="1">L22+L23</f>
        <v>1301350</v>
      </c>
      <c r="M21" s="77">
        <f ca="1">M22+M23</f>
        <v>1334400</v>
      </c>
      <c r="N21" s="77">
        <f ca="1">N22+N23</f>
        <v>1056400.6599999999</v>
      </c>
      <c r="O21" s="77">
        <f ca="1">IF(L21&gt;0,N21*100/L21,0)</f>
        <v>81.177289737580196</v>
      </c>
      <c r="P21" s="77">
        <f ca="1">IF(M21&gt;0,N21*100/M21,0)</f>
        <v>79.166716127098312</v>
      </c>
      <c r="Q21" s="76">
        <f ca="1">Q22+Q23</f>
        <v>604679</v>
      </c>
      <c r="R21" s="77">
        <f ca="1">R22+R23</f>
        <v>548179</v>
      </c>
      <c r="S21" s="77">
        <f ca="1">S22+S23</f>
        <v>203425</v>
      </c>
      <c r="T21" s="77">
        <f ca="1">IF(Q21&gt;0,S21*100/Q21,0)</f>
        <v>33.641816567137276</v>
      </c>
      <c r="U21" s="77">
        <f ca="1">IF(R21&gt;0,S21*100/R21,0)</f>
        <v>37.109228919750663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80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79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7">
        <f ca="1">L49+L64+L77+L99+L130+L144+L162+L191+L178+L271+L287+L308+L325+L338+L361+L518</f>
        <v>1301350</v>
      </c>
      <c r="M23" s="77">
        <f ca="1">M49+M64+M77+M99+M130+M144+M162+M191+M178+M271+M287+M308+M325+M338+M361+M518</f>
        <v>1334400</v>
      </c>
      <c r="N23" s="77">
        <f ca="1">N49+N64+N77+N99+N130+N144+N162+N191+N178+N271+N287+N308+N325+N338+N361+N518</f>
        <v>1056400.6599999999</v>
      </c>
      <c r="O23" s="77">
        <f ca="1">IF(L23&gt;0,N23*100/L23,0)</f>
        <v>81.177289737580196</v>
      </c>
      <c r="P23" s="77">
        <f ca="1">IF(M23&gt;0,N23*100/M23,0)</f>
        <v>79.166716127098312</v>
      </c>
      <c r="Q23" s="76">
        <f ca="1">Q77+Q99+Q122+Q144+Q162+Q178+Q191+Q271+Q287+Q308+Q338+Q380+Q397+Q418+Q498+Q604+Q621+Q647+Q695+Q719+Q733+Q765</f>
        <v>604679</v>
      </c>
      <c r="R23" s="77">
        <f ca="1">R77+R99+R122+R144+R162+R178+R191+R271+R287+R308+R338+R380+R397+R418+R498+R604+R621+R647+R695+R719+R733+R765</f>
        <v>548179</v>
      </c>
      <c r="S23" s="77">
        <f ca="1">S77+S99+S122+S144+S162+S178+S191+S271+S287+S308+S338+S380+S397+S418+S498+S604+S621+S647+S695+S719+S733+S765</f>
        <v>203425</v>
      </c>
      <c r="T23" s="77">
        <f ca="1">IF(Q23&gt;0,S23*100/Q23,0)</f>
        <v>33.641816567137276</v>
      </c>
      <c r="U23" s="77">
        <f ca="1">IF(R23&gt;0,S23*100/R23,0)</f>
        <v>37.109228919750663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7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6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80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79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7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79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77"/>
      <c r="M27" s="77"/>
      <c r="N27" s="77"/>
      <c r="O27" s="77"/>
      <c r="P27" s="77"/>
      <c r="Q27" s="89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0"/>
      <c r="M28" s="80"/>
      <c r="N28" s="80"/>
      <c r="O28" s="80"/>
      <c r="P28" s="80"/>
      <c r="Q28" s="89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85"/>
      <c r="M29" s="185"/>
      <c r="N29" s="185"/>
      <c r="O29" s="185"/>
      <c r="P29" s="185"/>
      <c r="Q29" s="100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2"/>
      <c r="M30" s="22"/>
      <c r="N30" s="22"/>
      <c r="O30" s="22"/>
      <c r="P30" s="22"/>
      <c r="Q30" s="21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3"/>
      <c r="M31" s="33"/>
      <c r="N31" s="33"/>
      <c r="O31" s="33"/>
      <c r="P31" s="33"/>
      <c r="Q31" s="32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3"/>
      <c r="M32" s="33"/>
      <c r="N32" s="33"/>
      <c r="O32" s="33"/>
      <c r="P32" s="33"/>
      <c r="Q32" s="32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3"/>
      <c r="M33" s="33"/>
      <c r="N33" s="33"/>
      <c r="O33" s="33"/>
      <c r="P33" s="33"/>
      <c r="Q33" s="32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3"/>
      <c r="M34" s="33"/>
      <c r="N34" s="33"/>
      <c r="O34" s="33"/>
      <c r="P34" s="33"/>
      <c r="Q34" s="32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3"/>
      <c r="M35" s="33"/>
      <c r="N35" s="33"/>
      <c r="O35" s="33"/>
      <c r="P35" s="33"/>
      <c r="Q35" s="32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3"/>
      <c r="M36" s="33"/>
      <c r="N36" s="33"/>
      <c r="O36" s="33"/>
      <c r="P36" s="33"/>
      <c r="Q36" s="32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3"/>
      <c r="M37" s="33"/>
      <c r="N37" s="33"/>
      <c r="O37" s="33"/>
      <c r="P37" s="33"/>
      <c r="Q37" s="32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3"/>
      <c r="M38" s="33"/>
      <c r="N38" s="33"/>
      <c r="O38" s="33"/>
      <c r="P38" s="33"/>
      <c r="Q38" s="32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2"/>
      <c r="M39" s="22"/>
      <c r="N39" s="22"/>
      <c r="O39" s="22"/>
      <c r="P39" s="22"/>
      <c r="Q39" s="21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08">
        <f ca="1">L44+L59+L72+L94+L125+L139+L157+L173+L186+L266+L282+L303+L320+L333+L356</f>
        <v>1301350</v>
      </c>
      <c r="M40" s="1308">
        <f ca="1">M44+M59+M72+M94+M125+M139+M157+M173+M186+M266+M282+M303+M320+M333+M356</f>
        <v>1334400</v>
      </c>
      <c r="N40" s="1308">
        <f ca="1">N44+N59+N72+N94+N125+N139+N157+N173+N186+N266+N282+N303+N320+N333+N356</f>
        <v>1056400.6599999999</v>
      </c>
      <c r="O40" s="1308">
        <f ca="1">IF(L40&gt;0,N40*100/L40,0)</f>
        <v>81.177289737580196</v>
      </c>
      <c r="P40" s="1308">
        <f ca="1">IF(M40&gt;0,N40*100/M40,0)</f>
        <v>79.166716127098312</v>
      </c>
      <c r="Q40" s="1307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306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5"/>
      <c r="M42" s="1015"/>
      <c r="N42" s="1015"/>
      <c r="O42" s="1015"/>
      <c r="P42" s="1015"/>
      <c r="Q42" s="1016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3"/>
      <c r="M43" s="33"/>
      <c r="N43" s="33"/>
      <c r="O43" s="33"/>
      <c r="P43" s="33"/>
      <c r="Q43" s="32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4">
        <f ca="1">L45+L46</f>
        <v>189350</v>
      </c>
      <c r="M44" s="1304">
        <f ca="1">M45+M46</f>
        <v>201010</v>
      </c>
      <c r="N44" s="1304">
        <f ca="1">N45+N46</f>
        <v>160160</v>
      </c>
      <c r="O44" s="1304">
        <f ca="1">IF(L44&gt;0,N44*100/L44,0)</f>
        <v>84.584103512014792</v>
      </c>
      <c r="P44" s="1304">
        <f ca="1">IF(M44&gt;0,N44*100/M44,0)</f>
        <v>79.677627978707534</v>
      </c>
      <c r="Q44" s="1305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2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3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0">
        <f ca="1">L49+L52</f>
        <v>189350</v>
      </c>
      <c r="M46" s="1300">
        <f ca="1">M49+M52</f>
        <v>201010</v>
      </c>
      <c r="N46" s="1300">
        <f ca="1">N49+N52</f>
        <v>160160</v>
      </c>
      <c r="O46" s="1300">
        <f ca="1">IF(L46&gt;0,N46*100/L46,0)</f>
        <v>84.584103512014792</v>
      </c>
      <c r="P46" s="1300">
        <f ca="1">IF(M46&gt;0,N46*100/M46,0)</f>
        <v>79.677627978707534</v>
      </c>
      <c r="Q46" s="1301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7">
        <f ca="1">L48+L49</f>
        <v>189350</v>
      </c>
      <c r="M47" s="77">
        <f ca="1">M48+M49</f>
        <v>201010</v>
      </c>
      <c r="N47" s="77">
        <f ca="1">N48+N49</f>
        <v>160160</v>
      </c>
      <c r="O47" s="77">
        <f ca="1">IF(L47&gt;0,N47*100/L47,0)</f>
        <v>84.584103512014792</v>
      </c>
      <c r="P47" s="77">
        <f ca="1">IF(M47&gt;0,N47*100/M47,0)</f>
        <v>79.677627978707534</v>
      </c>
      <c r="Q47" s="76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80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79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7">
        <f ca="1">IFERROR(__xludf.DUMMYFUNCTION("IMPORTRANGE(""https://docs.google.com/spreadsheets/d/1-uDff_7J0KD5mKrp0Vvzr7lt3OU09vwQwhkpOPPYv2Y/edit?usp=sharing"",""งบพรบ!P58"")"),189350)</f>
        <v>189350</v>
      </c>
      <c r="M49" s="77">
        <f ca="1">IFERROR(__xludf.DUMMYFUNCTION("IMPORTRANGE(""https://docs.google.com/spreadsheets/d/1-uDff_7J0KD5mKrp0Vvzr7lt3OU09vwQwhkpOPPYv2Y/edit?usp=sharing"",""งบพรบ!V58"")"),201010)</f>
        <v>201010</v>
      </c>
      <c r="N49" s="77">
        <f ca="1">IFERROR(__xludf.DUMMYFUNCTION("IMPORTRANGE(""https://docs.google.com/spreadsheets/d/1-uDff_7J0KD5mKrp0Vvzr7lt3OU09vwQwhkpOPPYv2Y/edit?usp=sharing"",""งบพรบ!Y58"")"),160160)</f>
        <v>160160</v>
      </c>
      <c r="O49" s="77">
        <f ca="1">IF(L49&gt;0,N49*100/L49,0)</f>
        <v>84.584103512014792</v>
      </c>
      <c r="P49" s="77">
        <f ca="1">IF(M49&gt;0,N49*100/M49,0)</f>
        <v>79.677627978707534</v>
      </c>
      <c r="Q49" s="76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7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6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80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79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7">
        <f ca="1">IFERROR(__xludf.DUMMYFUNCTION("IMPORTRANGE(""https://docs.google.com/spreadsheets/d/1-uDff_7J0KD5mKrp0Vvzr7lt3OU09vwQwhkpOPPYv2Y/edit?usp=sharing"",""งบพรบ!S58"")"),0)</f>
        <v>0</v>
      </c>
      <c r="M52" s="77">
        <f ca="1">IFERROR(__xludf.DUMMYFUNCTION("IMPORTRANGE(""https://docs.google.com/spreadsheets/d/1-uDff_7J0KD5mKrp0Vvzr7lt3OU09vwQwhkpOPPYv2Y/edit?usp=sharing"",""งบพรบ!W58"")"),0)</f>
        <v>0</v>
      </c>
      <c r="N52" s="77">
        <f ca="1">IFERROR(__xludf.DUMMYFUNCTION("IMPORTRANGE(""https://docs.google.com/spreadsheets/d/1-uDff_7J0KD5mKrp0Vvzr7lt3OU09vwQwhkpOPPYv2Y/edit?usp=sharing"",""งบพรบ!Z58"")"),0)</f>
        <v>0</v>
      </c>
      <c r="O52" s="77">
        <f ca="1">IF(L52&gt;0,N52*100/L52,0)</f>
        <v>0</v>
      </c>
      <c r="P52" s="77">
        <f ca="1">IF(M52&gt;0,N52*100/M52,0)</f>
        <v>0</v>
      </c>
      <c r="Q52" s="76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77"/>
      <c r="M53" s="77"/>
      <c r="N53" s="77"/>
      <c r="O53" s="77"/>
      <c r="P53" s="77"/>
      <c r="Q53" s="89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0"/>
      <c r="M54" s="80"/>
      <c r="N54" s="80"/>
      <c r="O54" s="80"/>
      <c r="P54" s="80"/>
      <c r="Q54" s="89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85"/>
      <c r="M55" s="185"/>
      <c r="N55" s="185"/>
      <c r="O55" s="185"/>
      <c r="P55" s="185"/>
      <c r="Q55" s="100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1299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50"/>
      <c r="M57" s="150"/>
      <c r="N57" s="150"/>
      <c r="O57" s="150"/>
      <c r="P57" s="150"/>
      <c r="Q57" s="149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8"/>
      <c r="M58" s="158"/>
      <c r="N58" s="158"/>
      <c r="O58" s="158"/>
      <c r="P58" s="158"/>
      <c r="Q58" s="157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7">
        <f ca="1">L60+L61</f>
        <v>429400</v>
      </c>
      <c r="M59" s="1297">
        <f ca="1">M60+M61</f>
        <v>429400</v>
      </c>
      <c r="N59" s="1297">
        <f ca="1">N60+N61</f>
        <v>383514.66</v>
      </c>
      <c r="O59" s="1297">
        <f ca="1">IF(L59&gt;0,N59*100/L59,0)</f>
        <v>89.314080111783881</v>
      </c>
      <c r="P59" s="1297">
        <f ca="1">IF(M59&gt;0,N59*100/M59,0)</f>
        <v>89.314080111783881</v>
      </c>
      <c r="Q59" s="1298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5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6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3">
        <f ca="1">L64+L67</f>
        <v>429400</v>
      </c>
      <c r="M61" s="1293">
        <f ca="1">M64+M67</f>
        <v>429400</v>
      </c>
      <c r="N61" s="1293">
        <f ca="1">N64+N67</f>
        <v>383514.66</v>
      </c>
      <c r="O61" s="1293">
        <f ca="1">IF(L61&gt;0,N61*100/L61,0)</f>
        <v>89.314080111783881</v>
      </c>
      <c r="P61" s="1293">
        <f ca="1">IF(M61&gt;0,N61*100/M61,0)</f>
        <v>89.314080111783881</v>
      </c>
      <c r="Q61" s="1294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7">
        <f ca="1">L63+L64</f>
        <v>429400</v>
      </c>
      <c r="M62" s="77">
        <f ca="1">M63+M64</f>
        <v>429400</v>
      </c>
      <c r="N62" s="77">
        <f ca="1">N63+N64</f>
        <v>383514.66</v>
      </c>
      <c r="O62" s="77">
        <f ca="1">IF(L62&gt;0,N62*100/L62,0)</f>
        <v>89.314080111783881</v>
      </c>
      <c r="P62" s="77">
        <f ca="1">IF(M62&gt;0,N62*100/M62,0)</f>
        <v>89.314080111783881</v>
      </c>
      <c r="Q62" s="76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80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79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7">
        <f ca="1">IFERROR(__xludf.DUMMYFUNCTION("IMPORTRANGE(""https://docs.google.com/spreadsheets/d/1-uDff_7J0KD5mKrp0Vvzr7lt3OU09vwQwhkpOPPYv2Y/edit?usp=sharing"",""งบพรบ!AC58"")"),429400)</f>
        <v>429400</v>
      </c>
      <c r="M64" s="77">
        <f ca="1">IFERROR(__xludf.DUMMYFUNCTION("IMPORTRANGE(""https://docs.google.com/spreadsheets/d/1-uDff_7J0KD5mKrp0Vvzr7lt3OU09vwQwhkpOPPYv2Y/edit?usp=sharing"",""งบพรบ!AH58"")"),429400)</f>
        <v>429400</v>
      </c>
      <c r="N64" s="77">
        <f ca="1">IFERROR(__xludf.DUMMYFUNCTION("IMPORTRANGE(""https://docs.google.com/spreadsheets/d/1-uDff_7J0KD5mKrp0Vvzr7lt3OU09vwQwhkpOPPYv2Y/edit?usp=sharing"",""งบพรบ!AJ58"")"),383514.66)</f>
        <v>383514.66</v>
      </c>
      <c r="O64" s="77">
        <f ca="1">IF(L64&gt;0,N64*100/L64,0)</f>
        <v>89.314080111783881</v>
      </c>
      <c r="P64" s="77">
        <f ca="1">IF(M64&gt;0,N64*100/M64,0)</f>
        <v>89.314080111783881</v>
      </c>
      <c r="Q64" s="76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7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6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80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79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5">
        <f ca="1">IFERROR(__xludf.DUMMYFUNCTION("IMPORTRANGE(""https://docs.google.com/spreadsheets/d/1-uDff_7J0KD5mKrp0Vvzr7lt3OU09vwQwhkpOPPYv2Y/edit?usp=sharing"",""งบพรบ!AF58"")"),0)</f>
        <v>0</v>
      </c>
      <c r="M67" s="185">
        <f ca="1">IFERROR(__xludf.DUMMYFUNCTION("IMPORTRANGE(""https://docs.google.com/spreadsheets/d/1-uDff_7J0KD5mKrp0Vvzr7lt3OU09vwQwhkpOPPYv2Y/edit?usp=sharing"",""งบพรบ!AI58"")"),0)</f>
        <v>0</v>
      </c>
      <c r="N67" s="185">
        <f ca="1">IFERROR(__xludf.DUMMYFUNCTION("IMPORTRANGE(""https://docs.google.com/spreadsheets/d/1-uDff_7J0KD5mKrp0Vvzr7lt3OU09vwQwhkpOPPYv2Y/edit?usp=sharing"",""งบพรบ!AK58"")"),0)</f>
        <v>0</v>
      </c>
      <c r="O67" s="185">
        <f ca="1">IF(L67&gt;0,N67*100/L67,0)</f>
        <v>0</v>
      </c>
      <c r="P67" s="185">
        <f ca="1">IF(M67&gt;0,N67*100/M67,0)</f>
        <v>0</v>
      </c>
      <c r="Q67" s="184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3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3"/>
      <c r="M69" s="203"/>
      <c r="N69" s="203"/>
      <c r="O69" s="203"/>
      <c r="P69" s="203"/>
      <c r="Q69" s="202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10"/>
      <c r="M70" s="210"/>
      <c r="N70" s="210"/>
      <c r="O70" s="210"/>
      <c r="P70" s="210"/>
      <c r="Q70" s="209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10"/>
      <c r="M71" s="210"/>
      <c r="N71" s="210"/>
      <c r="O71" s="210"/>
      <c r="P71" s="210"/>
      <c r="Q71" s="209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66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393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80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79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7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6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7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6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80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79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7">
        <f ca="1">IFERROR(__xludf.DUMMYFUNCTION("IMPORTRANGE(""https://docs.google.com/spreadsheets/d/1-uDff_7J0KD5mKrp0Vvzr7lt3OU09vwQwhkpOPPYv2Y/edit?usp=sharing"",""งบพรบ!AM58"")"),0)</f>
        <v>0</v>
      </c>
      <c r="M77" s="77">
        <f ca="1">IFERROR(__xludf.DUMMYFUNCTION("IMPORTRANGE(""https://docs.google.com/spreadsheets/d/1-uDff_7J0KD5mKrp0Vvzr7lt3OU09vwQwhkpOPPYv2Y/edit?usp=sharing"",""งบพรบ!AR58"")"),0)</f>
        <v>0</v>
      </c>
      <c r="N77" s="77">
        <f ca="1">IFERROR(__xludf.DUMMYFUNCTION("IMPORTRANGE(""https://docs.google.com/spreadsheets/d/1-uDff_7J0KD5mKrp0Vvzr7lt3OU09vwQwhkpOPPYv2Y/edit?usp=sharing"",""งบพรบ!AT58"")"),0)</f>
        <v>0</v>
      </c>
      <c r="O77" s="77">
        <f ca="1">IF(L77&gt;0,N77*100/L77,0)</f>
        <v>0</v>
      </c>
      <c r="P77" s="77">
        <f ca="1">IF(M77&gt;0,N77*100/M77,0)</f>
        <v>0</v>
      </c>
      <c r="Q77" s="76">
        <f ca="1">IFERROR(__xludf.DUMMYFUNCTION("IMPORTRANGE(""https://docs.google.com/spreadsheets/d/1ItG2mGa2ceCfYo0BwxsXqNm01IGEUdYcSSLTEv9YCik/edit?usp=sharing"",""เบิกจ่ายกองทุน!AS58"")"),0)</f>
        <v>0</v>
      </c>
      <c r="R77" s="77">
        <f ca="1">IFERROR(__xludf.DUMMYFUNCTION("IMPORTRANGE(""https://docs.google.com/spreadsheets/d/1ItG2mGa2ceCfYo0BwxsXqNm01IGEUdYcSSLTEv9YCik/edit?usp=sharing"",""เบิกจ่ายกองทุน!AT58"")"),0)</f>
        <v>0</v>
      </c>
      <c r="S77" s="77">
        <f ca="1">IFERROR(__xludf.DUMMYFUNCTION("IMPORTRANGE(""https://docs.google.com/spreadsheets/d/1ItG2mGa2ceCfYo0BwxsXqNm01IGEUdYcSSLTEv9YCik/edit?usp=sharing"",""เบิกจ่ายกองทุน!AU58"")"),0)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7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6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80">
        <v>0</v>
      </c>
      <c r="M79" s="90"/>
      <c r="N79" s="90"/>
      <c r="O79" s="80">
        <f>IF(L79&gt;0,N79*100/L79,0)</f>
        <v>0</v>
      </c>
      <c r="P79" s="80">
        <f>IF(M79&gt;0,N79*100/M79,0)</f>
        <v>0</v>
      </c>
      <c r="Q79" s="79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7">
        <f ca="1">IFERROR(__xludf.DUMMYFUNCTION("IMPORTRANGE(""https://docs.google.com/spreadsheets/d/1-uDff_7J0KD5mKrp0Vvzr7lt3OU09vwQwhkpOPPYv2Y/edit?usp=sharing"",""งบพรบ!AP58"")"),0)</f>
        <v>0</v>
      </c>
      <c r="M80" s="77">
        <f ca="1">IFERROR(__xludf.DUMMYFUNCTION("IMPORTRANGE(""https://docs.google.com/spreadsheets/d/1-uDff_7J0KD5mKrp0Vvzr7lt3OU09vwQwhkpOPPYv2Y/edit?usp=sharing"",""งบพรบ!AS58"")"),0)</f>
        <v>0</v>
      </c>
      <c r="N80" s="77">
        <f ca="1">IFERROR(__xludf.DUMMYFUNCTION("IMPORTRANGE(""https://docs.google.com/spreadsheets/d/1-uDff_7J0KD5mKrp0Vvzr7lt3OU09vwQwhkpOPPYv2Y/edit?usp=sharing"",""งบพรบ!AU58"")"),0)</f>
        <v>0</v>
      </c>
      <c r="O80" s="77">
        <f ca="1">IF(L80&gt;0,N80*100/L80,0)</f>
        <v>0</v>
      </c>
      <c r="P80" s="77">
        <f ca="1">IF(M80&gt;0,N80*100/M80,0)</f>
        <v>0</v>
      </c>
      <c r="Q80" s="76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1"/>
      <c r="M81" s="231"/>
      <c r="N81" s="231"/>
      <c r="O81" s="231"/>
      <c r="P81" s="231"/>
      <c r="Q81" s="230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1"/>
      <c r="M82" s="231"/>
      <c r="N82" s="231"/>
      <c r="O82" s="231"/>
      <c r="P82" s="231"/>
      <c r="Q82" s="230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1"/>
      <c r="M83" s="231"/>
      <c r="N83" s="231"/>
      <c r="O83" s="231"/>
      <c r="P83" s="231"/>
      <c r="Q83" s="230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IFERROR(__xludf.DUMMYFUNCTION("IMPORTRANGE(""https://docs.google.com/spreadsheets/d/1eHaY18a8A9IcSdp1K8H6x8fbOy06t2VsZHhMHf-1x7Y/edit?usp=sharing"",""แผน!H58"")"),0)</f>
        <v>0</v>
      </c>
      <c r="J84" s="296">
        <v>0</v>
      </c>
      <c r="K84" s="748">
        <f ca="1">IF(I84&gt;0,J84*100/I84,0)</f>
        <v>0</v>
      </c>
      <c r="L84" s="231"/>
      <c r="M84" s="231"/>
      <c r="N84" s="231"/>
      <c r="O84" s="231"/>
      <c r="P84" s="231"/>
      <c r="Q84" s="230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IFERROR(__xludf.DUMMYFUNCTION("IMPORTRANGE(""https://docs.google.com/spreadsheets/d/1eHaY18a8A9IcSdp1K8H6x8fbOy06t2VsZHhMHf-1x7Y/edit?usp=sharing"",""แผน!I58"")"),0)</f>
        <v>0</v>
      </c>
      <c r="J85" s="296">
        <v>0</v>
      </c>
      <c r="K85" s="748">
        <f ca="1">IF(I85&gt;0,J85*100/I85,0)</f>
        <v>0</v>
      </c>
      <c r="L85" s="231"/>
      <c r="M85" s="231"/>
      <c r="N85" s="231"/>
      <c r="O85" s="231"/>
      <c r="P85" s="231"/>
      <c r="Q85" s="230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IFERROR(__xludf.DUMMYFUNCTION("IMPORTRANGE(""https://docs.google.com/spreadsheets/d/1eHaY18a8A9IcSdp1K8H6x8fbOy06t2VsZHhMHf-1x7Y/edit?usp=sharing"",""แผน!F58"")"),0)</f>
        <v>0</v>
      </c>
      <c r="J86" s="296">
        <v>0</v>
      </c>
      <c r="K86" s="748">
        <f ca="1">IF(I86&gt;0,J86*100/I86,0)</f>
        <v>0</v>
      </c>
      <c r="L86" s="231"/>
      <c r="M86" s="231"/>
      <c r="N86" s="231"/>
      <c r="O86" s="231"/>
      <c r="P86" s="231"/>
      <c r="Q86" s="230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IFERROR(__xludf.DUMMYFUNCTION("IMPORTRANGE(""https://docs.google.com/spreadsheets/d/1eHaY18a8A9IcSdp1K8H6x8fbOy06t2VsZHhMHf-1x7Y/edit?usp=sharing"",""แผน!G58"")"),0)</f>
        <v>0</v>
      </c>
      <c r="J87" s="296">
        <v>0</v>
      </c>
      <c r="K87" s="748">
        <f ca="1">IF(I87&gt;0,J87*100/I87,0)</f>
        <v>0</v>
      </c>
      <c r="L87" s="231"/>
      <c r="M87" s="231"/>
      <c r="N87" s="231"/>
      <c r="O87" s="231"/>
      <c r="P87" s="231"/>
      <c r="Q87" s="230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IFERROR(__xludf.DUMMYFUNCTION("IMPORTRANGE(""https://docs.google.com/spreadsheets/d/1eHaY18a8A9IcSdp1K8H6x8fbOy06t2VsZHhMHf-1x7Y/edit?usp=sharing"",""แผน!D58"")"),0)</f>
        <v>0</v>
      </c>
      <c r="J88" s="296">
        <v>0</v>
      </c>
      <c r="K88" s="748">
        <f ca="1">IF(I88&gt;0,J88*100/I88,0)</f>
        <v>0</v>
      </c>
      <c r="L88" s="231"/>
      <c r="M88" s="231"/>
      <c r="N88" s="231"/>
      <c r="O88" s="231"/>
      <c r="P88" s="231"/>
      <c r="Q88" s="230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IFERROR(__xludf.DUMMYFUNCTION("IMPORTRANGE(""https://docs.google.com/spreadsheets/d/1eHaY18a8A9IcSdp1K8H6x8fbOy06t2VsZHhMHf-1x7Y/edit?usp=sharing"",""แผน!E58"")"),0)</f>
        <v>0</v>
      </c>
      <c r="J89" s="296">
        <v>0</v>
      </c>
      <c r="K89" s="748">
        <f ca="1">IF(I89&gt;0,J89*100/I89,0)</f>
        <v>0</v>
      </c>
      <c r="L89" s="231"/>
      <c r="M89" s="231"/>
      <c r="N89" s="231"/>
      <c r="O89" s="231"/>
      <c r="P89" s="231"/>
      <c r="Q89" s="230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IFERROR(__xludf.DUMMYFUNCTION("IMPORTRANGE(""https://docs.google.com/spreadsheets/d/1eHaY18a8A9IcSdp1K8H6x8fbOy06t2VsZHhMHf-1x7Y/edit?usp=sharing"",""แผน!J58"")"),0)</f>
        <v>0</v>
      </c>
      <c r="J90" s="296">
        <v>0</v>
      </c>
      <c r="K90" s="748">
        <f ca="1">IF(I90&gt;0,J90*100/I90,0)</f>
        <v>0</v>
      </c>
      <c r="L90" s="231"/>
      <c r="M90" s="231"/>
      <c r="N90" s="231"/>
      <c r="O90" s="231"/>
      <c r="P90" s="231"/>
      <c r="Q90" s="230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3"/>
      <c r="M91" s="203"/>
      <c r="N91" s="203"/>
      <c r="O91" s="203"/>
      <c r="P91" s="203"/>
      <c r="Q91" s="202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393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79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6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6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79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IFERROR(__xludf.DUMMYFUNCTION("IMPORTRANGE(""https://docs.google.com/spreadsheets/d/1-uDff_7J0KD5mKrp0Vvzr7lt3OU09vwQwhkpOPPYv2Y/edit?usp=sharing"",""งบพรบ!AW58"")"),0)</f>
        <v>0</v>
      </c>
      <c r="M99" s="77">
        <f ca="1">IFERROR(__xludf.DUMMYFUNCTION("IMPORTRANGE(""https://docs.google.com/spreadsheets/d/1-uDff_7J0KD5mKrp0Vvzr7lt3OU09vwQwhkpOPPYv2Y/edit?usp=sharing"",""งบพรบ!BB58"")"),0)</f>
        <v>0</v>
      </c>
      <c r="N99" s="77">
        <f ca="1">IFERROR(__xludf.DUMMYFUNCTION("IMPORTRANGE(""https://docs.google.com/spreadsheets/d/1-uDff_7J0KD5mKrp0Vvzr7lt3OU09vwQwhkpOPPYv2Y/edit?usp=sharing"",""งบพรบ!BD58"")"),0)</f>
        <v>0</v>
      </c>
      <c r="O99" s="77">
        <f ca="1">IF(L99&gt;0,N99*100/L99,0)</f>
        <v>0</v>
      </c>
      <c r="P99" s="77">
        <f ca="1">IF(M99&gt;0,N99*100/M99,0)</f>
        <v>0</v>
      </c>
      <c r="Q99" s="76">
        <f ca="1">IFERROR(__xludf.DUMMYFUNCTION("IMPORTRANGE(""https://docs.google.com/spreadsheets/d/1ItG2mGa2ceCfYo0BwxsXqNm01IGEUdYcSSLTEv9YCik/edit?usp=sharing"",""เบิกจ่ายกองทุน!AD58"")"),0)</f>
        <v>0</v>
      </c>
      <c r="R99" s="77">
        <f ca="1">IFERROR(__xludf.DUMMYFUNCTION("IMPORTRANGE(""https://docs.google.com/spreadsheets/d/1ItG2mGa2ceCfYo0BwxsXqNm01IGEUdYcSSLTEv9YCik/edit?usp=sharing"",""เบิกจ่ายกองทุน!AE58"")"),0)</f>
        <v>0</v>
      </c>
      <c r="S99" s="77">
        <f ca="1">IFERROR(__xludf.DUMMYFUNCTION("IMPORTRANGE(""https://docs.google.com/spreadsheets/d/1ItG2mGa2ceCfYo0BwxsXqNm01IGEUdYcSSLTEv9YCik/edit?usp=sharing"",""เบิกจ่ายกองทุน!AF58"")"),0)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6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79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IFERROR(__xludf.DUMMYFUNCTION("IMPORTRANGE(""https://docs.google.com/spreadsheets/d/1-uDff_7J0KD5mKrp0Vvzr7lt3OU09vwQwhkpOPPYv2Y/edit?usp=sharing"",""งบพรบ!AZ58"")"),0)</f>
        <v>0</v>
      </c>
      <c r="M102" s="77">
        <f ca="1">IFERROR(__xludf.DUMMYFUNCTION("IMPORTRANGE(""https://docs.google.com/spreadsheets/d/1-uDff_7J0KD5mKrp0Vvzr7lt3OU09vwQwhkpOPPYv2Y/edit?usp=sharing"",""งบพรบ!BC58"")"),0)</f>
        <v>0</v>
      </c>
      <c r="N102" s="77">
        <f ca="1">IFERROR(__xludf.DUMMYFUNCTION("IMPORTRANGE(""https://docs.google.com/spreadsheets/d/1-uDff_7J0KD5mKrp0Vvzr7lt3OU09vwQwhkpOPPYv2Y/edit?usp=sharing"",""งบพรบ!BE58"")"),0)</f>
        <v>0</v>
      </c>
      <c r="O102" s="77">
        <f ca="1">IF(L102&gt;0,N102*100/L102,0)</f>
        <v>0</v>
      </c>
      <c r="P102" s="77">
        <f ca="1">IF(M102&gt;0,N102*100/M102,0)</f>
        <v>0</v>
      </c>
      <c r="Q102" s="76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IFERROR(__xludf.DUMMYFUNCTION("IMPORTRANGE(""https://docs.google.com/spreadsheets/d/1eHaY18a8A9IcSdp1K8H6x8fbOy06t2VsZHhMHf-1x7Y/edit?usp=sharing"",""แผน!N58"")"),0)</f>
        <v>0</v>
      </c>
      <c r="J108" s="296">
        <v>0</v>
      </c>
      <c r="K108" s="77">
        <f ca="1">IF(I108&gt;0,J108*100/I108,0)</f>
        <v>0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IFERROR(__xludf.DUMMYFUNCTION("IMPORTRANGE(""https://docs.google.com/spreadsheets/d/1eHaY18a8A9IcSdp1K8H6x8fbOy06t2VsZHhMHf-1x7Y/edit?usp=sharing"",""แผน!O58"")"),0)</f>
        <v>0</v>
      </c>
      <c r="J109" s="296">
        <v>0</v>
      </c>
      <c r="K109" s="77">
        <f ca="1">IF(I109&gt;0,J109*100/I109,0)</f>
        <v>0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3"/>
      <c r="M113" s="33"/>
      <c r="N113" s="33"/>
      <c r="O113" s="33"/>
      <c r="P113" s="33"/>
      <c r="Q113" s="32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IFERROR(__xludf.DUMMYFUNCTION("IMPORTRANGE(""https://docs.google.com/spreadsheets/d/1eHaY18a8A9IcSdp1K8H6x8fbOy06t2VsZHhMHf-1x7Y/edit?usp=sharing"",""แผน!R58"")"),0)</f>
        <v>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89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2"/>
      <c r="R115" s="203"/>
      <c r="S115" s="203"/>
      <c r="T115" s="203"/>
      <c r="U115" s="203"/>
    </row>
    <row r="116" spans="1:21" ht="19.5" x14ac:dyDescent="0.3">
      <c r="A116" s="252"/>
      <c r="B116" s="253" t="s">
        <v>339</v>
      </c>
      <c r="C116" s="303"/>
      <c r="D116" s="255"/>
      <c r="E116" s="254"/>
      <c r="F116" s="254"/>
      <c r="G116" s="254"/>
      <c r="H116" s="25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393">
        <f ca="1">Q118+Q119</f>
        <v>211520</v>
      </c>
      <c r="R117" s="266">
        <f ca="1">R118+R119</f>
        <v>211520</v>
      </c>
      <c r="S117" s="266">
        <f ca="1">S118+S119</f>
        <v>109766</v>
      </c>
      <c r="T117" s="266">
        <f ca="1">IF(Q117&gt;0,S117*100/Q117,0)</f>
        <v>51.893910741301056</v>
      </c>
      <c r="U117" s="266">
        <f ca="1">IF(R117&gt;0,S117*100/R117,0)</f>
        <v>51.893910741301056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79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6">
        <f ca="1">Q122+Q125</f>
        <v>211520</v>
      </c>
      <c r="R119" s="77">
        <f ca="1">R122+R125</f>
        <v>211520</v>
      </c>
      <c r="S119" s="77">
        <f ca="1">S122+S125</f>
        <v>109766</v>
      </c>
      <c r="T119" s="77">
        <f ca="1">IF(Q119&gt;0,S119*100/Q119,0)</f>
        <v>51.893910741301056</v>
      </c>
      <c r="U119" s="77">
        <f ca="1">IF(R119&gt;0,S119*100/R119,0)</f>
        <v>51.893910741301056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6">
        <f ca="1">Q121+Q122</f>
        <v>211520</v>
      </c>
      <c r="R120" s="77">
        <f ca="1">R121+R122</f>
        <v>211520</v>
      </c>
      <c r="S120" s="77">
        <f ca="1">S121+S122</f>
        <v>109766</v>
      </c>
      <c r="T120" s="77">
        <f ca="1">IF(Q120&gt;0,S120*100/Q120,0)</f>
        <v>51.893910741301056</v>
      </c>
      <c r="U120" s="77">
        <f ca="1">IF(R120&gt;0,S120*100/R120,0)</f>
        <v>51.893910741301056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79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IFERROR(__xludf.DUMMYFUNCTION("IMPORTRANGE(""https://docs.google.com/spreadsheets/d/1-uDff_7J0KD5mKrp0Vvzr7lt3OU09vwQwhkpOPPYv2Y/edit?usp=sharing"",""งบพรบ!BG58"")"),0)</f>
        <v>0</v>
      </c>
      <c r="M122" s="77">
        <f ca="1">IFERROR(__xludf.DUMMYFUNCTION("IMPORTRANGE(""https://docs.google.com/spreadsheets/d/1-uDff_7J0KD5mKrp0Vvzr7lt3OU09vwQwhkpOPPYv2Y/edit?usp=sharing"",""งบพรบ!BL58"")"),0)</f>
        <v>0</v>
      </c>
      <c r="N122" s="77">
        <f ca="1">IFERROR(__xludf.DUMMYFUNCTION("IMPORTRANGE(""https://docs.google.com/spreadsheets/d/1-uDff_7J0KD5mKrp0Vvzr7lt3OU09vwQwhkpOPPYv2Y/edit?usp=sharing"",""งบพรบ!BN58"")"),0)</f>
        <v>0</v>
      </c>
      <c r="O122" s="77">
        <f ca="1">IF(L122&gt;0,N122*100/L122,0)</f>
        <v>0</v>
      </c>
      <c r="P122" s="77">
        <f ca="1">IF(M122&gt;0,N122*100/M122,0)</f>
        <v>0</v>
      </c>
      <c r="Q122" s="76">
        <f ca="1">IFERROR(__xludf.DUMMYFUNCTION("IMPORTRANGE(""https://docs.google.com/spreadsheets/d/1ItG2mGa2ceCfYo0BwxsXqNm01IGEUdYcSSLTEv9YCik/edit?usp=sharing"",""เบิกจ่ายกองทุน!R58"")"),211520)</f>
        <v>211520</v>
      </c>
      <c r="R122" s="77">
        <f ca="1">IFERROR(__xludf.DUMMYFUNCTION("IMPORTRANGE(""https://docs.google.com/spreadsheets/d/1ItG2mGa2ceCfYo0BwxsXqNm01IGEUdYcSSLTEv9YCik/edit?usp=sharing"",""เบิกจ่ายกองทุน!S58"")"),211520)</f>
        <v>211520</v>
      </c>
      <c r="S122" s="77">
        <f ca="1">IFERROR(__xludf.DUMMYFUNCTION("IMPORTRANGE(""https://docs.google.com/spreadsheets/d/1ItG2mGa2ceCfYo0BwxsXqNm01IGEUdYcSSLTEv9YCik/edit?usp=sharing"",""เบิกจ่ายกองทุน!T58"")"),109766)</f>
        <v>109766</v>
      </c>
      <c r="T122" s="77">
        <f ca="1">IF(Q122&gt;0,S122*100/Q122,0)</f>
        <v>51.893910741301056</v>
      </c>
      <c r="U122" s="77">
        <f ca="1">IF(R122&gt;0,S122*100/R122,0)</f>
        <v>51.893910741301056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6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79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IFERROR(__xludf.DUMMYFUNCTION("IMPORTRANGE(""https://docs.google.com/spreadsheets/d/1-uDff_7J0KD5mKrp0Vvzr7lt3OU09vwQwhkpOPPYv2Y/edit?usp=sharing"",""งบพรบ!BJ58"")"),0)</f>
        <v>0</v>
      </c>
      <c r="M125" s="77">
        <f ca="1">IFERROR(__xludf.DUMMYFUNCTION("IMPORTRANGE(""https://docs.google.com/spreadsheets/d/1-uDff_7J0KD5mKrp0Vvzr7lt3OU09vwQwhkpOPPYv2Y/edit?usp=sharing"",""งบพรบ!BM58"")"),0)</f>
        <v>0</v>
      </c>
      <c r="N125" s="77">
        <f ca="1">IFERROR(__xludf.DUMMYFUNCTION("IMPORTRANGE(""https://docs.google.com/spreadsheets/d/1-uDff_7J0KD5mKrp0Vvzr7lt3OU09vwQwhkpOPPYv2Y/edit?usp=sharing"",""งบพรบ!BO58"")"),0)</f>
        <v>0</v>
      </c>
      <c r="O125" s="77">
        <f ca="1">IF(L125&gt;0,N125*100/L125,0)</f>
        <v>0</v>
      </c>
      <c r="P125" s="77">
        <f ca="1">IF(M125&gt;0,N125*100/M125,0)</f>
        <v>0</v>
      </c>
      <c r="Q125" s="76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388"/>
      <c r="M126" s="388"/>
      <c r="N126" s="388"/>
      <c r="O126" s="388"/>
      <c r="P126" s="388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IFERROR(__xludf.DUMMYFUNCTION("IMPORTRANGE(""https://docs.google.com/spreadsheets/d/1eHaY18a8A9IcSdp1K8H6x8fbOy06t2VsZHhMHf-1x7Y/edit?usp=sharing"",""แผน!FF58"")"),20)</f>
        <v>20</v>
      </c>
      <c r="J127" s="296">
        <v>20</v>
      </c>
      <c r="K127" s="77">
        <f ca="1">IF(I127&gt;0,J127*100/I127,0)</f>
        <v>100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IFERROR(__xludf.DUMMYFUNCTION("IMPORTRANGE(""https://docs.google.com/spreadsheets/d/1eHaY18a8A9IcSdp1K8H6x8fbOy06t2VsZHhMHf-1x7Y/edit?usp=sharing"",""แผน!FG58"")"),0)</f>
        <v>0</v>
      </c>
      <c r="J128" s="296">
        <v>2</v>
      </c>
      <c r="K128" s="77">
        <f ca="1">IF(I128&gt;0,J128*100/I128,0)</f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IFERROR(__xludf.DUMMYFUNCTION("IMPORTRANGE(""https://docs.google.com/spreadsheets/d/1eHaY18a8A9IcSdp1K8H6x8fbOy06t2VsZHhMHf-1x7Y/edit?usp=sharing"",""แผน!FH58"")"),20)</f>
        <v>20</v>
      </c>
      <c r="J129" s="296">
        <v>20</v>
      </c>
      <c r="K129" s="77">
        <f ca="1">IF(I129&gt;0,J129*100/I129,0)</f>
        <v>100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IFERROR(__xludf.DUMMYFUNCTION("IMPORTRANGE(""https://docs.google.com/spreadsheets/d/1eHaY18a8A9IcSdp1K8H6x8fbOy06t2VsZHhMHf-1x7Y/edit?usp=sharing"",""แผน!FI58"")"),0)</f>
        <v>0</v>
      </c>
      <c r="J130" s="296">
        <v>2</v>
      </c>
      <c r="K130" s="77">
        <f ca="1">IF(I130&gt;0,J130*100/I130,0)</f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2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10"/>
      <c r="M135" s="210"/>
      <c r="N135" s="210"/>
      <c r="O135" s="210"/>
      <c r="P135" s="210"/>
      <c r="Q135" s="209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10"/>
      <c r="M136" s="210"/>
      <c r="N136" s="210"/>
      <c r="O136" s="210"/>
      <c r="P136" s="210"/>
      <c r="Q136" s="209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10"/>
      <c r="M137" s="210"/>
      <c r="N137" s="210"/>
      <c r="O137" s="210"/>
      <c r="P137" s="210"/>
      <c r="Q137" s="209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10"/>
      <c r="M138" s="210"/>
      <c r="N138" s="210"/>
      <c r="O138" s="210"/>
      <c r="P138" s="210"/>
      <c r="Q138" s="209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66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393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80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79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7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6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7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6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80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79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7">
        <f ca="1">IFERROR(__xludf.DUMMYFUNCTION("IMPORTRANGE(""https://docs.google.com/spreadsheets/d/1-uDff_7J0KD5mKrp0Vvzr7lt3OU09vwQwhkpOPPYv2Y/edit?usp=sharing"",""งบพรบ!BQ58"")"),0)</f>
        <v>0</v>
      </c>
      <c r="M144" s="77">
        <f ca="1">IFERROR(__xludf.DUMMYFUNCTION("IMPORTRANGE(""https://docs.google.com/spreadsheets/d/1-uDff_7J0KD5mKrp0Vvzr7lt3OU09vwQwhkpOPPYv2Y/edit?usp=sharing"",""งบพรบ!BV58"")"),0)</f>
        <v>0</v>
      </c>
      <c r="N144" s="77">
        <f ca="1">IFERROR(__xludf.DUMMYFUNCTION("IMPORTRANGE(""https://docs.google.com/spreadsheets/d/1-uDff_7J0KD5mKrp0Vvzr7lt3OU09vwQwhkpOPPYv2Y/edit?usp=sharing"",""งบพรบ!BX58"")"),0)</f>
        <v>0</v>
      </c>
      <c r="O144" s="77">
        <f ca="1">IF(L144&gt;0,N144*100/L144,0)</f>
        <v>0</v>
      </c>
      <c r="P144" s="77">
        <f ca="1">IF(M144&gt;0,N144*100/M144,0)</f>
        <v>0</v>
      </c>
      <c r="Q144" s="76">
        <f ca="1">IFERROR(__xludf.DUMMYFUNCTION("IMPORTRANGE(""https://docs.google.com/spreadsheets/d/1ItG2mGa2ceCfYo0BwxsXqNm01IGEUdYcSSLTEv9YCik/edit?usp=sharing"",""เบิกจ่ายกองทุน!BB58"")"),0)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IFERROR(__xludf.DUMMYFUNCTION("IMPORTRANGE(""https://docs.google.com/spreadsheets/d/1ItG2mGa2ceCfYo0BwxsXqNm01IGEUdYcSSLTEv9YCik/edit?usp=sharing"",""เบิกจ่ายกองทุน!BC58"")"),0)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IFERROR(__xludf.DUMMYFUNCTION("IMPORTRANGE(""https://docs.google.com/spreadsheets/d/1ItG2mGa2ceCfYo0BwxsXqNm01IGEUdYcSSLTEv9YCik/edit?usp=sharing"",""เบิกจ่ายกองทุน!BD58"")"),0)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7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6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80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79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7">
        <f ca="1">IFERROR(__xludf.DUMMYFUNCTION("IMPORTRANGE(""https://docs.google.com/spreadsheets/d/1-uDff_7J0KD5mKrp0Vvzr7lt3OU09vwQwhkpOPPYv2Y/edit?usp=sharing"",""งบพรบ!BT58"")"),0)</f>
        <v>0</v>
      </c>
      <c r="M147" s="77">
        <f ca="1">IFERROR(__xludf.DUMMYFUNCTION("IMPORTRANGE(""https://docs.google.com/spreadsheets/d/1-uDff_7J0KD5mKrp0Vvzr7lt3OU09vwQwhkpOPPYv2Y/edit?usp=sharing"",""งบพรบ!BW58"")"),0)</f>
        <v>0</v>
      </c>
      <c r="N147" s="77">
        <f ca="1">IFERROR(__xludf.DUMMYFUNCTION("IMPORTRANGE(""https://docs.google.com/spreadsheets/d/1-uDff_7J0KD5mKrp0Vvzr7lt3OU09vwQwhkpOPPYv2Y/edit?usp=sharing"",""งบพรบ!BY58"")"),0)</f>
        <v>0</v>
      </c>
      <c r="O147" s="77">
        <f ca="1">IF(L147&gt;0,N147*100/L147,0)</f>
        <v>0</v>
      </c>
      <c r="P147" s="77">
        <f ca="1">IF(M147&gt;0,N147*100/M147,0)</f>
        <v>0</v>
      </c>
      <c r="Q147" s="76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90"/>
      <c r="M148" s="90"/>
      <c r="N148" s="90"/>
      <c r="O148" s="90"/>
      <c r="P148" s="90"/>
      <c r="Q148" s="89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90"/>
      <c r="M149" s="90"/>
      <c r="N149" s="90"/>
      <c r="O149" s="90"/>
      <c r="P149" s="90"/>
      <c r="Q149" s="89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IFERROR(__xludf.DUMMYFUNCTION("IMPORTRANGE(""https://docs.google.com/spreadsheets/d/1eHaY18a8A9IcSdp1K8H6x8fbOy06t2VsZHhMHf-1x7Y/edit?usp=sharing"",""แผน!U58"")"),0)</f>
        <v>0</v>
      </c>
      <c r="J150" s="296">
        <v>0</v>
      </c>
      <c r="K150" s="77">
        <f ca="1">IF(I150&gt;0,J150*100/I150,0)</f>
        <v>0</v>
      </c>
      <c r="L150" s="90"/>
      <c r="M150" s="90"/>
      <c r="N150" s="90"/>
      <c r="O150" s="90"/>
      <c r="P150" s="90"/>
      <c r="Q150" s="89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IFERROR(__xludf.DUMMYFUNCTION("IMPORTRANGE(""https://docs.google.com/spreadsheets/d/1eHaY18a8A9IcSdp1K8H6x8fbOy06t2VsZHhMHf-1x7Y/edit?usp=sharing"",""แผน!V58"")"),0)</f>
        <v>0</v>
      </c>
      <c r="J151" s="296">
        <v>0</v>
      </c>
      <c r="K151" s="77">
        <f ca="1">IF(I151&gt;0,J151*100/I151,0)</f>
        <v>0</v>
      </c>
      <c r="L151" s="90"/>
      <c r="M151" s="90"/>
      <c r="N151" s="90"/>
      <c r="O151" s="90"/>
      <c r="P151" s="90"/>
      <c r="Q151" s="89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IFERROR(__xludf.DUMMYFUNCTION("IMPORTRANGE(""https://docs.google.com/spreadsheets/d/1eHaY18a8A9IcSdp1K8H6x8fbOy06t2VsZHhMHf-1x7Y/edit?usp=sharing"",""แผน!W58"")"),0)</f>
        <v>0</v>
      </c>
      <c r="J152" s="296">
        <v>0</v>
      </c>
      <c r="K152" s="77">
        <f ca="1">IF(I152&gt;0,J152*100/I152,0)</f>
        <v>0</v>
      </c>
      <c r="L152" s="90"/>
      <c r="M152" s="90"/>
      <c r="N152" s="90"/>
      <c r="O152" s="90"/>
      <c r="P152" s="90"/>
      <c r="Q152" s="89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IFERROR(__xludf.DUMMYFUNCTION("IMPORTRANGE(""https://docs.google.com/spreadsheets/d/1eHaY18a8A9IcSdp1K8H6x8fbOy06t2VsZHhMHf-1x7Y/edit?usp=sharing"",""แผน!X58"")"),0)</f>
        <v>0</v>
      </c>
      <c r="J153" s="296">
        <v>0</v>
      </c>
      <c r="K153" s="77">
        <f ca="1">IF(I153&gt;0,J153*100/I153,0)</f>
        <v>0</v>
      </c>
      <c r="L153" s="90"/>
      <c r="M153" s="90"/>
      <c r="N153" s="90"/>
      <c r="O153" s="90"/>
      <c r="P153" s="90"/>
      <c r="Q153" s="89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IFERROR(__xludf.DUMMYFUNCTION("IMPORTRANGE(""https://docs.google.com/spreadsheets/d/1eHaY18a8A9IcSdp1K8H6x8fbOy06t2VsZHhMHf-1x7Y/edit?usp=sharing"",""แผน!Y58"")"),0)</f>
        <v>0</v>
      </c>
      <c r="J154" s="296">
        <v>0</v>
      </c>
      <c r="K154" s="77">
        <f ca="1">IF(I154&gt;0,J154*100/I154,0)</f>
        <v>0</v>
      </c>
      <c r="L154" s="90"/>
      <c r="M154" s="90"/>
      <c r="N154" s="90"/>
      <c r="O154" s="90"/>
      <c r="P154" s="90"/>
      <c r="Q154" s="89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2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10"/>
      <c r="M156" s="210"/>
      <c r="N156" s="210"/>
      <c r="O156" s="210"/>
      <c r="P156" s="210"/>
      <c r="Q156" s="209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66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393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80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79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7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6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7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6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80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79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7">
        <f ca="1">IFERROR(__xludf.DUMMYFUNCTION("IMPORTRANGE(""https://docs.google.com/spreadsheets/d/1-uDff_7J0KD5mKrp0Vvzr7lt3OU09vwQwhkpOPPYv2Y/edit?usp=sharing"",""งบพรบ!CA58"")"),0)</f>
        <v>0</v>
      </c>
      <c r="M162" s="77">
        <f ca="1">IFERROR(__xludf.DUMMYFUNCTION("IMPORTRANGE(""https://docs.google.com/spreadsheets/d/1-uDff_7J0KD5mKrp0Vvzr7lt3OU09vwQwhkpOPPYv2Y/edit?usp=sharing"",""งบพรบ!CF58"")"),0)</f>
        <v>0</v>
      </c>
      <c r="N162" s="77">
        <f ca="1">IFERROR(__xludf.DUMMYFUNCTION("IMPORTRANGE(""https://docs.google.com/spreadsheets/d/1-uDff_7J0KD5mKrp0Vvzr7lt3OU09vwQwhkpOPPYv2Y/edit?usp=sharing"",""งบพรบ!CH58"")"),0)</f>
        <v>0</v>
      </c>
      <c r="O162" s="77">
        <f ca="1">IF(L162&gt;0,N162*100/L162,0)</f>
        <v>0</v>
      </c>
      <c r="P162" s="77">
        <f ca="1">IF(M162&gt;0,N162*100/M162,0)</f>
        <v>0</v>
      </c>
      <c r="Q162" s="76">
        <f ca="1">IFERROR(__xludf.DUMMYFUNCTION("IMPORTRANGE(""https://docs.google.com/spreadsheets/d/1ItG2mGa2ceCfYo0BwxsXqNm01IGEUdYcSSLTEv9YCik/edit?usp=sharing"",""เบิกจ่ายกองทุน!AG58"")"),0)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IFERROR(__xludf.DUMMYFUNCTION("IMPORTRANGE(""https://docs.google.com/spreadsheets/d/1ItG2mGa2ceCfYo0BwxsXqNm01IGEUdYcSSLTEv9YCik/edit?usp=sharing"",""เบิกจ่ายกองทุน!AH58"")"),0)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IFERROR(__xludf.DUMMYFUNCTION("IMPORTRANGE(""https://docs.google.com/spreadsheets/d/1ItG2mGa2ceCfYo0BwxsXqNm01IGEUdYcSSLTEv9YCik/edit?usp=sharing"",""เบิกจ่ายกองทุน!AI58"")"),0)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7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6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80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79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7">
        <f ca="1">IFERROR(__xludf.DUMMYFUNCTION("IMPORTRANGE(""https://docs.google.com/spreadsheets/d/1-uDff_7J0KD5mKrp0Vvzr7lt3OU09vwQwhkpOPPYv2Y/edit?usp=sharing"",""งบพรบ!CD58"")"),0)</f>
        <v>0</v>
      </c>
      <c r="M165" s="77">
        <f ca="1">IFERROR(__xludf.DUMMYFUNCTION("IMPORTRANGE(""https://docs.google.com/spreadsheets/d/1-uDff_7J0KD5mKrp0Vvzr7lt3OU09vwQwhkpOPPYv2Y/edit?usp=sharing"",""งบพรบ!CG58"")"),0)</f>
        <v>0</v>
      </c>
      <c r="N165" s="77">
        <f ca="1">IFERROR(__xludf.DUMMYFUNCTION("IMPORTRANGE(""https://docs.google.com/spreadsheets/d/1-uDff_7J0KD5mKrp0Vvzr7lt3OU09vwQwhkpOPPYv2Y/edit?usp=sharing"",""งบพรบ!CI58"")"),0)</f>
        <v>0</v>
      </c>
      <c r="O165" s="77">
        <f ca="1">IF(L165&gt;0,N165*100/L165,0)</f>
        <v>0</v>
      </c>
      <c r="P165" s="77">
        <f ca="1">IF(M165&gt;0,N165*100/M165,0)</f>
        <v>0</v>
      </c>
      <c r="Q165" s="76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90"/>
      <c r="M166" s="90"/>
      <c r="N166" s="90"/>
      <c r="O166" s="90"/>
      <c r="P166" s="90"/>
      <c r="Q166" s="89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IFERROR(__xludf.DUMMYFUNCTION("IMPORTRANGE(""https://docs.google.com/spreadsheets/d/1eHaY18a8A9IcSdp1K8H6x8fbOy06t2VsZHhMHf-1x7Y/edit?usp=sharing"",""แผน!Z58"")"),0)</f>
        <v>0</v>
      </c>
      <c r="J167" s="296">
        <v>0</v>
      </c>
      <c r="K167" s="77">
        <f ca="1">IF(I167&gt;0,J167*100/I167,0)</f>
        <v>0</v>
      </c>
      <c r="L167" s="90"/>
      <c r="M167" s="90"/>
      <c r="N167" s="90"/>
      <c r="O167" s="90"/>
      <c r="P167" s="90"/>
      <c r="Q167" s="89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IFERROR(__xludf.DUMMYFUNCTION("IMPORTRANGE(""https://docs.google.com/spreadsheets/d/1eHaY18a8A9IcSdp1K8H6x8fbOy06t2VsZHhMHf-1x7Y/edit?usp=sharing"",""แผน!Z58"")"),0)</f>
        <v>0</v>
      </c>
      <c r="J168" s="867">
        <v>0</v>
      </c>
      <c r="K168" s="80">
        <f ca="1">IF(I168&gt;0,J168*100/I168,0)</f>
        <v>0</v>
      </c>
      <c r="L168" s="90"/>
      <c r="M168" s="90"/>
      <c r="N168" s="90"/>
      <c r="O168" s="90"/>
      <c r="P168" s="90"/>
      <c r="Q168" s="89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IFERROR(__xludf.DUMMYFUNCTION("IMPORTRANGE(""https://docs.google.com/spreadsheets/d/1eHaY18a8A9IcSdp1K8H6x8fbOy06t2VsZHhMHf-1x7Y/edit?usp=sharing"",""แผน!Z58"")"),0)</f>
        <v>0</v>
      </c>
      <c r="J169" s="859">
        <v>0</v>
      </c>
      <c r="K169" s="858">
        <f ca="1">IF(I169&gt;0,J169*100/I169,0)</f>
        <v>0</v>
      </c>
      <c r="L169" s="101"/>
      <c r="M169" s="101"/>
      <c r="N169" s="101"/>
      <c r="O169" s="101"/>
      <c r="P169" s="101"/>
      <c r="Q169" s="100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8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8"/>
      <c r="M171" s="358"/>
      <c r="N171" s="358"/>
      <c r="O171" s="358"/>
      <c r="P171" s="358"/>
      <c r="Q171" s="357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7"/>
      <c r="M172" s="367"/>
      <c r="N172" s="367"/>
      <c r="O172" s="367"/>
      <c r="P172" s="367"/>
      <c r="Q172" s="366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66">
        <f ca="1">L174+L175</f>
        <v>19590</v>
      </c>
      <c r="M173" s="266">
        <f ca="1">M174+M175</f>
        <v>30980</v>
      </c>
      <c r="N173" s="266">
        <f ca="1">N174+N175</f>
        <v>30980</v>
      </c>
      <c r="O173" s="266">
        <f ca="1">IF(L173&gt;0,N173*100/L173,0)</f>
        <v>158.14190913731497</v>
      </c>
      <c r="P173" s="266">
        <f ca="1">IF(M173&gt;0,N173*100/M173,0)</f>
        <v>100</v>
      </c>
      <c r="Q173" s="393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80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79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7">
        <f ca="1">L178+L181</f>
        <v>19590</v>
      </c>
      <c r="M175" s="77">
        <f ca="1">M178+M181</f>
        <v>30980</v>
      </c>
      <c r="N175" s="77">
        <f ca="1">N178+N181</f>
        <v>30980</v>
      </c>
      <c r="O175" s="77">
        <f ca="1">IF(L175&gt;0,N175*100/L175,0)</f>
        <v>158.14190913731497</v>
      </c>
      <c r="P175" s="77">
        <f ca="1">IF(M175&gt;0,N175*100/M175,0)</f>
        <v>100</v>
      </c>
      <c r="Q175" s="76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7">
        <f ca="1">L177+L178</f>
        <v>19590</v>
      </c>
      <c r="M176" s="77">
        <f ca="1">M177+M178</f>
        <v>30980</v>
      </c>
      <c r="N176" s="77">
        <f ca="1">N177+N178</f>
        <v>30980</v>
      </c>
      <c r="O176" s="77">
        <f ca="1">IF(L176&gt;0,N176*100/L176,0)</f>
        <v>158.14190913731497</v>
      </c>
      <c r="P176" s="77">
        <f ca="1">IF(M176&gt;0,N176*100/M176,0)</f>
        <v>100</v>
      </c>
      <c r="Q176" s="76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80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79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7">
        <f ca="1">IFERROR(__xludf.DUMMYFUNCTION("IMPORTRANGE(""https://docs.google.com/spreadsheets/d/1-uDff_7J0KD5mKrp0Vvzr7lt3OU09vwQwhkpOPPYv2Y/edit?usp=sharing"",""งบพรบ!CK58"")"),19590)</f>
        <v>19590</v>
      </c>
      <c r="M178" s="77">
        <f ca="1">IFERROR(__xludf.DUMMYFUNCTION("IMPORTRANGE(""https://docs.google.com/spreadsheets/d/1-uDff_7J0KD5mKrp0Vvzr7lt3OU09vwQwhkpOPPYv2Y/edit?usp=sharing"",""งบพรบ!CP58"")"),30980)</f>
        <v>30980</v>
      </c>
      <c r="N178" s="77">
        <f ca="1">IFERROR(__xludf.DUMMYFUNCTION("IMPORTRANGE(""https://docs.google.com/spreadsheets/d/1-uDff_7J0KD5mKrp0Vvzr7lt3OU09vwQwhkpOPPYv2Y/edit?usp=sharing"",""งบพรบ!CR58"")"),30980)</f>
        <v>30980</v>
      </c>
      <c r="O178" s="77">
        <f ca="1">IF(L178&gt;0,N178*100/L178,0)</f>
        <v>158.14190913731497</v>
      </c>
      <c r="P178" s="77">
        <f ca="1">IF(M178&gt;0,N178*100/M178,0)</f>
        <v>100</v>
      </c>
      <c r="Q178" s="76">
        <f ca="1">IFERROR(__xludf.DUMMYFUNCTION("IMPORTRANGE(""https://docs.google.com/spreadsheets/d/1ItG2mGa2ceCfYo0BwxsXqNm01IGEUdYcSSLTEv9YCik/edit?usp=sharing"",""เบิกจ่ายกองทุน!BE58"")"),0)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IFERROR(__xludf.DUMMYFUNCTION("IMPORTRANGE(""https://docs.google.com/spreadsheets/d/1ItG2mGa2ceCfYo0BwxsXqNm01IGEUdYcSSLTEv9YCik/edit?usp=sharing"",""เบิกจ่ายกองทุน!BF58"")"),0)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IFERROR(__xludf.DUMMYFUNCTION("IMPORTRANGE(""https://docs.google.com/spreadsheets/d/1ItG2mGa2ceCfYo0BwxsXqNm01IGEUdYcSSLTEv9YCik/edit?usp=sharing"",""เบิกจ่ายกองทุน!BG58"")"),0)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7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6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80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79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7">
        <f ca="1">IFERROR(__xludf.DUMMYFUNCTION("IMPORTRANGE(""https://docs.google.com/spreadsheets/d/1-uDff_7J0KD5mKrp0Vvzr7lt3OU09vwQwhkpOPPYv2Y/edit?usp=sharing"",""งบพรบ!CN58"")"),0)</f>
        <v>0</v>
      </c>
      <c r="M181" s="77">
        <f ca="1">IFERROR(__xludf.DUMMYFUNCTION("IMPORTRANGE(""https://docs.google.com/spreadsheets/d/1-uDff_7J0KD5mKrp0Vvzr7lt3OU09vwQwhkpOPPYv2Y/edit?usp=sharing"",""งบพรบ!CQ58"")"),0)</f>
        <v>0</v>
      </c>
      <c r="N181" s="77">
        <f ca="1">IFERROR(__xludf.DUMMYFUNCTION("IMPORTRANGE(""https://docs.google.com/spreadsheets/d/1-uDff_7J0KD5mKrp0Vvzr7lt3OU09vwQwhkpOPPYv2Y/edit?usp=sharing"",""งบพรบ!CS58"")"),0)</f>
        <v>0</v>
      </c>
      <c r="O181" s="77">
        <f ca="1">IF(L181&gt;0,N181*100/L181,0)</f>
        <v>0</v>
      </c>
      <c r="P181" s="77">
        <f ca="1">IF(M181&gt;0,N181*100/M181,0)</f>
        <v>0</v>
      </c>
      <c r="Q181" s="76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90"/>
      <c r="M182" s="90"/>
      <c r="N182" s="90"/>
      <c r="O182" s="90"/>
      <c r="P182" s="90"/>
      <c r="Q182" s="89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IFERROR(__xludf.DUMMYFUNCTION("IMPORTRANGE(""https://docs.google.com/spreadsheets/d/1eHaY18a8A9IcSdp1K8H6x8fbOy06t2VsZHhMHf-1x7Y/edit?usp=sharing"",""แผน!AA58"")"),7)</f>
        <v>7</v>
      </c>
      <c r="J183" s="296">
        <v>7</v>
      </c>
      <c r="K183" s="77">
        <f ca="1">IF(I183&gt;0,J183*100/I183,0)</f>
        <v>100</v>
      </c>
      <c r="L183" s="90"/>
      <c r="M183" s="90"/>
      <c r="N183" s="90"/>
      <c r="O183" s="90"/>
      <c r="P183" s="90"/>
      <c r="Q183" s="89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90"/>
      <c r="M184" s="90"/>
      <c r="N184" s="90"/>
      <c r="O184" s="90"/>
      <c r="P184" s="90"/>
      <c r="Q184" s="89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7"/>
      <c r="M185" s="367"/>
      <c r="N185" s="367"/>
      <c r="O185" s="367"/>
      <c r="P185" s="367"/>
      <c r="Q185" s="366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66">
        <f ca="1">L187+L188</f>
        <v>111200</v>
      </c>
      <c r="M186" s="266">
        <f ca="1">M187+M188</f>
        <v>111200</v>
      </c>
      <c r="N186" s="266">
        <f ca="1">N187+N188</f>
        <v>93569</v>
      </c>
      <c r="O186" s="266">
        <f ca="1">IF(L186&gt;0,N186*100/L186,0)</f>
        <v>84.144784172661872</v>
      </c>
      <c r="P186" s="266">
        <f ca="1">IF(M186&gt;0,N186*100/M186,0)</f>
        <v>84.144784172661872</v>
      </c>
      <c r="Q186" s="393">
        <f ca="1">Q187+Q188</f>
        <v>41700</v>
      </c>
      <c r="R186" s="266">
        <f ca="1">R187+R188</f>
        <v>47700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80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79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7">
        <f ca="1">L191+L194</f>
        <v>111200</v>
      </c>
      <c r="M188" s="77">
        <f ca="1">M191+M194</f>
        <v>111200</v>
      </c>
      <c r="N188" s="77">
        <f ca="1">N191+N194</f>
        <v>93569</v>
      </c>
      <c r="O188" s="77">
        <f ca="1">IF(L188&gt;0,N188*100/L188,0)</f>
        <v>84.144784172661872</v>
      </c>
      <c r="P188" s="77">
        <f ca="1">IF(M188&gt;0,N188*100/M188,0)</f>
        <v>84.144784172661872</v>
      </c>
      <c r="Q188" s="76">
        <f ca="1">Q191+Q194</f>
        <v>41700</v>
      </c>
      <c r="R188" s="77">
        <f ca="1">R191+R194</f>
        <v>47700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7">
        <f ca="1">L190+L191</f>
        <v>111200</v>
      </c>
      <c r="M189" s="77">
        <f ca="1">M190+M191</f>
        <v>111200</v>
      </c>
      <c r="N189" s="77">
        <f ca="1">N190+N191</f>
        <v>93569</v>
      </c>
      <c r="O189" s="77">
        <f ca="1">IF(L189&gt;0,N189*100/L189,0)</f>
        <v>84.144784172661872</v>
      </c>
      <c r="P189" s="77">
        <f ca="1">IF(M189&gt;0,N189*100/M189,0)</f>
        <v>84.144784172661872</v>
      </c>
      <c r="Q189" s="76">
        <f ca="1">Q190+Q191</f>
        <v>41700</v>
      </c>
      <c r="R189" s="77">
        <f ca="1">R190+R191</f>
        <v>47700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80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79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7">
        <f ca="1">IFERROR(__xludf.DUMMYFUNCTION("IMPORTRANGE(""https://docs.google.com/spreadsheets/d/1-uDff_7J0KD5mKrp0Vvzr7lt3OU09vwQwhkpOPPYv2Y/edit?usp=sharing"",""งบพรบ!CU58"")"),111200)</f>
        <v>111200</v>
      </c>
      <c r="M191" s="77">
        <f ca="1">IFERROR(__xludf.DUMMYFUNCTION("IMPORTRANGE(""https://docs.google.com/spreadsheets/d/1-uDff_7J0KD5mKrp0Vvzr7lt3OU09vwQwhkpOPPYv2Y/edit?usp=sharing"",""งบพรบ!CZ58"")"),111200)</f>
        <v>111200</v>
      </c>
      <c r="N191" s="77">
        <f ca="1">IFERROR(__xludf.DUMMYFUNCTION("IMPORTRANGE(""https://docs.google.com/spreadsheets/d/1-uDff_7J0KD5mKrp0Vvzr7lt3OU09vwQwhkpOPPYv2Y/edit?usp=sharing"",""งบพรบ!DB58"")"),93569)</f>
        <v>93569</v>
      </c>
      <c r="O191" s="77">
        <f ca="1">IF(L191&gt;0,N191*100/L191,0)</f>
        <v>84.144784172661872</v>
      </c>
      <c r="P191" s="77">
        <f ca="1">IF(M191&gt;0,N191*100/M191,0)</f>
        <v>84.144784172661872</v>
      </c>
      <c r="Q191" s="76">
        <f ca="1">IFERROR(__xludf.DUMMYFUNCTION("IMPORTRANGE(""https://docs.google.com/spreadsheets/d/1ItG2mGa2ceCfYo0BwxsXqNm01IGEUdYcSSLTEv9YCik/edit?usp=sharing"",""เบิกจ่ายกองทุน!AV58"")"),41700)</f>
        <v>41700</v>
      </c>
      <c r="R191" s="77">
        <f ca="1">IFERROR(__xludf.DUMMYFUNCTION("IMPORTRANGE(""https://docs.google.com/spreadsheets/d/1ItG2mGa2ceCfYo0BwxsXqNm01IGEUdYcSSLTEv9YCik/edit?usp=sharing"",""เบิกจ่ายกองทุน!AW58"")"),47700)</f>
        <v>47700</v>
      </c>
      <c r="S191" s="77">
        <f ca="1">IFERROR(__xludf.DUMMYFUNCTION("IMPORTRANGE(""https://docs.google.com/spreadsheets/d/1ItG2mGa2ceCfYo0BwxsXqNm01IGEUdYcSSLTEv9YCik/edit?usp=sharing"",""เบิกจ่ายกองทุน!AX58"")"),0)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7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6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80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79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7">
        <f ca="1">IFERROR(__xludf.DUMMYFUNCTION("IMPORTRANGE(""https://docs.google.com/spreadsheets/d/1-uDff_7J0KD5mKrp0Vvzr7lt3OU09vwQwhkpOPPYv2Y/edit?usp=sharing"",""งบพรบ!CX58"")"),0)</f>
        <v>0</v>
      </c>
      <c r="M194" s="77">
        <f ca="1">IFERROR(__xludf.DUMMYFUNCTION("IMPORTRANGE(""https://docs.google.com/spreadsheets/d/1-uDff_7J0KD5mKrp0Vvzr7lt3OU09vwQwhkpOPPYv2Y/edit?usp=sharing"",""งบพรบ!DA58"")"),0)</f>
        <v>0</v>
      </c>
      <c r="N194" s="77">
        <f ca="1">IFERROR(__xludf.DUMMYFUNCTION("IMPORTRANGE(""https://docs.google.com/spreadsheets/d/1-uDff_7J0KD5mKrp0Vvzr7lt3OU09vwQwhkpOPPYv2Y/edit?usp=sharing"",""งบพรบ!DC58"")"),0)</f>
        <v>0</v>
      </c>
      <c r="O194" s="77">
        <f ca="1">IF(L194&gt;0,N194*100/L194,0)</f>
        <v>0</v>
      </c>
      <c r="P194" s="77">
        <f ca="1">IF(M194&gt;0,N194*100/M194,0)</f>
        <v>0</v>
      </c>
      <c r="Q194" s="76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2"/>
      <c r="M195" s="382"/>
      <c r="N195" s="382"/>
      <c r="O195" s="382"/>
      <c r="P195" s="382"/>
      <c r="Q195" s="381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266">
        <f ca="1">IFERROR(__xludf.DUMMYFUNCTION("IMPORTRANGE(""https://docs.google.com/spreadsheets/d/1eHaY18a8A9IcSdp1K8H6x8fbOy06t2VsZHhMHf-1x7Y/edit?usp=sharing"",""แผน!AB58"")"),6000)</f>
        <v>6000</v>
      </c>
      <c r="M196" s="90"/>
      <c r="N196" s="959">
        <v>3000</v>
      </c>
      <c r="O196" s="266">
        <f ca="1">IF(L196&gt;0,N196*100/L196,0)</f>
        <v>50</v>
      </c>
      <c r="P196" s="266">
        <f>IF(M196&gt;0,N196*100/M196,0)</f>
        <v>0</v>
      </c>
      <c r="Q196" s="89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90"/>
      <c r="M197" s="90"/>
      <c r="N197" s="90"/>
      <c r="O197" s="90"/>
      <c r="P197" s="90"/>
      <c r="Q197" s="89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IFERROR(__xludf.DUMMYFUNCTION("IMPORTRANGE(""https://docs.google.com/spreadsheets/d/1eHaY18a8A9IcSdp1K8H6x8fbOy06t2VsZHhMHf-1x7Y/edit?usp=sharing"",""แผน!AE58"")"),4)</f>
        <v>4</v>
      </c>
      <c r="J198" s="296">
        <v>2</v>
      </c>
      <c r="K198" s="77">
        <f ca="1">IF(I198&gt;0,J198*100/I198,0)</f>
        <v>50</v>
      </c>
      <c r="L198" s="90"/>
      <c r="M198" s="90"/>
      <c r="N198" s="90"/>
      <c r="O198" s="90"/>
      <c r="P198" s="90"/>
      <c r="Q198" s="89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83</v>
      </c>
      <c r="K199" s="90"/>
      <c r="L199" s="90"/>
      <c r="M199" s="90"/>
      <c r="N199" s="90"/>
      <c r="O199" s="90"/>
      <c r="P199" s="90"/>
      <c r="Q199" s="89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83</v>
      </c>
      <c r="K200" s="90"/>
      <c r="L200" s="90"/>
      <c r="M200" s="90"/>
      <c r="N200" s="90"/>
      <c r="O200" s="90"/>
      <c r="P200" s="90"/>
      <c r="Q200" s="89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90"/>
      <c r="M201" s="90"/>
      <c r="N201" s="90"/>
      <c r="O201" s="90"/>
      <c r="P201" s="90"/>
      <c r="Q201" s="89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2"/>
      <c r="M202" s="382"/>
      <c r="N202" s="382"/>
      <c r="O202" s="382"/>
      <c r="P202" s="382"/>
      <c r="Q202" s="381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266">
        <f ca="1">L204+L205+L206+L207</f>
        <v>13000</v>
      </c>
      <c r="M203" s="90"/>
      <c r="N203" s="266">
        <f>N204+N205+N206+N207</f>
        <v>8000</v>
      </c>
      <c r="O203" s="266">
        <f ca="1">IF(L203&gt;0,N203*100/L203,0)</f>
        <v>61.53846153846154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7">
        <f ca="1">IFERROR(__xludf.DUMMYFUNCTION("IMPORTRANGE(""https://docs.google.com/spreadsheets/d/1eHaY18a8A9IcSdp1K8H6x8fbOy06t2VsZHhMHf-1x7Y/edit?usp=sharing"",""แผน!AG58"")"),1000)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7">
        <f ca="1">IFERROR(__xludf.DUMMYFUNCTION("IMPORTRANGE(""https://docs.google.com/spreadsheets/d/1eHaY18a8A9IcSdp1K8H6x8fbOy06t2VsZHhMHf-1x7Y/edit?usp=sharing"",""แผน!AH58"")"),0)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7">
        <f ca="1">IFERROR(__xludf.DUMMYFUNCTION("IMPORTRANGE(""https://docs.google.com/spreadsheets/d/1eHaY18a8A9IcSdp1K8H6x8fbOy06t2VsZHhMHf-1x7Y/edit?usp=sharing"",""แผน!AI58"")"),8000)</f>
        <v>8000</v>
      </c>
      <c r="M206" s="90"/>
      <c r="N206" s="391">
        <v>8000</v>
      </c>
      <c r="O206" s="231"/>
      <c r="P206" s="90"/>
      <c r="Q206" s="76">
        <f ca="1">IFERROR(__xludf.DUMMYFUNCTION("IMPORTRANGE(""https://docs.google.com/spreadsheets/d/1eHaY18a8A9IcSdp1K8H6x8fbOy06t2VsZHhMHf-1x7Y/edit?usp=sharing"",""แผน!LV58"")"),0)</f>
        <v>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7">
        <f ca="1">IFERROR(__xludf.DUMMYFUNCTION("IMPORTRANGE(""https://docs.google.com/spreadsheets/d/1eHaY18a8A9IcSdp1K8H6x8fbOy06t2VsZHhMHf-1x7Y/edit?usp=sharing"",""แผน!AJ58"")"),4000)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1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IFERROR(__xludf.DUMMYFUNCTION("IMPORTRANGE(""https://docs.google.com/spreadsheets/d/1eHaY18a8A9IcSdp1K8H6x8fbOy06t2VsZHhMHf-1x7Y/edit?usp=sharing"",""แผน!AK58"")"),1)</f>
        <v>1</v>
      </c>
      <c r="J209" s="296">
        <v>1</v>
      </c>
      <c r="K209" s="748">
        <f ca="1">IF(I209&gt;0,J209*100/I209,0)</f>
        <v>100</v>
      </c>
      <c r="L209" s="90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90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IFERROR(__xludf.DUMMYFUNCTION("IMPORTRANGE(""https://docs.google.com/spreadsheets/d/1eHaY18a8A9IcSdp1K8H6x8fbOy06t2VsZHhMHf-1x7Y/edit?usp=sharing"",""แผน!JX58"")"),1)</f>
        <v>1</v>
      </c>
      <c r="J211" s="296">
        <v>0</v>
      </c>
      <c r="K211" s="748">
        <f ca="1">IF(I211&gt;0,J211*100/I211,0)</f>
        <v>0</v>
      </c>
      <c r="L211" s="90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IFERROR(__xludf.DUMMYFUNCTION("IMPORTRANGE(""https://docs.google.com/spreadsheets/d/1eHaY18a8A9IcSdp1K8H6x8fbOy06t2VsZHhMHf-1x7Y/edit?usp=sharing"",""แผน!JY58"")"),0)</f>
        <v>0</v>
      </c>
      <c r="J212" s="296">
        <v>0</v>
      </c>
      <c r="K212" s="748">
        <f ca="1">IF(I212&gt;0,J212*100/I212,0)</f>
        <v>0</v>
      </c>
      <c r="L212" s="90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1</v>
      </c>
      <c r="J213" s="542">
        <f>J220</f>
        <v>1</v>
      </c>
      <c r="K213" s="543">
        <f ca="1">IF(I213&gt;0,J213*100/I213,0)</f>
        <v>100</v>
      </c>
      <c r="L213" s="382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266">
        <f ca="1">L215+L216+L217</f>
        <v>14000</v>
      </c>
      <c r="M214" s="90"/>
      <c r="N214" s="266">
        <f>N215+N216+N217</f>
        <v>8240</v>
      </c>
      <c r="O214" s="266">
        <f ca="1">IF(L214&gt;0,N214*100/L214,0)</f>
        <v>58.857142857142854</v>
      </c>
      <c r="P214" s="266">
        <f>IF(M214&gt;0,N214*100/M214,0)</f>
        <v>0</v>
      </c>
      <c r="Q214" s="393">
        <f ca="1">Q215+Q216+Q217</f>
        <v>41700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7">
        <f ca="1">IFERROR(__xludf.DUMMYFUNCTION("IMPORTRANGE(""https://docs.google.com/spreadsheets/d/1eHaY18a8A9IcSdp1K8H6x8fbOy06t2VsZHhMHf-1x7Y/edit?usp=sharing"",""แผน!AM58"")"),1000)</f>
        <v>1000</v>
      </c>
      <c r="M215" s="90"/>
      <c r="N215" s="391">
        <v>240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7">
        <f ca="1">IFERROR(__xludf.DUMMYFUNCTION("IMPORTRANGE(""https://docs.google.com/spreadsheets/d/1eHaY18a8A9IcSdp1K8H6x8fbOy06t2VsZHhMHf-1x7Y/edit?usp=sharing"",""แผน!AN58"")"),5000)</f>
        <v>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7">
        <f ca="1">IFERROR(__xludf.DUMMYFUNCTION("IMPORTRANGE(""https://docs.google.com/spreadsheets/d/1eHaY18a8A9IcSdp1K8H6x8fbOy06t2VsZHhMHf-1x7Y/edit?usp=sharing"",""แผน!AO58"")"),8000)</f>
        <v>8000</v>
      </c>
      <c r="M217" s="90"/>
      <c r="N217" s="391">
        <v>8000</v>
      </c>
      <c r="O217" s="231"/>
      <c r="P217" s="90"/>
      <c r="Q217" s="76">
        <f ca="1">IFERROR(__xludf.DUMMYFUNCTION("IMPORTRANGE(""https://docs.google.com/spreadsheets/d/1eHaY18a8A9IcSdp1K8H6x8fbOy06t2VsZHhMHf-1x7Y/edit?usp=sharing"",""แผน!LY58"")"),41700)</f>
        <v>41700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90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IFERROR(__xludf.DUMMYFUNCTION("IMPORTRANGE(""https://docs.google.com/spreadsheets/d/1eHaY18a8A9IcSdp1K8H6x8fbOy06t2VsZHhMHf-1x7Y/edit?usp=sharing"",""แผน!AP58"")"),1)</f>
        <v>1</v>
      </c>
      <c r="J219" s="296">
        <v>0</v>
      </c>
      <c r="K219" s="77">
        <f ca="1">IF(I219&gt;0,J219*100/I219,0)</f>
        <v>0</v>
      </c>
      <c r="L219" s="90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IFERROR(__xludf.DUMMYFUNCTION("IMPORTRANGE(""https://docs.google.com/spreadsheets/d/1eHaY18a8A9IcSdp1K8H6x8fbOy06t2VsZHhMHf-1x7Y/edit?usp=sharing"",""แผน!AP58"")"),1)</f>
        <v>1</v>
      </c>
      <c r="J220" s="296">
        <v>1</v>
      </c>
      <c r="K220" s="77">
        <f ca="1">IF(I220&gt;0,J220*100/I220,0)</f>
        <v>100</v>
      </c>
      <c r="L220" s="90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3200</v>
      </c>
      <c r="J221" s="542">
        <f>J229</f>
        <v>0</v>
      </c>
      <c r="K221" s="543">
        <f ca="1">IF(I221&gt;0,J221*100/I221,0)</f>
        <v>0</v>
      </c>
      <c r="L221" s="382"/>
      <c r="M221" s="382"/>
      <c r="N221" s="382"/>
      <c r="O221" s="382"/>
      <c r="P221" s="382"/>
      <c r="Q221" s="381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266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89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7">
        <f ca="1">IFERROR(__xludf.DUMMYFUNCTION("IMPORTRANGE(""https://docs.google.com/spreadsheets/d/1eHaY18a8A9IcSdp1K8H6x8fbOy06t2VsZHhMHf-1x7Y/edit?usp=sharing"",""แผน!AR58"")"),2500)</f>
        <v>2500</v>
      </c>
      <c r="M223" s="90"/>
      <c r="N223" s="391">
        <v>0</v>
      </c>
      <c r="O223" s="231"/>
      <c r="P223" s="90"/>
      <c r="Q223" s="89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7">
        <f ca="1">IFERROR(__xludf.DUMMYFUNCTION("IMPORTRANGE(""https://docs.google.com/spreadsheets/d/1eHaY18a8A9IcSdp1K8H6x8fbOy06t2VsZHhMHf-1x7Y/edit?usp=sharing"",""แผน!AS58"")"),2000)</f>
        <v>2000</v>
      </c>
      <c r="M224" s="90"/>
      <c r="N224" s="391">
        <v>0</v>
      </c>
      <c r="O224" s="231"/>
      <c r="P224" s="90"/>
      <c r="Q224" s="89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7">
        <f ca="1">IFERROR(__xludf.DUMMYFUNCTION("IMPORTRANGE(""https://docs.google.com/spreadsheets/d/1eHaY18a8A9IcSdp1K8H6x8fbOy06t2VsZHhMHf-1x7Y/edit?usp=sharing"",""แผน!AT58"")"),0)</f>
        <v>0</v>
      </c>
      <c r="M225" s="90"/>
      <c r="N225" s="391">
        <v>0</v>
      </c>
      <c r="O225" s="231"/>
      <c r="P225" s="90"/>
      <c r="Q225" s="89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1"/>
      <c r="M226" s="231"/>
      <c r="N226" s="231"/>
      <c r="O226" s="231"/>
      <c r="P226" s="231"/>
      <c r="Q226" s="230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1"/>
      <c r="M227" s="231"/>
      <c r="N227" s="231"/>
      <c r="O227" s="231"/>
      <c r="P227" s="231"/>
      <c r="Q227" s="230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IFERROR(__xludf.DUMMYFUNCTION("IMPORTRANGE(""https://docs.google.com/spreadsheets/d/1eHaY18a8A9IcSdp1K8H6x8fbOy06t2VsZHhMHf-1x7Y/edit?usp=sharing"",""แผน!AV58"")"),3200)</f>
        <v>3200</v>
      </c>
      <c r="J228" s="296">
        <v>0</v>
      </c>
      <c r="K228" s="748">
        <f ca="1">IF(I228&gt;0,J228*100/I228,0)</f>
        <v>0</v>
      </c>
      <c r="L228" s="231"/>
      <c r="M228" s="231"/>
      <c r="N228" s="231"/>
      <c r="O228" s="231"/>
      <c r="P228" s="231"/>
      <c r="Q228" s="230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IFERROR(__xludf.DUMMYFUNCTION("IMPORTRANGE(""https://docs.google.com/spreadsheets/d/1eHaY18a8A9IcSdp1K8H6x8fbOy06t2VsZHhMHf-1x7Y/edit?usp=sharing"",""แผน!AV58"")"),3200)</f>
        <v>3200</v>
      </c>
      <c r="J229" s="296">
        <v>0</v>
      </c>
      <c r="K229" s="748">
        <f ca="1">IF(I229&gt;0,J229*100/I229,0)</f>
        <v>0</v>
      </c>
      <c r="L229" s="90"/>
      <c r="M229" s="90"/>
      <c r="N229" s="90"/>
      <c r="O229" s="90"/>
      <c r="P229" s="90"/>
      <c r="Q229" s="89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IFERROR(__xludf.DUMMYFUNCTION("IMPORTRANGE(""https://docs.google.com/spreadsheets/d/1eHaY18a8A9IcSdp1K8H6x8fbOy06t2VsZHhMHf-1x7Y/edit?usp=sharing"",""แผน!AU58"")"),0)</f>
        <v>0</v>
      </c>
      <c r="J230" s="296">
        <v>0</v>
      </c>
      <c r="K230" s="748">
        <f ca="1">IF(I230&gt;0,J230*100/I230,0)</f>
        <v>0</v>
      </c>
      <c r="L230" s="90"/>
      <c r="M230" s="90"/>
      <c r="N230" s="90"/>
      <c r="O230" s="90"/>
      <c r="P230" s="90"/>
      <c r="Q230" s="89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0</v>
      </c>
      <c r="J231" s="943">
        <f>J242+J253</f>
        <v>0</v>
      </c>
      <c r="K231" s="942">
        <f ca="1">IF(I231&gt;0,J231*100/I231,0)</f>
        <v>0</v>
      </c>
      <c r="L231" s="956"/>
      <c r="M231" s="956"/>
      <c r="N231" s="956"/>
      <c r="O231" s="956"/>
      <c r="P231" s="956"/>
      <c r="Q231" s="957"/>
      <c r="R231" s="956"/>
      <c r="S231" s="956"/>
      <c r="T231" s="956"/>
      <c r="U231" s="956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287">
        <f ca="1">L243+L254</f>
        <v>0</v>
      </c>
      <c r="M232" s="874"/>
      <c r="N232" s="1287">
        <f>N243+N254</f>
        <v>0</v>
      </c>
      <c r="O232" s="874"/>
      <c r="P232" s="874"/>
      <c r="Q232" s="950"/>
      <c r="R232" s="874"/>
      <c r="S232" s="874"/>
      <c r="T232" s="874"/>
      <c r="U232" s="874"/>
    </row>
    <row r="233" spans="1:21" ht="18.75" hidden="1" x14ac:dyDescent="0.25">
      <c r="A233" s="882"/>
      <c r="B233" s="872"/>
      <c r="C233" s="872"/>
      <c r="D233" s="573" t="s">
        <v>86</v>
      </c>
      <c r="E233" s="870"/>
      <c r="F233" s="870"/>
      <c r="G233" s="869"/>
      <c r="H233" s="275" t="s">
        <v>14</v>
      </c>
      <c r="I233" s="876"/>
      <c r="J233" s="876"/>
      <c r="K233" s="881"/>
      <c r="L233" s="80">
        <f ca="1">L244+L255</f>
        <v>0</v>
      </c>
      <c r="M233" s="874"/>
      <c r="N233" s="80">
        <f>N244+N255</f>
        <v>0</v>
      </c>
      <c r="O233" s="874"/>
      <c r="P233" s="874"/>
      <c r="Q233" s="952">
        <v>0</v>
      </c>
      <c r="R233" s="951">
        <v>0</v>
      </c>
      <c r="S233" s="951">
        <v>0</v>
      </c>
      <c r="T233" s="874"/>
      <c r="U233" s="874"/>
    </row>
    <row r="234" spans="1:21" ht="18.75" hidden="1" x14ac:dyDescent="0.25">
      <c r="A234" s="873"/>
      <c r="B234" s="872"/>
      <c r="C234" s="872"/>
      <c r="D234" s="573" t="s">
        <v>88</v>
      </c>
      <c r="E234" s="870"/>
      <c r="F234" s="870"/>
      <c r="G234" s="869"/>
      <c r="H234" s="275" t="s">
        <v>14</v>
      </c>
      <c r="I234" s="875"/>
      <c r="J234" s="875"/>
      <c r="K234" s="874"/>
      <c r="L234" s="80">
        <f ca="1">L245+L256</f>
        <v>0</v>
      </c>
      <c r="M234" s="874"/>
      <c r="N234" s="80">
        <f>N245+N256</f>
        <v>0</v>
      </c>
      <c r="O234" s="874"/>
      <c r="P234" s="874"/>
      <c r="Q234" s="79">
        <v>0</v>
      </c>
      <c r="R234" s="80">
        <v>0</v>
      </c>
      <c r="S234" s="80">
        <v>0</v>
      </c>
      <c r="T234" s="874"/>
      <c r="U234" s="874"/>
    </row>
    <row r="235" spans="1:21" ht="18.75" hidden="1" x14ac:dyDescent="0.25">
      <c r="A235" s="873"/>
      <c r="B235" s="872"/>
      <c r="C235" s="872"/>
      <c r="D235" s="573" t="s">
        <v>106</v>
      </c>
      <c r="E235" s="870"/>
      <c r="F235" s="870"/>
      <c r="G235" s="869"/>
      <c r="H235" s="275" t="s">
        <v>14</v>
      </c>
      <c r="I235" s="875"/>
      <c r="J235" s="875"/>
      <c r="K235" s="874"/>
      <c r="L235" s="80">
        <f ca="1">L246+L257</f>
        <v>0</v>
      </c>
      <c r="M235" s="874"/>
      <c r="N235" s="80">
        <f>N246+N257</f>
        <v>0</v>
      </c>
      <c r="O235" s="874"/>
      <c r="P235" s="874"/>
      <c r="Q235" s="79">
        <v>0</v>
      </c>
      <c r="R235" s="80">
        <v>0</v>
      </c>
      <c r="S235" s="80">
        <v>0</v>
      </c>
      <c r="T235" s="874"/>
      <c r="U235" s="874"/>
    </row>
    <row r="236" spans="1:21" ht="18.75" hidden="1" x14ac:dyDescent="0.25">
      <c r="A236" s="873"/>
      <c r="B236" s="872"/>
      <c r="C236" s="872"/>
      <c r="D236" s="267" t="s">
        <v>107</v>
      </c>
      <c r="E236" s="870"/>
      <c r="F236" s="870"/>
      <c r="G236" s="869"/>
      <c r="H236" s="275" t="s">
        <v>14</v>
      </c>
      <c r="I236" s="875"/>
      <c r="J236" s="875"/>
      <c r="K236" s="874"/>
      <c r="L236" s="80">
        <f ca="1">L247+L258</f>
        <v>0</v>
      </c>
      <c r="M236" s="874"/>
      <c r="N236" s="80">
        <f>N247+N258</f>
        <v>0</v>
      </c>
      <c r="O236" s="874"/>
      <c r="P236" s="874"/>
      <c r="Q236" s="79">
        <v>0</v>
      </c>
      <c r="R236" s="80">
        <v>0</v>
      </c>
      <c r="S236" s="80">
        <v>0</v>
      </c>
      <c r="T236" s="874"/>
      <c r="U236" s="874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74"/>
      <c r="M237" s="874"/>
      <c r="N237" s="874"/>
      <c r="O237" s="881"/>
      <c r="P237" s="881"/>
      <c r="Q237" s="950"/>
      <c r="R237" s="874"/>
      <c r="S237" s="874"/>
      <c r="T237" s="881"/>
      <c r="U237" s="88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0</v>
      </c>
      <c r="J238" s="574">
        <f>J249+J260</f>
        <v>0</v>
      </c>
      <c r="K238" s="80">
        <f ca="1">IF(I238&gt;0,J238*100/I238,0)</f>
        <v>0</v>
      </c>
      <c r="L238" s="874"/>
      <c r="M238" s="874"/>
      <c r="N238" s="874"/>
      <c r="O238" s="874"/>
      <c r="P238" s="874"/>
      <c r="Q238" s="950"/>
      <c r="R238" s="874"/>
      <c r="S238" s="874"/>
      <c r="T238" s="874"/>
      <c r="U238" s="874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74"/>
      <c r="M239" s="874"/>
      <c r="N239" s="874"/>
      <c r="O239" s="881"/>
      <c r="P239" s="881"/>
      <c r="Q239" s="950"/>
      <c r="R239" s="874"/>
      <c r="S239" s="874"/>
      <c r="T239" s="881"/>
      <c r="U239" s="88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>I251+I262</f>
        <v>0</v>
      </c>
      <c r="J240" s="574">
        <f>J251+J262</f>
        <v>0</v>
      </c>
      <c r="K240" s="80">
        <f>IF(I240&gt;0,J240*100/I240,0)</f>
        <v>0</v>
      </c>
      <c r="L240" s="874"/>
      <c r="M240" s="874"/>
      <c r="N240" s="874"/>
      <c r="O240" s="874"/>
      <c r="P240" s="874"/>
      <c r="Q240" s="950"/>
      <c r="R240" s="874"/>
      <c r="S240" s="874"/>
      <c r="T240" s="874"/>
      <c r="U240" s="874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>I252+I263</f>
        <v>0</v>
      </c>
      <c r="J241" s="574">
        <f>J252+J263</f>
        <v>0</v>
      </c>
      <c r="K241" s="80">
        <f>IF(I241&gt;0,J241*100/I241,0)</f>
        <v>0</v>
      </c>
      <c r="L241" s="874"/>
      <c r="M241" s="874"/>
      <c r="N241" s="874"/>
      <c r="O241" s="874"/>
      <c r="P241" s="874"/>
      <c r="Q241" s="950"/>
      <c r="R241" s="874"/>
      <c r="S241" s="874"/>
      <c r="T241" s="874"/>
      <c r="U241" s="874"/>
    </row>
    <row r="242" spans="1:21" ht="19.5" hidden="1" x14ac:dyDescent="0.3">
      <c r="A242" s="949"/>
      <c r="B242" s="948"/>
      <c r="C242" s="1155" t="s">
        <v>111</v>
      </c>
      <c r="D242" s="946"/>
      <c r="E242" s="946"/>
      <c r="F242" s="946"/>
      <c r="G242" s="945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956"/>
      <c r="M242" s="956"/>
      <c r="N242" s="956"/>
      <c r="O242" s="956"/>
      <c r="P242" s="956"/>
      <c r="Q242" s="957"/>
      <c r="R242" s="956"/>
      <c r="S242" s="956"/>
      <c r="T242" s="956"/>
      <c r="U242" s="956"/>
    </row>
    <row r="243" spans="1:21" ht="19.5" hidden="1" x14ac:dyDescent="0.3">
      <c r="A243" s="882"/>
      <c r="B243" s="872"/>
      <c r="C243" s="940" t="s">
        <v>18</v>
      </c>
      <c r="D243" s="822" t="s">
        <v>19</v>
      </c>
      <c r="E243" s="870"/>
      <c r="F243" s="870"/>
      <c r="G243" s="869"/>
      <c r="H243" s="684" t="s">
        <v>14</v>
      </c>
      <c r="I243" s="876"/>
      <c r="J243" s="876"/>
      <c r="K243" s="881"/>
      <c r="L243" s="1287">
        <f ca="1">L244+L245+L246+L247</f>
        <v>0</v>
      </c>
      <c r="M243" s="874"/>
      <c r="N243" s="1287">
        <f>N244+N245+N246+N247</f>
        <v>0</v>
      </c>
      <c r="O243" s="1287">
        <f ca="1">IF(L243&gt;0,N243*100/L243,0)</f>
        <v>0</v>
      </c>
      <c r="P243" s="1287">
        <f>IF(M243&gt;0,N243*100/M243,0)</f>
        <v>0</v>
      </c>
      <c r="Q243" s="950"/>
      <c r="R243" s="874"/>
      <c r="S243" s="874"/>
      <c r="T243" s="874"/>
      <c r="U243" s="874"/>
    </row>
    <row r="244" spans="1:21" ht="18.75" hidden="1" x14ac:dyDescent="0.25">
      <c r="A244" s="882"/>
      <c r="B244" s="872"/>
      <c r="C244" s="872"/>
      <c r="D244" s="573" t="s">
        <v>86</v>
      </c>
      <c r="E244" s="870"/>
      <c r="F244" s="870"/>
      <c r="G244" s="869"/>
      <c r="H244" s="275" t="s">
        <v>14</v>
      </c>
      <c r="I244" s="876"/>
      <c r="J244" s="876"/>
      <c r="K244" s="881"/>
      <c r="L244" s="80">
        <f ca="1">IFERROR(__xludf.DUMMYFUNCTION("IMPORTRANGE(""https://docs.google.com/spreadsheets/d/1eHaY18a8A9IcSdp1K8H6x8fbOy06t2VsZHhMHf-1x7Y/edit?usp=sharing"",""แผน!AX58"")"),0)</f>
        <v>0</v>
      </c>
      <c r="M244" s="874"/>
      <c r="N244" s="1292">
        <v>0</v>
      </c>
      <c r="O244" s="874"/>
      <c r="P244" s="874"/>
      <c r="Q244" s="950"/>
      <c r="R244" s="874"/>
      <c r="S244" s="874"/>
      <c r="T244" s="874"/>
      <c r="U244" s="874"/>
    </row>
    <row r="245" spans="1:21" ht="18.75" hidden="1" x14ac:dyDescent="0.25">
      <c r="A245" s="873"/>
      <c r="B245" s="872"/>
      <c r="C245" s="872"/>
      <c r="D245" s="573" t="s">
        <v>88</v>
      </c>
      <c r="E245" s="870"/>
      <c r="F245" s="870"/>
      <c r="G245" s="869"/>
      <c r="H245" s="275" t="s">
        <v>14</v>
      </c>
      <c r="I245" s="875"/>
      <c r="J245" s="875"/>
      <c r="K245" s="874"/>
      <c r="L245" s="80">
        <f ca="1">IFERROR(__xludf.DUMMYFUNCTION("IMPORTRANGE(""https://docs.google.com/spreadsheets/d/1eHaY18a8A9IcSdp1K8H6x8fbOy06t2VsZHhMHf-1x7Y/edit?usp=sharing"",""แผน!AY58"")"),0)</f>
        <v>0</v>
      </c>
      <c r="M245" s="874"/>
      <c r="N245" s="1292">
        <v>0</v>
      </c>
      <c r="O245" s="874"/>
      <c r="P245" s="874"/>
      <c r="Q245" s="950"/>
      <c r="R245" s="874"/>
      <c r="S245" s="874"/>
      <c r="T245" s="874"/>
      <c r="U245" s="874"/>
    </row>
    <row r="246" spans="1:21" ht="18.75" hidden="1" x14ac:dyDescent="0.25">
      <c r="A246" s="873"/>
      <c r="B246" s="872"/>
      <c r="C246" s="872"/>
      <c r="D246" s="573" t="s">
        <v>106</v>
      </c>
      <c r="E246" s="870"/>
      <c r="F246" s="870"/>
      <c r="G246" s="869"/>
      <c r="H246" s="275" t="s">
        <v>14</v>
      </c>
      <c r="I246" s="875"/>
      <c r="J246" s="875"/>
      <c r="K246" s="874"/>
      <c r="L246" s="80">
        <f ca="1">IFERROR(__xludf.DUMMYFUNCTION("IMPORTRANGE(""https://docs.google.com/spreadsheets/d/1eHaY18a8A9IcSdp1K8H6x8fbOy06t2VsZHhMHf-1x7Y/edit?usp=sharing"",""แผน!AZ58"")"),0)</f>
        <v>0</v>
      </c>
      <c r="M246" s="874"/>
      <c r="N246" s="1292">
        <v>0</v>
      </c>
      <c r="O246" s="874"/>
      <c r="P246" s="874"/>
      <c r="Q246" s="950"/>
      <c r="R246" s="874"/>
      <c r="S246" s="874"/>
      <c r="T246" s="874"/>
      <c r="U246" s="874"/>
    </row>
    <row r="247" spans="1:21" ht="18.75" hidden="1" x14ac:dyDescent="0.25">
      <c r="A247" s="873"/>
      <c r="B247" s="872"/>
      <c r="C247" s="872"/>
      <c r="D247" s="267" t="s">
        <v>107</v>
      </c>
      <c r="E247" s="870"/>
      <c r="F247" s="870"/>
      <c r="G247" s="869"/>
      <c r="H247" s="275" t="s">
        <v>14</v>
      </c>
      <c r="I247" s="875"/>
      <c r="J247" s="875"/>
      <c r="K247" s="874"/>
      <c r="L247" s="80">
        <f ca="1">IFERROR(__xludf.DUMMYFUNCTION("IMPORTRANGE(""https://docs.google.com/spreadsheets/d/1eHaY18a8A9IcSdp1K8H6x8fbOy06t2VsZHhMHf-1x7Y/edit?usp=sharing"",""แผน!BA58"")"),0)</f>
        <v>0</v>
      </c>
      <c r="M247" s="874"/>
      <c r="N247" s="1292">
        <v>0</v>
      </c>
      <c r="O247" s="874"/>
      <c r="P247" s="874"/>
      <c r="Q247" s="950"/>
      <c r="R247" s="874"/>
      <c r="S247" s="874"/>
      <c r="T247" s="874"/>
      <c r="U247" s="874"/>
    </row>
    <row r="248" spans="1:21" ht="19.5" hidden="1" x14ac:dyDescent="0.3">
      <c r="A248" s="880"/>
      <c r="B248" s="871"/>
      <c r="C248" s="940" t="s">
        <v>18</v>
      </c>
      <c r="D248" s="846" t="s">
        <v>38</v>
      </c>
      <c r="E248" s="879"/>
      <c r="F248" s="879"/>
      <c r="G248" s="878"/>
      <c r="H248" s="1157"/>
      <c r="I248" s="876"/>
      <c r="J248" s="875"/>
      <c r="K248" s="874"/>
      <c r="L248" s="874"/>
      <c r="M248" s="874"/>
      <c r="N248" s="874"/>
      <c r="O248" s="881"/>
      <c r="P248" s="881"/>
      <c r="Q248" s="950"/>
      <c r="R248" s="874"/>
      <c r="S248" s="874"/>
      <c r="T248" s="881"/>
      <c r="U248" s="881"/>
    </row>
    <row r="249" spans="1:21" ht="18.75" hidden="1" x14ac:dyDescent="0.25">
      <c r="A249" s="880"/>
      <c r="B249" s="871"/>
      <c r="C249" s="871"/>
      <c r="D249" s="310" t="s">
        <v>108</v>
      </c>
      <c r="E249" s="937"/>
      <c r="F249" s="937"/>
      <c r="G249" s="877"/>
      <c r="H249" s="687" t="s">
        <v>35</v>
      </c>
      <c r="I249" s="574">
        <f ca="1">IFERROR(__xludf.DUMMYFUNCTION("IMPORTRANGE(""https://docs.google.com/spreadsheets/d/1eHaY18a8A9IcSdp1K8H6x8fbOy06t2VsZHhMHf-1x7Y/edit?usp=sharing"",""แผน!BG58"")"),0)</f>
        <v>0</v>
      </c>
      <c r="J249" s="867">
        <v>0</v>
      </c>
      <c r="K249" s="80">
        <f ca="1">IF(I249&gt;0,J249*100/I249,0)</f>
        <v>0</v>
      </c>
      <c r="L249" s="874"/>
      <c r="M249" s="874"/>
      <c r="N249" s="874"/>
      <c r="O249" s="874"/>
      <c r="P249" s="874"/>
      <c r="Q249" s="950"/>
      <c r="R249" s="874"/>
      <c r="S249" s="874"/>
      <c r="T249" s="874"/>
      <c r="U249" s="874"/>
    </row>
    <row r="250" spans="1:21" ht="18.75" hidden="1" x14ac:dyDescent="0.25">
      <c r="A250" s="880"/>
      <c r="B250" s="871"/>
      <c r="C250" s="871"/>
      <c r="D250" s="939" t="s">
        <v>43</v>
      </c>
      <c r="E250" s="937"/>
      <c r="F250" s="937"/>
      <c r="G250" s="877"/>
      <c r="H250" s="1157"/>
      <c r="I250" s="875"/>
      <c r="J250" s="875"/>
      <c r="K250" s="874"/>
      <c r="L250" s="874"/>
      <c r="M250" s="874"/>
      <c r="N250" s="874"/>
      <c r="O250" s="881"/>
      <c r="P250" s="881"/>
      <c r="Q250" s="950"/>
      <c r="R250" s="874"/>
      <c r="S250" s="874"/>
      <c r="T250" s="881"/>
      <c r="U250" s="881"/>
    </row>
    <row r="251" spans="1:21" ht="18.75" hidden="1" x14ac:dyDescent="0.25">
      <c r="A251" s="880"/>
      <c r="B251" s="871"/>
      <c r="C251" s="871"/>
      <c r="D251" s="871"/>
      <c r="E251" s="938" t="s">
        <v>109</v>
      </c>
      <c r="F251" s="937"/>
      <c r="G251" s="877"/>
      <c r="H251" s="687" t="s">
        <v>35</v>
      </c>
      <c r="I251" s="574">
        <v>0</v>
      </c>
      <c r="J251" s="867">
        <v>0</v>
      </c>
      <c r="K251" s="80">
        <f>IF(I251&gt;0,J251*100/I251,0)</f>
        <v>0</v>
      </c>
      <c r="L251" s="874"/>
      <c r="M251" s="874"/>
      <c r="N251" s="874"/>
      <c r="O251" s="874"/>
      <c r="P251" s="874"/>
      <c r="Q251" s="950"/>
      <c r="R251" s="874"/>
      <c r="S251" s="874"/>
      <c r="T251" s="874"/>
      <c r="U251" s="874"/>
    </row>
    <row r="252" spans="1:21" ht="18.75" hidden="1" x14ac:dyDescent="0.25">
      <c r="A252" s="880"/>
      <c r="B252" s="871"/>
      <c r="C252" s="871"/>
      <c r="D252" s="871"/>
      <c r="E252" s="938" t="s">
        <v>110</v>
      </c>
      <c r="F252" s="937"/>
      <c r="G252" s="877"/>
      <c r="H252" s="687" t="s">
        <v>61</v>
      </c>
      <c r="I252" s="574">
        <v>0</v>
      </c>
      <c r="J252" s="867">
        <v>0</v>
      </c>
      <c r="K252" s="80">
        <f>IF(I252&gt;0,J252*100/I252,0)</f>
        <v>0</v>
      </c>
      <c r="L252" s="874"/>
      <c r="M252" s="874"/>
      <c r="N252" s="874"/>
      <c r="O252" s="874"/>
      <c r="P252" s="874"/>
      <c r="Q252" s="950"/>
      <c r="R252" s="874"/>
      <c r="S252" s="874"/>
      <c r="T252" s="874"/>
      <c r="U252" s="874"/>
    </row>
    <row r="253" spans="1:21" ht="19.5" hidden="1" x14ac:dyDescent="0.3">
      <c r="A253" s="949"/>
      <c r="B253" s="948"/>
      <c r="C253" s="1155" t="s">
        <v>112</v>
      </c>
      <c r="D253" s="946"/>
      <c r="E253" s="946"/>
      <c r="F253" s="946"/>
      <c r="G253" s="945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956"/>
      <c r="M253" s="956"/>
      <c r="N253" s="956"/>
      <c r="O253" s="956"/>
      <c r="P253" s="956"/>
      <c r="Q253" s="957"/>
      <c r="R253" s="956"/>
      <c r="S253" s="956"/>
      <c r="T253" s="956"/>
      <c r="U253" s="956"/>
    </row>
    <row r="254" spans="1:21" ht="19.5" hidden="1" x14ac:dyDescent="0.3">
      <c r="A254" s="882"/>
      <c r="B254" s="872"/>
      <c r="C254" s="940" t="s">
        <v>18</v>
      </c>
      <c r="D254" s="941" t="s">
        <v>19</v>
      </c>
      <c r="E254" s="870"/>
      <c r="F254" s="870"/>
      <c r="G254" s="869"/>
      <c r="H254" s="684" t="s">
        <v>14</v>
      </c>
      <c r="I254" s="876"/>
      <c r="J254" s="876"/>
      <c r="K254" s="881"/>
      <c r="L254" s="1287">
        <f ca="1">L255+L256+L257+L258</f>
        <v>0</v>
      </c>
      <c r="M254" s="874"/>
      <c r="N254" s="1287">
        <f>N255+N256+N257+N258</f>
        <v>0</v>
      </c>
      <c r="O254" s="1287">
        <f ca="1">IF(L254&gt;0,N254*100/L254,0)</f>
        <v>0</v>
      </c>
      <c r="P254" s="1287">
        <f>IF(M254&gt;0,N254*100/M254,0)</f>
        <v>0</v>
      </c>
      <c r="Q254" s="950"/>
      <c r="R254" s="874"/>
      <c r="S254" s="874"/>
      <c r="T254" s="874"/>
      <c r="U254" s="874"/>
    </row>
    <row r="255" spans="1:21" ht="18.75" hidden="1" x14ac:dyDescent="0.25">
      <c r="A255" s="882"/>
      <c r="B255" s="872"/>
      <c r="C255" s="872"/>
      <c r="D255" s="573" t="s">
        <v>86</v>
      </c>
      <c r="E255" s="870"/>
      <c r="F255" s="870"/>
      <c r="G255" s="869"/>
      <c r="H255" s="275" t="s">
        <v>14</v>
      </c>
      <c r="I255" s="876"/>
      <c r="J255" s="876"/>
      <c r="K255" s="881"/>
      <c r="L255" s="80">
        <f ca="1">IFERROR(__xludf.DUMMYFUNCTION("IMPORTRANGE(""https://docs.google.com/spreadsheets/d/1eHaY18a8A9IcSdp1K8H6x8fbOy06t2VsZHhMHf-1x7Y/edit?usp=sharing"",""แผน!BB58"")"),0)</f>
        <v>0</v>
      </c>
      <c r="M255" s="874"/>
      <c r="N255" s="1292">
        <v>0</v>
      </c>
      <c r="O255" s="874"/>
      <c r="P255" s="874"/>
      <c r="Q255" s="950"/>
      <c r="R255" s="874"/>
      <c r="S255" s="874"/>
      <c r="T255" s="874"/>
      <c r="U255" s="874"/>
    </row>
    <row r="256" spans="1:21" ht="18.75" hidden="1" x14ac:dyDescent="0.25">
      <c r="A256" s="873"/>
      <c r="B256" s="872"/>
      <c r="C256" s="872"/>
      <c r="D256" s="573" t="s">
        <v>88</v>
      </c>
      <c r="E256" s="870"/>
      <c r="F256" s="870"/>
      <c r="G256" s="869"/>
      <c r="H256" s="275" t="s">
        <v>14</v>
      </c>
      <c r="I256" s="875"/>
      <c r="J256" s="875"/>
      <c r="K256" s="874"/>
      <c r="L256" s="80">
        <f ca="1">IFERROR(__xludf.DUMMYFUNCTION("IMPORTRANGE(""https://docs.google.com/spreadsheets/d/1eHaY18a8A9IcSdp1K8H6x8fbOy06t2VsZHhMHf-1x7Y/edit?usp=sharing"",""แผน!BC58"")"),0)</f>
        <v>0</v>
      </c>
      <c r="M256" s="874"/>
      <c r="N256" s="1292">
        <v>0</v>
      </c>
      <c r="O256" s="874"/>
      <c r="P256" s="874"/>
      <c r="Q256" s="950"/>
      <c r="R256" s="874"/>
      <c r="S256" s="874"/>
      <c r="T256" s="874"/>
      <c r="U256" s="874"/>
    </row>
    <row r="257" spans="1:21" ht="18.75" hidden="1" x14ac:dyDescent="0.25">
      <c r="A257" s="873"/>
      <c r="B257" s="872"/>
      <c r="C257" s="872"/>
      <c r="D257" s="573" t="s">
        <v>106</v>
      </c>
      <c r="E257" s="870"/>
      <c r="F257" s="870"/>
      <c r="G257" s="869"/>
      <c r="H257" s="275" t="s">
        <v>14</v>
      </c>
      <c r="I257" s="875"/>
      <c r="J257" s="875"/>
      <c r="K257" s="874"/>
      <c r="L257" s="80">
        <f ca="1">IFERROR(__xludf.DUMMYFUNCTION("IMPORTRANGE(""https://docs.google.com/spreadsheets/d/1eHaY18a8A9IcSdp1K8H6x8fbOy06t2VsZHhMHf-1x7Y/edit?usp=sharing"",""แผน!BD58"")"),0)</f>
        <v>0</v>
      </c>
      <c r="M257" s="874"/>
      <c r="N257" s="1292">
        <v>0</v>
      </c>
      <c r="O257" s="874"/>
      <c r="P257" s="874"/>
      <c r="Q257" s="950"/>
      <c r="R257" s="874"/>
      <c r="S257" s="874"/>
      <c r="T257" s="874"/>
      <c r="U257" s="874"/>
    </row>
    <row r="258" spans="1:21" ht="18.75" hidden="1" x14ac:dyDescent="0.25">
      <c r="A258" s="873"/>
      <c r="B258" s="872"/>
      <c r="C258" s="872"/>
      <c r="D258" s="267" t="s">
        <v>107</v>
      </c>
      <c r="E258" s="870"/>
      <c r="F258" s="870"/>
      <c r="G258" s="869"/>
      <c r="H258" s="275" t="s">
        <v>14</v>
      </c>
      <c r="I258" s="875"/>
      <c r="J258" s="875"/>
      <c r="K258" s="874"/>
      <c r="L258" s="80">
        <f ca="1">IFERROR(__xludf.DUMMYFUNCTION("IMPORTRANGE(""https://docs.google.com/spreadsheets/d/1eHaY18a8A9IcSdp1K8H6x8fbOy06t2VsZHhMHf-1x7Y/edit?usp=sharing"",""แผน!BE58"")"),0)</f>
        <v>0</v>
      </c>
      <c r="M258" s="874"/>
      <c r="N258" s="1292">
        <v>0</v>
      </c>
      <c r="O258" s="874"/>
      <c r="P258" s="874"/>
      <c r="Q258" s="950"/>
      <c r="R258" s="874"/>
      <c r="S258" s="874"/>
      <c r="T258" s="874"/>
      <c r="U258" s="874"/>
    </row>
    <row r="259" spans="1:21" ht="19.5" hidden="1" x14ac:dyDescent="0.3">
      <c r="A259" s="880"/>
      <c r="B259" s="871"/>
      <c r="C259" s="940" t="s">
        <v>18</v>
      </c>
      <c r="D259" s="846" t="s">
        <v>38</v>
      </c>
      <c r="E259" s="879"/>
      <c r="F259" s="879"/>
      <c r="G259" s="878"/>
      <c r="H259" s="877"/>
      <c r="I259" s="876"/>
      <c r="J259" s="875"/>
      <c r="K259" s="874"/>
      <c r="L259" s="874"/>
      <c r="M259" s="874"/>
      <c r="N259" s="874"/>
      <c r="O259" s="881"/>
      <c r="P259" s="881"/>
      <c r="Q259" s="950"/>
      <c r="R259" s="874"/>
      <c r="S259" s="874"/>
      <c r="T259" s="881"/>
      <c r="U259" s="881"/>
    </row>
    <row r="260" spans="1:21" ht="18.75" hidden="1" x14ac:dyDescent="0.25">
      <c r="A260" s="880"/>
      <c r="B260" s="871"/>
      <c r="C260" s="871"/>
      <c r="D260" s="310" t="s">
        <v>108</v>
      </c>
      <c r="E260" s="937"/>
      <c r="F260" s="937"/>
      <c r="G260" s="877"/>
      <c r="H260" s="687" t="s">
        <v>35</v>
      </c>
      <c r="I260" s="574">
        <f ca="1">IFERROR(__xludf.DUMMYFUNCTION("IMPORTRANGE(""https://docs.google.com/spreadsheets/d/1eHaY18a8A9IcSdp1K8H6x8fbOy06t2VsZHhMHf-1x7Y/edit?usp=sharing"",""แผน!BH58"")"),0)</f>
        <v>0</v>
      </c>
      <c r="J260" s="867">
        <v>0</v>
      </c>
      <c r="K260" s="80">
        <f ca="1">IF(I260&gt;0,J260*100/I260,0)</f>
        <v>0</v>
      </c>
      <c r="L260" s="874"/>
      <c r="M260" s="874"/>
      <c r="N260" s="874"/>
      <c r="O260" s="874"/>
      <c r="P260" s="874"/>
      <c r="Q260" s="950"/>
      <c r="R260" s="874"/>
      <c r="S260" s="874"/>
      <c r="T260" s="874"/>
      <c r="U260" s="874"/>
    </row>
    <row r="261" spans="1:21" ht="18.75" hidden="1" x14ac:dyDescent="0.25">
      <c r="A261" s="880"/>
      <c r="B261" s="871"/>
      <c r="C261" s="871"/>
      <c r="D261" s="939" t="s">
        <v>43</v>
      </c>
      <c r="E261" s="937"/>
      <c r="F261" s="937"/>
      <c r="G261" s="877"/>
      <c r="H261" s="1157"/>
      <c r="I261" s="875"/>
      <c r="J261" s="875"/>
      <c r="K261" s="874"/>
      <c r="L261" s="874"/>
      <c r="M261" s="874"/>
      <c r="N261" s="874"/>
      <c r="O261" s="881"/>
      <c r="P261" s="881"/>
      <c r="Q261" s="950"/>
      <c r="R261" s="874"/>
      <c r="S261" s="874"/>
      <c r="T261" s="881"/>
      <c r="U261" s="881"/>
    </row>
    <row r="262" spans="1:21" ht="18.75" hidden="1" x14ac:dyDescent="0.25">
      <c r="A262" s="880"/>
      <c r="B262" s="871"/>
      <c r="C262" s="871"/>
      <c r="D262" s="871"/>
      <c r="E262" s="938" t="s">
        <v>109</v>
      </c>
      <c r="F262" s="937"/>
      <c r="G262" s="877"/>
      <c r="H262" s="687" t="s">
        <v>35</v>
      </c>
      <c r="I262" s="875"/>
      <c r="J262" s="867">
        <v>0</v>
      </c>
      <c r="K262" s="80">
        <f>IF(I262&gt;0,J262*100/I262,0)</f>
        <v>0</v>
      </c>
      <c r="L262" s="874"/>
      <c r="M262" s="874"/>
      <c r="N262" s="874"/>
      <c r="O262" s="874"/>
      <c r="P262" s="874"/>
      <c r="Q262" s="950"/>
      <c r="R262" s="874"/>
      <c r="S262" s="874"/>
      <c r="T262" s="874"/>
      <c r="U262" s="874"/>
    </row>
    <row r="263" spans="1:21" ht="18.75" hidden="1" x14ac:dyDescent="0.25">
      <c r="A263" s="880"/>
      <c r="B263" s="871"/>
      <c r="C263" s="871"/>
      <c r="D263" s="871"/>
      <c r="E263" s="938" t="s">
        <v>110</v>
      </c>
      <c r="F263" s="937"/>
      <c r="G263" s="877"/>
      <c r="H263" s="687" t="s">
        <v>61</v>
      </c>
      <c r="I263" s="875"/>
      <c r="J263" s="867">
        <v>0</v>
      </c>
      <c r="K263" s="80">
        <f>IF(I263&gt;0,J263*100/I263,0)</f>
        <v>0</v>
      </c>
      <c r="L263" s="874"/>
      <c r="M263" s="874"/>
      <c r="N263" s="874"/>
      <c r="O263" s="874"/>
      <c r="P263" s="874"/>
      <c r="Q263" s="950"/>
      <c r="R263" s="874"/>
      <c r="S263" s="874"/>
      <c r="T263" s="874"/>
      <c r="U263" s="874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356"/>
      <c r="M264" s="356"/>
      <c r="N264" s="356"/>
      <c r="O264" s="356"/>
      <c r="P264" s="356"/>
      <c r="Q264" s="1274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22</v>
      </c>
      <c r="K265" s="364">
        <f ca="1">IF(I265&gt;0,J265*100/I265,0)</f>
        <v>100</v>
      </c>
      <c r="L265" s="365"/>
      <c r="M265" s="365"/>
      <c r="N265" s="365"/>
      <c r="O265" s="365"/>
      <c r="P265" s="365"/>
      <c r="Q265" s="1273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1291">
        <f ca="1">Q267+Q268</f>
        <v>50660</v>
      </c>
      <c r="R266" s="215">
        <f ca="1">R267+R268</f>
        <v>50660</v>
      </c>
      <c r="S266" s="215">
        <f ca="1">S267+S268</f>
        <v>44280</v>
      </c>
      <c r="T266" s="215">
        <f ca="1">IF(Q266&gt;0,S266*100/Q266,0)</f>
        <v>87.406237662850373</v>
      </c>
      <c r="U266" s="215">
        <f ca="1">IF(R266&gt;0,S266*100/R266,0)</f>
        <v>87.406237662850373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80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79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1290">
        <f ca="1">Q271+Q274</f>
        <v>50660</v>
      </c>
      <c r="R268" s="91">
        <f ca="1">R271+R274</f>
        <v>50660</v>
      </c>
      <c r="S268" s="91">
        <f ca="1">S271+S274</f>
        <v>44280</v>
      </c>
      <c r="T268" s="91">
        <f ca="1">IF(Q268&gt;0,S268*100/Q268,0)</f>
        <v>87.406237662850373</v>
      </c>
      <c r="U268" s="91">
        <f ca="1">IF(R268&gt;0,S268*100/R268,0)</f>
        <v>87.406237662850373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1290">
        <f ca="1">Q270+Q271</f>
        <v>50660</v>
      </c>
      <c r="R269" s="91">
        <f ca="1">R270+R271</f>
        <v>50660</v>
      </c>
      <c r="S269" s="91">
        <f ca="1">S270+S271</f>
        <v>44280</v>
      </c>
      <c r="T269" s="91">
        <f ca="1">IF(Q269&gt;0,S269*100/Q269,0)</f>
        <v>87.406237662850373</v>
      </c>
      <c r="U269" s="91">
        <f ca="1">IF(R269&gt;0,S269*100/R269,0)</f>
        <v>87.406237662850373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80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79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IFERROR(__xludf.DUMMYFUNCTION("IMPORTRANGE(""https://docs.google.com/spreadsheets/d/1-uDff_7J0KD5mKrp0Vvzr7lt3OU09vwQwhkpOPPYv2Y/edit?usp=sharing"",""งบพรบ!DE58"")"),0)</f>
        <v>0</v>
      </c>
      <c r="M271" s="91">
        <f ca="1">IFERROR(__xludf.DUMMYFUNCTION("IMPORTRANGE(""https://docs.google.com/spreadsheets/d/1-uDff_7J0KD5mKrp0Vvzr7lt3OU09vwQwhkpOPPYv2Y/edit?usp=sharing"",""งบพรบ!DJ58"")"),5000)</f>
        <v>5000</v>
      </c>
      <c r="N271" s="91">
        <f ca="1">IFERROR(__xludf.DUMMYFUNCTION("IMPORTRANGE(""https://docs.google.com/spreadsheets/d/1-uDff_7J0KD5mKrp0Vvzr7lt3OU09vwQwhkpOPPYv2Y/edit?usp=sharing"",""งบพรบ!DL58"")"),0)</f>
        <v>0</v>
      </c>
      <c r="O271" s="91">
        <f ca="1">IF(L271&gt;0,N271*100/L271,0)</f>
        <v>0</v>
      </c>
      <c r="P271" s="91">
        <f ca="1">IF(M271&gt;0,N271*100/M271,0)</f>
        <v>0</v>
      </c>
      <c r="Q271" s="1290">
        <f ca="1">IFERROR(__xludf.DUMMYFUNCTION("IMPORTRANGE(""https://docs.google.com/spreadsheets/d/1ItG2mGa2ceCfYo0BwxsXqNm01IGEUdYcSSLTEv9YCik/edit?usp=sharing"",""เบิกจ่ายกองทุน!AJ58"")"),50660)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IFERROR(__xludf.DUMMYFUNCTION("IMPORTRANGE(""https://docs.google.com/spreadsheets/d/1ItG2mGa2ceCfYo0BwxsXqNm01IGEUdYcSSLTEv9YCik/edit?usp=sharing"",""เบิกจ่ายกองทุน!AK58"")"),50660)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IFERROR(__xludf.DUMMYFUNCTION("IMPORTRANGE(""https://docs.google.com/spreadsheets/d/1ItG2mGa2ceCfYo0BwxsXqNm01IGEUdYcSSLTEv9YCik/edit?usp=sharing"",""เบิกจ่ายกองทุน!AL58"")"),44280)</f>
        <v>44280</v>
      </c>
      <c r="T271" s="91">
        <f ca="1">IF(Q271&gt;0,S271*100/Q271,0)</f>
        <v>87.406237662850373</v>
      </c>
      <c r="U271" s="91">
        <f ca="1">IF(R271&gt;0,S271*100/R271,0)</f>
        <v>87.406237662850373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1290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80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79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IFERROR(__xludf.DUMMYFUNCTION("IMPORTRANGE(""https://docs.google.com/spreadsheets/d/1-uDff_7J0KD5mKrp0Vvzr7lt3OU09vwQwhkpOPPYv2Y/edit?usp=sharing"",""งบพรบ!DH58"")"),0)</f>
        <v>0</v>
      </c>
      <c r="M274" s="91">
        <f ca="1">IFERROR(__xludf.DUMMYFUNCTION("IMPORTRANGE(""https://docs.google.com/spreadsheets/d/1-uDff_7J0KD5mKrp0Vvzr7lt3OU09vwQwhkpOPPYv2Y/edit?usp=sharing"",""งบพรบ!DK58"")"),0)</f>
        <v>0</v>
      </c>
      <c r="N274" s="91">
        <f ca="1">IFERROR(__xludf.DUMMYFUNCTION("IMPORTRANGE(""https://docs.google.com/spreadsheets/d/1-uDff_7J0KD5mKrp0Vvzr7lt3OU09vwQwhkpOPPYv2Y/edit?usp=sharing"",""งบพรบ!DM58"")"),0)</f>
        <v>0</v>
      </c>
      <c r="O274" s="91">
        <f ca="1">IF(L274&gt;0,N274*100/L274,0)</f>
        <v>0</v>
      </c>
      <c r="P274" s="91">
        <f ca="1">IF(M274&gt;0,N274*100/M274,0)</f>
        <v>0</v>
      </c>
      <c r="Q274" s="1290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1269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IFERROR(__xludf.DUMMYFUNCTION("IMPORTRANGE(""https://docs.google.com/spreadsheets/d/1eHaY18a8A9IcSdp1K8H6x8fbOy06t2VsZHhMHf-1x7Y/edit?usp=sharing"",""แผน!EC58"")"),22)</f>
        <v>22</v>
      </c>
      <c r="J276" s="931">
        <v>22</v>
      </c>
      <c r="K276" s="88">
        <f ca="1">IF(I276&gt;0,J276*100/I276,0)</f>
        <v>100</v>
      </c>
      <c r="L276" s="87"/>
      <c r="M276" s="87"/>
      <c r="N276" s="87"/>
      <c r="O276" s="87"/>
      <c r="P276" s="87"/>
      <c r="Q276" s="523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4"/>
      <c r="M277" s="1264"/>
      <c r="N277" s="1264"/>
      <c r="O277" s="1264"/>
      <c r="P277" s="1264"/>
      <c r="Q277" s="1265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3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3"/>
      <c r="M279" s="463"/>
      <c r="N279" s="463"/>
      <c r="O279" s="463"/>
      <c r="P279" s="463"/>
      <c r="Q279" s="462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4"/>
      <c r="M280" s="474"/>
      <c r="N280" s="474"/>
      <c r="O280" s="474"/>
      <c r="P280" s="474"/>
      <c r="Q280" s="473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4"/>
      <c r="M281" s="474"/>
      <c r="N281" s="474"/>
      <c r="O281" s="474"/>
      <c r="P281" s="474"/>
      <c r="Q281" s="473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66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393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80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79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7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6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7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6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80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79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7">
        <f ca="1">IFERROR(__xludf.DUMMYFUNCTION("IMPORTRANGE(""https://docs.google.com/spreadsheets/d/1-uDff_7J0KD5mKrp0Vvzr7lt3OU09vwQwhkpOPPYv2Y/edit?usp=sharing"",""งบพรบ!DO58"")"),0)</f>
        <v>0</v>
      </c>
      <c r="M287" s="77">
        <f ca="1">IFERROR(__xludf.DUMMYFUNCTION("IMPORTRANGE(""https://docs.google.com/spreadsheets/d/1-uDff_7J0KD5mKrp0Vvzr7lt3OU09vwQwhkpOPPYv2Y/edit?usp=sharing"",""งบพรบ!DT58"")"),0)</f>
        <v>0</v>
      </c>
      <c r="N287" s="77">
        <f ca="1">IFERROR(__xludf.DUMMYFUNCTION("IMPORTRANGE(""https://docs.google.com/spreadsheets/d/1-uDff_7J0KD5mKrp0Vvzr7lt3OU09vwQwhkpOPPYv2Y/edit?usp=sharing"",""งบพรบ!DV58"")"),0)</f>
        <v>0</v>
      </c>
      <c r="O287" s="77">
        <f ca="1">IF(L287&gt;0,N287*100/L287,0)</f>
        <v>0</v>
      </c>
      <c r="P287" s="77">
        <f ca="1">IF(M287&gt;0,N287*100/M287,0)</f>
        <v>0</v>
      </c>
      <c r="Q287" s="76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7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6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80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79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7">
        <f ca="1">IFERROR(__xludf.DUMMYFUNCTION("IMPORTRANGE(""https://docs.google.com/spreadsheets/d/1-uDff_7J0KD5mKrp0Vvzr7lt3OU09vwQwhkpOPPYv2Y/edit?usp=sharing"",""งบพรบ!DR58"")"),0)</f>
        <v>0</v>
      </c>
      <c r="M290" s="77">
        <f ca="1">IFERROR(__xludf.DUMMYFUNCTION("IMPORTRANGE(""https://docs.google.com/spreadsheets/d/1-uDff_7J0KD5mKrp0Vvzr7lt3OU09vwQwhkpOPPYv2Y/edit?usp=sharing"",""งบพรบ!DU58"")"),0)</f>
        <v>0</v>
      </c>
      <c r="N290" s="77">
        <f ca="1">IFERROR(__xludf.DUMMYFUNCTION("IMPORTRANGE(""https://docs.google.com/spreadsheets/d/1-uDff_7J0KD5mKrp0Vvzr7lt3OU09vwQwhkpOPPYv2Y/edit?usp=sharing"",""งบพรบ!DW58"")"),0)</f>
        <v>0</v>
      </c>
      <c r="O290" s="77">
        <f ca="1">IF(L290&gt;0,N290*100/L290,0)</f>
        <v>0</v>
      </c>
      <c r="P290" s="77">
        <f ca="1">IF(M290&gt;0,N290*100/M290,0)</f>
        <v>0</v>
      </c>
      <c r="Q290" s="76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1"/>
      <c r="M291" s="231"/>
      <c r="N291" s="231"/>
      <c r="O291" s="231"/>
      <c r="P291" s="231"/>
      <c r="Q291" s="230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IFERROR(__xludf.DUMMYFUNCTION("IMPORTRANGE(""https://docs.google.com/spreadsheets/d/1eHaY18a8A9IcSdp1K8H6x8fbOy06t2VsZHhMHf-1x7Y/edit?usp=sharing"",""แผน!EE58"")"),0)</f>
        <v>0</v>
      </c>
      <c r="J292" s="296">
        <v>0</v>
      </c>
      <c r="K292" s="748">
        <f ca="1">IF(I292&gt;0,J292*100/I292,0)</f>
        <v>0</v>
      </c>
      <c r="L292" s="231"/>
      <c r="M292" s="231"/>
      <c r="N292" s="231"/>
      <c r="O292" s="231"/>
      <c r="P292" s="231"/>
      <c r="Q292" s="230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IFERROR(__xludf.DUMMYFUNCTION("IMPORTRANGE(""https://docs.google.com/spreadsheets/d/1eHaY18a8A9IcSdp1K8H6x8fbOy06t2VsZHhMHf-1x7Y/edit?usp=sharing"",""แผน!ED58"")"),0)</f>
        <v>0</v>
      </c>
      <c r="J293" s="603">
        <f>J296</f>
        <v>0</v>
      </c>
      <c r="K293" s="1125">
        <f ca="1">IF(I293&gt;0,J293*100/I293,0)</f>
        <v>0</v>
      </c>
      <c r="L293" s="231"/>
      <c r="M293" s="231"/>
      <c r="N293" s="231"/>
      <c r="O293" s="231"/>
      <c r="P293" s="231"/>
      <c r="Q293" s="230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1"/>
      <c r="M294" s="231"/>
      <c r="N294" s="231"/>
      <c r="O294" s="231"/>
      <c r="P294" s="231"/>
      <c r="Q294" s="230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IFERROR(__xludf.DUMMYFUNCTION("IMPORTRANGE(""https://docs.google.com/spreadsheets/d/1eHaY18a8A9IcSdp1K8H6x8fbOy06t2VsZHhMHf-1x7Y/edit?usp=sharing"",""แผน!ED58"")"),0)</f>
        <v>0</v>
      </c>
      <c r="J295" s="296">
        <v>0</v>
      </c>
      <c r="K295" s="748">
        <f ca="1">IF(I295&gt;0,J295*100/I295,0)</f>
        <v>0</v>
      </c>
      <c r="L295" s="231"/>
      <c r="M295" s="231"/>
      <c r="N295" s="231"/>
      <c r="O295" s="231"/>
      <c r="P295" s="231"/>
      <c r="Q295" s="230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IFERROR(__xludf.DUMMYFUNCTION("IMPORTRANGE(""https://docs.google.com/spreadsheets/d/1eHaY18a8A9IcSdp1K8H6x8fbOy06t2VsZHhMHf-1x7Y/edit?usp=sharing"",""แผน!ED58"")"),0)</f>
        <v>0</v>
      </c>
      <c r="J296" s="296">
        <v>0</v>
      </c>
      <c r="K296" s="748">
        <f ca="1">IF(I296&gt;0,J296*100/I296,0)</f>
        <v>0</v>
      </c>
      <c r="L296" s="231"/>
      <c r="M296" s="231"/>
      <c r="N296" s="231"/>
      <c r="O296" s="231"/>
      <c r="P296" s="231"/>
      <c r="Q296" s="230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3"/>
      <c r="M297" s="33"/>
      <c r="N297" s="33"/>
      <c r="O297" s="33"/>
      <c r="P297" s="33"/>
      <c r="Q297" s="32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3"/>
      <c r="M298" s="33"/>
      <c r="N298" s="33"/>
      <c r="O298" s="33"/>
      <c r="P298" s="33"/>
      <c r="Q298" s="32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2"/>
      <c r="M299" s="22"/>
      <c r="N299" s="22"/>
      <c r="O299" s="22"/>
      <c r="P299" s="22"/>
      <c r="Q299" s="21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4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4"/>
      <c r="M301" s="504"/>
      <c r="N301" s="504"/>
      <c r="O301" s="504"/>
      <c r="P301" s="504"/>
      <c r="Q301" s="503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4"/>
      <c r="M302" s="514"/>
      <c r="N302" s="514"/>
      <c r="O302" s="514"/>
      <c r="P302" s="514"/>
      <c r="Q302" s="513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66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393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80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79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7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6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7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6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80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79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7">
        <f ca="1">IFERROR(__xludf.DUMMYFUNCTION("IMPORTRANGE(""https://docs.google.com/spreadsheets/d/1-uDff_7J0KD5mKrp0Vvzr7lt3OU09vwQwhkpOPPYv2Y/edit?usp=sharing"",""งบพรบ!DY58"")"),0)</f>
        <v>0</v>
      </c>
      <c r="M308" s="77">
        <f ca="1">IFERROR(__xludf.DUMMYFUNCTION("IMPORTRANGE(""https://docs.google.com/spreadsheets/d/1-uDff_7J0KD5mKrp0Vvzr7lt3OU09vwQwhkpOPPYv2Y/edit?usp=sharing"",""งบพรบ!ED58"")"),0)</f>
        <v>0</v>
      </c>
      <c r="N308" s="77">
        <f ca="1">IFERROR(__xludf.DUMMYFUNCTION("IMPORTRANGE(""https://docs.google.com/spreadsheets/d/1-uDff_7J0KD5mKrp0Vvzr7lt3OU09vwQwhkpOPPYv2Y/edit?usp=sharing"",""งบพรบ!EF58"")"),0)</f>
        <v>0</v>
      </c>
      <c r="O308" s="77">
        <f ca="1">IF(L308&gt;0,N308*100/L308,0)</f>
        <v>0</v>
      </c>
      <c r="P308" s="77">
        <f ca="1">IF(M308&gt;0,N308*100/M308,0)</f>
        <v>0</v>
      </c>
      <c r="Q308" s="76">
        <f ca="1">IFERROR(__xludf.DUMMYFUNCTION("IMPORTRANGE(""https://docs.google.com/spreadsheets/d/1ItG2mGa2ceCfYo0BwxsXqNm01IGEUdYcSSLTEv9YCik/edit?usp=sharing"",""เบิกจ่ายกองทุน!AP58"")"),0)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IFERROR(__xludf.DUMMYFUNCTION("IMPORTRANGE(""https://docs.google.com/spreadsheets/d/1ItG2mGa2ceCfYo0BwxsXqNm01IGEUdYcSSLTEv9YCik/edit?usp=sharing"",""เบิกจ่ายกองทุน!AQ58"")"),0)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IFERROR(__xludf.DUMMYFUNCTION("IMPORTRANGE(""https://docs.google.com/spreadsheets/d/1ItG2mGa2ceCfYo0BwxsXqNm01IGEUdYcSSLTEv9YCik/edit?usp=sharing"",""เบิกจ่ายกองทุน!AR58"")"),0)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7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6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80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79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7">
        <f ca="1">IFERROR(__xludf.DUMMYFUNCTION("IMPORTRANGE(""https://docs.google.com/spreadsheets/d/1-uDff_7J0KD5mKrp0Vvzr7lt3OU09vwQwhkpOPPYv2Y/edit?usp=sharing"",""งบพรบ!EB58"")"),0)</f>
        <v>0</v>
      </c>
      <c r="M311" s="77">
        <f ca="1">IFERROR(__xludf.DUMMYFUNCTION("IMPORTRANGE(""https://docs.google.com/spreadsheets/d/1-uDff_7J0KD5mKrp0Vvzr7lt3OU09vwQwhkpOPPYv2Y/edit?usp=sharing"",""งบพรบ!EE58"")"),0)</f>
        <v>0</v>
      </c>
      <c r="N311" s="77">
        <f ca="1">IFERROR(__xludf.DUMMYFUNCTION("IMPORTRANGE(""https://docs.google.com/spreadsheets/d/1-uDff_7J0KD5mKrp0Vvzr7lt3OU09vwQwhkpOPPYv2Y/edit?usp=sharing"",""งบพรบ!EG58"")"),0)</f>
        <v>0</v>
      </c>
      <c r="O311" s="77">
        <f ca="1">IF(L311&gt;0,N311*100/L311,0)</f>
        <v>0</v>
      </c>
      <c r="P311" s="77">
        <f ca="1">IF(M311&gt;0,N311*100/M311,0)</f>
        <v>0</v>
      </c>
      <c r="Q311" s="76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90"/>
      <c r="M312" s="90"/>
      <c r="N312" s="90"/>
      <c r="O312" s="90"/>
      <c r="P312" s="90"/>
      <c r="Q312" s="89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3"/>
      <c r="M313" s="33"/>
      <c r="N313" s="33"/>
      <c r="O313" s="33"/>
      <c r="P313" s="33"/>
      <c r="Q313" s="32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IFERROR(__xludf.DUMMYFUNCTION("IMPORTRANGE(""https://docs.google.com/spreadsheets/d/1eHaY18a8A9IcSdp1K8H6x8fbOy06t2VsZHhMHf-1x7Y/edit?usp=sharing"",""แผน!EF58"")"),0)</f>
        <v>0</v>
      </c>
      <c r="J314" s="296">
        <v>0</v>
      </c>
      <c r="K314" s="77">
        <f ca="1">IF(I314&gt;0,J314*100/I314,0)</f>
        <v>0</v>
      </c>
      <c r="L314" s="90"/>
      <c r="M314" s="90"/>
      <c r="N314" s="90"/>
      <c r="O314" s="90"/>
      <c r="P314" s="90"/>
      <c r="Q314" s="89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3"/>
      <c r="M315" s="33"/>
      <c r="N315" s="33"/>
      <c r="O315" s="33"/>
      <c r="P315" s="33"/>
      <c r="Q315" s="32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3"/>
      <c r="M316" s="33"/>
      <c r="N316" s="33"/>
      <c r="O316" s="33"/>
      <c r="P316" s="33"/>
      <c r="Q316" s="32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3"/>
      <c r="M317" s="33"/>
      <c r="N317" s="33"/>
      <c r="O317" s="33"/>
      <c r="P317" s="33"/>
      <c r="Q317" s="32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4"/>
      <c r="M318" s="504"/>
      <c r="N318" s="504"/>
      <c r="O318" s="504"/>
      <c r="P318" s="504"/>
      <c r="Q318" s="503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4"/>
      <c r="M319" s="514"/>
      <c r="N319" s="514"/>
      <c r="O319" s="514"/>
      <c r="P319" s="514"/>
      <c r="Q319" s="513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66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393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80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79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7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6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7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6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80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79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7">
        <f ca="1">IFERROR(__xludf.DUMMYFUNCTION("IMPORTRANGE(""https://docs.google.com/spreadsheets/d/1-uDff_7J0KD5mKrp0Vvzr7lt3OU09vwQwhkpOPPYv2Y/edit?usp=sharing"",""งบพรบ!EI58"")"),0)</f>
        <v>0</v>
      </c>
      <c r="M325" s="77">
        <f ca="1">IFERROR(__xludf.DUMMYFUNCTION("IMPORTRANGE(""https://docs.google.com/spreadsheets/d/1-uDff_7J0KD5mKrp0Vvzr7lt3OU09vwQwhkpOPPYv2Y/edit?usp=sharing"",""งบพรบ!EN58"")"),0)</f>
        <v>0</v>
      </c>
      <c r="N325" s="77">
        <f ca="1">IFERROR(__xludf.DUMMYFUNCTION("IMPORTRANGE(""https://docs.google.com/spreadsheets/d/1-uDff_7J0KD5mKrp0Vvzr7lt3OU09vwQwhkpOPPYv2Y/edit?usp=sharing"",""งบพรบ!EP58"")"),0)</f>
        <v>0</v>
      </c>
      <c r="O325" s="77">
        <f ca="1">IF(L325&gt;0,N325*100/L325,0)</f>
        <v>0</v>
      </c>
      <c r="P325" s="77">
        <f ca="1">IF(M325&gt;0,N325*100/M325,0)</f>
        <v>0</v>
      </c>
      <c r="Q325" s="76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7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6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80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79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7">
        <f ca="1">IFERROR(__xludf.DUMMYFUNCTION("IMPORTRANGE(""https://docs.google.com/spreadsheets/d/1-uDff_7J0KD5mKrp0Vvzr7lt3OU09vwQwhkpOPPYv2Y/edit?usp=sharing"",""งบพรบ!EL58"")"),0)</f>
        <v>0</v>
      </c>
      <c r="M328" s="77">
        <f ca="1">IFERROR(__xludf.DUMMYFUNCTION("IMPORTRANGE(""https://docs.google.com/spreadsheets/d/1-uDff_7J0KD5mKrp0Vvzr7lt3OU09vwQwhkpOPPYv2Y/edit?usp=sharing"",""งบพรบ!EO58"")"),0)</f>
        <v>0</v>
      </c>
      <c r="N328" s="77">
        <f ca="1">IFERROR(__xludf.DUMMYFUNCTION("IMPORTRANGE(""https://docs.google.com/spreadsheets/d/1-uDff_7J0KD5mKrp0Vvzr7lt3OU09vwQwhkpOPPYv2Y/edit?usp=sharing"",""งบพรบ!EQ58"")"),0)</f>
        <v>0</v>
      </c>
      <c r="O328" s="77">
        <f ca="1">IF(L328&gt;0,N328*100/L328,0)</f>
        <v>0</v>
      </c>
      <c r="P328" s="77">
        <f ca="1">IF(M328&gt;0,N328*100/M328,0)</f>
        <v>0</v>
      </c>
      <c r="Q328" s="76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90"/>
      <c r="M329" s="90"/>
      <c r="N329" s="90"/>
      <c r="O329" s="231"/>
      <c r="P329" s="231"/>
      <c r="Q329" s="89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IFERROR(__xludf.DUMMYFUNCTION("IMPORTRANGE(""https://docs.google.com/spreadsheets/d/1eHaY18a8A9IcSdp1K8H6x8fbOy06t2VsZHhMHf-1x7Y/edit?usp=sharing"",""แผน!EJ58"")"),0)</f>
        <v>0</v>
      </c>
      <c r="J330" s="296">
        <v>0</v>
      </c>
      <c r="K330" s="77">
        <f ca="1">IF(I330&gt;0,J330*100/I330,0)</f>
        <v>0</v>
      </c>
      <c r="L330" s="90"/>
      <c r="M330" s="90"/>
      <c r="N330" s="90"/>
      <c r="O330" s="231"/>
      <c r="P330" s="231"/>
      <c r="Q330" s="89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4"/>
      <c r="M331" s="504"/>
      <c r="N331" s="504"/>
      <c r="O331" s="504"/>
      <c r="P331" s="504"/>
      <c r="Q331" s="503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400</v>
      </c>
      <c r="J332" s="519">
        <f ca="1">J344+J347+J348+J349+J353+J354</f>
        <v>5708</v>
      </c>
      <c r="K332" s="520">
        <f ca="1">IF(I332&gt;0,J332*100/I332,0)</f>
        <v>1427</v>
      </c>
      <c r="L332" s="514"/>
      <c r="M332" s="514"/>
      <c r="N332" s="514"/>
      <c r="O332" s="514"/>
      <c r="P332" s="514"/>
      <c r="Q332" s="513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66">
        <f ca="1">L334+L335</f>
        <v>216600</v>
      </c>
      <c r="M333" s="266">
        <f ca="1">M334+M335</f>
        <v>221600</v>
      </c>
      <c r="N333" s="266">
        <f ca="1">N334+N335</f>
        <v>181717</v>
      </c>
      <c r="O333" s="266">
        <f ca="1">IF(L333&gt;0,N333*100/L333,0)</f>
        <v>83.895198522622351</v>
      </c>
      <c r="P333" s="266">
        <f ca="1">IF(M333&gt;0,N333*100/M333,0)</f>
        <v>82.002256317689529</v>
      </c>
      <c r="Q333" s="393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80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79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7">
        <f ca="1">L338+L341</f>
        <v>216600</v>
      </c>
      <c r="M335" s="77">
        <f ca="1">M338+M341</f>
        <v>221600</v>
      </c>
      <c r="N335" s="77">
        <f ca="1">N338+N341</f>
        <v>181717</v>
      </c>
      <c r="O335" s="77">
        <f ca="1">IF(L335&gt;0,N335*100/L335,0)</f>
        <v>83.895198522622351</v>
      </c>
      <c r="P335" s="77">
        <f ca="1">IF(M335&gt;0,N335*100/M335,0)</f>
        <v>82.002256317689529</v>
      </c>
      <c r="Q335" s="76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7">
        <f ca="1">L337+L338</f>
        <v>216600</v>
      </c>
      <c r="M336" s="77">
        <f ca="1">M337+M338</f>
        <v>221600</v>
      </c>
      <c r="N336" s="77">
        <f ca="1">N337+N338</f>
        <v>181717</v>
      </c>
      <c r="O336" s="77">
        <f ca="1">IF(L336&gt;0,N336*100/L336,0)</f>
        <v>83.895198522622351</v>
      </c>
      <c r="P336" s="77">
        <f ca="1">IF(M336&gt;0,N336*100/M336,0)</f>
        <v>82.002256317689529</v>
      </c>
      <c r="Q336" s="76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80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79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7">
        <f ca="1">IFERROR(__xludf.DUMMYFUNCTION("IMPORTRANGE(""https://docs.google.com/spreadsheets/d/1-uDff_7J0KD5mKrp0Vvzr7lt3OU09vwQwhkpOPPYv2Y/edit?usp=sharing"",""งบพรบ!ES58"")"),216600)</f>
        <v>216600</v>
      </c>
      <c r="M338" s="77">
        <f ca="1">IFERROR(__xludf.DUMMYFUNCTION("IMPORTRANGE(""https://docs.google.com/spreadsheets/d/1-uDff_7J0KD5mKrp0Vvzr7lt3OU09vwQwhkpOPPYv2Y/edit?usp=sharing"",""งบพรบ!EX58"")"),221600)</f>
        <v>221600</v>
      </c>
      <c r="N338" s="77">
        <f ca="1">IFERROR(__xludf.DUMMYFUNCTION("IMPORTRANGE(""https://docs.google.com/spreadsheets/d/1-uDff_7J0KD5mKrp0Vvzr7lt3OU09vwQwhkpOPPYv2Y/edit?usp=sharing"",""งบพรบ!EZ58"")"),181717)</f>
        <v>181717</v>
      </c>
      <c r="O338" s="77">
        <f ca="1">IF(L338&gt;0,N338*100/L338,0)</f>
        <v>83.895198522622351</v>
      </c>
      <c r="P338" s="77">
        <f ca="1">IF(M338&gt;0,N338*100/M338,0)</f>
        <v>82.002256317689529</v>
      </c>
      <c r="Q338" s="76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7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6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80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79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7">
        <f ca="1">IFERROR(__xludf.DUMMYFUNCTION("IMPORTRANGE(""https://docs.google.com/spreadsheets/d/1-uDff_7J0KD5mKrp0Vvzr7lt3OU09vwQwhkpOPPYv2Y/edit?usp=sharing"",""งบพรบ!EV58"")"),0)</f>
        <v>0</v>
      </c>
      <c r="M341" s="77">
        <f ca="1">IFERROR(__xludf.DUMMYFUNCTION("IMPORTRANGE(""https://docs.google.com/spreadsheets/d/1-uDff_7J0KD5mKrp0Vvzr7lt3OU09vwQwhkpOPPYv2Y/edit?usp=sharing"",""งบพรบ!EY58"")"),0)</f>
        <v>0</v>
      </c>
      <c r="N341" s="77">
        <f ca="1">IFERROR(__xludf.DUMMYFUNCTION("IMPORTRANGE(""https://docs.google.com/spreadsheets/d/1-uDff_7J0KD5mKrp0Vvzr7lt3OU09vwQwhkpOPPYv2Y/edit?usp=sharing"",""งบพรบ!FA58"")"),0)</f>
        <v>0</v>
      </c>
      <c r="O341" s="77">
        <f ca="1">IF(L341&gt;0,N341*100/L341,0)</f>
        <v>0</v>
      </c>
      <c r="P341" s="77">
        <f ca="1">IF(M341&gt;0,N341*100/M341,0)</f>
        <v>0</v>
      </c>
      <c r="Q341" s="76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90"/>
      <c r="M342" s="90"/>
      <c r="N342" s="90"/>
      <c r="O342" s="231"/>
      <c r="P342" s="231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749</v>
      </c>
      <c r="K343" s="531">
        <v>0</v>
      </c>
      <c r="L343" s="1289"/>
      <c r="M343" s="1289"/>
      <c r="N343" s="1289"/>
      <c r="O343" s="1289"/>
      <c r="P343" s="1289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IFERROR(__xludf.DUMMYFUNCTION("IMPORTRANGE(""https://docs.google.com/spreadsheets/d/1eHaY18a8A9IcSdp1K8H6x8fbOy06t2VsZHhMHf-1x7Y/edit?usp=sharing"",""แผน!EK58"")"),400)</f>
        <v>400</v>
      </c>
      <c r="J344" s="295">
        <f ca="1">IFERROR(__xludf.DUMMYFUNCTION("IMPORTRANGE(""https://docs.google.com/spreadsheets/d/1awYsYK3VOup2i3Pq_Yjnu8DRu_mYwSBnCR2QPthd0rU/edit?usp=sharing"",""ศูนย์ยกเว้นโฉนด!D58"")"),743)</f>
        <v>743</v>
      </c>
      <c r="K344" s="77">
        <f ca="1">IF(I344&gt;0,J344*100/I344,0)</f>
        <v>185.75</v>
      </c>
      <c r="L344" s="90"/>
      <c r="M344" s="90"/>
      <c r="N344" s="90"/>
      <c r="O344" s="90"/>
      <c r="P344" s="90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90"/>
      <c r="M345" s="90"/>
      <c r="N345" s="90"/>
      <c r="O345" s="90"/>
      <c r="P345" s="90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IFERROR(__xludf.DUMMYFUNCTION("IMPORTRANGE(""https://docs.google.com/spreadsheets/d/1eHaY18a8A9IcSdp1K8H6x8fbOy06t2VsZHhMHf-1x7Y/edit?usp=sharing"",""แผน!EL58"")"),1)</f>
        <v>1</v>
      </c>
      <c r="J346" s="295">
        <f ca="1">IFERROR(__xludf.DUMMYFUNCTION("IMPORTRANGE(""https://docs.google.com/spreadsheets/d/1awYsYK3VOup2i3Pq_Yjnu8DRu_mYwSBnCR2QPthd0rU/edit?usp=sharing"",""ศูนย์รวม!E58"")"),0)</f>
        <v>0</v>
      </c>
      <c r="K346" s="77">
        <f ca="1">IF(I346&gt;0,J346*100/I346,0)</f>
        <v>0</v>
      </c>
      <c r="L346" s="90"/>
      <c r="M346" s="90"/>
      <c r="N346" s="90"/>
      <c r="O346" s="90"/>
      <c r="P346" s="90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IFERROR(__xludf.DUMMYFUNCTION("IMPORTRANGE(""https://docs.google.com/spreadsheets/d/1awYsYK3VOup2i3Pq_Yjnu8DRu_mYwSBnCR2QPthd0rU/edit?usp=sharing"",""ศูนย์ยกเว้นโฉนด!F58"")"),0)</f>
        <v>0</v>
      </c>
      <c r="K347" s="90"/>
      <c r="L347" s="90"/>
      <c r="M347" s="90"/>
      <c r="N347" s="90"/>
      <c r="O347" s="90"/>
      <c r="P347" s="90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IFERROR(__xludf.DUMMYFUNCTION("IMPORTRANGE(""https://docs.google.com/spreadsheets/d/1awYsYK3VOup2i3Pq_Yjnu8DRu_mYwSBnCR2QPthd0rU/edit?usp=sharing"",""ศูนย์ยกเว้นโฉนด!G58"")"),6)</f>
        <v>6</v>
      </c>
      <c r="K348" s="90"/>
      <c r="L348" s="90"/>
      <c r="M348" s="90"/>
      <c r="N348" s="90"/>
      <c r="O348" s="90"/>
      <c r="P348" s="90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IFERROR(__xludf.DUMMYFUNCTION("IMPORTRANGE(""https://docs.google.com/spreadsheets/d/1awYsYK3VOup2i3Pq_Yjnu8DRu_mYwSBnCR2QPthd0rU/edit?usp=sharing"",""ศูนย์ยกเว้นโฉนด!H58"")"),0)</f>
        <v>0</v>
      </c>
      <c r="K349" s="90"/>
      <c r="L349" s="90"/>
      <c r="M349" s="90"/>
      <c r="N349" s="90"/>
      <c r="O349" s="90"/>
      <c r="P349" s="90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90"/>
      <c r="M350" s="90"/>
      <c r="N350" s="90"/>
      <c r="O350" s="90"/>
      <c r="P350" s="90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4972</v>
      </c>
      <c r="K351" s="543">
        <v>0</v>
      </c>
      <c r="L351" s="382"/>
      <c r="M351" s="382"/>
      <c r="N351" s="382"/>
      <c r="O351" s="382"/>
      <c r="P351" s="382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IFERROR(__xludf.DUMMYFUNCTION("IMPORTRANGE(""https://docs.google.com/spreadsheets/d/1awYsYK3VOup2i3Pq_Yjnu8DRu_mYwSBnCR2QPthd0rU/edit?usp=sharing"",""โฉนดM3!G58"")"),13)</f>
        <v>13</v>
      </c>
      <c r="K352" s="90"/>
      <c r="L352" s="90"/>
      <c r="M352" s="90"/>
      <c r="N352" s="90"/>
      <c r="O352" s="90"/>
      <c r="P352" s="90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IFERROR(__xludf.DUMMYFUNCTION("IMPORTRANGE(""https://docs.google.com/spreadsheets/d/1awYsYK3VOup2i3Pq_Yjnu8DRu_mYwSBnCR2QPthd0rU/edit?usp=sharing"",""โฉนดM3!H58"")"),4793)</f>
        <v>4793</v>
      </c>
      <c r="K353" s="90"/>
      <c r="L353" s="90"/>
      <c r="M353" s="90"/>
      <c r="N353" s="90"/>
      <c r="O353" s="90"/>
      <c r="P353" s="90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IFERROR(__xludf.DUMMYFUNCTION("IMPORTRANGE(""https://docs.google.com/spreadsheets/d/1awYsYK3VOup2i3Pq_Yjnu8DRu_mYwSBnCR2QPthd0rU/edit?usp=sharing"",""โฉนดM3!I58"")"),166)</f>
        <v>166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4"/>
      <c r="M355" s="514"/>
      <c r="N355" s="514"/>
      <c r="O355" s="514"/>
      <c r="P355" s="514"/>
      <c r="Q355" s="513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66">
        <f ca="1">L357+L358</f>
        <v>335210</v>
      </c>
      <c r="M356" s="266">
        <f ca="1">M357+M358</f>
        <v>335210</v>
      </c>
      <c r="N356" s="266">
        <f ca="1">N357+N358</f>
        <v>206460</v>
      </c>
      <c r="O356" s="266">
        <f ca="1">IF(L356&gt;0,N356*100/L356,0)</f>
        <v>61.591241311416724</v>
      </c>
      <c r="P356" s="266">
        <f ca="1">IF(M356&gt;0,N356*100/M356,0)</f>
        <v>61.591241311416724</v>
      </c>
      <c r="Q356" s="393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80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79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7">
        <f ca="1">L361+L364</f>
        <v>335210</v>
      </c>
      <c r="M358" s="77">
        <f ca="1">M361+M364</f>
        <v>335210</v>
      </c>
      <c r="N358" s="77">
        <f ca="1">N361+N364</f>
        <v>206460</v>
      </c>
      <c r="O358" s="77">
        <f ca="1">IF(L358&gt;0,N358*100/L358,0)</f>
        <v>61.591241311416724</v>
      </c>
      <c r="P358" s="77">
        <f ca="1">IF(M358&gt;0,N358*100/M358,0)</f>
        <v>61.591241311416724</v>
      </c>
      <c r="Q358" s="76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7">
        <f ca="1">L360+L361</f>
        <v>335210</v>
      </c>
      <c r="M359" s="77">
        <f ca="1">M360+M361</f>
        <v>335210</v>
      </c>
      <c r="N359" s="77">
        <f ca="1">N360+N361</f>
        <v>206460</v>
      </c>
      <c r="O359" s="77">
        <f ca="1">IF(L359&gt;0,N359*100/L359,0)</f>
        <v>61.591241311416724</v>
      </c>
      <c r="P359" s="77">
        <f ca="1">IF(M359&gt;0,N359*100/M359,0)</f>
        <v>61.591241311416724</v>
      </c>
      <c r="Q359" s="76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80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79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7">
        <f ca="1">IFERROR(__xludf.DUMMYFUNCTION("IMPORTRANGE(""https://docs.google.com/spreadsheets/d/1-uDff_7J0KD5mKrp0Vvzr7lt3OU09vwQwhkpOPPYv2Y/edit?usp=sharing"",""งบพรบ!FC58"")"),335210)</f>
        <v>335210</v>
      </c>
      <c r="M361" s="77">
        <f ca="1">IFERROR(__xludf.DUMMYFUNCTION("IMPORTRANGE(""https://docs.google.com/spreadsheets/d/1-uDff_7J0KD5mKrp0Vvzr7lt3OU09vwQwhkpOPPYv2Y/edit?usp=sharing"",""งบพรบ!FH58"")"),335210)</f>
        <v>335210</v>
      </c>
      <c r="N361" s="77">
        <f ca="1">IFERROR(__xludf.DUMMYFUNCTION("IMPORTRANGE(""https://docs.google.com/spreadsheets/d/1-uDff_7J0KD5mKrp0Vvzr7lt3OU09vwQwhkpOPPYv2Y/edit?usp=sharing"",""งบพรบ!FJ58"")"),206460)</f>
        <v>206460</v>
      </c>
      <c r="O361" s="77">
        <f ca="1">IF(L361&gt;0,N361*100/L361,0)</f>
        <v>61.591241311416724</v>
      </c>
      <c r="P361" s="77">
        <f ca="1">IF(M361&gt;0,N361*100/M361,0)</f>
        <v>61.591241311416724</v>
      </c>
      <c r="Q361" s="76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7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6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80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79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7">
        <f ca="1">IFERROR(__xludf.DUMMYFUNCTION("IMPORTRANGE(""https://docs.google.com/spreadsheets/d/1-uDff_7J0KD5mKrp0Vvzr7lt3OU09vwQwhkpOPPYv2Y/edit?usp=sharing"",""งบพรบ!FF58"")"),0)</f>
        <v>0</v>
      </c>
      <c r="M364" s="77">
        <f ca="1">IFERROR(__xludf.DUMMYFUNCTION("IMPORTRANGE(""https://docs.google.com/spreadsheets/d/1-uDff_7J0KD5mKrp0Vvzr7lt3OU09vwQwhkpOPPYv2Y/edit?usp=sharing"",""งบพรบ!FI58"")"),0)</f>
        <v>0</v>
      </c>
      <c r="N364" s="77">
        <f ca="1">IFERROR(__xludf.DUMMYFUNCTION("IMPORTRANGE(""https://docs.google.com/spreadsheets/d/1-uDff_7J0KD5mKrp0Vvzr7lt3OU09vwQwhkpOPPYv2Y/edit?usp=sharing"",""งบพรบ!FK58"")"),0)</f>
        <v>0</v>
      </c>
      <c r="O364" s="77">
        <f ca="1">IF(L364&gt;0,N364*100/L364,0)</f>
        <v>0</v>
      </c>
      <c r="P364" s="77">
        <f ca="1">IF(M364&gt;0,N364*100/M364,0)</f>
        <v>0</v>
      </c>
      <c r="Q364" s="76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191</v>
      </c>
      <c r="J365" s="542">
        <f ca="1">J371</f>
        <v>152</v>
      </c>
      <c r="K365" s="543">
        <f ca="1">IF(I365&gt;0,J365*100/I365,0)</f>
        <v>79.581151832460733</v>
      </c>
      <c r="L365" s="382"/>
      <c r="M365" s="382"/>
      <c r="N365" s="382"/>
      <c r="O365" s="382"/>
      <c r="P365" s="382"/>
      <c r="Q365" s="381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1"/>
      <c r="M366" s="231"/>
      <c r="N366" s="231"/>
      <c r="O366" s="231"/>
      <c r="P366" s="231"/>
      <c r="Q366" s="230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IFERROR(__xludf.DUMMYFUNCTION("IMPORTRANGE(""https://docs.google.com/spreadsheets/d/1tdoBKaGub7dwA3U6UFTqxio9LNnvDCQjHKmttSEBsFQ/edit?usp=sharing"",""จัดที่ดิน!AB58"")"),28)</f>
        <v>28</v>
      </c>
      <c r="K367" s="77">
        <f>IF(I367&gt;0,J367*100/I367,0)</f>
        <v>0</v>
      </c>
      <c r="L367" s="231"/>
      <c r="M367" s="231"/>
      <c r="N367" s="231"/>
      <c r="O367" s="231"/>
      <c r="P367" s="231"/>
      <c r="Q367" s="230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IFERROR(__xludf.DUMMYFUNCTION("IMPORTRANGE(""https://docs.google.com/spreadsheets/d/1eHaY18a8A9IcSdp1K8H6x8fbOy06t2VsZHhMHf-1x7Y/edit?usp=sharing"",""แผน!EW58"")"),805)</f>
        <v>805</v>
      </c>
      <c r="J368" s="1094">
        <f ca="1">IFERROR(__xludf.DUMMYFUNCTION("IMPORTRANGE(""https://docs.google.com/spreadsheets/d/1tdoBKaGub7dwA3U6UFTqxio9LNnvDCQjHKmttSEBsFQ/edit?usp=sharing"",""จัดที่ดิน!AC58"")"),713.39)</f>
        <v>713.39</v>
      </c>
      <c r="K368" s="77">
        <f ca="1">IF(I368&gt;0,J368*100/I368,0)</f>
        <v>88.619875776397521</v>
      </c>
      <c r="L368" s="231"/>
      <c r="M368" s="231"/>
      <c r="N368" s="231"/>
      <c r="O368" s="231"/>
      <c r="P368" s="231"/>
      <c r="Q368" s="230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IFERROR(__xludf.DUMMYFUNCTION("IMPORTRANGE(""https://docs.google.com/spreadsheets/d/1eHaY18a8A9IcSdp1K8H6x8fbOy06t2VsZHhMHf-1x7Y/edit?usp=sharing"",""แผน!EX58"")"),191)</f>
        <v>191</v>
      </c>
      <c r="J369" s="295">
        <f ca="1">IFERROR(__xludf.DUMMYFUNCTION("IMPORTRANGE(""https://docs.google.com/spreadsheets/d/1tdoBKaGub7dwA3U6UFTqxio9LNnvDCQjHKmttSEBsFQ/edit?usp=sharing"",""จัดที่ดิน!AD58"")"),156)</f>
        <v>156</v>
      </c>
      <c r="K369" s="77">
        <f ca="1">IF(I369&gt;0,J369*100/I369,0)</f>
        <v>81.675392670157066</v>
      </c>
      <c r="L369" s="231"/>
      <c r="M369" s="231"/>
      <c r="N369" s="231"/>
      <c r="O369" s="231"/>
      <c r="P369" s="231"/>
      <c r="Q369" s="230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IFERROR(__xludf.DUMMYFUNCTION("IMPORTRANGE(""https://docs.google.com/spreadsheets/d/1tdoBKaGub7dwA3U6UFTqxio9LNnvDCQjHKmttSEBsFQ/edit?usp=sharing"",""จัดที่ดิน!AE58"")"),2929.42)</f>
        <v>2929.42</v>
      </c>
      <c r="K370" s="77">
        <f>IF(I370&gt;0,J370*100/I370,0)</f>
        <v>0</v>
      </c>
      <c r="L370" s="231"/>
      <c r="M370" s="231"/>
      <c r="N370" s="231"/>
      <c r="O370" s="231"/>
      <c r="P370" s="231"/>
      <c r="Q370" s="230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IFERROR(__xludf.DUMMYFUNCTION("IMPORTRANGE(""https://docs.google.com/spreadsheets/d/1eHaY18a8A9IcSdp1K8H6x8fbOy06t2VsZHhMHf-1x7Y/edit?usp=sharing"",""แผน!EY58"")"),191)</f>
        <v>191</v>
      </c>
      <c r="J371" s="295">
        <f ca="1">IFERROR(__xludf.DUMMYFUNCTION("IMPORTRANGE(""https://docs.google.com/spreadsheets/d/1tdoBKaGub7dwA3U6UFTqxio9LNnvDCQjHKmttSEBsFQ/edit?usp=sharing"",""จัดที่ดิน!AF58"")"),152)</f>
        <v>152</v>
      </c>
      <c r="K371" s="77">
        <f ca="1">IF(I371&gt;0,J371*100/I371,0)</f>
        <v>79.581151832460733</v>
      </c>
      <c r="L371" s="231"/>
      <c r="M371" s="231"/>
      <c r="N371" s="231"/>
      <c r="O371" s="231"/>
      <c r="P371" s="231"/>
      <c r="Q371" s="230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IFERROR(__xludf.DUMMYFUNCTION("IMPORTRANGE(""https://docs.google.com/spreadsheets/d/1tdoBKaGub7dwA3U6UFTqxio9LNnvDCQjHKmttSEBsFQ/edit?usp=sharing"",""จัดที่ดิน!AG58"")"),2791.07)</f>
        <v>2791.07</v>
      </c>
      <c r="K372" s="77">
        <f>IF(I372&gt;0,J372*100/I372,0)</f>
        <v>0</v>
      </c>
      <c r="L372" s="231"/>
      <c r="M372" s="231"/>
      <c r="N372" s="231"/>
      <c r="O372" s="231"/>
      <c r="P372" s="231"/>
      <c r="Q372" s="230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1"/>
      <c r="M373" s="101"/>
      <c r="N373" s="101"/>
      <c r="O373" s="101"/>
      <c r="P373" s="101"/>
      <c r="Q373" s="100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393">
        <f ca="1">Q376+Q377</f>
        <v>62500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79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6">
        <f ca="1">Q380+Q383</f>
        <v>62500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6">
        <f ca="1">Q379+Q380</f>
        <v>62500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79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6">
        <f ca="1">IFERROR(__xludf.DUMMYFUNCTION("IMPORTRANGE(""https://docs.google.com/spreadsheets/d/1ItG2mGa2ceCfYo0BwxsXqNm01IGEUdYcSSLTEv9YCik/edit?usp=sharing"",""เบิกจ่ายกองทุน!AY58"")"),62500)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IFERROR(__xludf.DUMMYFUNCTION("IMPORTRANGE(""https://docs.google.com/spreadsheets/d/1ItG2mGa2ceCfYo0BwxsXqNm01IGEUdYcSSLTEv9YCik/edit?usp=sharing"",""เบิกจ่ายกองทุน!AZ58"")"),0)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IFERROR(__xludf.DUMMYFUNCTION("IMPORTRANGE(""https://docs.google.com/spreadsheets/d/1ItG2mGa2ceCfYo0BwxsXqNm01IGEUdYcSSLTEv9YCik/edit?usp=sharing"",""เบิกจ่ายกองทุน!BA58"")"),0)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6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79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6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IFERROR(__xludf.DUMMYFUNCTION("IMPORTRANGE(""https://docs.google.com/spreadsheets/d/1w5rwWK1o49a35cNtocGL0gxDwhFSTZUQu90BiH9_zqM/edit?usp=sharing"",""RTK!H58"")"),0)</f>
        <v>0</v>
      </c>
      <c r="K385" s="77">
        <f>IF(I385&gt;0,J385*100/I385,0)</f>
        <v>0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IFERROR(__xludf.DUMMYFUNCTION("IMPORTRANGE(""https://docs.google.com/spreadsheets/d/1w5rwWK1o49a35cNtocGL0gxDwhFSTZUQu90BiH9_zqM/edit?usp=sharing"",""RTK!G58"")"),1000)</f>
        <v>1000</v>
      </c>
      <c r="J386" s="295">
        <f ca="1">IFERROR(__xludf.DUMMYFUNCTION("IMPORTRANGE(""https://docs.google.com/spreadsheets/d/1w5rwWK1o49a35cNtocGL0gxDwhFSTZUQu90BiH9_zqM/edit?usp=sharing"",""RTK!I58"")"),0)</f>
        <v>0</v>
      </c>
      <c r="K386" s="77">
        <f ca="1">IF(I386&gt;0,J386*100/I386,0)</f>
        <v>0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IFERROR(__xludf.DUMMYFUNCTION("IMPORTRANGE(""https://docs.google.com/spreadsheets/d/1w5rwWK1o49a35cNtocGL0gxDwhFSTZUQu90BiH9_zqM/edit?usp=sharing"",""RTK!L58"")"),0)</f>
        <v>0</v>
      </c>
      <c r="K387" s="91">
        <f>IF(I387&gt;0,J387*100/I387,0)</f>
        <v>0</v>
      </c>
      <c r="L387" s="75"/>
      <c r="M387" s="75"/>
      <c r="N387" s="75"/>
      <c r="O387" s="75"/>
      <c r="P387" s="75"/>
      <c r="Q387" s="523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IFERROR(__xludf.DUMMYFUNCTION("IMPORTRANGE(""https://docs.google.com/spreadsheets/d/1w5rwWK1o49a35cNtocGL0gxDwhFSTZUQu90BiH9_zqM/edit?usp=sharing"",""RTK!K58"")"),0)</f>
        <v>0</v>
      </c>
      <c r="J388" s="241">
        <f ca="1">IFERROR(__xludf.DUMMYFUNCTION("IMPORTRANGE(""https://docs.google.com/spreadsheets/d/1w5rwWK1o49a35cNtocGL0gxDwhFSTZUQu90BiH9_zqM/edit?usp=sharing"",""RTK!M58"")"),0)</f>
        <v>0</v>
      </c>
      <c r="K388" s="91">
        <f ca="1">IF(I388&gt;0,J388*100/I388,0)</f>
        <v>0</v>
      </c>
      <c r="L388" s="75"/>
      <c r="M388" s="75"/>
      <c r="N388" s="75"/>
      <c r="O388" s="75"/>
      <c r="P388" s="75"/>
      <c r="Q388" s="523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393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79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6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6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79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6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6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79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6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266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393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80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79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6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6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79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6">
        <f ca="1">IFERROR(__xludf.DUMMYFUNCTION("IMPORTRANGE(""https://docs.google.com/spreadsheets/d/1ItG2mGa2ceCfYo0BwxsXqNm01IGEUdYcSSLTEv9YCik/edit?usp=sharing"",""เบิกจ่ายกองทุน!BH58"")"),0)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IFERROR(__xludf.DUMMYFUNCTION("IMPORTRANGE(""https://docs.google.com/spreadsheets/d/1ItG2mGa2ceCfYo0BwxsXqNm01IGEUdYcSSLTEv9YCik/edit?usp=sharing"",""เบิกจ่ายกองทุน!BI58"")"),0)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IFERROR(__xludf.DUMMYFUNCTION("IMPORTRANGE(""https://docs.google.com/spreadsheets/d/1ItG2mGa2ceCfYo0BwxsXqNm01IGEUdYcSSLTEv9YCik/edit?usp=sharing"",""เบิกจ่ายกองทุน!BJ58"")"),0)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6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79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6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90"/>
      <c r="M423" s="90"/>
      <c r="N423" s="90"/>
      <c r="O423" s="90"/>
      <c r="P423" s="90"/>
      <c r="Q423" s="89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IFERROR(__xludf.DUMMYFUNCTION("IMPORTRANGE(""https://docs.google.com/spreadsheets/d/1eHaY18a8A9IcSdp1K8H6x8fbOy06t2VsZHhMHf-1x7Y/edit?usp=sharing"",""แผน!HJ58"")"),0)</f>
        <v>0</v>
      </c>
      <c r="J424" s="603">
        <f>J426+J428+J430</f>
        <v>0</v>
      </c>
      <c r="K424" s="266">
        <f ca="1">IF(I424&gt;0,J424*100/I424,0)</f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IFERROR(__xludf.DUMMYFUNCTION("IMPORTRANGE(""https://docs.google.com/spreadsheets/d/1eHaY18a8A9IcSdp1K8H6x8fbOy06t2VsZHhMHf-1x7Y/edit?usp=sharing"",""แผน!HK58"")"),0)</f>
        <v>0</v>
      </c>
      <c r="J425" s="603">
        <f>J427+J429+J431</f>
        <v>0</v>
      </c>
      <c r="K425" s="266">
        <f ca="1">IF(I425&gt;0,J425*100/I425,0)</f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IFERROR(__xludf.DUMMYFUNCTION("IMPORTRANGE(""https://docs.google.com/spreadsheets/d/1eHaY18a8A9IcSdp1K8H6x8fbOy06t2VsZHhMHf-1x7Y/edit?usp=sharing"",""แผน!HJ58"")"),0)</f>
        <v>0</v>
      </c>
      <c r="J432" s="603">
        <f>J434+J436+J438</f>
        <v>0</v>
      </c>
      <c r="K432" s="266">
        <f ca="1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IFERROR(__xludf.DUMMYFUNCTION("IMPORTRANGE(""https://docs.google.com/spreadsheets/d/1eHaY18a8A9IcSdp1K8H6x8fbOy06t2VsZHhMHf-1x7Y/edit?usp=sharing"",""แผน!HK58"")"),0)</f>
        <v>0</v>
      </c>
      <c r="J433" s="603">
        <f>J435+J437+J439</f>
        <v>0</v>
      </c>
      <c r="K433" s="266">
        <f ca="1">IF(I433&gt;0,J433*100/I433,0)</f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IFERROR(__xludf.DUMMYFUNCTION("IMPORTRANGE(""https://docs.google.com/spreadsheets/d/1eHaY18a8A9IcSdp1K8H6x8fbOy06t2VsZHhMHf-1x7Y/edit?usp=sharing"",""แผน!HJ58"")"),0)</f>
        <v>0</v>
      </c>
      <c r="J440" s="603">
        <f>J442+J444+J446+J452+J454</f>
        <v>0</v>
      </c>
      <c r="K440" s="266">
        <f ca="1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IFERROR(__xludf.DUMMYFUNCTION("IMPORTRANGE(""https://docs.google.com/spreadsheets/d/1eHaY18a8A9IcSdp1K8H6x8fbOy06t2VsZHhMHf-1x7Y/edit?usp=sharing"",""แผน!HK58"")"),0)</f>
        <v>0</v>
      </c>
      <c r="J441" s="603">
        <f>J443+J445+J447+J453+J455</f>
        <v>0</v>
      </c>
      <c r="K441" s="266">
        <f ca="1">IF(I441&gt;0,J441*100/I441,0)</f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90"/>
      <c r="M456" s="90"/>
      <c r="N456" s="90"/>
      <c r="O456" s="90"/>
      <c r="P456" s="90"/>
      <c r="Q456" s="89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IFERROR(__xludf.DUMMYFUNCTION("IMPORTRANGE(""https://docs.google.com/spreadsheets/d/1eHaY18a8A9IcSdp1K8H6x8fbOy06t2VsZHhMHf-1x7Y/edit?usp=sharing"",""แผน!HL58"")"),0)</f>
        <v>0</v>
      </c>
      <c r="J457" s="603">
        <f>J459+J467+J473</f>
        <v>0</v>
      </c>
      <c r="K457" s="266">
        <f ca="1">IF(I457&gt;0,J457*100/I457,0)</f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IFERROR(__xludf.DUMMYFUNCTION("IMPORTRANGE(""https://docs.google.com/spreadsheets/d/1eHaY18a8A9IcSdp1K8H6x8fbOy06t2VsZHhMHf-1x7Y/edit?usp=sharing"",""แผน!HM58"")"),0)</f>
        <v>0</v>
      </c>
      <c r="J458" s="603">
        <f>J460+J468+J474</f>
        <v>0</v>
      </c>
      <c r="K458" s="266">
        <f ca="1">IF(I458&gt;0,J458*100/I458,0)</f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90"/>
      <c r="M475" s="90"/>
      <c r="N475" s="90"/>
      <c r="O475" s="90"/>
      <c r="P475" s="90"/>
      <c r="Q475" s="89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90"/>
      <c r="M476" s="90"/>
      <c r="N476" s="90"/>
      <c r="O476" s="90"/>
      <c r="P476" s="90"/>
      <c r="Q476" s="89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90"/>
      <c r="M477" s="90"/>
      <c r="N477" s="90"/>
      <c r="O477" s="90"/>
      <c r="P477" s="90"/>
      <c r="Q477" s="89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IFERROR(__xludf.DUMMYFUNCTION("IMPORTRANGE(""https://docs.google.com/spreadsheets/d/1eHaY18a8A9IcSdp1K8H6x8fbOy06t2VsZHhMHf-1x7Y/edit?usp=sharing"",""แผน!HN58"")"),0)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IFERROR(__xludf.DUMMYFUNCTION("IMPORTRANGE(""https://docs.google.com/spreadsheets/d/1eHaY18a8A9IcSdp1K8H6x8fbOy06t2VsZHhMHf-1x7Y/edit?usp=sharing"",""แผน!HO58"")"),0)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90"/>
      <c r="M484" s="90"/>
      <c r="N484" s="90"/>
      <c r="O484" s="90"/>
      <c r="P484" s="90"/>
      <c r="Q484" s="89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90"/>
      <c r="M485" s="90"/>
      <c r="N485" s="90"/>
      <c r="O485" s="90"/>
      <c r="P485" s="90"/>
      <c r="Q485" s="89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266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393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79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6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6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79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6">
        <f ca="1">IFERROR(__xludf.DUMMYFUNCTION("IMPORTRANGE(""https://docs.google.com/spreadsheets/d/1ItG2mGa2ceCfYo0BwxsXqNm01IGEUdYcSSLTEv9YCik/edit?usp=sharing"",""เบิกจ่ายกองทุน!X58"")"),0)</f>
        <v>0</v>
      </c>
      <c r="R498" s="77">
        <f ca="1">IFERROR(__xludf.DUMMYFUNCTION("IMPORTRANGE(""https://docs.google.com/spreadsheets/d/1ItG2mGa2ceCfYo0BwxsXqNm01IGEUdYcSSLTEv9YCik/edit?usp=sharing"",""เบิกจ่ายกองทุน!Y58"")"),0)</f>
        <v>0</v>
      </c>
      <c r="S498" s="77">
        <f ca="1">IFERROR(__xludf.DUMMYFUNCTION("IMPORTRANGE(""https://docs.google.com/spreadsheets/d/1ItG2mGa2ceCfYo0BwxsXqNm01IGEUdYcSSLTEv9YCik/edit?usp=sharing"",""เบิกจ่ายกองทุน!Z58"")"),0)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6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79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6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IFERROR(__xludf.DUMMYFUNCTION("IMPORTRANGE(""https://docs.google.com/spreadsheets/d/1eHaY18a8A9IcSdp1K8H6x8fbOy06t2VsZHhMHf-1x7Y/edit?usp=sharing"",""แผน!GX58"")"),0)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IFERROR(__xludf.DUMMYFUNCTION("IMPORTRANGE(""https://docs.google.com/spreadsheets/d/1eHaY18a8A9IcSdp1K8H6x8fbOy06t2VsZHhMHf-1x7Y/edit?usp=sharing"",""แผน!GY58"")"),0)</f>
        <v>0</v>
      </c>
      <c r="J504" s="296">
        <v>0</v>
      </c>
      <c r="K504" s="77">
        <f ca="1">IF(I504&gt;0,J504*100/I504,0)</f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IFERROR(__xludf.DUMMYFUNCTION("IMPORTRANGE(""https://docs.google.com/spreadsheets/d/1eHaY18a8A9IcSdp1K8H6x8fbOy06t2VsZHhMHf-1x7Y/edit?usp=sharing"",""แผน!GZ58"")"),0)</f>
        <v>0</v>
      </c>
      <c r="J505" s="296">
        <v>0</v>
      </c>
      <c r="K505" s="77">
        <f ca="1">IF(I505&gt;0,J505*100/I505,0)</f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IFERROR(__xludf.DUMMYFUNCTION("IMPORTRANGE(""https://docs.google.com/spreadsheets/d/1eHaY18a8A9IcSdp1K8H6x8fbOy06t2VsZHhMHf-1x7Y/edit?usp=sharing"",""แผน!HA58"")"),0)</f>
        <v>0</v>
      </c>
      <c r="J506" s="296">
        <v>0</v>
      </c>
      <c r="K506" s="77">
        <f ca="1">IF(I506&gt;0,J506*100/I506,0)</f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IFERROR(__xludf.DUMMYFUNCTION("IMPORTRANGE(""https://docs.google.com/spreadsheets/d/1eHaY18a8A9IcSdp1K8H6x8fbOy06t2VsZHhMHf-1x7Y/edit?usp=sharing"",""แผน!HB58"")"),0)</f>
        <v>0</v>
      </c>
      <c r="J507" s="296">
        <v>0</v>
      </c>
      <c r="K507" s="77">
        <f ca="1">IF(I507&gt;0,J507*100/I507,0)</f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IFERROR(__xludf.DUMMYFUNCTION("IMPORTRANGE(""https://docs.google.com/spreadsheets/d/1eHaY18a8A9IcSdp1K8H6x8fbOy06t2VsZHhMHf-1x7Y/edit?usp=sharing"",""แผน!HC58"")"),0)</f>
        <v>0</v>
      </c>
      <c r="J509" s="741">
        <v>0</v>
      </c>
      <c r="K509" s="185">
        <f ca="1">IF(I509&gt;0,J509*100/I509,0)</f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1082"/>
      <c r="M510" s="1082"/>
      <c r="N510" s="1082"/>
      <c r="O510" s="1082"/>
      <c r="P510" s="1288"/>
      <c r="Q510" s="625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1077"/>
      <c r="M511" s="1077"/>
      <c r="N511" s="1077"/>
      <c r="O511" s="1077"/>
      <c r="P511" s="1077"/>
      <c r="Q511" s="633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5"/>
      <c r="M512" s="645"/>
      <c r="N512" s="645"/>
      <c r="O512" s="645"/>
      <c r="P512" s="645"/>
      <c r="Q512" s="644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1287">
        <f ca="1">L514+L515</f>
        <v>0</v>
      </c>
      <c r="M513" s="1287">
        <f ca="1">M514+M515</f>
        <v>0</v>
      </c>
      <c r="N513" s="1287">
        <f ca="1">N514+N515</f>
        <v>0</v>
      </c>
      <c r="O513" s="1287">
        <f ca="1">IF(L513&gt;0,N513*100/L513,0)</f>
        <v>0</v>
      </c>
      <c r="P513" s="1287">
        <f ca="1">IF(M513&gt;0,N513*100/M513,0)</f>
        <v>0</v>
      </c>
      <c r="Q513" s="393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80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79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80">
        <f ca="1">L518+L521</f>
        <v>0</v>
      </c>
      <c r="M515" s="80">
        <f ca="1">M518+M521</f>
        <v>0</v>
      </c>
      <c r="N515" s="80">
        <f ca="1">N518+N521</f>
        <v>0</v>
      </c>
      <c r="O515" s="80">
        <f ca="1">IF(L515&gt;0,N515*100/L515,0)</f>
        <v>0</v>
      </c>
      <c r="P515" s="80">
        <f ca="1">IF(M515&gt;0,N515*100/M515,0)</f>
        <v>0</v>
      </c>
      <c r="Q515" s="76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80">
        <f ca="1">L517+L518</f>
        <v>0</v>
      </c>
      <c r="M516" s="80">
        <f ca="1">M517+M518</f>
        <v>0</v>
      </c>
      <c r="N516" s="80">
        <f ca="1">N517+N518</f>
        <v>0</v>
      </c>
      <c r="O516" s="80">
        <f ca="1">IF(L516&gt;0,N516*100/L516,0)</f>
        <v>0</v>
      </c>
      <c r="P516" s="80">
        <f ca="1">IF(M516&gt;0,N516*100/M516,0)</f>
        <v>0</v>
      </c>
      <c r="Q516" s="76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80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79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80">
        <f ca="1">IFERROR(__xludf.DUMMYFUNCTION("IMPORTRANGE(""https://docs.google.com/spreadsheets/d/1-uDff_7J0KD5mKrp0Vvzr7lt3OU09vwQwhkpOPPYv2Y/edit?usp=sharing"",""งบพรบ!FM58"")"),0)</f>
        <v>0</v>
      </c>
      <c r="M518" s="80">
        <f ca="1">IFERROR(__xludf.DUMMYFUNCTION("IMPORTRANGE(""https://docs.google.com/spreadsheets/d/1-uDff_7J0KD5mKrp0Vvzr7lt3OU09vwQwhkpOPPYv2Y/edit?usp=sharing"",""งบพรบ!FR58"")"),0)</f>
        <v>0</v>
      </c>
      <c r="N518" s="80">
        <f ca="1">IFERROR(__xludf.DUMMYFUNCTION("IMPORTRANGE(""https://docs.google.com/spreadsheets/d/1-uDff_7J0KD5mKrp0Vvzr7lt3OU09vwQwhkpOPPYv2Y/edit?usp=sharing"",""งบพรบ!FT58"")"),0)</f>
        <v>0</v>
      </c>
      <c r="O518" s="80">
        <f ca="1">IF(L518&gt;0,N518*100/L518,0)</f>
        <v>0</v>
      </c>
      <c r="P518" s="80">
        <f ca="1">IF(M518&gt;0,N518*100/M518,0)</f>
        <v>0</v>
      </c>
      <c r="Q518" s="76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80">
        <f ca="1">L520+L521</f>
        <v>0</v>
      </c>
      <c r="M519" s="80">
        <f ca="1">M520+M521</f>
        <v>0</v>
      </c>
      <c r="N519" s="80">
        <f ca="1">N520+N521</f>
        <v>0</v>
      </c>
      <c r="O519" s="80">
        <f ca="1">IF(L519&gt;0,N519*100/L519,0)</f>
        <v>0</v>
      </c>
      <c r="P519" s="80">
        <f ca="1">IF(M519&gt;0,N519*100/M519,0)</f>
        <v>0</v>
      </c>
      <c r="Q519" s="76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80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79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80">
        <f ca="1">IFERROR(__xludf.DUMMYFUNCTION("IMPORTRANGE(""https://docs.google.com/spreadsheets/d/1-uDff_7J0KD5mKrp0Vvzr7lt3OU09vwQwhkpOPPYv2Y/edit?usp=sharing"",""งบพรบ!FP58"")"),0)</f>
        <v>0</v>
      </c>
      <c r="M521" s="80">
        <f ca="1">IFERROR(__xludf.DUMMYFUNCTION("IMPORTRANGE(""https://docs.google.com/spreadsheets/d/1-uDff_7J0KD5mKrp0Vvzr7lt3OU09vwQwhkpOPPYv2Y/edit?usp=sharing"",""งบพรบ!FS58"")"),0)</f>
        <v>0</v>
      </c>
      <c r="N521" s="80">
        <f ca="1">IFERROR(__xludf.DUMMYFUNCTION("IMPORTRANGE(""https://docs.google.com/spreadsheets/d/1-uDff_7J0KD5mKrp0Vvzr7lt3OU09vwQwhkpOPPYv2Y/edit?usp=sharing"",""งบพรบ!FU58"")"),0)</f>
        <v>0</v>
      </c>
      <c r="O521" s="80">
        <f ca="1">IF(L521&gt;0,N521*100/L521,0)</f>
        <v>0</v>
      </c>
      <c r="P521" s="80">
        <f ca="1">IF(M521&gt;0,N521*100/M521,0)</f>
        <v>0</v>
      </c>
      <c r="Q521" s="76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90"/>
      <c r="M522" s="90"/>
      <c r="N522" s="90"/>
      <c r="O522" s="231"/>
      <c r="P522" s="231"/>
      <c r="Q522" s="89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90"/>
      <c r="M523" s="90"/>
      <c r="N523" s="90"/>
      <c r="O523" s="90"/>
      <c r="P523" s="90"/>
      <c r="Q523" s="89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101"/>
      <c r="M524" s="101"/>
      <c r="N524" s="101"/>
      <c r="O524" s="101"/>
      <c r="P524" s="101"/>
      <c r="Q524" s="89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658"/>
      <c r="M525" s="658"/>
      <c r="N525" s="658"/>
      <c r="O525" s="658"/>
      <c r="P525" s="658"/>
      <c r="Q525" s="579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5"/>
      <c r="M533" s="645"/>
      <c r="N533" s="645"/>
      <c r="O533" s="645"/>
      <c r="P533" s="645"/>
      <c r="Q533" s="644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393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79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6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6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79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6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6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79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6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8"/>
      <c r="M544" s="578"/>
      <c r="N544" s="578"/>
      <c r="O544" s="578"/>
      <c r="P544" s="578"/>
      <c r="Q544" s="579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5"/>
      <c r="M554" s="645"/>
      <c r="N554" s="645"/>
      <c r="O554" s="645"/>
      <c r="P554" s="645"/>
      <c r="Q554" s="644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393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79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6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6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79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6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6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79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6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8"/>
      <c r="M565" s="578"/>
      <c r="N565" s="578"/>
      <c r="O565" s="578"/>
      <c r="P565" s="578"/>
      <c r="Q565" s="579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5"/>
      <c r="M575" s="645"/>
      <c r="N575" s="645"/>
      <c r="O575" s="645"/>
      <c r="P575" s="645"/>
      <c r="Q575" s="644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393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79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6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6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79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6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6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79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6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8"/>
      <c r="M586" s="578"/>
      <c r="N586" s="578"/>
      <c r="O586" s="578"/>
      <c r="P586" s="578"/>
      <c r="Q586" s="579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8"/>
      <c r="M587" s="578"/>
      <c r="N587" s="578"/>
      <c r="O587" s="578"/>
      <c r="P587" s="578"/>
      <c r="Q587" s="579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2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10"/>
      <c r="M597" s="210"/>
      <c r="N597" s="210"/>
      <c r="O597" s="210"/>
      <c r="P597" s="210"/>
      <c r="Q597" s="209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10"/>
      <c r="M598" s="210"/>
      <c r="N598" s="210"/>
      <c r="O598" s="210"/>
      <c r="P598" s="210"/>
      <c r="Q598" s="209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266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393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80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79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7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6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7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6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80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79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7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6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7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6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80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79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7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6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90"/>
      <c r="M608" s="90"/>
      <c r="N608" s="90"/>
      <c r="O608" s="90"/>
      <c r="P608" s="90"/>
      <c r="Q608" s="89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90"/>
      <c r="M609" s="90"/>
      <c r="N609" s="90"/>
      <c r="O609" s="90"/>
      <c r="P609" s="90"/>
      <c r="Q609" s="89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90"/>
      <c r="M610" s="90"/>
      <c r="N610" s="90"/>
      <c r="O610" s="90"/>
      <c r="P610" s="90"/>
      <c r="Q610" s="89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90"/>
      <c r="M611" s="90"/>
      <c r="N611" s="90"/>
      <c r="O611" s="90"/>
      <c r="P611" s="90"/>
      <c r="Q611" s="89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8"/>
      <c r="M612" s="698"/>
      <c r="N612" s="698"/>
      <c r="O612" s="698"/>
      <c r="P612" s="698"/>
      <c r="Q612" s="699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6"/>
      <c r="M613" s="706"/>
      <c r="N613" s="706"/>
      <c r="O613" s="706"/>
      <c r="P613" s="706"/>
      <c r="Q613" s="707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4"/>
      <c r="M614" s="714"/>
      <c r="N614" s="714"/>
      <c r="O614" s="714"/>
      <c r="P614" s="714"/>
      <c r="Q614" s="715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0</v>
      </c>
      <c r="J615" s="1259">
        <f>J626</f>
        <v>0</v>
      </c>
      <c r="K615" s="722">
        <f ca="1">IF(I615&gt;0,J615*100/I615,0)</f>
        <v>0</v>
      </c>
      <c r="L615" s="723"/>
      <c r="M615" s="723"/>
      <c r="N615" s="723"/>
      <c r="O615" s="723"/>
      <c r="P615" s="723"/>
      <c r="Q615" s="724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266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393">
        <f ca="1">Q617+Q618</f>
        <v>1775</v>
      </c>
      <c r="R616" s="266">
        <f ca="1">R617+R618</f>
        <v>1775</v>
      </c>
      <c r="S616" s="266">
        <f ca="1">S617+S618</f>
        <v>1775</v>
      </c>
      <c r="T616" s="266">
        <f ca="1">IF(Q616&gt;0,S616*100/Q616,0)</f>
        <v>100</v>
      </c>
      <c r="U616" s="266">
        <f ca="1">IF(R616&gt;0,S616*100/R616,0)</f>
        <v>100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79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6">
        <f ca="1">Q621+Q624</f>
        <v>1775</v>
      </c>
      <c r="R618" s="77">
        <f ca="1">R621+R624</f>
        <v>1775</v>
      </c>
      <c r="S618" s="77">
        <f ca="1">S621+S624</f>
        <v>1775</v>
      </c>
      <c r="T618" s="77">
        <f ca="1">IF(Q618&gt;0,S618*100/Q618,0)</f>
        <v>100</v>
      </c>
      <c r="U618" s="77">
        <f ca="1">IF(R618&gt;0,S618*100/R618,0)</f>
        <v>100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6">
        <f ca="1">Q620+Q621</f>
        <v>1775</v>
      </c>
      <c r="R619" s="77">
        <f ca="1">R620+R621</f>
        <v>1775</v>
      </c>
      <c r="S619" s="77">
        <f ca="1">S620+S621</f>
        <v>1775</v>
      </c>
      <c r="T619" s="77">
        <f ca="1">IF(Q619&gt;0,S619*100/Q619,0)</f>
        <v>100</v>
      </c>
      <c r="U619" s="77">
        <f ca="1">IF(R619&gt;0,S619*100/R619,0)</f>
        <v>100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79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6">
        <f ca="1">IFERROR(__xludf.DUMMYFUNCTION("IMPORTRANGE(""https://docs.google.com/spreadsheets/d/1ItG2mGa2ceCfYo0BwxsXqNm01IGEUdYcSSLTEv9YCik/edit?usp=sharing"",""เบิกจ่ายกองทุน!F58"")"),1775)</f>
        <v>1775</v>
      </c>
      <c r="R621" s="77">
        <f ca="1">IFERROR(__xludf.DUMMYFUNCTION("IMPORTRANGE(""https://docs.google.com/spreadsheets/d/1ItG2mGa2ceCfYo0BwxsXqNm01IGEUdYcSSLTEv9YCik/edit?usp=sharing"",""เบิกจ่ายกองทุน!G58"")"),1775)</f>
        <v>1775</v>
      </c>
      <c r="S621" s="77">
        <f ca="1">IFERROR(__xludf.DUMMYFUNCTION("IMPORTRANGE(""https://docs.google.com/spreadsheets/d/1ItG2mGa2ceCfYo0BwxsXqNm01IGEUdYcSSLTEv9YCik/edit?usp=sharing"",""เบิกจ่ายกองทุน!H58"")"),1775)</f>
        <v>1775</v>
      </c>
      <c r="T621" s="77">
        <f ca="1">IF(Q621&gt;0,S621*100/Q621,0)</f>
        <v>100</v>
      </c>
      <c r="U621" s="77">
        <f ca="1">IF(R621&gt;0,S621*100/R621,0)</f>
        <v>100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6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79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6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IFERROR(__xludf.DUMMYFUNCTION("IMPORTRANGE(""https://docs.google.com/spreadsheets/d/1eHaY18a8A9IcSdp1K8H6x8fbOy06t2VsZHhMHf-1x7Y/edit?usp=sharing"",""แผน!ID58"")"),0)</f>
        <v>0</v>
      </c>
      <c r="J626" s="603">
        <f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IFERROR(__xludf.DUMMYFUNCTION("IMPORTRANGE(""https://docs.google.com/spreadsheets/d/1eHaY18a8A9IcSdp1K8H6x8fbOy06t2VsZHhMHf-1x7Y/edit?usp=sharing"",""แผน!IC58"")"),1)</f>
        <v>1</v>
      </c>
      <c r="J627" s="296">
        <v>1</v>
      </c>
      <c r="K627" s="77">
        <f ca="1">IF(I627&gt;0,(J627*100)/I627,0)</f>
        <v>100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IFERROR(__xludf.DUMMYFUNCTION("IMPORTRANGE(""https://docs.google.com/spreadsheets/d/1eHaY18a8A9IcSdp1K8H6x8fbOy06t2VsZHhMHf-1x7Y/edit?usp=sharing"",""แผน!IC58"")"),1)</f>
        <v>1</v>
      </c>
      <c r="J628" s="296">
        <v>1</v>
      </c>
      <c r="K628" s="77">
        <f ca="1">IF(I628&gt;0,(J628*100)/I628,0)</f>
        <v>100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IFERROR(__xludf.DUMMYFUNCTION("IMPORTRANGE(""https://docs.google.com/spreadsheets/d/1eHaY18a8A9IcSdp1K8H6x8fbOy06t2VsZHhMHf-1x7Y/edit?usp=sharing"",""แผน!IE58"")"),0)</f>
        <v>0</v>
      </c>
      <c r="J635" s="603">
        <f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hidden="1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3"/>
      <c r="M641" s="723"/>
      <c r="N641" s="723"/>
      <c r="O641" s="723"/>
      <c r="P641" s="723"/>
      <c r="Q641" s="724"/>
      <c r="R641" s="723"/>
      <c r="S641" s="723"/>
      <c r="T641" s="723"/>
      <c r="U641" s="723"/>
    </row>
    <row r="642" spans="1:21" ht="19.5" hidden="1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266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393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79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6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6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79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6">
        <f ca="1">IFERROR(__xludf.DUMMYFUNCTION("IMPORTRANGE(""https://docs.google.com/spreadsheets/d/1ItG2mGa2ceCfYo0BwxsXqNm01IGEUdYcSSLTEv9YCik/edit?usp=sharing"",""เบิกจ่ายกองทุน!I58"")"),0)</f>
        <v>0</v>
      </c>
      <c r="R647" s="77">
        <f ca="1">IFERROR(__xludf.DUMMYFUNCTION("IMPORTRANGE(""https://docs.google.com/spreadsheets/d/1ItG2mGa2ceCfYo0BwxsXqNm01IGEUdYcSSLTEv9YCik/edit?usp=sharing"",""เบิกจ่ายกองทุน!J58"")"),0)</f>
        <v>0</v>
      </c>
      <c r="S647" s="77">
        <f ca="1">IFERROR(__xludf.DUMMYFUNCTION("IMPORTRANGE(""https://docs.google.com/spreadsheets/d/1ItG2mGa2ceCfYo0BwxsXqNm01IGEUdYcSSLTEv9YCik/edit?usp=sharing"",""เบิกจ่ายกองทุน!K58"")"),0)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6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79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6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IFERROR(__xludf.DUMMYFUNCTION("IMPORTRANGE(""https://docs.google.com/spreadsheets/d/1eHaY18a8A9IcSdp1K8H6x8fbOy06t2VsZHhMHf-1x7Y/edit?usp=sharing"",""แผน!IF58"")"),0)</f>
        <v>0</v>
      </c>
      <c r="J652" s="295">
        <f ca="1">IFERROR(__xludf.DUMMYFUNCTION("IMPORTRANGE(""https://docs.google.com/spreadsheets/d/1tdoBKaGub7dwA3U6UFTqxio9LNnvDCQjHKmttSEBsFQ/edit?usp=sharing"",""จัดที่ดิน!AU58"")"),0)</f>
        <v>0</v>
      </c>
      <c r="K652" s="77">
        <f ca="1">IF(I652&gt;0,J652*100/I652,0)</f>
        <v>0</v>
      </c>
      <c r="L652" s="90"/>
      <c r="M652" s="90"/>
      <c r="N652" s="732"/>
      <c r="O652" s="90"/>
      <c r="P652" s="90"/>
      <c r="Q652" s="89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IFERROR(__xludf.DUMMYFUNCTION("IMPORTRANGE(""https://docs.google.com/spreadsheets/d/1eHaY18a8A9IcSdp1K8H6x8fbOy06t2VsZHhMHf-1x7Y/edit?usp=sharing"",""แผน!IG58"")"),0)</f>
        <v>0</v>
      </c>
      <c r="J653" s="295">
        <f ca="1">IFERROR(__xludf.DUMMYFUNCTION("IMPORTRANGE(""https://docs.google.com/spreadsheets/d/1tdoBKaGub7dwA3U6UFTqxio9LNnvDCQjHKmttSEBsFQ/edit?usp=sharing"",""จัดที่ดิน!AW58"")"),0)</f>
        <v>0</v>
      </c>
      <c r="K653" s="77">
        <f ca="1">IF(I653&gt;0,J653*100/I653,0)</f>
        <v>0</v>
      </c>
      <c r="L653" s="90"/>
      <c r="M653" s="90"/>
      <c r="N653" s="732"/>
      <c r="O653" s="90"/>
      <c r="P653" s="90"/>
      <c r="Q653" s="89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IFERROR(__xludf.DUMMYFUNCTION("IMPORTRANGE(""https://docs.google.com/spreadsheets/d/1eHaY18a8A9IcSdp1K8H6x8fbOy06t2VsZHhMHf-1x7Y/edit?usp=sharing"",""แผน!IH58"")"),0)</f>
        <v>0</v>
      </c>
      <c r="J654" s="603">
        <f>J657+J660</f>
        <v>0</v>
      </c>
      <c r="K654" s="266">
        <f ca="1">IF(I654&gt;0,J654*100/I654,0)</f>
        <v>0</v>
      </c>
      <c r="L654" s="90"/>
      <c r="M654" s="90"/>
      <c r="N654" s="732"/>
      <c r="O654" s="90"/>
      <c r="P654" s="90"/>
      <c r="Q654" s="89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90"/>
      <c r="M655" s="90"/>
      <c r="N655" s="732"/>
      <c r="O655" s="90"/>
      <c r="P655" s="90"/>
      <c r="Q655" s="89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90"/>
      <c r="M656" s="90"/>
      <c r="N656" s="732"/>
      <c r="O656" s="90"/>
      <c r="P656" s="90"/>
      <c r="Q656" s="89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IFERROR(__xludf.DUMMYFUNCTION("IMPORTRANGE(""https://docs.google.com/spreadsheets/d/1eHaY18a8A9IcSdp1K8H6x8fbOy06t2VsZHhMHf-1x7Y/edit?usp=sharing"",""แผน!II58"")"),0)</f>
        <v>0</v>
      </c>
      <c r="J657" s="296">
        <v>0</v>
      </c>
      <c r="K657" s="90"/>
      <c r="L657" s="90"/>
      <c r="M657" s="90"/>
      <c r="N657" s="732"/>
      <c r="O657" s="90"/>
      <c r="P657" s="90"/>
      <c r="Q657" s="89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90"/>
      <c r="M658" s="90"/>
      <c r="N658" s="732"/>
      <c r="O658" s="90"/>
      <c r="P658" s="90"/>
      <c r="Q658" s="89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90"/>
      <c r="M659" s="90"/>
      <c r="N659" s="732"/>
      <c r="O659" s="90"/>
      <c r="P659" s="90"/>
      <c r="Q659" s="89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IFERROR(__xludf.DUMMYFUNCTION("IMPORTRANGE(""https://docs.google.com/spreadsheets/d/1eHaY18a8A9IcSdp1K8H6x8fbOy06t2VsZHhMHf-1x7Y/edit?usp=sharing"",""แผน!IJ58"")"),0)</f>
        <v>0</v>
      </c>
      <c r="J660" s="296">
        <v>0</v>
      </c>
      <c r="K660" s="90"/>
      <c r="L660" s="90"/>
      <c r="M660" s="90"/>
      <c r="N660" s="732"/>
      <c r="O660" s="90"/>
      <c r="P660" s="90"/>
      <c r="Q660" s="89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IFERROR(__xludf.DUMMYFUNCTION("IMPORTRANGE(""https://docs.google.com/spreadsheets/d/1eHaY18a8A9IcSdp1K8H6x8fbOy06t2VsZHhMHf-1x7Y/edit?usp=sharing"",""แผน!IK58"")"),0)</f>
        <v>0</v>
      </c>
      <c r="J661" s="603">
        <f>J667+J670</f>
        <v>0</v>
      </c>
      <c r="K661" s="266">
        <f ca="1">IF(I661&gt;0,J661*100/I661,0)</f>
        <v>0</v>
      </c>
      <c r="L661" s="90"/>
      <c r="M661" s="90"/>
      <c r="N661" s="732"/>
      <c r="O661" s="90"/>
      <c r="P661" s="90"/>
      <c r="Q661" s="89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2"/>
      <c r="M662" s="90"/>
      <c r="N662" s="732"/>
      <c r="O662" s="90"/>
      <c r="P662" s="90"/>
      <c r="Q662" s="734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2"/>
      <c r="M663" s="90"/>
      <c r="N663" s="732"/>
      <c r="O663" s="90"/>
      <c r="P663" s="90"/>
      <c r="Q663" s="734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2"/>
      <c r="M664" s="90"/>
      <c r="N664" s="732"/>
      <c r="O664" s="90"/>
      <c r="P664" s="90"/>
      <c r="Q664" s="734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2"/>
      <c r="M665" s="90"/>
      <c r="N665" s="732"/>
      <c r="O665" s="90"/>
      <c r="P665" s="90"/>
      <c r="Q665" s="734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2"/>
      <c r="M666" s="90"/>
      <c r="N666" s="732"/>
      <c r="O666" s="90"/>
      <c r="P666" s="90"/>
      <c r="Q666" s="734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2"/>
      <c r="M667" s="90"/>
      <c r="N667" s="732"/>
      <c r="O667" s="90"/>
      <c r="P667" s="90"/>
      <c r="Q667" s="734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2"/>
      <c r="M668" s="90"/>
      <c r="N668" s="732"/>
      <c r="O668" s="90"/>
      <c r="P668" s="90"/>
      <c r="Q668" s="734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2"/>
      <c r="M669" s="90"/>
      <c r="N669" s="732"/>
      <c r="O669" s="90"/>
      <c r="P669" s="90"/>
      <c r="Q669" s="734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2"/>
      <c r="M670" s="90"/>
      <c r="N670" s="732"/>
      <c r="O670" s="90"/>
      <c r="P670" s="90"/>
      <c r="Q670" s="734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IFERROR(__xludf.DUMMYFUNCTION("IMPORTRANGE(""https://docs.google.com/spreadsheets/d/1tdoBKaGub7dwA3U6UFTqxio9LNnvDCQjHKmttSEBsFQ/edit?usp=sharing"",""จัดที่ดิน!AY58"")"),0)</f>
        <v>0</v>
      </c>
      <c r="K671" s="90"/>
      <c r="L671" s="90"/>
      <c r="M671" s="90"/>
      <c r="N671" s="732"/>
      <c r="O671" s="90"/>
      <c r="P671" s="90"/>
      <c r="Q671" s="89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IFERROR(__xludf.DUMMYFUNCTION("IMPORTRANGE(""https://docs.google.com/spreadsheets/d/1tdoBKaGub7dwA3U6UFTqxio9LNnvDCQjHKmttSEBsFQ/edit?usp=sharing"",""จัดที่ดิน!AZ58"")"),0)</f>
        <v>0</v>
      </c>
      <c r="K672" s="90"/>
      <c r="L672" s="732"/>
      <c r="M672" s="90"/>
      <c r="N672" s="732"/>
      <c r="O672" s="90"/>
      <c r="P672" s="90"/>
      <c r="Q672" s="734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IFERROR(__xludf.DUMMYFUNCTION("IMPORTRANGE(""https://docs.google.com/spreadsheets/d/1eHaY18a8A9IcSdp1K8H6x8fbOy06t2VsZHhMHf-1x7Y/edit?usp=sharing"",""แผน!IL58"")"),0)</f>
        <v>0</v>
      </c>
      <c r="J673" s="295">
        <f ca="1">IFERROR(__xludf.DUMMYFUNCTION("IMPORTRANGE(""https://docs.google.com/spreadsheets/d/1tdoBKaGub7dwA3U6UFTqxio9LNnvDCQjHKmttSEBsFQ/edit?usp=sharing"",""จัดที่ดิน!BA58"")"),0)</f>
        <v>0</v>
      </c>
      <c r="K673" s="77">
        <f ca="1">IF(I673&gt;0,J673*100/I673,0)</f>
        <v>0</v>
      </c>
      <c r="L673" s="732"/>
      <c r="M673" s="90"/>
      <c r="N673" s="732"/>
      <c r="O673" s="90"/>
      <c r="P673" s="90"/>
      <c r="Q673" s="734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IFERROR(__xludf.DUMMYFUNCTION("IMPORTRANGE(""https://docs.google.com/spreadsheets/d/1eHaY18a8A9IcSdp1K8H6x8fbOy06t2VsZHhMHf-1x7Y/edit?usp=sharing"",""แผน!IM58"")"),0)</f>
        <v>0</v>
      </c>
      <c r="J674" s="603">
        <f ca="1">J676+J679</f>
        <v>0</v>
      </c>
      <c r="K674" s="266">
        <f ca="1">IF(I674&gt;0,J674*100/I674,0)</f>
        <v>0</v>
      </c>
      <c r="L674" s="732"/>
      <c r="M674" s="90"/>
      <c r="N674" s="732"/>
      <c r="O674" s="90"/>
      <c r="P674" s="90"/>
      <c r="Q674" s="734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IFERROR(__xludf.DUMMYFUNCTION("IMPORTRANGE(""https://docs.google.com/spreadsheets/d/1eHaY18a8A9IcSdp1K8H6x8fbOy06t2VsZHhMHf-1x7Y/edit?usp=sharing"",""แผน!IN58"")"),0)</f>
        <v>0</v>
      </c>
      <c r="J675" s="603">
        <f ca="1">J678+J681</f>
        <v>0</v>
      </c>
      <c r="K675" s="266">
        <f ca="1">IF(I675&gt;0,J675*100/I675,0)</f>
        <v>0</v>
      </c>
      <c r="L675" s="90"/>
      <c r="M675" s="90"/>
      <c r="N675" s="732"/>
      <c r="O675" s="90"/>
      <c r="P675" s="90"/>
      <c r="Q675" s="89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IFERROR(__xludf.DUMMYFUNCTION("IMPORTRANGE(""https://docs.google.com/spreadsheets/d/1eHaY18a8A9IcSdp1K8H6x8fbOy06t2VsZHhMHf-1x7Y/edit?usp=sharing"",""แผน!IO58"")"),0)</f>
        <v>0</v>
      </c>
      <c r="J676" s="295">
        <f ca="1">IFERROR(__xludf.DUMMYFUNCTION("IMPORTRANGE(""https://docs.google.com/spreadsheets/d/1tdoBKaGub7dwA3U6UFTqxio9LNnvDCQjHKmttSEBsFQ/edit?usp=sharing"",""จัดที่ดิน!BF58"")"),0)</f>
        <v>0</v>
      </c>
      <c r="K676" s="77">
        <f ca="1">IF(I676&gt;0,J676*100/I676,0)</f>
        <v>0</v>
      </c>
      <c r="L676" s="90"/>
      <c r="M676" s="90"/>
      <c r="N676" s="732"/>
      <c r="O676" s="90"/>
      <c r="P676" s="90"/>
      <c r="Q676" s="89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IFERROR(__xludf.DUMMYFUNCTION("IMPORTRANGE(""https://docs.google.com/spreadsheets/d/1tdoBKaGub7dwA3U6UFTqxio9LNnvDCQjHKmttSEBsFQ/edit?usp=sharing"",""จัดที่ดิน!BG58"")"),0)</f>
        <v>0</v>
      </c>
      <c r="K677" s="90"/>
      <c r="L677" s="732"/>
      <c r="M677" s="90"/>
      <c r="N677" s="732"/>
      <c r="O677" s="90"/>
      <c r="P677" s="90"/>
      <c r="Q677" s="734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IFERROR(__xludf.DUMMYFUNCTION("IMPORTRANGE(""https://docs.google.com/spreadsheets/d/1eHaY18a8A9IcSdp1K8H6x8fbOy06t2VsZHhMHf-1x7Y/edit?usp=sharing"",""แผน!IP58"")"),0)</f>
        <v>0</v>
      </c>
      <c r="J678" s="295">
        <f ca="1">IFERROR(__xludf.DUMMYFUNCTION("IMPORTRANGE(""https://docs.google.com/spreadsheets/d/1tdoBKaGub7dwA3U6UFTqxio9LNnvDCQjHKmttSEBsFQ/edit?usp=sharing"",""จัดที่ดิน!BH58"")"),0)</f>
        <v>0</v>
      </c>
      <c r="K678" s="77">
        <f ca="1">IF(I678&gt;0,J678*100/I678,0)</f>
        <v>0</v>
      </c>
      <c r="L678" s="732"/>
      <c r="M678" s="90"/>
      <c r="N678" s="732"/>
      <c r="O678" s="90"/>
      <c r="P678" s="90"/>
      <c r="Q678" s="734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IFERROR(__xludf.DUMMYFUNCTION("IMPORTRANGE(""https://docs.google.com/spreadsheets/d/1eHaY18a8A9IcSdp1K8H6x8fbOy06t2VsZHhMHf-1x7Y/edit?usp=sharing"",""แผน!IQ58"")"),0)</f>
        <v>0</v>
      </c>
      <c r="J679" s="295">
        <f ca="1">IFERROR(__xludf.DUMMYFUNCTION("IMPORTRANGE(""https://docs.google.com/spreadsheets/d/1tdoBKaGub7dwA3U6UFTqxio9LNnvDCQjHKmttSEBsFQ/edit?usp=sharing"",""จัดที่ดิน!BK58"")"),0)</f>
        <v>0</v>
      </c>
      <c r="K679" s="77">
        <f ca="1">IF(I679&gt;0,J679*100/I679,0)</f>
        <v>0</v>
      </c>
      <c r="L679" s="90"/>
      <c r="M679" s="90"/>
      <c r="N679" s="732"/>
      <c r="O679" s="90"/>
      <c r="P679" s="90"/>
      <c r="Q679" s="89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IFERROR(__xludf.DUMMYFUNCTION("IMPORTRANGE(""https://docs.google.com/spreadsheets/d/1tdoBKaGub7dwA3U6UFTqxio9LNnvDCQjHKmttSEBsFQ/edit?usp=sharing"",""จัดที่ดิน!BL58"")"),0)</f>
        <v>0</v>
      </c>
      <c r="K680" s="90"/>
      <c r="L680" s="732"/>
      <c r="M680" s="90"/>
      <c r="N680" s="732"/>
      <c r="O680" s="90"/>
      <c r="P680" s="90"/>
      <c r="Q680" s="734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IFERROR(__xludf.DUMMYFUNCTION("IMPORTRANGE(""https://docs.google.com/spreadsheets/d/1eHaY18a8A9IcSdp1K8H6x8fbOy06t2VsZHhMHf-1x7Y/edit?usp=sharing"",""แผน!IR58"")"),0)</f>
        <v>0</v>
      </c>
      <c r="J681" s="295">
        <f ca="1">IFERROR(__xludf.DUMMYFUNCTION("IMPORTRANGE(""https://docs.google.com/spreadsheets/d/1tdoBKaGub7dwA3U6UFTqxio9LNnvDCQjHKmttSEBsFQ/edit?usp=sharing"",""จัดที่ดิน!BM58"")"),0)</f>
        <v>0</v>
      </c>
      <c r="K681" s="77">
        <f ca="1">IF(I681&gt;0,J681*100/I681,0)</f>
        <v>0</v>
      </c>
      <c r="L681" s="732"/>
      <c r="M681" s="90"/>
      <c r="N681" s="732"/>
      <c r="O681" s="90"/>
      <c r="P681" s="90"/>
      <c r="Q681" s="734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IFERROR(__xludf.DUMMYFUNCTION("IMPORTRANGE(""https://docs.google.com/spreadsheets/d/1eHaY18a8A9IcSdp1K8H6x8fbOy06t2VsZHhMHf-1x7Y/edit?usp=sharing"",""แผน!IS58"")"),0)</f>
        <v>0</v>
      </c>
      <c r="J682" s="603">
        <f>J685+J688</f>
        <v>0</v>
      </c>
      <c r="K682" s="266">
        <f ca="1">IF(I682&gt;0,J682*100/I682,0)</f>
        <v>0</v>
      </c>
      <c r="L682" s="90"/>
      <c r="M682" s="90"/>
      <c r="N682" s="732"/>
      <c r="O682" s="90"/>
      <c r="P682" s="90"/>
      <c r="Q682" s="89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2"/>
      <c r="M683" s="90"/>
      <c r="N683" s="732"/>
      <c r="O683" s="90"/>
      <c r="P683" s="90"/>
      <c r="Q683" s="734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2"/>
      <c r="M684" s="90"/>
      <c r="N684" s="732"/>
      <c r="O684" s="90"/>
      <c r="P684" s="90"/>
      <c r="Q684" s="734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2"/>
      <c r="M685" s="90"/>
      <c r="N685" s="732"/>
      <c r="O685" s="90"/>
      <c r="P685" s="90"/>
      <c r="Q685" s="734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2"/>
      <c r="M686" s="90"/>
      <c r="N686" s="732"/>
      <c r="O686" s="90"/>
      <c r="P686" s="90"/>
      <c r="Q686" s="734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2"/>
      <c r="M687" s="90"/>
      <c r="N687" s="732"/>
      <c r="O687" s="90"/>
      <c r="P687" s="90"/>
      <c r="Q687" s="734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2"/>
      <c r="M688" s="101"/>
      <c r="N688" s="742"/>
      <c r="O688" s="101"/>
      <c r="P688" s="101"/>
      <c r="Q688" s="743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4"/>
      <c r="M689" s="714"/>
      <c r="N689" s="714"/>
      <c r="O689" s="714"/>
      <c r="P689" s="714"/>
      <c r="Q689" s="715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266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393">
        <f ca="1">Q691+Q692</f>
        <v>60530</v>
      </c>
      <c r="R690" s="266">
        <f ca="1">R691+R692</f>
        <v>60530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79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6">
        <f ca="1">Q695+Q698</f>
        <v>60530</v>
      </c>
      <c r="R692" s="77">
        <f ca="1">R695+R698</f>
        <v>60530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6">
        <f ca="1">Q694+Q695</f>
        <v>60530</v>
      </c>
      <c r="R693" s="77">
        <f ca="1">R694+R695</f>
        <v>60530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79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6">
        <f ca="1">IFERROR(__xludf.DUMMYFUNCTION("IMPORTRANGE(""https://docs.google.com/spreadsheets/d/1ItG2mGa2ceCfYo0BwxsXqNm01IGEUdYcSSLTEv9YCik/edit?usp=sharing"",""เบิกจ่ายกองทุน!L58"")"),60530)</f>
        <v>60530</v>
      </c>
      <c r="R695" s="77">
        <f ca="1">IFERROR(__xludf.DUMMYFUNCTION("IMPORTRANGE(""https://docs.google.com/spreadsheets/d/1ItG2mGa2ceCfYo0BwxsXqNm01IGEUdYcSSLTEv9YCik/edit?usp=sharing"",""เบิกจ่ายกองทุน!M58"")"),60530)</f>
        <v>60530</v>
      </c>
      <c r="S695" s="77">
        <f ca="1">IFERROR(__xludf.DUMMYFUNCTION("IMPORTRANGE(""https://docs.google.com/spreadsheets/d/1ItG2mGa2ceCfYo0BwxsXqNm01IGEUdYcSSLTEv9YCik/edit?usp=sharing"",""เบิกจ่ายกองทุน!N58"")"),0)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6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79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6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IFERROR(__xludf.DUMMYFUNCTION("IMPORTRANGE(""https://docs.google.com/spreadsheets/d/1eHaY18a8A9IcSdp1K8H6x8fbOy06t2VsZHhMHf-1x7Y/edit?usp=sharing"",""แผน!LC58"")"),0)</f>
        <v>0</v>
      </c>
      <c r="J700" s="296">
        <v>0</v>
      </c>
      <c r="K700" s="748">
        <f ca="1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4</v>
      </c>
      <c r="J701" s="603">
        <f ca="1">J703+J705</f>
        <v>0</v>
      </c>
      <c r="K701" s="266">
        <f ca="1">IF(I701&gt;0,J701*100/I701,0)</f>
        <v>0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IFERROR(__xludf.DUMMYFUNCTION("IMPORTRANGE(""https://docs.google.com/spreadsheets/d/1eHaY18a8A9IcSdp1K8H6x8fbOy06t2VsZHhMHf-1x7Y/edit?usp=sharing"",""แผน!LJ58"")"),0)</f>
        <v>0</v>
      </c>
      <c r="J703" s="295">
        <f ca="1">IFERROR(__xludf.DUMMYFUNCTION("IMPORTRANGE(""https://docs.google.com/spreadsheets/d/1tdoBKaGub7dwA3U6UFTqxio9LNnvDCQjHKmttSEBsFQ/edit?usp=sharing"",""จัดที่ดิน!AP58"")"),0)</f>
        <v>0</v>
      </c>
      <c r="K703" s="77">
        <f ca="1">IF(I703&gt;0,J703*100/I703,0)</f>
        <v>0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IFERROR(__xludf.DUMMYFUNCTION("IMPORTRANGE(""https://docs.google.com/spreadsheets/d/1tdoBKaGub7dwA3U6UFTqxio9LNnvDCQjHKmttSEBsFQ/edit?usp=sharing"",""จัดที่ดิน!AQ58"")"),0)</f>
        <v>0</v>
      </c>
      <c r="K704" s="77">
        <f>IF(I704&gt;0,J704*100/I704,0)</f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IFERROR(__xludf.DUMMYFUNCTION("IMPORTRANGE(""https://docs.google.com/spreadsheets/d/1eHaY18a8A9IcSdp1K8H6x8fbOy06t2VsZHhMHf-1x7Y/edit?usp=sharing"",""แผน!LK58"")"),4)</f>
        <v>4</v>
      </c>
      <c r="J705" s="295">
        <f ca="1">IFERROR(__xludf.DUMMYFUNCTION("IMPORTRANGE(""https://docs.google.com/spreadsheets/d/1tdoBKaGub7dwA3U6UFTqxio9LNnvDCQjHKmttSEBsFQ/edit?usp=sharing"",""จัดที่ดิน!AR58"")"),0)</f>
        <v>0</v>
      </c>
      <c r="K705" s="748">
        <f ca="1">IF(I705&gt;0,J705*100/I705,0)</f>
        <v>0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IFERROR(__xludf.DUMMYFUNCTION("IMPORTRANGE(""https://docs.google.com/spreadsheets/d/1tdoBKaGub7dwA3U6UFTqxio9LNnvDCQjHKmttSEBsFQ/edit?usp=sharing"",""จัดที่ดิน!AS58"")"),0)</f>
        <v>0</v>
      </c>
      <c r="K706" s="77">
        <f>IF(I706&gt;0,J706*100/I706,0)</f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IFERROR(__xludf.DUMMYFUNCTION("IMPORTRANGE(""https://docs.google.com/spreadsheets/d/1eHaY18a8A9IcSdp1K8H6x8fbOy06t2VsZHhMHf-1x7Y/edit?usp=sharing"",""แผน!LJ58"")"),0)</f>
        <v>0</v>
      </c>
      <c r="J707" s="295">
        <f ca="1">IFERROR(__xludf.DUMMYFUNCTION("IMPORTRANGE(""https://docs.google.com/spreadsheets/d/1tdoBKaGub7dwA3U6UFTqxio9LNnvDCQjHKmttSEBsFQ/edit?usp=sharing"",""จัดที่ดิน!BN58"")"),0)</f>
        <v>0</v>
      </c>
      <c r="K707" s="77">
        <f ca="1">IF(I707&gt;0,J707*100/I707,0)</f>
        <v>0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IFERROR(__xludf.DUMMYFUNCTION("IMPORTRANGE(""https://docs.google.com/spreadsheets/d/1tdoBKaGub7dwA3U6UFTqxio9LNnvDCQjHKmttSEBsFQ/edit?usp=sharing"",""จัดที่ดิน!BO58"")"),0)</f>
        <v>0</v>
      </c>
      <c r="K708" s="77">
        <f>IF(I708&gt;0,J708*100/I708,0)</f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IFERROR(__xludf.DUMMYFUNCTION("IMPORTRANGE(""https://docs.google.com/spreadsheets/d/1eHaY18a8A9IcSdp1K8H6x8fbOy06t2VsZHhMHf-1x7Y/edit?usp=sharing"",""แผน!LK58"")"),4)</f>
        <v>4</v>
      </c>
      <c r="J709" s="295">
        <f ca="1">IFERROR(__xludf.DUMMYFUNCTION("IMPORTRANGE(""https://docs.google.com/spreadsheets/d/1tdoBKaGub7dwA3U6UFTqxio9LNnvDCQjHKmttSEBsFQ/edit?usp=sharing"",""จัดที่ดิน!BP58"")"),0)</f>
        <v>0</v>
      </c>
      <c r="K709" s="77">
        <f ca="1">IF(I709&gt;0,J709*100/I709,0)</f>
        <v>0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IFERROR(__xludf.DUMMYFUNCTION("IMPORTRANGE(""https://docs.google.com/spreadsheets/d/1tdoBKaGub7dwA3U6UFTqxio9LNnvDCQjHKmttSEBsFQ/edit?usp=sharing"",""จัดที่ดิน!BQ58"")"),0)</f>
        <v>0</v>
      </c>
      <c r="K710" s="77">
        <f>IF(I710&gt;0,J710*100/I710,0)</f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4"/>
      <c r="M712" s="714"/>
      <c r="N712" s="714"/>
      <c r="O712" s="714"/>
      <c r="P712" s="714"/>
      <c r="Q712" s="715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4"/>
      <c r="M713" s="714"/>
      <c r="N713" s="714"/>
      <c r="O713" s="714"/>
      <c r="P713" s="714"/>
      <c r="Q713" s="715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266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393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79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6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7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6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79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6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7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6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79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7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6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IFERROR(__xludf.DUMMYFUNCTION("IMPORTRANGE(""https://docs.google.com/spreadsheets/d/1eHaY18a8A9IcSdp1K8H6x8fbOy06t2VsZHhMHf-1x7Y/edit?usp=sharing"",""แผน!GA58"")"),21)</f>
        <v>21</v>
      </c>
      <c r="J726" s="760">
        <f>J742+J746+J749</f>
        <v>21</v>
      </c>
      <c r="K726" s="746">
        <f ca="1">IF(I726&gt;0,J726*100/I726,0)</f>
        <v>100</v>
      </c>
      <c r="L726" s="714"/>
      <c r="M726" s="714"/>
      <c r="N726" s="714"/>
      <c r="O726" s="714"/>
      <c r="P726" s="714"/>
      <c r="Q726" s="715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IFERROR(__xludf.DUMMYFUNCTION("IMPORTRANGE(""https://docs.google.com/spreadsheets/d/1eHaY18a8A9IcSdp1K8H6x8fbOy06t2VsZHhMHf-1x7Y/edit?usp=sharing"",""แผน!FZ58"")"),200)</f>
        <v>200</v>
      </c>
      <c r="J727" s="760">
        <f>J752+J755</f>
        <v>0</v>
      </c>
      <c r="K727" s="746">
        <f ca="1">IF(I727&gt;0,J727*100/I727,0)</f>
        <v>0</v>
      </c>
      <c r="L727" s="714"/>
      <c r="M727" s="714"/>
      <c r="N727" s="714"/>
      <c r="O727" s="714"/>
      <c r="P727" s="714"/>
      <c r="Q727" s="715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266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393">
        <f ca="1">Q729+Q730</f>
        <v>175994</v>
      </c>
      <c r="R728" s="266">
        <f ca="1">R729+R730</f>
        <v>175994</v>
      </c>
      <c r="S728" s="266">
        <f ca="1">S729+S730</f>
        <v>47604</v>
      </c>
      <c r="T728" s="266">
        <f ca="1">IF(Q728&gt;0,S728*100/Q728,0)</f>
        <v>27.048649385774514</v>
      </c>
      <c r="U728" s="266">
        <f ca="1">IF(R728&gt;0,S728*100/R728,0)</f>
        <v>27.048649385774514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79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6">
        <f ca="1">Q733+Q736</f>
        <v>175994</v>
      </c>
      <c r="R730" s="77">
        <f ca="1">R733+R736</f>
        <v>175994</v>
      </c>
      <c r="S730" s="77">
        <f ca="1">S733+S736</f>
        <v>47604</v>
      </c>
      <c r="T730" s="77">
        <f ca="1">IF(Q730&gt;0,S730*100/Q730,0)</f>
        <v>27.048649385774514</v>
      </c>
      <c r="U730" s="77">
        <f ca="1">IF(R730&gt;0,S730*100/R730,0)</f>
        <v>27.048649385774514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6">
        <f ca="1">Q732+Q733</f>
        <v>175994</v>
      </c>
      <c r="R731" s="77">
        <f ca="1">R732+R733</f>
        <v>175994</v>
      </c>
      <c r="S731" s="77">
        <f ca="1">S732+S733</f>
        <v>47604</v>
      </c>
      <c r="T731" s="77">
        <f ca="1">IF(Q731&gt;0,S731*100/Q731,0)</f>
        <v>27.048649385774514</v>
      </c>
      <c r="U731" s="77">
        <f ca="1">IF(R731&gt;0,S731*100/R731,0)</f>
        <v>27.048649385774514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79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6">
        <f ca="1">IFERROR(__xludf.DUMMYFUNCTION("IMPORTRANGE(""https://docs.google.com/spreadsheets/d/1ItG2mGa2ceCfYo0BwxsXqNm01IGEUdYcSSLTEv9YCik/edit?usp=sharing"",""เบิกจ่ายกองทุน!O58"")"),175994)</f>
        <v>175994</v>
      </c>
      <c r="R733" s="77">
        <f ca="1">IFERROR(__xludf.DUMMYFUNCTION("IMPORTRANGE(""https://docs.google.com/spreadsheets/d/1ItG2mGa2ceCfYo0BwxsXqNm01IGEUdYcSSLTEv9YCik/edit?usp=sharing"",""เบิกจ่ายกองทุน!P58"")"),175994)</f>
        <v>175994</v>
      </c>
      <c r="S733" s="77">
        <f ca="1">IFERROR(__xludf.DUMMYFUNCTION("IMPORTRANGE(""https://docs.google.com/spreadsheets/d/1ItG2mGa2ceCfYo0BwxsXqNm01IGEUdYcSSLTEv9YCik/edit?usp=sharing"",""เบิกจ่ายกองทุน!Q58"")"),47604)</f>
        <v>47604</v>
      </c>
      <c r="T733" s="77">
        <f ca="1">IF(Q733&gt;0,S733*100/Q733,0)</f>
        <v>27.048649385774514</v>
      </c>
      <c r="U733" s="77">
        <f ca="1">IF(R733&gt;0,S733*100/R733,0)</f>
        <v>27.048649385774514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6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79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6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IFERROR(__xludf.DUMMYFUNCTION("IMPORTRANGE(""https://docs.google.com/spreadsheets/d/1eHaY18a8A9IcSdp1K8H6x8fbOy06t2VsZHhMHf-1x7Y/edit?usp=sharing"",""แผน!GB58"")"),160)</f>
        <v>160</v>
      </c>
      <c r="J740" s="816">
        <v>160</v>
      </c>
      <c r="K740" s="91">
        <f ca="1">IF(I740&gt;0,J740*100/I740,0)</f>
        <v>100</v>
      </c>
      <c r="L740" s="75"/>
      <c r="M740" s="75"/>
      <c r="N740" s="75"/>
      <c r="O740" s="75"/>
      <c r="P740" s="75"/>
      <c r="Q740" s="523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16</v>
      </c>
      <c r="K741" s="75"/>
      <c r="L741" s="75"/>
      <c r="M741" s="75"/>
      <c r="N741" s="75"/>
      <c r="O741" s="75"/>
      <c r="P741" s="75"/>
      <c r="Q741" s="523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IFERROR(__xludf.DUMMYFUNCTION("IMPORTRANGE(""https://docs.google.com/spreadsheets/d/1eHaY18a8A9IcSdp1K8H6x8fbOy06t2VsZHhMHf-1x7Y/edit?usp=sharing"",""แผน!GC58"")"),16)</f>
        <v>16</v>
      </c>
      <c r="J742" s="816">
        <v>16</v>
      </c>
      <c r="K742" s="91">
        <f ca="1">IF(I742&gt;0,J742*100/I742,0)</f>
        <v>100</v>
      </c>
      <c r="L742" s="75"/>
      <c r="M742" s="75"/>
      <c r="N742" s="75"/>
      <c r="O742" s="75"/>
      <c r="P742" s="75"/>
      <c r="Q742" s="523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75"/>
      <c r="M743" s="75"/>
      <c r="N743" s="75"/>
      <c r="O743" s="75"/>
      <c r="P743" s="75"/>
      <c r="Q743" s="523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IFERROR(__xludf.DUMMYFUNCTION("IMPORTRANGE(""https://docs.google.com/spreadsheets/d/1eHaY18a8A9IcSdp1K8H6x8fbOy06t2VsZHhMHf-1x7Y/edit?usp=sharing"",""แผน!GD58"")"),40)</f>
        <v>40</v>
      </c>
      <c r="J744" s="816">
        <v>40</v>
      </c>
      <c r="K744" s="91">
        <f ca="1">IF(I744&gt;0,J744*100/I744,0)</f>
        <v>100</v>
      </c>
      <c r="L744" s="75"/>
      <c r="M744" s="75"/>
      <c r="N744" s="75"/>
      <c r="O744" s="75"/>
      <c r="P744" s="75"/>
      <c r="Q744" s="523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4</v>
      </c>
      <c r="K745" s="75"/>
      <c r="L745" s="75"/>
      <c r="M745" s="75"/>
      <c r="N745" s="75"/>
      <c r="O745" s="75"/>
      <c r="P745" s="75"/>
      <c r="Q745" s="523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IFERROR(__xludf.DUMMYFUNCTION("IMPORTRANGE(""https://docs.google.com/spreadsheets/d/1eHaY18a8A9IcSdp1K8H6x8fbOy06t2VsZHhMHf-1x7Y/edit?usp=sharing"",""แผน!GE58"")"),4)</f>
        <v>4</v>
      </c>
      <c r="J746" s="816">
        <v>4</v>
      </c>
      <c r="K746" s="91">
        <f ca="1">IF(I746&gt;0,J746*100/I746,0)</f>
        <v>100</v>
      </c>
      <c r="L746" s="75"/>
      <c r="M746" s="75"/>
      <c r="N746" s="75"/>
      <c r="O746" s="75"/>
      <c r="P746" s="75"/>
      <c r="Q746" s="523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75"/>
      <c r="M747" s="75"/>
      <c r="N747" s="75"/>
      <c r="O747" s="75"/>
      <c r="P747" s="75"/>
      <c r="Q747" s="523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1</v>
      </c>
      <c r="K748" s="75"/>
      <c r="L748" s="75"/>
      <c r="M748" s="75"/>
      <c r="N748" s="75"/>
      <c r="O748" s="75"/>
      <c r="P748" s="75"/>
      <c r="Q748" s="523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IFERROR(__xludf.DUMMYFUNCTION("IMPORTRANGE(""https://docs.google.com/spreadsheets/d/1eHaY18a8A9IcSdp1K8H6x8fbOy06t2VsZHhMHf-1x7Y/edit?usp=sharing"",""แผน!GF58"")"),1)</f>
        <v>1</v>
      </c>
      <c r="J749" s="816">
        <v>1</v>
      </c>
      <c r="K749" s="91">
        <f ca="1">IF(I749&gt;0,J749*100/I749,0)</f>
        <v>100</v>
      </c>
      <c r="L749" s="75"/>
      <c r="M749" s="75"/>
      <c r="N749" s="75"/>
      <c r="O749" s="75"/>
      <c r="P749" s="75"/>
      <c r="Q749" s="523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75"/>
      <c r="M750" s="75"/>
      <c r="N750" s="75"/>
      <c r="O750" s="75"/>
      <c r="P750" s="75"/>
      <c r="Q750" s="523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75"/>
      <c r="M751" s="75"/>
      <c r="N751" s="75"/>
      <c r="O751" s="75"/>
      <c r="P751" s="75"/>
      <c r="Q751" s="523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IFERROR(__xludf.DUMMYFUNCTION("IMPORTRANGE(""https://docs.google.com/spreadsheets/d/1eHaY18a8A9IcSdp1K8H6x8fbOy06t2VsZHhMHf-1x7Y/edit?usp=sharing"",""แผน!GB58"")"),160)</f>
        <v>160</v>
      </c>
      <c r="J752" s="816">
        <v>0</v>
      </c>
      <c r="K752" s="91">
        <f ca="1">IF(I752&gt;0,J752*100/I752,0)</f>
        <v>0</v>
      </c>
      <c r="L752" s="75"/>
      <c r="M752" s="75"/>
      <c r="N752" s="75"/>
      <c r="O752" s="75"/>
      <c r="P752" s="75"/>
      <c r="Q752" s="523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75"/>
      <c r="M753" s="75"/>
      <c r="N753" s="75"/>
      <c r="O753" s="75"/>
      <c r="P753" s="75"/>
      <c r="Q753" s="523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75"/>
      <c r="M754" s="75"/>
      <c r="N754" s="75"/>
      <c r="O754" s="75"/>
      <c r="P754" s="75"/>
      <c r="Q754" s="523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IFERROR(__xludf.DUMMYFUNCTION("IMPORTRANGE(""https://docs.google.com/spreadsheets/d/1eHaY18a8A9IcSdp1K8H6x8fbOy06t2VsZHhMHf-1x7Y/edit?usp=sharing"",""แผน!GD58"")"),40)</f>
        <v>40</v>
      </c>
      <c r="J755" s="816">
        <v>0</v>
      </c>
      <c r="K755" s="91">
        <f ca="1">IF(I755&gt;0,J755*100/I755,0)</f>
        <v>0</v>
      </c>
      <c r="L755" s="75"/>
      <c r="M755" s="75"/>
      <c r="N755" s="75"/>
      <c r="O755" s="75"/>
      <c r="P755" s="75"/>
      <c r="Q755" s="523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75"/>
      <c r="M756" s="75"/>
      <c r="N756" s="75"/>
      <c r="O756" s="75"/>
      <c r="P756" s="75"/>
      <c r="Q756" s="523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4"/>
      <c r="M758" s="714"/>
      <c r="N758" s="714"/>
      <c r="O758" s="714"/>
      <c r="P758" s="714"/>
      <c r="Q758" s="715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4"/>
      <c r="M759" s="714"/>
      <c r="N759" s="714"/>
      <c r="O759" s="714"/>
      <c r="P759" s="714"/>
      <c r="Q759" s="715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266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393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79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6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6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79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6">
        <f ca="1">IFERROR(__xludf.DUMMYFUNCTION("IMPORTRANGE(""https://docs.google.com/spreadsheets/d/1ItG2mGa2ceCfYo0BwxsXqNm01IGEUdYcSSLTEv9YCik/edit?usp=sharing"",""เบิกจ่ายกองทุน!U58"")"),0)</f>
        <v>0</v>
      </c>
      <c r="R765" s="77">
        <f ca="1">IFERROR(__xludf.DUMMYFUNCTION("IMPORTRANGE(""https://docs.google.com/spreadsheets/d/1ItG2mGa2ceCfYo0BwxsXqNm01IGEUdYcSSLTEv9YCik/edit?usp=sharing"",""เบิกจ่ายกองทุน!V58"")"),0)</f>
        <v>0</v>
      </c>
      <c r="S765" s="77">
        <f ca="1">IFERROR(__xludf.DUMMYFUNCTION("IMPORTRANGE(""https://docs.google.com/spreadsheets/d/1ItG2mGa2ceCfYo0BwxsXqNm01IGEUdYcSSLTEv9YCik/edit?usp=sharing"",""เบิกจ่ายกองทุน!W58"")"),0)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6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79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6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IFERROR(__xludf.DUMMYFUNCTION("IMPORTRANGE(""https://docs.google.com/spreadsheets/d/1eHaY18a8A9IcSdp1K8H6x8fbOy06t2VsZHhMHf-1x7Y/edit?usp=sharing"",""แผน!FI58"")"),0)</f>
        <v>0</v>
      </c>
      <c r="J770" s="574"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IFERROR(__xludf.DUMMYFUNCTION("IMPORTRANGE(""https://docs.google.com/spreadsheets/d/1eHaY18a8A9IcSdp1K8H6x8fbOy06t2VsZHhMHf-1x7Y/edit?usp=sharing"",""แผน!FQ58"")"),0)</f>
        <v>0</v>
      </c>
      <c r="J772" s="296">
        <v>0</v>
      </c>
      <c r="K772" s="77">
        <f ca="1">IF(I772&gt;0,J772*100/I772,0)</f>
        <v>0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IFERROR(__xludf.DUMMYFUNCTION("IMPORTRANGE(""https://docs.google.com/spreadsheets/d/1eHaY18a8A9IcSdp1K8H6x8fbOy06t2VsZHhMHf-1x7Y/edit?usp=sharing"",""แผน!FR58"")"),0)</f>
        <v>0</v>
      </c>
      <c r="J774" s="296">
        <v>0</v>
      </c>
      <c r="K774" s="77">
        <f ca="1">IF(I774&gt;0,J774*100/I774,0)</f>
        <v>0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IFERROR(__xludf.DUMMYFUNCTION("IMPORTRANGE(""https://docs.google.com/spreadsheets/d/1eHaY18a8A9IcSdp1K8H6x8fbOy06t2VsZHhMHf-1x7Y/edit?usp=sharing"",""แผน!FS58"")"),0)</f>
        <v>0</v>
      </c>
      <c r="J775" s="296">
        <v>0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IFERROR(__xludf.DUMMYFUNCTION("IMPORTRANGE(""https://docs.google.com/spreadsheets/d/1eHaY18a8A9IcSdp1K8H6x8fbOy06t2VsZHhMHf-1x7Y/edit?usp=sharing"",""แผน!FT58"")"),0)</f>
        <v>0</v>
      </c>
      <c r="J776" s="741">
        <v>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IFERROR(__xludf.DUMMYFUNCTION("IMPORTRANGE(""https://docs.google.com/spreadsheets/d/10OvvATaaLtwErnr3qtWFcTmtbfpFEt5Bsqel9sXx0uE/edit?usp=sharing"",""งานกองทุน!D58"")"),3330000)</f>
        <v>3330000</v>
      </c>
      <c r="J778" s="295">
        <f ca="1">IFERROR(__xludf.DUMMYFUNCTION("IMPORTRANGE(""https://docs.google.com/spreadsheets/d/10OvvATaaLtwErnr3qtWFcTmtbfpFEt5Bsqel9sXx0uE/edit?usp=sharing"",""งานกองทุน!F58"")"),730000)</f>
        <v>730000</v>
      </c>
      <c r="K778" s="77">
        <f ca="1">IF(I778&gt;0,J778*100/I778,0)</f>
        <v>21.921921921921921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IFERROR(__xludf.DUMMYFUNCTION("IMPORTRANGE(""https://docs.google.com/spreadsheets/d/10OvvATaaLtwErnr3qtWFcTmtbfpFEt5Bsqel9sXx0uE/edit?usp=sharing"",""งานกองทุน!C58"")"),124)</f>
        <v>124</v>
      </c>
      <c r="J779" s="295">
        <f ca="1">IFERROR(__xludf.DUMMYFUNCTION("IMPORTRANGE(""https://docs.google.com/spreadsheets/d/10OvvATaaLtwErnr3qtWFcTmtbfpFEt5Bsqel9sXx0uE/edit?usp=sharing"",""งานกองทุน!E58"")"),33)</f>
        <v>33</v>
      </c>
      <c r="K779" s="77">
        <f ca="1">IF(I779&gt;0,J779*100/I779,0)</f>
        <v>26.612903225806452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IFERROR(__xludf.DUMMYFUNCTION("IMPORTRANGE(""https://docs.google.com/spreadsheets/d/10OvvATaaLtwErnr3qtWFcTmtbfpFEt5Bsqel9sXx0uE/edit?usp=sharing"",""งานกองทุน!I58"")"),849467.39)</f>
        <v>849467.39</v>
      </c>
      <c r="J780" s="295">
        <f ca="1">IFERROR(__xludf.DUMMYFUNCTION("IMPORTRANGE(""https://docs.google.com/spreadsheets/d/10OvvATaaLtwErnr3qtWFcTmtbfpFEt5Bsqel9sXx0uE/edit?usp=sharing"",""งานกองทุน!K58"")"),74747.63)</f>
        <v>74747.63</v>
      </c>
      <c r="K780" s="77">
        <f ca="1">IF(I780&gt;0,J780*100/I780,0)</f>
        <v>8.7993524978045361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IFERROR(__xludf.DUMMYFUNCTION("IMPORTRANGE(""https://docs.google.com/spreadsheets/d/10OvvATaaLtwErnr3qtWFcTmtbfpFEt5Bsqel9sXx0uE/edit?usp=sharing"",""งานกองทุน!H58"")"),33)</f>
        <v>33</v>
      </c>
      <c r="J781" s="295">
        <f ca="1">IFERROR(__xludf.DUMMYFUNCTION("IMPORTRANGE(""https://docs.google.com/spreadsheets/d/10OvvATaaLtwErnr3qtWFcTmtbfpFEt5Bsqel9sXx0uE/edit?usp=sharing"",""งานกองทุน!J58"")"),12)</f>
        <v>12</v>
      </c>
      <c r="K781" s="77">
        <f ca="1">IF(I781&gt;0,J781*100/I781,0)</f>
        <v>36.363636363636367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IFERROR(__xludf.DUMMYFUNCTION("IMPORTRANGE(""https://docs.google.com/spreadsheets/d/10OvvATaaLtwErnr3qtWFcTmtbfpFEt5Bsqel9sXx0uE/edit?usp=sharing"",""งานกองทุน!N58"")"),0)</f>
        <v>0</v>
      </c>
      <c r="J782" s="295">
        <f ca="1">IFERROR(__xludf.DUMMYFUNCTION("IMPORTRANGE(""https://docs.google.com/spreadsheets/d/10OvvATaaLtwErnr3qtWFcTmtbfpFEt5Bsqel9sXx0uE/edit?usp=sharing"",""งานกองทุน!P58"")"),0)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IFERROR(__xludf.DUMMYFUNCTION("IMPORTRANGE(""https://docs.google.com/spreadsheets/d/10OvvATaaLtwErnr3qtWFcTmtbfpFEt5Bsqel9sXx0uE/edit?usp=sharing"",""งานกองทุน!M58"")"),0)</f>
        <v>0</v>
      </c>
      <c r="J783" s="295">
        <f ca="1">IFERROR(__xludf.DUMMYFUNCTION("IMPORTRANGE(""https://docs.google.com/spreadsheets/d/10OvvATaaLtwErnr3qtWFcTmtbfpFEt5Bsqel9sXx0uE/edit?usp=sharing"",""งานกองทุน!O58"")"),0)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IFERROR(__xludf.DUMMYFUNCTION("IMPORTRANGE(""https://docs.google.com/spreadsheets/d/10OvvATaaLtwErnr3qtWFcTmtbfpFEt5Bsqel9sXx0uE/edit?usp=sharing"",""งานกองทุน!S58"")"),4088000)</f>
        <v>4088000</v>
      </c>
      <c r="J784" s="295">
        <f ca="1">IFERROR(__xludf.DUMMYFUNCTION("IMPORTRANGE(""https://docs.google.com/spreadsheets/d/10OvvATaaLtwErnr3qtWFcTmtbfpFEt5Bsqel9sXx0uE/edit?usp=sharing"",""งานกองทุน!U58"")"),675000)</f>
        <v>675000</v>
      </c>
      <c r="K784" s="77">
        <f ca="1">IF(I784&gt;0,J784*100/I784,0)</f>
        <v>16.511741682974559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IFERROR(__xludf.DUMMYFUNCTION("IMPORTRANGE(""https://docs.google.com/spreadsheets/d/10OvvATaaLtwErnr3qtWFcTmtbfpFEt5Bsqel9sXx0uE/edit?usp=sharing"",""งานกองทุน!R58"")"),146)</f>
        <v>146</v>
      </c>
      <c r="J785" s="773">
        <f ca="1">IFERROR(__xludf.DUMMYFUNCTION("IMPORTRANGE(""https://docs.google.com/spreadsheets/d/10OvvATaaLtwErnr3qtWFcTmtbfpFEt5Bsqel9sXx0uE/edit?usp=sharing"",""งานกองทุน!T58"")"),23)</f>
        <v>23</v>
      </c>
      <c r="K785" s="185">
        <f ca="1">IF(I785&gt;0,J785*100/I785,0)</f>
        <v>15.753424657534246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894C-AE75-4162-9408-FFF1DC976FB2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18.7109375" bestFit="1" customWidth="1"/>
    <col min="19" max="19" width="16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344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1533840</v>
      </c>
      <c r="M18" s="62">
        <f ca="1">M19+M20</f>
        <v>1620356</v>
      </c>
      <c r="N18" s="62">
        <f ca="1">N19+N20</f>
        <v>1308920.6099999999</v>
      </c>
      <c r="O18" s="62">
        <f ca="1">IF(L18&gt;0,N18*100/L18,0)</f>
        <v>85.336189563448585</v>
      </c>
      <c r="P18" s="62">
        <f ca="1">IF(M18&gt;0,N18*100/M18,0)</f>
        <v>80.779816904433332</v>
      </c>
      <c r="Q18" s="62">
        <f ca="1">Q19+Q20</f>
        <v>639591.24</v>
      </c>
      <c r="R18" s="62">
        <f ca="1">R19+R20</f>
        <v>639591</v>
      </c>
      <c r="S18" s="62">
        <f ca="1">S19+S20</f>
        <v>93540</v>
      </c>
      <c r="T18" s="62">
        <f ca="1">IF(Q18&gt;0,S18*100/Q18,0)</f>
        <v>14.624965782833424</v>
      </c>
      <c r="U18" s="62">
        <f ca="1">IF(R18&gt;0,S18*100/R18,0)</f>
        <v>14.624971270702684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1533840</v>
      </c>
      <c r="M20" s="68">
        <f ca="1">M23+M26</f>
        <v>1620356</v>
      </c>
      <c r="N20" s="68">
        <f ca="1">N23+N26</f>
        <v>1308920.6099999999</v>
      </c>
      <c r="O20" s="68">
        <f ca="1">IF(L20&gt;0,N20*100/L20,0)</f>
        <v>85.336189563448585</v>
      </c>
      <c r="P20" s="68">
        <f ca="1">IF(M20&gt;0,N20*100/M20,0)</f>
        <v>80.779816904433332</v>
      </c>
      <c r="Q20" s="68">
        <f ca="1">Q23+Q26</f>
        <v>639591.24</v>
      </c>
      <c r="R20" s="68">
        <f ca="1">R23+R26</f>
        <v>639591</v>
      </c>
      <c r="S20" s="68">
        <f ca="1">S23+S26</f>
        <v>93540</v>
      </c>
      <c r="T20" s="68">
        <f ca="1">IF(Q20&gt;0,S20*100/Q20,0)</f>
        <v>14.624965782833424</v>
      </c>
      <c r="U20" s="68">
        <f ca="1">IF(R20&gt;0,S20*100/R20,0)</f>
        <v>14.624971270702684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1533840</v>
      </c>
      <c r="M21" s="77">
        <f ca="1">M22+M23</f>
        <v>1620356</v>
      </c>
      <c r="N21" s="77">
        <f ca="1">N22+N23</f>
        <v>1308920.6099999999</v>
      </c>
      <c r="O21" s="77">
        <f ca="1">IF(L21&gt;0,N21*100/L21,0)</f>
        <v>85.336189563448585</v>
      </c>
      <c r="P21" s="77">
        <f ca="1">IF(M21&gt;0,N21*100/M21,0)</f>
        <v>80.779816904433332</v>
      </c>
      <c r="Q21" s="77">
        <f ca="1">Q22+Q23</f>
        <v>639591.24</v>
      </c>
      <c r="R21" s="77">
        <f ca="1">R22+R23</f>
        <v>639591</v>
      </c>
      <c r="S21" s="77">
        <f ca="1">S22+S23</f>
        <v>93540</v>
      </c>
      <c r="T21" s="77">
        <f ca="1">IF(Q21&gt;0,S21*100/Q21,0)</f>
        <v>14.624965782833424</v>
      </c>
      <c r="U21" s="77">
        <f ca="1">IF(R21&gt;0,S21*100/R21,0)</f>
        <v>14.624971270702684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1533840</v>
      </c>
      <c r="M23" s="77">
        <f ca="1">M49+M64+M77+M99+M130+M144+M162+M191+M178+M271+M287+M308+M325+M338+M361+M518</f>
        <v>1620356</v>
      </c>
      <c r="N23" s="77">
        <f ca="1">N49+N64+N77+N99+N130+N144+N162+N191+N178+N271+N287+N308+N325+N338+N361+N518</f>
        <v>1308920.6099999999</v>
      </c>
      <c r="O23" s="77">
        <f ca="1">IF(L23&gt;0,N23*100/L23,0)</f>
        <v>85.336189563448585</v>
      </c>
      <c r="P23" s="77">
        <f ca="1">IF(M23&gt;0,N23*100/M23,0)</f>
        <v>80.779816904433332</v>
      </c>
      <c r="Q23" s="77">
        <f ca="1">Q77+Q99+Q122+Q144+Q162+Q178+Q191+Q271+Q287+Q308+Q338+Q380+Q397+Q418+Q498+Q604+Q621+Q647+Q695+Q719+Q733+Q765</f>
        <v>639591.24</v>
      </c>
      <c r="R23" s="77">
        <f ca="1">R77+R99+R122+R144+R162+R178+R191+R271+R287+R308+R338+R380+R397+R418+R498+R604+R621+R647+R695+R719+R733+R765</f>
        <v>639591</v>
      </c>
      <c r="S23" s="77">
        <f ca="1">S77+S99+S122+S144+S162+S178+S191+S271+S287+S308+S338+S380+S397+S418+S498+S604+S621+S647+S695+S719+S733+S765</f>
        <v>93540</v>
      </c>
      <c r="T23" s="77">
        <f ca="1">IF(Q23&gt;0,S23*100/Q23,0)</f>
        <v>14.624965782833424</v>
      </c>
      <c r="U23" s="77">
        <f ca="1">IF(R23&gt;0,S23*100/R23,0)</f>
        <v>14.624971270702684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1533840</v>
      </c>
      <c r="M40" s="1308">
        <f ca="1">M44+M59+M72+M94+M125+M139+M157+M173+M186+M266+M282+M303+M320+M333+M356</f>
        <v>1620356</v>
      </c>
      <c r="N40" s="1308">
        <f ca="1">N44+N59+N72+N94+N125+N139+N157+N173+N186+N266+N282+N303+N320+N333+N356</f>
        <v>1308920.6099999999</v>
      </c>
      <c r="O40" s="1308">
        <f ca="1">IF(L40&gt;0,N40*100/L40,0)</f>
        <v>85.336189563448585</v>
      </c>
      <c r="P40" s="1308">
        <f ca="1">IF(M40&gt;0,N40*100/M40,0)</f>
        <v>80.779816904433332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213450</v>
      </c>
      <c r="M44" s="1304">
        <f ca="1">M45+M46</f>
        <v>225426</v>
      </c>
      <c r="N44" s="1304">
        <f ca="1">N45+N46</f>
        <v>208476</v>
      </c>
      <c r="O44" s="1304">
        <f ca="1">IF(L44&gt;0,N44*100/L44,0)</f>
        <v>97.669711876317635</v>
      </c>
      <c r="P44" s="1304">
        <f ca="1">IF(M44&gt;0,N44*100/M44,0)</f>
        <v>92.480902823986582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213450</v>
      </c>
      <c r="M46" s="1300">
        <f ca="1">M49+M52</f>
        <v>225426</v>
      </c>
      <c r="N46" s="1300">
        <f ca="1">N49+N52</f>
        <v>208476</v>
      </c>
      <c r="O46" s="1300">
        <f ca="1">IF(L46&gt;0,N46*100/L46,0)</f>
        <v>97.669711876317635</v>
      </c>
      <c r="P46" s="1300">
        <f ca="1">IF(M46&gt;0,N46*100/M46,0)</f>
        <v>92.480902823986582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213450</v>
      </c>
      <c r="M47" s="77">
        <f ca="1">M48+M49</f>
        <v>225426</v>
      </c>
      <c r="N47" s="77">
        <f ca="1">N48+N49</f>
        <v>208476</v>
      </c>
      <c r="O47" s="77">
        <f ca="1">IF(L47&gt;0,N47*100/L47,0)</f>
        <v>97.669711876317635</v>
      </c>
      <c r="P47" s="77">
        <f ca="1">IF(M47&gt;0,N47*100/M47,0)</f>
        <v>92.480902823986582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IFERROR(__xludf.DUMMYFUNCTION("IMPORTRANGE(""https://docs.google.com/spreadsheets/d/1-uDff_7J0KD5mKrp0Vvzr7lt3OU09vwQwhkpOPPYv2Y/edit?usp=sharing"",""งบพรบ!P59"")"),213450)</f>
        <v>213450</v>
      </c>
      <c r="M49" s="77">
        <f ca="1">IFERROR(__xludf.DUMMYFUNCTION("IMPORTRANGE(""https://docs.google.com/spreadsheets/d/1-uDff_7J0KD5mKrp0Vvzr7lt3OU09vwQwhkpOPPYv2Y/edit?usp=sharing"",""งบพรบ!V59"")"),225426)</f>
        <v>225426</v>
      </c>
      <c r="N49" s="77">
        <f ca="1">IFERROR(__xludf.DUMMYFUNCTION("IMPORTRANGE(""https://docs.google.com/spreadsheets/d/1-uDff_7J0KD5mKrp0Vvzr7lt3OU09vwQwhkpOPPYv2Y/edit?usp=sharing"",""งบพรบ!Y59"")"),208476)</f>
        <v>208476</v>
      </c>
      <c r="O49" s="77">
        <f ca="1">IF(L49&gt;0,N49*100/L49,0)</f>
        <v>97.669711876317635</v>
      </c>
      <c r="P49" s="77">
        <f ca="1">IF(M49&gt;0,N49*100/M49,0)</f>
        <v>92.480902823986582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IFERROR(__xludf.DUMMYFUNCTION("IMPORTRANGE(""https://docs.google.com/spreadsheets/d/1-uDff_7J0KD5mKrp0Vvzr7lt3OU09vwQwhkpOPPYv2Y/edit?usp=sharing"",""งบพรบ!S59"")"),0)</f>
        <v>0</v>
      </c>
      <c r="M52" s="77">
        <f ca="1">IFERROR(__xludf.DUMMYFUNCTION("IMPORTRANGE(""https://docs.google.com/spreadsheets/d/1-uDff_7J0KD5mKrp0Vvzr7lt3OU09vwQwhkpOPPYv2Y/edit?usp=sharing"",""งบพรบ!W59"")"),0)</f>
        <v>0</v>
      </c>
      <c r="N52" s="77">
        <f ca="1">IFERROR(__xludf.DUMMYFUNCTION("IMPORTRANGE(""https://docs.google.com/spreadsheets/d/1-uDff_7J0KD5mKrp0Vvzr7lt3OU09vwQwhkpOPPYv2Y/edit?usp=sharing"",""งบพรบ!Z59"")"),0)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439000</v>
      </c>
      <c r="M59" s="1297">
        <f ca="1">M60+M61</f>
        <v>498540</v>
      </c>
      <c r="N59" s="1297">
        <f ca="1">N60+N61</f>
        <v>422914.61</v>
      </c>
      <c r="O59" s="1297">
        <f ca="1">IF(L59&gt;0,N59*100/L59,0)</f>
        <v>96.335902050113901</v>
      </c>
      <c r="P59" s="1297">
        <f ca="1">IF(M59&gt;0,N59*100/M59,0)</f>
        <v>84.830627432101736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439000</v>
      </c>
      <c r="M61" s="1293">
        <f ca="1">M64+M67</f>
        <v>498540</v>
      </c>
      <c r="N61" s="1293">
        <f ca="1">N64+N67</f>
        <v>422914.61</v>
      </c>
      <c r="O61" s="1293">
        <f ca="1">IF(L61&gt;0,N61*100/L61,0)</f>
        <v>96.335902050113901</v>
      </c>
      <c r="P61" s="1293">
        <f ca="1">IF(M61&gt;0,N61*100/M61,0)</f>
        <v>84.830627432101736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439000</v>
      </c>
      <c r="M62" s="77">
        <f ca="1">M63+M64</f>
        <v>498540</v>
      </c>
      <c r="N62" s="77">
        <f ca="1">N63+N64</f>
        <v>422914.61</v>
      </c>
      <c r="O62" s="77">
        <f ca="1">IF(L62&gt;0,N62*100/L62,0)</f>
        <v>96.335902050113901</v>
      </c>
      <c r="P62" s="77">
        <f ca="1">IF(M62&gt;0,N62*100/M62,0)</f>
        <v>84.830627432101736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IFERROR(__xludf.DUMMYFUNCTION("IMPORTRANGE(""https://docs.google.com/spreadsheets/d/1-uDff_7J0KD5mKrp0Vvzr7lt3OU09vwQwhkpOPPYv2Y/edit?usp=sharing"",""งบพรบ!AC59"")"),439000)</f>
        <v>439000</v>
      </c>
      <c r="M64" s="77">
        <f ca="1">IFERROR(__xludf.DUMMYFUNCTION("IMPORTRANGE(""https://docs.google.com/spreadsheets/d/1-uDff_7J0KD5mKrp0Vvzr7lt3OU09vwQwhkpOPPYv2Y/edit?usp=sharing"",""งบพรบ!AH59"")"),498540)</f>
        <v>498540</v>
      </c>
      <c r="N64" s="77">
        <f ca="1">IFERROR(__xludf.DUMMYFUNCTION("IMPORTRANGE(""https://docs.google.com/spreadsheets/d/1-uDff_7J0KD5mKrp0Vvzr7lt3OU09vwQwhkpOPPYv2Y/edit?usp=sharing"",""งบพรบ!AJ59"")"),422914.61)</f>
        <v>422914.61</v>
      </c>
      <c r="O64" s="77">
        <f ca="1">IF(L64&gt;0,N64*100/L64,0)</f>
        <v>96.335902050113901</v>
      </c>
      <c r="P64" s="77">
        <f ca="1">IF(M64&gt;0,N64*100/M64,0)</f>
        <v>84.830627432101736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IFERROR(__xludf.DUMMYFUNCTION("IMPORTRANGE(""https://docs.google.com/spreadsheets/d/1-uDff_7J0KD5mKrp0Vvzr7lt3OU09vwQwhkpOPPYv2Y/edit?usp=sharing"",""งบพรบ!AF59"")"),0)</f>
        <v>0</v>
      </c>
      <c r="M67" s="185">
        <f ca="1">IFERROR(__xludf.DUMMYFUNCTION("IMPORTRANGE(""https://docs.google.com/spreadsheets/d/1-uDff_7J0KD5mKrp0Vvzr7lt3OU09vwQwhkpOPPYv2Y/edit?usp=sharing"",""งบพรบ!AI59"")"),0)</f>
        <v>0</v>
      </c>
      <c r="N67" s="185">
        <f ca="1">IFERROR(__xludf.DUMMYFUNCTION("IMPORTRANGE(""https://docs.google.com/spreadsheets/d/1-uDff_7J0KD5mKrp0Vvzr7lt3OU09vwQwhkpOPPYv2Y/edit?usp=sharing"",""งบพรบ!AK59"")"),0)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IFERROR(__xludf.DUMMYFUNCTION("IMPORTRANGE(""https://docs.google.com/spreadsheets/d/1-uDff_7J0KD5mKrp0Vvzr7lt3OU09vwQwhkpOPPYv2Y/edit?usp=sharing"",""งบพรบ!AM59"")"),0)</f>
        <v>0</v>
      </c>
      <c r="M77" s="77">
        <f ca="1">IFERROR(__xludf.DUMMYFUNCTION("IMPORTRANGE(""https://docs.google.com/spreadsheets/d/1-uDff_7J0KD5mKrp0Vvzr7lt3OU09vwQwhkpOPPYv2Y/edit?usp=sharing"",""งบพรบ!AR59"")"),0)</f>
        <v>0</v>
      </c>
      <c r="N77" s="77">
        <f ca="1">IFERROR(__xludf.DUMMYFUNCTION("IMPORTRANGE(""https://docs.google.com/spreadsheets/d/1-uDff_7J0KD5mKrp0Vvzr7lt3OU09vwQwhkpOPPYv2Y/edit?usp=sharing"",""งบพรบ!AT59"")"),0)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IFERROR(__xludf.DUMMYFUNCTION("IMPORTRANGE(""https://docs.google.com/spreadsheets/d/1ItG2mGa2ceCfYo0BwxsXqNm01IGEUdYcSSLTEv9YCik/edit?usp=sharing"",""เบิกจ่ายกองทุน!AS59"")"),0)</f>
        <v>0</v>
      </c>
      <c r="R77" s="77">
        <f ca="1">IFERROR(__xludf.DUMMYFUNCTION("IMPORTRANGE(""https://docs.google.com/spreadsheets/d/1ItG2mGa2ceCfYo0BwxsXqNm01IGEUdYcSSLTEv9YCik/edit?usp=sharing"",""เบิกจ่ายกองทุน!AT59"")"),0)</f>
        <v>0</v>
      </c>
      <c r="S77" s="77">
        <f ca="1">IFERROR(__xludf.DUMMYFUNCTION("IMPORTRANGE(""https://docs.google.com/spreadsheets/d/1ItG2mGa2ceCfYo0BwxsXqNm01IGEUdYcSSLTEv9YCik/edit?usp=sharing"",""เบิกจ่ายกองทุน!AU59"")"),0)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IFERROR(__xludf.DUMMYFUNCTION("IMPORTRANGE(""https://docs.google.com/spreadsheets/d/1-uDff_7J0KD5mKrp0Vvzr7lt3OU09vwQwhkpOPPYv2Y/edit?usp=sharing"",""งบพรบ!AP59"")"),0)</f>
        <v>0</v>
      </c>
      <c r="M80" s="77">
        <f ca="1">IFERROR(__xludf.DUMMYFUNCTION("IMPORTRANGE(""https://docs.google.com/spreadsheets/d/1-uDff_7J0KD5mKrp0Vvzr7lt3OU09vwQwhkpOPPYv2Y/edit?usp=sharing"",""งบพรบ!AS59"")"),0)</f>
        <v>0</v>
      </c>
      <c r="N80" s="77">
        <f ca="1">IFERROR(__xludf.DUMMYFUNCTION("IMPORTRANGE(""https://docs.google.com/spreadsheets/d/1-uDff_7J0KD5mKrp0Vvzr7lt3OU09vwQwhkpOPPYv2Y/edit?usp=sharing"",""งบพรบ!AU59"")"),0)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IFERROR(__xludf.DUMMYFUNCTION("IMPORTRANGE(""https://docs.google.com/spreadsheets/d/1eHaY18a8A9IcSdp1K8H6x8fbOy06t2VsZHhMHf-1x7Y/edit?usp=sharing"",""แผน!H59"")"),0)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IFERROR(__xludf.DUMMYFUNCTION("IMPORTRANGE(""https://docs.google.com/spreadsheets/d/1eHaY18a8A9IcSdp1K8H6x8fbOy06t2VsZHhMHf-1x7Y/edit?usp=sharing"",""แผน!I59"")"),0)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IFERROR(__xludf.DUMMYFUNCTION("IMPORTRANGE(""https://docs.google.com/spreadsheets/d/1eHaY18a8A9IcSdp1K8H6x8fbOy06t2VsZHhMHf-1x7Y/edit?usp=sharing"",""แผน!F59"")"),0)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IFERROR(__xludf.DUMMYFUNCTION("IMPORTRANGE(""https://docs.google.com/spreadsheets/d/1eHaY18a8A9IcSdp1K8H6x8fbOy06t2VsZHhMHf-1x7Y/edit?usp=sharing"",""แผน!G59"")"),0)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IFERROR(__xludf.DUMMYFUNCTION("IMPORTRANGE(""https://docs.google.com/spreadsheets/d/1eHaY18a8A9IcSdp1K8H6x8fbOy06t2VsZHhMHf-1x7Y/edit?usp=sharing"",""แผน!D59"")"),0)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IFERROR(__xludf.DUMMYFUNCTION("IMPORTRANGE(""https://docs.google.com/spreadsheets/d/1eHaY18a8A9IcSdp1K8H6x8fbOy06t2VsZHhMHf-1x7Y/edit?usp=sharing"",""แผน!E59"")"),0)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IFERROR(__xludf.DUMMYFUNCTION("IMPORTRANGE(""https://docs.google.com/spreadsheets/d/1eHaY18a8A9IcSdp1K8H6x8fbOy06t2VsZHhMHf-1x7Y/edit?usp=sharing"",""แผน!J59"")"),0)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IFERROR(__xludf.DUMMYFUNCTION("IMPORTRANGE(""https://docs.google.com/spreadsheets/d/1-uDff_7J0KD5mKrp0Vvzr7lt3OU09vwQwhkpOPPYv2Y/edit?usp=sharing"",""งบพรบ!AW59"")"),0)</f>
        <v>0</v>
      </c>
      <c r="M99" s="77">
        <f ca="1">IFERROR(__xludf.DUMMYFUNCTION("IMPORTRANGE(""https://docs.google.com/spreadsheets/d/1-uDff_7J0KD5mKrp0Vvzr7lt3OU09vwQwhkpOPPYv2Y/edit?usp=sharing"",""งบพรบ!BB59"")"),0)</f>
        <v>0</v>
      </c>
      <c r="N99" s="77">
        <f ca="1">IFERROR(__xludf.DUMMYFUNCTION("IMPORTRANGE(""https://docs.google.com/spreadsheets/d/1-uDff_7J0KD5mKrp0Vvzr7lt3OU09vwQwhkpOPPYv2Y/edit?usp=sharing"",""งบพรบ!BD59"")"),0)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IFERROR(__xludf.DUMMYFUNCTION("IMPORTRANGE(""https://docs.google.com/spreadsheets/d/1ItG2mGa2ceCfYo0BwxsXqNm01IGEUdYcSSLTEv9YCik/edit?usp=sharing"",""เบิกจ่ายกองทุน!AD59"")"),0)</f>
        <v>0</v>
      </c>
      <c r="R99" s="77">
        <f ca="1">IFERROR(__xludf.DUMMYFUNCTION("IMPORTRANGE(""https://docs.google.com/spreadsheets/d/1ItG2mGa2ceCfYo0BwxsXqNm01IGEUdYcSSLTEv9YCik/edit?usp=sharing"",""เบิกจ่ายกองทุน!AE59"")"),0)</f>
        <v>0</v>
      </c>
      <c r="S99" s="77">
        <f ca="1">IFERROR(__xludf.DUMMYFUNCTION("IMPORTRANGE(""https://docs.google.com/spreadsheets/d/1ItG2mGa2ceCfYo0BwxsXqNm01IGEUdYcSSLTEv9YCik/edit?usp=sharing"",""เบิกจ่ายกองทุน!AF59"")"),0)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IFERROR(__xludf.DUMMYFUNCTION("IMPORTRANGE(""https://docs.google.com/spreadsheets/d/1-uDff_7J0KD5mKrp0Vvzr7lt3OU09vwQwhkpOPPYv2Y/edit?usp=sharing"",""งบพรบ!AZ59"")"),0)</f>
        <v>0</v>
      </c>
      <c r="M102" s="77">
        <f ca="1">IFERROR(__xludf.DUMMYFUNCTION("IMPORTRANGE(""https://docs.google.com/spreadsheets/d/1-uDff_7J0KD5mKrp0Vvzr7lt3OU09vwQwhkpOPPYv2Y/edit?usp=sharing"",""งบพรบ!BC59"")"),0)</f>
        <v>0</v>
      </c>
      <c r="N102" s="77">
        <f ca="1">IFERROR(__xludf.DUMMYFUNCTION("IMPORTRANGE(""https://docs.google.com/spreadsheets/d/1-uDff_7J0KD5mKrp0Vvzr7lt3OU09vwQwhkpOPPYv2Y/edit?usp=sharing"",""งบพรบ!BE59"")"),0)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IFERROR(__xludf.DUMMYFUNCTION("IMPORTRANGE(""https://docs.google.com/spreadsheets/d/1eHaY18a8A9IcSdp1K8H6x8fbOy06t2VsZHhMHf-1x7Y/edit?usp=sharing"",""แผน!N59"")"),0)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IFERROR(__xludf.DUMMYFUNCTION("IMPORTRANGE(""https://docs.google.com/spreadsheets/d/1eHaY18a8A9IcSdp1K8H6x8fbOy06t2VsZHhMHf-1x7Y/edit?usp=sharing"",""แผน!O59"")"),0)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IFERROR(__xludf.DUMMYFUNCTION("IMPORTRANGE(""https://docs.google.com/spreadsheets/d/1eHaY18a8A9IcSdp1K8H6x8fbOy06t2VsZHhMHf-1x7Y/edit?usp=sharing"",""แผน!R59"")"),0)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20</v>
      </c>
      <c r="J116" s="975">
        <f>J127</f>
        <v>20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25850</v>
      </c>
      <c r="T117" s="266">
        <f ca="1">IF(Q117&gt;0,S117*100/Q117,0)</f>
        <v>12.34715322888804</v>
      </c>
      <c r="U117" s="266">
        <f ca="1">IF(R117&gt;0,S117*100/R117,0)</f>
        <v>12.34715322888804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25850</v>
      </c>
      <c r="T119" s="77">
        <f ca="1">IF(Q119&gt;0,S119*100/Q119,0)</f>
        <v>12.34715322888804</v>
      </c>
      <c r="U119" s="77">
        <f ca="1">IF(R119&gt;0,S119*100/R119,0)</f>
        <v>12.34715322888804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25850</v>
      </c>
      <c r="T120" s="77">
        <f ca="1">IF(Q120&gt;0,S120*100/Q120,0)</f>
        <v>12.34715322888804</v>
      </c>
      <c r="U120" s="77">
        <f ca="1">IF(R120&gt;0,S120*100/R120,0)</f>
        <v>12.34715322888804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IFERROR(__xludf.DUMMYFUNCTION("IMPORTRANGE(""https://docs.google.com/spreadsheets/d/1-uDff_7J0KD5mKrp0Vvzr7lt3OU09vwQwhkpOPPYv2Y/edit?usp=sharing"",""งบพรบ!BG59"")"),0)</f>
        <v>0</v>
      </c>
      <c r="M122" s="77">
        <f ca="1">IFERROR(__xludf.DUMMYFUNCTION("IMPORTRANGE(""https://docs.google.com/spreadsheets/d/1-uDff_7J0KD5mKrp0Vvzr7lt3OU09vwQwhkpOPPYv2Y/edit?usp=sharing"",""งบพรบ!BL59"")"),0)</f>
        <v>0</v>
      </c>
      <c r="N122" s="77">
        <f ca="1">IFERROR(__xludf.DUMMYFUNCTION("IMPORTRANGE(""https://docs.google.com/spreadsheets/d/1-uDff_7J0KD5mKrp0Vvzr7lt3OU09vwQwhkpOPPYv2Y/edit?usp=sharing"",""งบพรบ!BN59"")"),0)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IFERROR(__xludf.DUMMYFUNCTION("IMPORTRANGE(""https://docs.google.com/spreadsheets/d/1ItG2mGa2ceCfYo0BwxsXqNm01IGEUdYcSSLTEv9YCik/edit?usp=sharing"",""เบิกจ่ายกองทุน!R59"")"),209360)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IFERROR(__xludf.DUMMYFUNCTION("IMPORTRANGE(""https://docs.google.com/spreadsheets/d/1ItG2mGa2ceCfYo0BwxsXqNm01IGEUdYcSSLTEv9YCik/edit?usp=sharing"",""เบิกจ่ายกองทุน!S59"")"),209360)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IFERROR(__xludf.DUMMYFUNCTION("IMPORTRANGE(""https://docs.google.com/spreadsheets/d/1ItG2mGa2ceCfYo0BwxsXqNm01IGEUdYcSSLTEv9YCik/edit?usp=sharing"",""เบิกจ่ายกองทุน!T59"")"),25850)</f>
        <v>25850</v>
      </c>
      <c r="T122" s="77">
        <f ca="1">IF(Q122&gt;0,S122*100/Q122,0)</f>
        <v>12.34715322888804</v>
      </c>
      <c r="U122" s="77">
        <f ca="1">IF(R122&gt;0,S122*100/R122,0)</f>
        <v>12.34715322888804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IFERROR(__xludf.DUMMYFUNCTION("IMPORTRANGE(""https://docs.google.com/spreadsheets/d/1-uDff_7J0KD5mKrp0Vvzr7lt3OU09vwQwhkpOPPYv2Y/edit?usp=sharing"",""งบพรบ!BJ59"")"),0)</f>
        <v>0</v>
      </c>
      <c r="M125" s="77">
        <f ca="1">IFERROR(__xludf.DUMMYFUNCTION("IMPORTRANGE(""https://docs.google.com/spreadsheets/d/1-uDff_7J0KD5mKrp0Vvzr7lt3OU09vwQwhkpOPPYv2Y/edit?usp=sharing"",""งบพรบ!BM59"")"),0)</f>
        <v>0</v>
      </c>
      <c r="N125" s="77">
        <f ca="1">IFERROR(__xludf.DUMMYFUNCTION("IMPORTRANGE(""https://docs.google.com/spreadsheets/d/1-uDff_7J0KD5mKrp0Vvzr7lt3OU09vwQwhkpOPPYv2Y/edit?usp=sharing"",""งบพรบ!BO59"")"),0)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IFERROR(__xludf.DUMMYFUNCTION("IMPORTRANGE(""https://docs.google.com/spreadsheets/d/1eHaY18a8A9IcSdp1K8H6x8fbOy06t2VsZHhMHf-1x7Y/edit?usp=sharing"",""แผน!FF59"")"),20)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IFERROR(__xludf.DUMMYFUNCTION("IMPORTRANGE(""https://docs.google.com/spreadsheets/d/1eHaY18a8A9IcSdp1K8H6x8fbOy06t2VsZHhMHf-1x7Y/edit?usp=sharing"",""แผน!FG59"")"),0)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IFERROR(__xludf.DUMMYFUNCTION("IMPORTRANGE(""https://docs.google.com/spreadsheets/d/1eHaY18a8A9IcSdp1K8H6x8fbOy06t2VsZHhMHf-1x7Y/edit?usp=sharing"",""แผน!FH59"")"),20)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IFERROR(__xludf.DUMMYFUNCTION("IMPORTRANGE(""https://docs.google.com/spreadsheets/d/1eHaY18a8A9IcSdp1K8H6x8fbOy06t2VsZHhMHf-1x7Y/edit?usp=sharing"",""แผน!FI59"")"),0)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IFERROR(__xludf.DUMMYFUNCTION("IMPORTRANGE(""https://docs.google.com/spreadsheets/d/1-uDff_7J0KD5mKrp0Vvzr7lt3OU09vwQwhkpOPPYv2Y/edit?usp=sharing"",""งบพรบ!BQ59"")"),0)</f>
        <v>0</v>
      </c>
      <c r="M144" s="77">
        <f ca="1">IFERROR(__xludf.DUMMYFUNCTION("IMPORTRANGE(""https://docs.google.com/spreadsheets/d/1-uDff_7J0KD5mKrp0Vvzr7lt3OU09vwQwhkpOPPYv2Y/edit?usp=sharing"",""งบพรบ!BV59"")"),0)</f>
        <v>0</v>
      </c>
      <c r="N144" s="77">
        <f ca="1">IFERROR(__xludf.DUMMYFUNCTION("IMPORTRANGE(""https://docs.google.com/spreadsheets/d/1-uDff_7J0KD5mKrp0Vvzr7lt3OU09vwQwhkpOPPYv2Y/edit?usp=sharing"",""งบพรบ!BX59"")"),0)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IFERROR(__xludf.DUMMYFUNCTION("IMPORTRANGE(""https://docs.google.com/spreadsheets/d/1ItG2mGa2ceCfYo0BwxsXqNm01IGEUdYcSSLTEv9YCik/edit?usp=sharing"",""เบิกจ่ายกองทุน!BB59"")"),0)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IFERROR(__xludf.DUMMYFUNCTION("IMPORTRANGE(""https://docs.google.com/spreadsheets/d/1ItG2mGa2ceCfYo0BwxsXqNm01IGEUdYcSSLTEv9YCik/edit?usp=sharing"",""เบิกจ่ายกองทุน!BC59"")"),0)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IFERROR(__xludf.DUMMYFUNCTION("IMPORTRANGE(""https://docs.google.com/spreadsheets/d/1ItG2mGa2ceCfYo0BwxsXqNm01IGEUdYcSSLTEv9YCik/edit?usp=sharing"",""เบิกจ่ายกองทุน!BD59"")"),0)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IFERROR(__xludf.DUMMYFUNCTION("IMPORTRANGE(""https://docs.google.com/spreadsheets/d/1-uDff_7J0KD5mKrp0Vvzr7lt3OU09vwQwhkpOPPYv2Y/edit?usp=sharing"",""งบพรบ!BT59"")"),0)</f>
        <v>0</v>
      </c>
      <c r="M147" s="77">
        <f ca="1">IFERROR(__xludf.DUMMYFUNCTION("IMPORTRANGE(""https://docs.google.com/spreadsheets/d/1-uDff_7J0KD5mKrp0Vvzr7lt3OU09vwQwhkpOPPYv2Y/edit?usp=sharing"",""งบพรบ!BW59"")"),0)</f>
        <v>0</v>
      </c>
      <c r="N147" s="77">
        <f ca="1">IFERROR(__xludf.DUMMYFUNCTION("IMPORTRANGE(""https://docs.google.com/spreadsheets/d/1-uDff_7J0KD5mKrp0Vvzr7lt3OU09vwQwhkpOPPYv2Y/edit?usp=sharing"",""งบพรบ!BY59"")"),0)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IFERROR(__xludf.DUMMYFUNCTION("IMPORTRANGE(""https://docs.google.com/spreadsheets/d/1eHaY18a8A9IcSdp1K8H6x8fbOy06t2VsZHhMHf-1x7Y/edit?usp=sharing"",""แผน!U59"")"),0)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IFERROR(__xludf.DUMMYFUNCTION("IMPORTRANGE(""https://docs.google.com/spreadsheets/d/1eHaY18a8A9IcSdp1K8H6x8fbOy06t2VsZHhMHf-1x7Y/edit?usp=sharing"",""แผน!V59"")"),0)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IFERROR(__xludf.DUMMYFUNCTION("IMPORTRANGE(""https://docs.google.com/spreadsheets/d/1eHaY18a8A9IcSdp1K8H6x8fbOy06t2VsZHhMHf-1x7Y/edit?usp=sharing"",""แผน!W59"")"),0)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IFERROR(__xludf.DUMMYFUNCTION("IMPORTRANGE(""https://docs.google.com/spreadsheets/d/1eHaY18a8A9IcSdp1K8H6x8fbOy06t2VsZHhMHf-1x7Y/edit?usp=sharing"",""แผน!X59"")"),0)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IFERROR(__xludf.DUMMYFUNCTION("IMPORTRANGE(""https://docs.google.com/spreadsheets/d/1eHaY18a8A9IcSdp1K8H6x8fbOy06t2VsZHhMHf-1x7Y/edit?usp=sharing"",""แผน!Y59"")"),0)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IFERROR(__xludf.DUMMYFUNCTION("IMPORTRANGE(""https://docs.google.com/spreadsheets/d/1-uDff_7J0KD5mKrp0Vvzr7lt3OU09vwQwhkpOPPYv2Y/edit?usp=sharing"",""งบพรบ!CA59"")"),0)</f>
        <v>0</v>
      </c>
      <c r="M162" s="77">
        <f ca="1">IFERROR(__xludf.DUMMYFUNCTION("IMPORTRANGE(""https://docs.google.com/spreadsheets/d/1-uDff_7J0KD5mKrp0Vvzr7lt3OU09vwQwhkpOPPYv2Y/edit?usp=sharing"",""งบพรบ!CF59"")"),0)</f>
        <v>0</v>
      </c>
      <c r="N162" s="77">
        <f ca="1">IFERROR(__xludf.DUMMYFUNCTION("IMPORTRANGE(""https://docs.google.com/spreadsheets/d/1-uDff_7J0KD5mKrp0Vvzr7lt3OU09vwQwhkpOPPYv2Y/edit?usp=sharing"",""งบพรบ!CH59"")"),0)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IFERROR(__xludf.DUMMYFUNCTION("IMPORTRANGE(""https://docs.google.com/spreadsheets/d/1ItG2mGa2ceCfYo0BwxsXqNm01IGEUdYcSSLTEv9YCik/edit?usp=sharing"",""เบิกจ่ายกองทุน!AG59"")"),0)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IFERROR(__xludf.DUMMYFUNCTION("IMPORTRANGE(""https://docs.google.com/spreadsheets/d/1ItG2mGa2ceCfYo0BwxsXqNm01IGEUdYcSSLTEv9YCik/edit?usp=sharing"",""เบิกจ่ายกองทุน!AH59"")"),0)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IFERROR(__xludf.DUMMYFUNCTION("IMPORTRANGE(""https://docs.google.com/spreadsheets/d/1ItG2mGa2ceCfYo0BwxsXqNm01IGEUdYcSSLTEv9YCik/edit?usp=sharing"",""เบิกจ่ายกองทุน!AI59"")"),0)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IFERROR(__xludf.DUMMYFUNCTION("IMPORTRANGE(""https://docs.google.com/spreadsheets/d/1-uDff_7J0KD5mKrp0Vvzr7lt3OU09vwQwhkpOPPYv2Y/edit?usp=sharing"",""งบพรบ!CD59"")"),0)</f>
        <v>0</v>
      </c>
      <c r="M165" s="77">
        <f ca="1">IFERROR(__xludf.DUMMYFUNCTION("IMPORTRANGE(""https://docs.google.com/spreadsheets/d/1-uDff_7J0KD5mKrp0Vvzr7lt3OU09vwQwhkpOPPYv2Y/edit?usp=sharing"",""งบพรบ!CG59"")"),0)</f>
        <v>0</v>
      </c>
      <c r="N165" s="77">
        <f ca="1">IFERROR(__xludf.DUMMYFUNCTION("IMPORTRANGE(""https://docs.google.com/spreadsheets/d/1-uDff_7J0KD5mKrp0Vvzr7lt3OU09vwQwhkpOPPYv2Y/edit?usp=sharing"",""งบพรบ!CI59"")"),0)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IFERROR(__xludf.DUMMYFUNCTION("IMPORTRANGE(""https://docs.google.com/spreadsheets/d/1eHaY18a8A9IcSdp1K8H6x8fbOy06t2VsZHhMHf-1x7Y/edit?usp=sharing"",""แผน!Z59"")"),0)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IFERROR(__xludf.DUMMYFUNCTION("IMPORTRANGE(""https://docs.google.com/spreadsheets/d/1eHaY18a8A9IcSdp1K8H6x8fbOy06t2VsZHhMHf-1x7Y/edit?usp=sharing"",""แผน!Z59"")"),0)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IFERROR(__xludf.DUMMYFUNCTION("IMPORTRANGE(""https://docs.google.com/spreadsheets/d/1eHaY18a8A9IcSdp1K8H6x8fbOy06t2VsZHhMHf-1x7Y/edit?usp=sharing"",""แผน!Z59"")"),0)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hidden="1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0</v>
      </c>
      <c r="J172" s="1165">
        <f>J183+J184</f>
        <v>0</v>
      </c>
      <c r="K172" s="1164">
        <f ca="1">IF(I172&gt;0,J172*100/I172,0)</f>
        <v>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hidden="1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0</v>
      </c>
      <c r="M173" s="266">
        <f ca="1">M174+M175</f>
        <v>10040</v>
      </c>
      <c r="N173" s="266">
        <f ca="1">N174+N175</f>
        <v>0</v>
      </c>
      <c r="O173" s="266">
        <f ca="1">IF(L173&gt;0,N173*100/L173,0)</f>
        <v>0</v>
      </c>
      <c r="P173" s="266">
        <f ca="1">IF(M173&gt;0,N173*100/M173,0)</f>
        <v>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0</v>
      </c>
      <c r="M175" s="77">
        <f ca="1">M178+M181</f>
        <v>10040</v>
      </c>
      <c r="N175" s="77">
        <f ca="1">N178+N181</f>
        <v>0</v>
      </c>
      <c r="O175" s="77">
        <f ca="1">IF(L175&gt;0,N175*100/L175,0)</f>
        <v>0</v>
      </c>
      <c r="P175" s="77">
        <f ca="1">IF(M175&gt;0,N175*100/M175,0)</f>
        <v>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hidden="1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0</v>
      </c>
      <c r="M176" s="77">
        <f ca="1">M177+M178</f>
        <v>10040</v>
      </c>
      <c r="N176" s="77">
        <f ca="1">N177+N178</f>
        <v>0</v>
      </c>
      <c r="O176" s="77">
        <f ca="1">IF(L176&gt;0,N176*100/L176,0)</f>
        <v>0</v>
      </c>
      <c r="P176" s="77">
        <f ca="1">IF(M176&gt;0,N176*100/M176,0)</f>
        <v>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IFERROR(__xludf.DUMMYFUNCTION("IMPORTRANGE(""https://docs.google.com/spreadsheets/d/1-uDff_7J0KD5mKrp0Vvzr7lt3OU09vwQwhkpOPPYv2Y/edit?usp=sharing"",""งบพรบ!CK59"")"),0)</f>
        <v>0</v>
      </c>
      <c r="M178" s="77">
        <f ca="1">IFERROR(__xludf.DUMMYFUNCTION("IMPORTRANGE(""https://docs.google.com/spreadsheets/d/1-uDff_7J0KD5mKrp0Vvzr7lt3OU09vwQwhkpOPPYv2Y/edit?usp=sharing"",""งบพรบ!CP59"")"),10040)</f>
        <v>10040</v>
      </c>
      <c r="N178" s="77">
        <f ca="1">IFERROR(__xludf.DUMMYFUNCTION("IMPORTRANGE(""https://docs.google.com/spreadsheets/d/1-uDff_7J0KD5mKrp0Vvzr7lt3OU09vwQwhkpOPPYv2Y/edit?usp=sharing"",""งบพรบ!CR59"")"),0)</f>
        <v>0</v>
      </c>
      <c r="O178" s="77">
        <f ca="1">IF(L178&gt;0,N178*100/L178,0)</f>
        <v>0</v>
      </c>
      <c r="P178" s="77">
        <f ca="1">IF(M178&gt;0,N178*100/M178,0)</f>
        <v>0</v>
      </c>
      <c r="Q178" s="77">
        <f ca="1">IFERROR(__xludf.DUMMYFUNCTION("IMPORTRANGE(""https://docs.google.com/spreadsheets/d/1ItG2mGa2ceCfYo0BwxsXqNm01IGEUdYcSSLTEv9YCik/edit?usp=sharing"",""เบิกจ่ายกองทุน!BE59"")"),0)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IFERROR(__xludf.DUMMYFUNCTION("IMPORTRANGE(""https://docs.google.com/spreadsheets/d/1ItG2mGa2ceCfYo0BwxsXqNm01IGEUdYcSSLTEv9YCik/edit?usp=sharing"",""เบิกจ่ายกองทุน!BF59"")"),0)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IFERROR(__xludf.DUMMYFUNCTION("IMPORTRANGE(""https://docs.google.com/spreadsheets/d/1ItG2mGa2ceCfYo0BwxsXqNm01IGEUdYcSSLTEv9YCik/edit?usp=sharing"",""เบิกจ่ายกองทุน!BG59"")"),0)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hidden="1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IFERROR(__xludf.DUMMYFUNCTION("IMPORTRANGE(""https://docs.google.com/spreadsheets/d/1-uDff_7J0KD5mKrp0Vvzr7lt3OU09vwQwhkpOPPYv2Y/edit?usp=sharing"",""งบพรบ!CN59"")"),0)</f>
        <v>0</v>
      </c>
      <c r="M181" s="77">
        <f ca="1">IFERROR(__xludf.DUMMYFUNCTION("IMPORTRANGE(""https://docs.google.com/spreadsheets/d/1-uDff_7J0KD5mKrp0Vvzr7lt3OU09vwQwhkpOPPYv2Y/edit?usp=sharing"",""งบพรบ!CQ59"")"),0)</f>
        <v>0</v>
      </c>
      <c r="N181" s="77">
        <f ca="1">IFERROR(__xludf.DUMMYFUNCTION("IMPORTRANGE(""https://docs.google.com/spreadsheets/d/1-uDff_7J0KD5mKrp0Vvzr7lt3OU09vwQwhkpOPPYv2Y/edit?usp=sharing"",""งบพรบ!CS59"")"),0)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hidden="1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hidden="1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IFERROR(__xludf.DUMMYFUNCTION("IMPORTRANGE(""https://docs.google.com/spreadsheets/d/1eHaY18a8A9IcSdp1K8H6x8fbOy06t2VsZHhMHf-1x7Y/edit?usp=sharing"",""แผน!AA59"")"),0)</f>
        <v>0</v>
      </c>
      <c r="J183" s="296">
        <v>0</v>
      </c>
      <c r="K183" s="77">
        <f ca="1">IF(I183&gt;0,J183*100/I183,0)</f>
        <v>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20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234300</v>
      </c>
      <c r="M186" s="266">
        <f ca="1">M187+M188</f>
        <v>229260</v>
      </c>
      <c r="N186" s="266">
        <f ca="1">N187+N188</f>
        <v>162228</v>
      </c>
      <c r="O186" s="266">
        <f ca="1">IF(L186&gt;0,N186*100/L186,0)</f>
        <v>69.239436619718305</v>
      </c>
      <c r="P186" s="266">
        <f ca="1">IF(M186&gt;0,N186*100/M186,0)</f>
        <v>70.761580738026694</v>
      </c>
      <c r="Q186" s="266">
        <f ca="1">Q187+Q188</f>
        <v>14000</v>
      </c>
      <c r="R186" s="266">
        <f ca="1">R187+R188</f>
        <v>14000</v>
      </c>
      <c r="S186" s="266">
        <f ca="1">S187+S188</f>
        <v>14000</v>
      </c>
      <c r="T186" s="266">
        <f ca="1">IF(Q186&gt;0,S186*100/Q186,0)</f>
        <v>100</v>
      </c>
      <c r="U186" s="266">
        <f ca="1">IF(R186&gt;0,S186*100/R186,0)</f>
        <v>100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234300</v>
      </c>
      <c r="M188" s="77">
        <f ca="1">M191+M194</f>
        <v>229260</v>
      </c>
      <c r="N188" s="77">
        <f ca="1">N191+N194</f>
        <v>162228</v>
      </c>
      <c r="O188" s="77">
        <f ca="1">IF(L188&gt;0,N188*100/L188,0)</f>
        <v>69.239436619718305</v>
      </c>
      <c r="P188" s="77">
        <f ca="1">IF(M188&gt;0,N188*100/M188,0)</f>
        <v>70.761580738026694</v>
      </c>
      <c r="Q188" s="77">
        <f ca="1">Q191+Q194</f>
        <v>14000</v>
      </c>
      <c r="R188" s="77">
        <f ca="1">R191+R194</f>
        <v>14000</v>
      </c>
      <c r="S188" s="77">
        <f ca="1">S191+S194</f>
        <v>14000</v>
      </c>
      <c r="T188" s="77">
        <f ca="1">IF(Q188&gt;0,S188*100/Q188,0)</f>
        <v>100</v>
      </c>
      <c r="U188" s="77">
        <f ca="1">IF(R188&gt;0,S188*100/R188,0)</f>
        <v>100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234300</v>
      </c>
      <c r="M189" s="77">
        <f ca="1">M190+M191</f>
        <v>229260</v>
      </c>
      <c r="N189" s="77">
        <f ca="1">N190+N191</f>
        <v>162228</v>
      </c>
      <c r="O189" s="77">
        <f ca="1">IF(L189&gt;0,N189*100/L189,0)</f>
        <v>69.239436619718305</v>
      </c>
      <c r="P189" s="77">
        <f ca="1">IF(M189&gt;0,N189*100/M189,0)</f>
        <v>70.761580738026694</v>
      </c>
      <c r="Q189" s="77">
        <f ca="1">Q190+Q191</f>
        <v>14000</v>
      </c>
      <c r="R189" s="77">
        <f ca="1">R190+R191</f>
        <v>14000</v>
      </c>
      <c r="S189" s="77">
        <f ca="1">S190+S191</f>
        <v>14000</v>
      </c>
      <c r="T189" s="77">
        <f ca="1">IF(Q189&gt;0,S189*100/Q189,0)</f>
        <v>100</v>
      </c>
      <c r="U189" s="77">
        <f ca="1">IF(R189&gt;0,S189*100/R189,0)</f>
        <v>100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IFERROR(__xludf.DUMMYFUNCTION("IMPORTRANGE(""https://docs.google.com/spreadsheets/d/1-uDff_7J0KD5mKrp0Vvzr7lt3OU09vwQwhkpOPPYv2Y/edit?usp=sharing"",""งบพรบ!CU59"")"),234300)</f>
        <v>234300</v>
      </c>
      <c r="M191" s="77">
        <f ca="1">IFERROR(__xludf.DUMMYFUNCTION("IMPORTRANGE(""https://docs.google.com/spreadsheets/d/1-uDff_7J0KD5mKrp0Vvzr7lt3OU09vwQwhkpOPPYv2Y/edit?usp=sharing"",""งบพรบ!CZ59"")"),229260)</f>
        <v>229260</v>
      </c>
      <c r="N191" s="77">
        <f ca="1">IFERROR(__xludf.DUMMYFUNCTION("IMPORTRANGE(""https://docs.google.com/spreadsheets/d/1-uDff_7J0KD5mKrp0Vvzr7lt3OU09vwQwhkpOPPYv2Y/edit?usp=sharing"",""งบพรบ!DB59"")"),162228)</f>
        <v>162228</v>
      </c>
      <c r="O191" s="77">
        <f ca="1">IF(L191&gt;0,N191*100/L191,0)</f>
        <v>69.239436619718305</v>
      </c>
      <c r="P191" s="77">
        <f ca="1">IF(M191&gt;0,N191*100/M191,0)</f>
        <v>70.761580738026694</v>
      </c>
      <c r="Q191" s="77">
        <f ca="1">IFERROR(__xludf.DUMMYFUNCTION("IMPORTRANGE(""https://docs.google.com/spreadsheets/d/1ItG2mGa2ceCfYo0BwxsXqNm01IGEUdYcSSLTEv9YCik/edit?usp=sharing"",""เบิกจ่ายกองทุน!AV59"")"),14000)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IFERROR(__xludf.DUMMYFUNCTION("IMPORTRANGE(""https://docs.google.com/spreadsheets/d/1ItG2mGa2ceCfYo0BwxsXqNm01IGEUdYcSSLTEv9YCik/edit?usp=sharing"",""เบิกจ่ายกองทุน!AW59"")"),14000)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IFERROR(__xludf.DUMMYFUNCTION("IMPORTRANGE(""https://docs.google.com/spreadsheets/d/1ItG2mGa2ceCfYo0BwxsXqNm01IGEUdYcSSLTEv9YCik/edit?usp=sharing"",""เบิกจ่ายกองทุน!AX59"")"),14000)</f>
        <v>14000</v>
      </c>
      <c r="T191" s="77">
        <f ca="1">IF(Q191&gt;0,S191*100/Q191,0)</f>
        <v>100</v>
      </c>
      <c r="U191" s="77">
        <f ca="1">IF(R191&gt;0,S191*100/R191,0)</f>
        <v>100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IFERROR(__xludf.DUMMYFUNCTION("IMPORTRANGE(""https://docs.google.com/spreadsheets/d/1-uDff_7J0KD5mKrp0Vvzr7lt3OU09vwQwhkpOPPYv2Y/edit?usp=sharing"",""งบพรบ!CX59"")"),0)</f>
        <v>0</v>
      </c>
      <c r="M194" s="77">
        <f ca="1">IFERROR(__xludf.DUMMYFUNCTION("IMPORTRANGE(""https://docs.google.com/spreadsheets/d/1-uDff_7J0KD5mKrp0Vvzr7lt3OU09vwQwhkpOPPYv2Y/edit?usp=sharing"",""งบพรบ!DA59"")"),0)</f>
        <v>0</v>
      </c>
      <c r="N194" s="77">
        <f ca="1">IFERROR(__xludf.DUMMYFUNCTION("IMPORTRANGE(""https://docs.google.com/spreadsheets/d/1-uDff_7J0KD5mKrp0Vvzr7lt3OU09vwQwhkpOPPYv2Y/edit?usp=sharing"",""งบพรบ!DC59"")"),0)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IFERROR(__xludf.DUMMYFUNCTION("IMPORTRANGE(""https://docs.google.com/spreadsheets/d/1eHaY18a8A9IcSdp1K8H6x8fbOy06t2VsZHhMHf-1x7Y/edit?usp=sharing"",""แผน!AB59"")"),6000)</f>
        <v>6000</v>
      </c>
      <c r="M196" s="90"/>
      <c r="N196" s="959">
        <v>3860</v>
      </c>
      <c r="O196" s="266">
        <f ca="1">IF(L196&gt;0,N196*100/L196,0)</f>
        <v>64.333333333333329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IFERROR(__xludf.DUMMYFUNCTION("IMPORTRANGE(""https://docs.google.com/spreadsheets/d/1eHaY18a8A9IcSdp1K8H6x8fbOy06t2VsZHhMHf-1x7Y/edit?usp=sharing"",""แผน!AE59"")"),4)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IFERROR(__xludf.DUMMYFUNCTION("IMPORTRANGE(""https://docs.google.com/spreadsheets/d/1eHaY18a8A9IcSdp1K8H6x8fbOy06t2VsZHhMHf-1x7Y/edit?usp=sharing"",""แผน!AG59"")"),1000)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IFERROR(__xludf.DUMMYFUNCTION("IMPORTRANGE(""https://docs.google.com/spreadsheets/d/1eHaY18a8A9IcSdp1K8H6x8fbOy06t2VsZHhMHf-1x7Y/edit?usp=sharing"",""แผน!AH59"")"),0)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IFERROR(__xludf.DUMMYFUNCTION("IMPORTRANGE(""https://docs.google.com/spreadsheets/d/1eHaY18a8A9IcSdp1K8H6x8fbOy06t2VsZHhMHf-1x7Y/edit?usp=sharing"",""แผน!AI59"")"),0)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IFERROR(__xludf.DUMMYFUNCTION("IMPORTRANGE(""https://docs.google.com/spreadsheets/d/1eHaY18a8A9IcSdp1K8H6x8fbOy06t2VsZHhMHf-1x7Y/edit?usp=sharing"",""แผน!LV59"")"),14000)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IFERROR(__xludf.DUMMYFUNCTION("IMPORTRANGE(""https://docs.google.com/spreadsheets/d/1eHaY18a8A9IcSdp1K8H6x8fbOy06t2VsZHhMHf-1x7Y/edit?usp=sharing"",""แผน!AJ59"")"),4000)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IFERROR(__xludf.DUMMYFUNCTION("IMPORTRANGE(""https://docs.google.com/spreadsheets/d/1eHaY18a8A9IcSdp1K8H6x8fbOy06t2VsZHhMHf-1x7Y/edit?usp=sharing"",""แผน!AK59"")"),1)</f>
        <v>1</v>
      </c>
      <c r="J209" s="296">
        <v>1</v>
      </c>
      <c r="K209" s="748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IFERROR(__xludf.DUMMYFUNCTION("IMPORTRANGE(""https://docs.google.com/spreadsheets/d/1eHaY18a8A9IcSdp1K8H6x8fbOy06t2VsZHhMHf-1x7Y/edit?usp=sharing"",""แผน!JX59"")"),1)</f>
        <v>1</v>
      </c>
      <c r="J211" s="296">
        <v>1</v>
      </c>
      <c r="K211" s="748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IFERROR(__xludf.DUMMYFUNCTION("IMPORTRANGE(""https://docs.google.com/spreadsheets/d/1eHaY18a8A9IcSdp1K8H6x8fbOy06t2VsZHhMHf-1x7Y/edit?usp=sharing"",""แผน!JY59"")"),0)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IFERROR(__xludf.DUMMYFUNCTION("IMPORTRANGE(""https://docs.google.com/spreadsheets/d/1eHaY18a8A9IcSdp1K8H6x8fbOy06t2VsZHhMHf-1x7Y/edit?usp=sharing"",""แผน!AM59"")"),0)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IFERROR(__xludf.DUMMYFUNCTION("IMPORTRANGE(""https://docs.google.com/spreadsheets/d/1eHaY18a8A9IcSdp1K8H6x8fbOy06t2VsZHhMHf-1x7Y/edit?usp=sharing"",""แผน!AN59"")"),0)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IFERROR(__xludf.DUMMYFUNCTION("IMPORTRANGE(""https://docs.google.com/spreadsheets/d/1eHaY18a8A9IcSdp1K8H6x8fbOy06t2VsZHhMHf-1x7Y/edit?usp=sharing"",""แผน!AO59"")"),0)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IFERROR(__xludf.DUMMYFUNCTION("IMPORTRANGE(""https://docs.google.com/spreadsheets/d/1eHaY18a8A9IcSdp1K8H6x8fbOy06t2VsZHhMHf-1x7Y/edit?usp=sharing"",""แผน!LY59"")"),0)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IFERROR(__xludf.DUMMYFUNCTION("IMPORTRANGE(""https://docs.google.com/spreadsheets/d/1eHaY18a8A9IcSdp1K8H6x8fbOy06t2VsZHhMHf-1x7Y/edit?usp=sharing"",""แผน!AP59"")"),0)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IFERROR(__xludf.DUMMYFUNCTION("IMPORTRANGE(""https://docs.google.com/spreadsheets/d/1eHaY18a8A9IcSdp1K8H6x8fbOy06t2VsZHhMHf-1x7Y/edit?usp=sharing"",""แผน!AP59"")"),0)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30000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IFERROR(__xludf.DUMMYFUNCTION("IMPORTRANGE(""https://docs.google.com/spreadsheets/d/1eHaY18a8A9IcSdp1K8H6x8fbOy06t2VsZHhMHf-1x7Y/edit?usp=sharing"",""แผน!AR59"")"),2500)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IFERROR(__xludf.DUMMYFUNCTION("IMPORTRANGE(""https://docs.google.com/spreadsheets/d/1eHaY18a8A9IcSdp1K8H6x8fbOy06t2VsZHhMHf-1x7Y/edit?usp=sharing"",""แผน!AS59"")"),4000)</f>
        <v>4000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IFERROR(__xludf.DUMMYFUNCTION("IMPORTRANGE(""https://docs.google.com/spreadsheets/d/1eHaY18a8A9IcSdp1K8H6x8fbOy06t2VsZHhMHf-1x7Y/edit?usp=sharing"",""แผน!AT59"")"),0)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IFERROR(__xludf.DUMMYFUNCTION("IMPORTRANGE(""https://docs.google.com/spreadsheets/d/1eHaY18a8A9IcSdp1K8H6x8fbOy06t2VsZHhMHf-1x7Y/edit?usp=sharing"",""แผน!AV59"")"),30000)</f>
        <v>30000</v>
      </c>
      <c r="J228" s="296">
        <v>30000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IFERROR(__xludf.DUMMYFUNCTION("IMPORTRANGE(""https://docs.google.com/spreadsheets/d/1eHaY18a8A9IcSdp1K8H6x8fbOy06t2VsZHhMHf-1x7Y/edit?usp=sharing"",""แผน!AV59"")"),30000)</f>
        <v>30000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IFERROR(__xludf.DUMMYFUNCTION("IMPORTRANGE(""https://docs.google.com/spreadsheets/d/1eHaY18a8A9IcSdp1K8H6x8fbOy06t2VsZHhMHf-1x7Y/edit?usp=sharing"",""แผน!AU59"")"),0)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20</v>
      </c>
      <c r="J231" s="943">
        <f>J242+J253</f>
        <v>0</v>
      </c>
      <c r="K231" s="942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41600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2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10000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12600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19000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20</v>
      </c>
      <c r="J238" s="574">
        <f>J249+J260</f>
        <v>0</v>
      </c>
      <c r="K238" s="80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20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156" t="s">
        <v>338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0</v>
      </c>
      <c r="K242" s="379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41600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IFERROR(__xludf.DUMMYFUNCTION("IMPORTRANGE(""https://docs.google.com/spreadsheets/d/1eHaY18a8A9IcSdp1K8H6x8fbOy06t2VsZHhMHf-1x7Y/edit?usp=sharing"",""แผน!AX59"")"),10000)</f>
        <v>10000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IFERROR(__xludf.DUMMYFUNCTION("IMPORTRANGE(""https://docs.google.com/spreadsheets/d/1eHaY18a8A9IcSdp1K8H6x8fbOy06t2VsZHhMHf-1x7Y/edit?usp=sharing"",""แผน!AY59"")"),0)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IFERROR(__xludf.DUMMYFUNCTION("IMPORTRANGE(""https://docs.google.com/spreadsheets/d/1eHaY18a8A9IcSdp1K8H6x8fbOy06t2VsZHhMHf-1x7Y/edit?usp=sharing"",""แผน!AZ59"")"),12600)</f>
        <v>12600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IFERROR(__xludf.DUMMYFUNCTION("IMPORTRANGE(""https://docs.google.com/spreadsheets/d/1eHaY18a8A9IcSdp1K8H6x8fbOy06t2VsZHhMHf-1x7Y/edit?usp=sharing"",""แผน!BA59"")"),19000)</f>
        <v>19000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IFERROR(__xludf.DUMMYFUNCTION("IMPORTRANGE(""https://docs.google.com/spreadsheets/d/1eHaY18a8A9IcSdp1K8H6x8fbOy06t2VsZHhMHf-1x7Y/edit?usp=sharing"",""แผน!BG59"")"),20)</f>
        <v>20</v>
      </c>
      <c r="J249" s="816">
        <v>0</v>
      </c>
      <c r="K249" s="91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275" t="s">
        <v>337</v>
      </c>
      <c r="F251" s="765"/>
      <c r="G251" s="767"/>
      <c r="H251" s="768" t="s">
        <v>35</v>
      </c>
      <c r="I251" s="241">
        <f ca="1">IFERROR(__xludf.DUMMYFUNCTION("IMPORTRANGE(""https://docs.google.com/spreadsheets/d/1eHaY18a8A9IcSdp1K8H6x8fbOy06t2VsZHhMHf-1x7Y/edit?usp=sharing"",""แผน!KB59"")"),20)</f>
        <v>20</v>
      </c>
      <c r="J251" s="816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7" t="s">
        <v>336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IFERROR(__xludf.DUMMYFUNCTION("IMPORTRANGE(""https://docs.google.com/spreadsheets/d/1eHaY18a8A9IcSdp1K8H6x8fbOy06t2VsZHhMHf-1x7Y/edit?usp=sharing"",""แผน!KC59"")"),1)</f>
        <v>1</v>
      </c>
      <c r="J252" s="816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IFERROR(__xludf.DUMMYFUNCTION("IMPORTRANGE(""https://docs.google.com/spreadsheets/d/1eHaY18a8A9IcSdp1K8H6x8fbOy06t2VsZHhMHf-1x7Y/edit?usp=sharing"",""แผน!BB59"")"),0)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IFERROR(__xludf.DUMMYFUNCTION("IMPORTRANGE(""https://docs.google.com/spreadsheets/d/1eHaY18a8A9IcSdp1K8H6x8fbOy06t2VsZHhMHf-1x7Y/edit?usp=sharing"",""แผน!BC59"")"),0)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IFERROR(__xludf.DUMMYFUNCTION("IMPORTRANGE(""https://docs.google.com/spreadsheets/d/1eHaY18a8A9IcSdp1K8H6x8fbOy06t2VsZHhMHf-1x7Y/edit?usp=sharing"",""แผน!BD59"")"),0)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IFERROR(__xludf.DUMMYFUNCTION("IMPORTRANGE(""https://docs.google.com/spreadsheets/d/1eHaY18a8A9IcSdp1K8H6x8fbOy06t2VsZHhMHf-1x7Y/edit?usp=sharing"",""แผน!BE59"")"),0)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IFERROR(__xludf.DUMMYFUNCTION("IMPORTRANGE(""https://docs.google.com/spreadsheets/d/1eHaY18a8A9IcSdp1K8H6x8fbOy06t2VsZHhMHf-1x7Y/edit?usp=sharing"",""แผน!BH59"")"),0)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22</v>
      </c>
      <c r="K265" s="364">
        <f ca="1">IF(I265&gt;0,J265*100/I265,0)</f>
        <v>100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44480</v>
      </c>
      <c r="T266" s="215">
        <f ca="1">IF(Q266&gt;0,S266*100/Q266,0)</f>
        <v>87.801026450848795</v>
      </c>
      <c r="U266" s="215">
        <f ca="1">IF(R266&gt;0,S266*100/R266,0)</f>
        <v>87.801026450848795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44480</v>
      </c>
      <c r="T268" s="91">
        <f ca="1">IF(Q268&gt;0,S268*100/Q268,0)</f>
        <v>87.801026450848795</v>
      </c>
      <c r="U268" s="91">
        <f ca="1">IF(R268&gt;0,S268*100/R268,0)</f>
        <v>87.801026450848795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44480</v>
      </c>
      <c r="T269" s="91">
        <f ca="1">IF(Q269&gt;0,S269*100/Q269,0)</f>
        <v>87.801026450848795</v>
      </c>
      <c r="U269" s="91">
        <f ca="1">IF(R269&gt;0,S269*100/R269,0)</f>
        <v>87.801026450848795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IFERROR(__xludf.DUMMYFUNCTION("IMPORTRANGE(""https://docs.google.com/spreadsheets/d/1-uDff_7J0KD5mKrp0Vvzr7lt3OU09vwQwhkpOPPYv2Y/edit?usp=sharing"",""งบพรบ!DE59"")"),0)</f>
        <v>0</v>
      </c>
      <c r="M271" s="91">
        <f ca="1">IFERROR(__xludf.DUMMYFUNCTION("IMPORTRANGE(""https://docs.google.com/spreadsheets/d/1-uDff_7J0KD5mKrp0Vvzr7lt3OU09vwQwhkpOPPYv2Y/edit?usp=sharing"",""งบพรบ!DJ59"")"),5000)</f>
        <v>5000</v>
      </c>
      <c r="N271" s="91">
        <f ca="1">IFERROR(__xludf.DUMMYFUNCTION("IMPORTRANGE(""https://docs.google.com/spreadsheets/d/1-uDff_7J0KD5mKrp0Vvzr7lt3OU09vwQwhkpOPPYv2Y/edit?usp=sharing"",""งบพรบ!DL59"")"),5000)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IFERROR(__xludf.DUMMYFUNCTION("IMPORTRANGE(""https://docs.google.com/spreadsheets/d/1ItG2mGa2ceCfYo0BwxsXqNm01IGEUdYcSSLTEv9YCik/edit?usp=sharing"",""เบิกจ่ายกองทุน!AJ59"")"),50660)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IFERROR(__xludf.DUMMYFUNCTION("IMPORTRANGE(""https://docs.google.com/spreadsheets/d/1ItG2mGa2ceCfYo0BwxsXqNm01IGEUdYcSSLTEv9YCik/edit?usp=sharing"",""เบิกจ่ายกองทุน!AK59"")"),50660)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IFERROR(__xludf.DUMMYFUNCTION("IMPORTRANGE(""https://docs.google.com/spreadsheets/d/1ItG2mGa2ceCfYo0BwxsXqNm01IGEUdYcSSLTEv9YCik/edit?usp=sharing"",""เบิกจ่ายกองทุน!AL59"")"),44480)</f>
        <v>44480</v>
      </c>
      <c r="T271" s="91">
        <f ca="1">IF(Q271&gt;0,S271*100/Q271,0)</f>
        <v>87.801026450848795</v>
      </c>
      <c r="U271" s="91">
        <f ca="1">IF(R271&gt;0,S271*100/R271,0)</f>
        <v>87.801026450848795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IFERROR(__xludf.DUMMYFUNCTION("IMPORTRANGE(""https://docs.google.com/spreadsheets/d/1-uDff_7J0KD5mKrp0Vvzr7lt3OU09vwQwhkpOPPYv2Y/edit?usp=sharing"",""งบพรบ!DH59"")"),0)</f>
        <v>0</v>
      </c>
      <c r="M274" s="91">
        <f ca="1">IFERROR(__xludf.DUMMYFUNCTION("IMPORTRANGE(""https://docs.google.com/spreadsheets/d/1-uDff_7J0KD5mKrp0Vvzr7lt3OU09vwQwhkpOPPYv2Y/edit?usp=sharing"",""งบพรบ!DK59"")"),0)</f>
        <v>0</v>
      </c>
      <c r="N274" s="91">
        <f ca="1">IFERROR(__xludf.DUMMYFUNCTION("IMPORTRANGE(""https://docs.google.com/spreadsheets/d/1-uDff_7J0KD5mKrp0Vvzr7lt3OU09vwQwhkpOPPYv2Y/edit?usp=sharing"",""งบพรบ!DM59"")"),0)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IFERROR(__xludf.DUMMYFUNCTION("IMPORTRANGE(""https://docs.google.com/spreadsheets/d/1eHaY18a8A9IcSdp1K8H6x8fbOy06t2VsZHhMHf-1x7Y/edit?usp=sharing"",""แผน!EC59"")"),22)</f>
        <v>22</v>
      </c>
      <c r="J276" s="931">
        <v>22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IFERROR(__xludf.DUMMYFUNCTION("IMPORTRANGE(""https://docs.google.com/spreadsheets/d/1-uDff_7J0KD5mKrp0Vvzr7lt3OU09vwQwhkpOPPYv2Y/edit?usp=sharing"",""งบพรบ!DO59"")"),0)</f>
        <v>0</v>
      </c>
      <c r="M287" s="77">
        <f ca="1">IFERROR(__xludf.DUMMYFUNCTION("IMPORTRANGE(""https://docs.google.com/spreadsheets/d/1-uDff_7J0KD5mKrp0Vvzr7lt3OU09vwQwhkpOPPYv2Y/edit?usp=sharing"",""งบพรบ!DT59"")"),0)</f>
        <v>0</v>
      </c>
      <c r="N287" s="77">
        <f ca="1">IFERROR(__xludf.DUMMYFUNCTION("IMPORTRANGE(""https://docs.google.com/spreadsheets/d/1-uDff_7J0KD5mKrp0Vvzr7lt3OU09vwQwhkpOPPYv2Y/edit?usp=sharing"",""งบพรบ!DV59"")"),0)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IFERROR(__xludf.DUMMYFUNCTION("IMPORTRANGE(""https://docs.google.com/spreadsheets/d/1-uDff_7J0KD5mKrp0Vvzr7lt3OU09vwQwhkpOPPYv2Y/edit?usp=sharing"",""งบพรบ!DR59"")"),0)</f>
        <v>0</v>
      </c>
      <c r="M290" s="77">
        <f ca="1">IFERROR(__xludf.DUMMYFUNCTION("IMPORTRANGE(""https://docs.google.com/spreadsheets/d/1-uDff_7J0KD5mKrp0Vvzr7lt3OU09vwQwhkpOPPYv2Y/edit?usp=sharing"",""งบพรบ!DU59"")"),0)</f>
        <v>0</v>
      </c>
      <c r="N290" s="77">
        <f ca="1">IFERROR(__xludf.DUMMYFUNCTION("IMPORTRANGE(""https://docs.google.com/spreadsheets/d/1-uDff_7J0KD5mKrp0Vvzr7lt3OU09vwQwhkpOPPYv2Y/edit?usp=sharing"",""งบพรบ!DW59"")"),0)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IFERROR(__xludf.DUMMYFUNCTION("IMPORTRANGE(""https://docs.google.com/spreadsheets/d/1eHaY18a8A9IcSdp1K8H6x8fbOy06t2VsZHhMHf-1x7Y/edit?usp=sharing"",""แผน!EE59"")"),0)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IFERROR(__xludf.DUMMYFUNCTION("IMPORTRANGE(""https://docs.google.com/spreadsheets/d/1eHaY18a8A9IcSdp1K8H6x8fbOy06t2VsZHhMHf-1x7Y/edit?usp=sharing"",""แผน!ED59"")"),0)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IFERROR(__xludf.DUMMYFUNCTION("IMPORTRANGE(""https://docs.google.com/spreadsheets/d/1eHaY18a8A9IcSdp1K8H6x8fbOy06t2VsZHhMHf-1x7Y/edit?usp=sharing"",""แผน!ED59"")"),0)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IFERROR(__xludf.DUMMYFUNCTION("IMPORTRANGE(""https://docs.google.com/spreadsheets/d/1eHaY18a8A9IcSdp1K8H6x8fbOy06t2VsZHhMHf-1x7Y/edit?usp=sharing"",""แผน!ED59"")"),0)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15</v>
      </c>
      <c r="J302" s="599">
        <f>J314</f>
        <v>15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166000</v>
      </c>
      <c r="M303" s="266">
        <f ca="1">M304+M305</f>
        <v>166000</v>
      </c>
      <c r="N303" s="266">
        <f ca="1">N304+N305</f>
        <v>137900</v>
      </c>
      <c r="O303" s="266">
        <f ca="1">IF(L303&gt;0,N303*100/L303,0)</f>
        <v>83.07228915662651</v>
      </c>
      <c r="P303" s="266">
        <f ca="1">IF(M303&gt;0,N303*100/M303,0)</f>
        <v>83.07228915662651</v>
      </c>
      <c r="Q303" s="266">
        <f ca="1">Q304+Q305</f>
        <v>123161.24</v>
      </c>
      <c r="R303" s="266">
        <f ca="1">R304+R305</f>
        <v>123161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166000</v>
      </c>
      <c r="M305" s="77">
        <f ca="1">M308+M311</f>
        <v>166000</v>
      </c>
      <c r="N305" s="77">
        <f ca="1">N308+N311</f>
        <v>137900</v>
      </c>
      <c r="O305" s="77">
        <f ca="1">IF(L305&gt;0,N305*100/L305,0)</f>
        <v>83.07228915662651</v>
      </c>
      <c r="P305" s="77">
        <f ca="1">IF(M305&gt;0,N305*100/M305,0)</f>
        <v>83.07228915662651</v>
      </c>
      <c r="Q305" s="77">
        <f ca="1">Q308+Q311</f>
        <v>123161.24</v>
      </c>
      <c r="R305" s="77">
        <f ca="1">R308+R311</f>
        <v>123161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166000</v>
      </c>
      <c r="M306" s="77">
        <f ca="1">M307+M308</f>
        <v>166000</v>
      </c>
      <c r="N306" s="77">
        <f ca="1">N307+N308</f>
        <v>137900</v>
      </c>
      <c r="O306" s="77">
        <f ca="1">IF(L306&gt;0,N306*100/L306,0)</f>
        <v>83.07228915662651</v>
      </c>
      <c r="P306" s="77">
        <f ca="1">IF(M306&gt;0,N306*100/M306,0)</f>
        <v>83.07228915662651</v>
      </c>
      <c r="Q306" s="77">
        <f ca="1">Q307+Q308</f>
        <v>123161.24</v>
      </c>
      <c r="R306" s="77">
        <f ca="1">R307+R308</f>
        <v>123161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IFERROR(__xludf.DUMMYFUNCTION("IMPORTRANGE(""https://docs.google.com/spreadsheets/d/1-uDff_7J0KD5mKrp0Vvzr7lt3OU09vwQwhkpOPPYv2Y/edit?usp=sharing"",""งบพรบ!DY59"")"),166000)</f>
        <v>166000</v>
      </c>
      <c r="M308" s="77">
        <f ca="1">IFERROR(__xludf.DUMMYFUNCTION("IMPORTRANGE(""https://docs.google.com/spreadsheets/d/1-uDff_7J0KD5mKrp0Vvzr7lt3OU09vwQwhkpOPPYv2Y/edit?usp=sharing"",""งบพรบ!ED59"")"),166000)</f>
        <v>166000</v>
      </c>
      <c r="N308" s="77">
        <f ca="1">IFERROR(__xludf.DUMMYFUNCTION("IMPORTRANGE(""https://docs.google.com/spreadsheets/d/1-uDff_7J0KD5mKrp0Vvzr7lt3OU09vwQwhkpOPPYv2Y/edit?usp=sharing"",""งบพรบ!EF59"")"),137900)</f>
        <v>137900</v>
      </c>
      <c r="O308" s="77">
        <f ca="1">IF(L308&gt;0,N308*100/L308,0)</f>
        <v>83.07228915662651</v>
      </c>
      <c r="P308" s="77">
        <f ca="1">IF(M308&gt;0,N308*100/M308,0)</f>
        <v>83.07228915662651</v>
      </c>
      <c r="Q308" s="77">
        <f ca="1">IFERROR(__xludf.DUMMYFUNCTION("IMPORTRANGE(""https://docs.google.com/spreadsheets/d/1ItG2mGa2ceCfYo0BwxsXqNm01IGEUdYcSSLTEv9YCik/edit?usp=sharing"",""เบิกจ่ายกองทุน!AP59"")"),123161.24)</f>
        <v>123161.24</v>
      </c>
      <c r="R308" s="77">
        <f ca="1">IFERROR(__xludf.DUMMYFUNCTION("IMPORTRANGE(""https://docs.google.com/spreadsheets/d/1ItG2mGa2ceCfYo0BwxsXqNm01IGEUdYcSSLTEv9YCik/edit?usp=sharing"",""เบิกจ่ายกองทุน!AQ59"")"),123161)</f>
        <v>123161</v>
      </c>
      <c r="S308" s="77">
        <f ca="1">IFERROR(__xludf.DUMMYFUNCTION("IMPORTRANGE(""https://docs.google.com/spreadsheets/d/1ItG2mGa2ceCfYo0BwxsXqNm01IGEUdYcSSLTEv9YCik/edit?usp=sharing"",""เบิกจ่ายกองทุน!AR59"")"),0)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IFERROR(__xludf.DUMMYFUNCTION("IMPORTRANGE(""https://docs.google.com/spreadsheets/d/1-uDff_7J0KD5mKrp0Vvzr7lt3OU09vwQwhkpOPPYv2Y/edit?usp=sharing"",""งบพรบ!EB59"")"),0)</f>
        <v>0</v>
      </c>
      <c r="M311" s="77">
        <f ca="1">IFERROR(__xludf.DUMMYFUNCTION("IMPORTRANGE(""https://docs.google.com/spreadsheets/d/1-uDff_7J0KD5mKrp0Vvzr7lt3OU09vwQwhkpOPPYv2Y/edit?usp=sharing"",""งบพรบ!EE59"")"),0)</f>
        <v>0</v>
      </c>
      <c r="N311" s="77">
        <f ca="1">IFERROR(__xludf.DUMMYFUNCTION("IMPORTRANGE(""https://docs.google.com/spreadsheets/d/1-uDff_7J0KD5mKrp0Vvzr7lt3OU09vwQwhkpOPPYv2Y/edit?usp=sharing"",""งบพรบ!EG59"")"),0)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IFERROR(__xludf.DUMMYFUNCTION("IMPORTRANGE(""https://docs.google.com/spreadsheets/d/1eHaY18a8A9IcSdp1K8H6x8fbOy06t2VsZHhMHf-1x7Y/edit?usp=sharing"",""แผน!EF59"")"),15)</f>
        <v>15</v>
      </c>
      <c r="J314" s="296">
        <v>15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IFERROR(__xludf.DUMMYFUNCTION("IMPORTRANGE(""https://docs.google.com/spreadsheets/d/1-uDff_7J0KD5mKrp0Vvzr7lt3OU09vwQwhkpOPPYv2Y/edit?usp=sharing"",""งบพรบ!EI59"")"),0)</f>
        <v>0</v>
      </c>
      <c r="M325" s="77">
        <f ca="1">IFERROR(__xludf.DUMMYFUNCTION("IMPORTRANGE(""https://docs.google.com/spreadsheets/d/1-uDff_7J0KD5mKrp0Vvzr7lt3OU09vwQwhkpOPPYv2Y/edit?usp=sharing"",""งบพรบ!EN59"")"),0)</f>
        <v>0</v>
      </c>
      <c r="N325" s="77">
        <f ca="1">IFERROR(__xludf.DUMMYFUNCTION("IMPORTRANGE(""https://docs.google.com/spreadsheets/d/1-uDff_7J0KD5mKrp0Vvzr7lt3OU09vwQwhkpOPPYv2Y/edit?usp=sharing"",""งบพรบ!EP59"")"),0)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IFERROR(__xludf.DUMMYFUNCTION("IMPORTRANGE(""https://docs.google.com/spreadsheets/d/1-uDff_7J0KD5mKrp0Vvzr7lt3OU09vwQwhkpOPPYv2Y/edit?usp=sharing"",""งบพรบ!EL59"")"),0)</f>
        <v>0</v>
      </c>
      <c r="M328" s="77">
        <f ca="1">IFERROR(__xludf.DUMMYFUNCTION("IMPORTRANGE(""https://docs.google.com/spreadsheets/d/1-uDff_7J0KD5mKrp0Vvzr7lt3OU09vwQwhkpOPPYv2Y/edit?usp=sharing"",""งบพรบ!EO59"")"),0)</f>
        <v>0</v>
      </c>
      <c r="N328" s="77">
        <f ca="1">IFERROR(__xludf.DUMMYFUNCTION("IMPORTRANGE(""https://docs.google.com/spreadsheets/d/1-uDff_7J0KD5mKrp0Vvzr7lt3OU09vwQwhkpOPPYv2Y/edit?usp=sharing"",""งบพรบ!EQ59"")"),0)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IFERROR(__xludf.DUMMYFUNCTION("IMPORTRANGE(""https://docs.google.com/spreadsheets/d/1eHaY18a8A9IcSdp1K8H6x8fbOy06t2VsZHhMHf-1x7Y/edit?usp=sharing"",""แผน!EJ59"")"),0)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400</v>
      </c>
      <c r="J332" s="519">
        <f ca="1">J344+J347+J348+J349+J353+J354</f>
        <v>373</v>
      </c>
      <c r="K332" s="520">
        <f ca="1">IF(I332&gt;0,J332*100/I332,0)</f>
        <v>93.25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365000</v>
      </c>
      <c r="M333" s="266">
        <f ca="1">M334+M335</f>
        <v>370000</v>
      </c>
      <c r="N333" s="266">
        <f ca="1">N334+N335</f>
        <v>296138</v>
      </c>
      <c r="O333" s="266">
        <f ca="1">IF(L333&gt;0,N333*100/L333,0)</f>
        <v>81.13369863013699</v>
      </c>
      <c r="P333" s="266">
        <f ca="1">IF(M333&gt;0,N333*100/M333,0)</f>
        <v>80.0372972972973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365000</v>
      </c>
      <c r="M335" s="77">
        <f ca="1">M338+M341</f>
        <v>370000</v>
      </c>
      <c r="N335" s="77">
        <f ca="1">N338+N341</f>
        <v>296138</v>
      </c>
      <c r="O335" s="77">
        <f ca="1">IF(L335&gt;0,N335*100/L335,0)</f>
        <v>81.13369863013699</v>
      </c>
      <c r="P335" s="77">
        <f ca="1">IF(M335&gt;0,N335*100/M335,0)</f>
        <v>80.0372972972973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365000</v>
      </c>
      <c r="M336" s="77">
        <f ca="1">M337+M338</f>
        <v>370000</v>
      </c>
      <c r="N336" s="77">
        <f ca="1">N337+N338</f>
        <v>296138</v>
      </c>
      <c r="O336" s="77">
        <f ca="1">IF(L336&gt;0,N336*100/L336,0)</f>
        <v>81.13369863013699</v>
      </c>
      <c r="P336" s="77">
        <f ca="1">IF(M336&gt;0,N336*100/M336,0)</f>
        <v>80.0372972972973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IFERROR(__xludf.DUMMYFUNCTION("IMPORTRANGE(""https://docs.google.com/spreadsheets/d/1-uDff_7J0KD5mKrp0Vvzr7lt3OU09vwQwhkpOPPYv2Y/edit?usp=sharing"",""งบพรบ!ES59"")"),365000)</f>
        <v>365000</v>
      </c>
      <c r="M338" s="77">
        <f ca="1">IFERROR(__xludf.DUMMYFUNCTION("IMPORTRANGE(""https://docs.google.com/spreadsheets/d/1-uDff_7J0KD5mKrp0Vvzr7lt3OU09vwQwhkpOPPYv2Y/edit?usp=sharing"",""งบพรบ!EX59"")"),370000)</f>
        <v>370000</v>
      </c>
      <c r="N338" s="77">
        <f ca="1">IFERROR(__xludf.DUMMYFUNCTION("IMPORTRANGE(""https://docs.google.com/spreadsheets/d/1-uDff_7J0KD5mKrp0Vvzr7lt3OU09vwQwhkpOPPYv2Y/edit?usp=sharing"",""งบพรบ!EZ59"")"),296138)</f>
        <v>296138</v>
      </c>
      <c r="O338" s="77">
        <f ca="1">IF(L338&gt;0,N338*100/L338,0)</f>
        <v>81.13369863013699</v>
      </c>
      <c r="P338" s="77">
        <f ca="1">IF(M338&gt;0,N338*100/M338,0)</f>
        <v>80.0372972972973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IFERROR(__xludf.DUMMYFUNCTION("IMPORTRANGE(""https://docs.google.com/spreadsheets/d/1-uDff_7J0KD5mKrp0Vvzr7lt3OU09vwQwhkpOPPYv2Y/edit?usp=sharing"",""งบพรบ!EV59"")"),0)</f>
        <v>0</v>
      </c>
      <c r="M341" s="77">
        <f ca="1">IFERROR(__xludf.DUMMYFUNCTION("IMPORTRANGE(""https://docs.google.com/spreadsheets/d/1-uDff_7J0KD5mKrp0Vvzr7lt3OU09vwQwhkpOPPYv2Y/edit?usp=sharing"",""งบพรบ!EY59"")"),0)</f>
        <v>0</v>
      </c>
      <c r="N341" s="77">
        <f ca="1">IFERROR(__xludf.DUMMYFUNCTION("IMPORTRANGE(""https://docs.google.com/spreadsheets/d/1-uDff_7J0KD5mKrp0Vvzr7lt3OU09vwQwhkpOPPYv2Y/edit?usp=sharing"",""งบพรบ!FA59"")"),0)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254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IFERROR(__xludf.DUMMYFUNCTION("IMPORTRANGE(""https://docs.google.com/spreadsheets/d/1eHaY18a8A9IcSdp1K8H6x8fbOy06t2VsZHhMHf-1x7Y/edit?usp=sharing"",""แผน!EK59"")"),400)</f>
        <v>400</v>
      </c>
      <c r="J344" s="295">
        <f ca="1">IFERROR(__xludf.DUMMYFUNCTION("IMPORTRANGE(""https://docs.google.com/spreadsheets/d/1awYsYK3VOup2i3Pq_Yjnu8DRu_mYwSBnCR2QPthd0rU/edit?usp=sharing"",""ศูนย์ยกเว้นโฉนด!D59"")"),177)</f>
        <v>177</v>
      </c>
      <c r="K344" s="77">
        <f ca="1">IF(I344&gt;0,J344*100/I344,0)</f>
        <v>44.25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IFERROR(__xludf.DUMMYFUNCTION("IMPORTRANGE(""https://docs.google.com/spreadsheets/d/1eHaY18a8A9IcSdp1K8H6x8fbOy06t2VsZHhMHf-1x7Y/edit?usp=sharing"",""แผน!EL59"")"),1)</f>
        <v>1</v>
      </c>
      <c r="J346" s="295">
        <f ca="1">IFERROR(__xludf.DUMMYFUNCTION("IMPORTRANGE(""https://docs.google.com/spreadsheets/d/1awYsYK3VOup2i3Pq_Yjnu8DRu_mYwSBnCR2QPthd0rU/edit?usp=sharing"",""ศูนย์รวม!E59"")"),1)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IFERROR(__xludf.DUMMYFUNCTION("IMPORTRANGE(""https://docs.google.com/spreadsheets/d/1awYsYK3VOup2i3Pq_Yjnu8DRu_mYwSBnCR2QPthd0rU/edit?usp=sharing"",""ศูนย์ยกเว้นโฉนด!F59"")"),47)</f>
        <v>47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IFERROR(__xludf.DUMMYFUNCTION("IMPORTRANGE(""https://docs.google.com/spreadsheets/d/1awYsYK3VOup2i3Pq_Yjnu8DRu_mYwSBnCR2QPthd0rU/edit?usp=sharing"",""ศูนย์ยกเว้นโฉนด!G59"")"),30)</f>
        <v>30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IFERROR(__xludf.DUMMYFUNCTION("IMPORTRANGE(""https://docs.google.com/spreadsheets/d/1awYsYK3VOup2i3Pq_Yjnu8DRu_mYwSBnCR2QPthd0rU/edit?usp=sharing"",""ศูนย์ยกเว้นโฉนด!H59"")"),0)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119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IFERROR(__xludf.DUMMYFUNCTION("IMPORTRANGE(""https://docs.google.com/spreadsheets/d/1awYsYK3VOup2i3Pq_Yjnu8DRu_mYwSBnCR2QPthd0rU/edit?usp=sharing"",""โฉนดM3!G59"")"),0)</f>
        <v>0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IFERROR(__xludf.DUMMYFUNCTION("IMPORTRANGE(""https://docs.google.com/spreadsheets/d/1awYsYK3VOup2i3Pq_Yjnu8DRu_mYwSBnCR2QPthd0rU/edit?usp=sharing"",""โฉนดM3!H59"")"),38)</f>
        <v>38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IFERROR(__xludf.DUMMYFUNCTION("IMPORTRANGE(""https://docs.google.com/spreadsheets/d/1awYsYK3VOup2i3Pq_Yjnu8DRu_mYwSBnCR2QPthd0rU/edit?usp=sharing"",""โฉนดM3!I59"")"),81)</f>
        <v>81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116090</v>
      </c>
      <c r="M356" s="266">
        <f ca="1">M357+M358</f>
        <v>116090</v>
      </c>
      <c r="N356" s="266">
        <f ca="1">N357+N358</f>
        <v>76264</v>
      </c>
      <c r="O356" s="266">
        <f ca="1">IF(L356&gt;0,N356*100/L356,0)</f>
        <v>65.693858213455073</v>
      </c>
      <c r="P356" s="266">
        <f ca="1">IF(M356&gt;0,N356*100/M356,0)</f>
        <v>65.693858213455073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116090</v>
      </c>
      <c r="M358" s="77">
        <f ca="1">M361+M364</f>
        <v>116090</v>
      </c>
      <c r="N358" s="77">
        <f ca="1">N361+N364</f>
        <v>76264</v>
      </c>
      <c r="O358" s="77">
        <f ca="1">IF(L358&gt;0,N358*100/L358,0)</f>
        <v>65.693858213455073</v>
      </c>
      <c r="P358" s="77">
        <f ca="1">IF(M358&gt;0,N358*100/M358,0)</f>
        <v>65.693858213455073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116090</v>
      </c>
      <c r="M359" s="77">
        <f ca="1">M360+M361</f>
        <v>116090</v>
      </c>
      <c r="N359" s="77">
        <f ca="1">N360+N361</f>
        <v>76264</v>
      </c>
      <c r="O359" s="77">
        <f ca="1">IF(L359&gt;0,N359*100/L359,0)</f>
        <v>65.693858213455073</v>
      </c>
      <c r="P359" s="77">
        <f ca="1">IF(M359&gt;0,N359*100/M359,0)</f>
        <v>65.693858213455073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IFERROR(__xludf.DUMMYFUNCTION("IMPORTRANGE(""https://docs.google.com/spreadsheets/d/1-uDff_7J0KD5mKrp0Vvzr7lt3OU09vwQwhkpOPPYv2Y/edit?usp=sharing"",""งบพรบ!FC59"")"),116090)</f>
        <v>116090</v>
      </c>
      <c r="M361" s="77">
        <f ca="1">IFERROR(__xludf.DUMMYFUNCTION("IMPORTRANGE(""https://docs.google.com/spreadsheets/d/1-uDff_7J0KD5mKrp0Vvzr7lt3OU09vwQwhkpOPPYv2Y/edit?usp=sharing"",""งบพรบ!FH59"")"),116090)</f>
        <v>116090</v>
      </c>
      <c r="N361" s="77">
        <f ca="1">IFERROR(__xludf.DUMMYFUNCTION("IMPORTRANGE(""https://docs.google.com/spreadsheets/d/1-uDff_7J0KD5mKrp0Vvzr7lt3OU09vwQwhkpOPPYv2Y/edit?usp=sharing"",""งบพรบ!FJ59"")"),76264)</f>
        <v>76264</v>
      </c>
      <c r="O361" s="77">
        <f ca="1">IF(L361&gt;0,N361*100/L361,0)</f>
        <v>65.693858213455073</v>
      </c>
      <c r="P361" s="77">
        <f ca="1">IF(M361&gt;0,N361*100/M361,0)</f>
        <v>65.693858213455073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IFERROR(__xludf.DUMMYFUNCTION("IMPORTRANGE(""https://docs.google.com/spreadsheets/d/1-uDff_7J0KD5mKrp0Vvzr7lt3OU09vwQwhkpOPPYv2Y/edit?usp=sharing"",""งบพรบ!FF59"")"),0)</f>
        <v>0</v>
      </c>
      <c r="M364" s="77">
        <f ca="1">IFERROR(__xludf.DUMMYFUNCTION("IMPORTRANGE(""https://docs.google.com/spreadsheets/d/1-uDff_7J0KD5mKrp0Vvzr7lt3OU09vwQwhkpOPPYv2Y/edit?usp=sharing"",""งบพรบ!FI59"")"),0)</f>
        <v>0</v>
      </c>
      <c r="N364" s="77">
        <f ca="1">IFERROR(__xludf.DUMMYFUNCTION("IMPORTRANGE(""https://docs.google.com/spreadsheets/d/1-uDff_7J0KD5mKrp0Vvzr7lt3OU09vwQwhkpOPPYv2Y/edit?usp=sharing"",""งบพรบ!FK59"")"),0)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IFERROR(__xludf.DUMMYFUNCTION("IMPORTRANGE(""https://docs.google.com/spreadsheets/d/1tdoBKaGub7dwA3U6UFTqxio9LNnvDCQjHKmttSEBsFQ/edit?usp=sharing"",""จัดที่ดิน!AB59"")"),0)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IFERROR(__xludf.DUMMYFUNCTION("IMPORTRANGE(""https://docs.google.com/spreadsheets/d/1eHaY18a8A9IcSdp1K8H6x8fbOy06t2VsZHhMHf-1x7Y/edit?usp=sharing"",""แผน!EW59"")"),0)</f>
        <v>0</v>
      </c>
      <c r="J368" s="1094">
        <f ca="1">IFERROR(__xludf.DUMMYFUNCTION("IMPORTRANGE(""https://docs.google.com/spreadsheets/d/1tdoBKaGub7dwA3U6UFTqxio9LNnvDCQjHKmttSEBsFQ/edit?usp=sharing"",""จัดที่ดิน!AC59"")"),0)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IFERROR(__xludf.DUMMYFUNCTION("IMPORTRANGE(""https://docs.google.com/spreadsheets/d/1eHaY18a8A9IcSdp1K8H6x8fbOy06t2VsZHhMHf-1x7Y/edit?usp=sharing"",""แผน!EX59"")"),0)</f>
        <v>0</v>
      </c>
      <c r="J369" s="295">
        <f ca="1">IFERROR(__xludf.DUMMYFUNCTION("IMPORTRANGE(""https://docs.google.com/spreadsheets/d/1tdoBKaGub7dwA3U6UFTqxio9LNnvDCQjHKmttSEBsFQ/edit?usp=sharing"",""จัดที่ดิน!AD59"")"),0)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IFERROR(__xludf.DUMMYFUNCTION("IMPORTRANGE(""https://docs.google.com/spreadsheets/d/1tdoBKaGub7dwA3U6UFTqxio9LNnvDCQjHKmttSEBsFQ/edit?usp=sharing"",""จัดที่ดิน!AE59"")"),0)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IFERROR(__xludf.DUMMYFUNCTION("IMPORTRANGE(""https://docs.google.com/spreadsheets/d/1eHaY18a8A9IcSdp1K8H6x8fbOy06t2VsZHhMHf-1x7Y/edit?usp=sharing"",""แผน!EY59"")"),0)</f>
        <v>0</v>
      </c>
      <c r="J371" s="295">
        <f ca="1">IFERROR(__xludf.DUMMYFUNCTION("IMPORTRANGE(""https://docs.google.com/spreadsheets/d/1tdoBKaGub7dwA3U6UFTqxio9LNnvDCQjHKmttSEBsFQ/edit?usp=sharing"",""จัดที่ดิน!AF59"")"),0)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IFERROR(__xludf.DUMMYFUNCTION("IMPORTRANGE(""https://docs.google.com/spreadsheets/d/1tdoBKaGub7dwA3U6UFTqxio9LNnvDCQjHKmttSEBsFQ/edit?usp=sharing"",""จัดที่ดิน!AG59"")"),0)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IFERROR(__xludf.DUMMYFUNCTION("IMPORTRANGE(""https://docs.google.com/spreadsheets/d/1ItG2mGa2ceCfYo0BwxsXqNm01IGEUdYcSSLTEv9YCik/edit?usp=sharing"",""เบิกจ่ายกองทุน!AY59"")"),0)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IFERROR(__xludf.DUMMYFUNCTION("IMPORTRANGE(""https://docs.google.com/spreadsheets/d/1ItG2mGa2ceCfYo0BwxsXqNm01IGEUdYcSSLTEv9YCik/edit?usp=sharing"",""เบิกจ่ายกองทุน!AZ59"")"),0)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IFERROR(__xludf.DUMMYFUNCTION("IMPORTRANGE(""https://docs.google.com/spreadsheets/d/1ItG2mGa2ceCfYo0BwxsXqNm01IGEUdYcSSLTEv9YCik/edit?usp=sharing"",""เบิกจ่ายกองทุน!BA59"")"),0)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IFERROR(__xludf.DUMMYFUNCTION("IMPORTRANGE(""https://docs.google.com/spreadsheets/d/1eHaY18a8A9IcSdp1K8H6x8fbOy06t2VsZHhMHf-1x7Y/edit?usp=sharing"",""แผน!JQ59"")"),0)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IFERROR(__xludf.DUMMYFUNCTION("IMPORTRANGE(""https://docs.google.com/spreadsheets/d/1eHaY18a8A9IcSdp1K8H6x8fbOy06t2VsZHhMHf-1x7Y/edit?usp=sharing"",""แผน!JQ59"")"),0)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IFERROR(__xludf.DUMMYFUNCTION("IMPORTRANGE(""https://docs.google.com/spreadsheets/d/1ItG2mGa2ceCfYo0BwxsXqNm01IGEUdYcSSLTEv9YCik/edit?usp=sharing"",""เบิกจ่ายกองทุน!BH59"")"),0)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IFERROR(__xludf.DUMMYFUNCTION("IMPORTRANGE(""https://docs.google.com/spreadsheets/d/1ItG2mGa2ceCfYo0BwxsXqNm01IGEUdYcSSLTEv9YCik/edit?usp=sharing"",""เบิกจ่ายกองทุน!BI59"")"),0)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IFERROR(__xludf.DUMMYFUNCTION("IMPORTRANGE(""https://docs.google.com/spreadsheets/d/1ItG2mGa2ceCfYo0BwxsXqNm01IGEUdYcSSLTEv9YCik/edit?usp=sharing"",""เบิกจ่ายกองทุน!BJ59"")"),0)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IFERROR(__xludf.DUMMYFUNCTION("IMPORTRANGE(""https://docs.google.com/spreadsheets/d/1eHaY18a8A9IcSdp1K8H6x8fbOy06t2VsZHhMHf-1x7Y/edit?usp=sharing"",""แผน!HJ59"")"),0)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IFERROR(__xludf.DUMMYFUNCTION("IMPORTRANGE(""https://docs.google.com/spreadsheets/d/1eHaY18a8A9IcSdp1K8H6x8fbOy06t2VsZHhMHf-1x7Y/edit?usp=sharing"",""แผน!HK59"")"),0)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IFERROR(__xludf.DUMMYFUNCTION("IMPORTRANGE(""https://docs.google.com/spreadsheets/d/1eHaY18a8A9IcSdp1K8H6x8fbOy06t2VsZHhMHf-1x7Y/edit?usp=sharing"",""แผน!HJ59"")"),0)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IFERROR(__xludf.DUMMYFUNCTION("IMPORTRANGE(""https://docs.google.com/spreadsheets/d/1eHaY18a8A9IcSdp1K8H6x8fbOy06t2VsZHhMHf-1x7Y/edit?usp=sharing"",""แผน!HK59"")"),0)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IFERROR(__xludf.DUMMYFUNCTION("IMPORTRANGE(""https://docs.google.com/spreadsheets/d/1eHaY18a8A9IcSdp1K8H6x8fbOy06t2VsZHhMHf-1x7Y/edit?usp=sharing"",""แผน!HJ59"")"),0)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IFERROR(__xludf.DUMMYFUNCTION("IMPORTRANGE(""https://docs.google.com/spreadsheets/d/1eHaY18a8A9IcSdp1K8H6x8fbOy06t2VsZHhMHf-1x7Y/edit?usp=sharing"",""แผน!HK59"")"),0)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IFERROR(__xludf.DUMMYFUNCTION("IMPORTRANGE(""https://docs.google.com/spreadsheets/d/1eHaY18a8A9IcSdp1K8H6x8fbOy06t2VsZHhMHf-1x7Y/edit?usp=sharing"",""แผน!HL59"")"),0)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IFERROR(__xludf.DUMMYFUNCTION("IMPORTRANGE(""https://docs.google.com/spreadsheets/d/1eHaY18a8A9IcSdp1K8H6x8fbOy06t2VsZHhMHf-1x7Y/edit?usp=sharing"",""แผน!HM59"")"),0)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IFERROR(__xludf.DUMMYFUNCTION("IMPORTRANGE(""https://docs.google.com/spreadsheets/d/1eHaY18a8A9IcSdp1K8H6x8fbOy06t2VsZHhMHf-1x7Y/edit?usp=sharing"",""แผน!HN59"")"),0)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IFERROR(__xludf.DUMMYFUNCTION("IMPORTRANGE(""https://docs.google.com/spreadsheets/d/1eHaY18a8A9IcSdp1K8H6x8fbOy06t2VsZHhMHf-1x7Y/edit?usp=sharing"",""แผน!HO59"")"),0)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IFERROR(__xludf.DUMMYFUNCTION("IMPORTRANGE(""https://docs.google.com/spreadsheets/d/1ItG2mGa2ceCfYo0BwxsXqNm01IGEUdYcSSLTEv9YCik/edit?usp=sharing"",""เบิกจ่ายกองทุน!X59"")"),0)</f>
        <v>0</v>
      </c>
      <c r="R498" s="77">
        <f ca="1">IFERROR(__xludf.DUMMYFUNCTION("IMPORTRANGE(""https://docs.google.com/spreadsheets/d/1ItG2mGa2ceCfYo0BwxsXqNm01IGEUdYcSSLTEv9YCik/edit?usp=sharing"",""เบิกจ่ายกองทุน!Y59"")"),0)</f>
        <v>0</v>
      </c>
      <c r="S498" s="77">
        <f ca="1">IFERROR(__xludf.DUMMYFUNCTION("IMPORTRANGE(""https://docs.google.com/spreadsheets/d/1ItG2mGa2ceCfYo0BwxsXqNm01IGEUdYcSSLTEv9YCik/edit?usp=sharing"",""เบิกจ่ายกองทุน!Z59"")"),0)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IFERROR(__xludf.DUMMYFUNCTION("IMPORTRANGE(""https://docs.google.com/spreadsheets/d/1eHaY18a8A9IcSdp1K8H6x8fbOy06t2VsZHhMHf-1x7Y/edit?usp=sharing"",""แผน!GX59"")"),0)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IFERROR(__xludf.DUMMYFUNCTION("IMPORTRANGE(""https://docs.google.com/spreadsheets/d/1eHaY18a8A9IcSdp1K8H6x8fbOy06t2VsZHhMHf-1x7Y/edit?usp=sharing"",""แผน!GY59"")"),0)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IFERROR(__xludf.DUMMYFUNCTION("IMPORTRANGE(""https://docs.google.com/spreadsheets/d/1eHaY18a8A9IcSdp1K8H6x8fbOy06t2VsZHhMHf-1x7Y/edit?usp=sharing"",""แผน!GZ59"")"),0)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IFERROR(__xludf.DUMMYFUNCTION("IMPORTRANGE(""https://docs.google.com/spreadsheets/d/1eHaY18a8A9IcSdp1K8H6x8fbOy06t2VsZHhMHf-1x7Y/edit?usp=sharing"",""แผน!HA59"")"),0)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IFERROR(__xludf.DUMMYFUNCTION("IMPORTRANGE(""https://docs.google.com/spreadsheets/d/1eHaY18a8A9IcSdp1K8H6x8fbOy06t2VsZHhMHf-1x7Y/edit?usp=sharing"",""แผน!HB59"")"),0)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IFERROR(__xludf.DUMMYFUNCTION("IMPORTRANGE(""https://docs.google.com/spreadsheets/d/1eHaY18a8A9IcSdp1K8H6x8fbOy06t2VsZHhMHf-1x7Y/edit?usp=sharing"",""แผน!HC59"")"),0)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IFERROR(__xludf.DUMMYFUNCTION("IMPORTRANGE(""https://docs.google.com/spreadsheets/d/1-uDff_7J0KD5mKrp0Vvzr7lt3OU09vwQwhkpOPPYv2Y/edit?usp=sharing"",""งบพรบ!FM59"")"),0)</f>
        <v>0</v>
      </c>
      <c r="M518" s="77">
        <f ca="1">IFERROR(__xludf.DUMMYFUNCTION("IMPORTRANGE(""https://docs.google.com/spreadsheets/d/1-uDff_7J0KD5mKrp0Vvzr7lt3OU09vwQwhkpOPPYv2Y/edit?usp=sharing"",""งบพรบ!FR59"")"),0)</f>
        <v>0</v>
      </c>
      <c r="N518" s="77">
        <f ca="1">IFERROR(__xludf.DUMMYFUNCTION("IMPORTRANGE(""https://docs.google.com/spreadsheets/d/1-uDff_7J0KD5mKrp0Vvzr7lt3OU09vwQwhkpOPPYv2Y/edit?usp=sharing"",""งบพรบ!FT59"")"),0)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IFERROR(__xludf.DUMMYFUNCTION("IMPORTRANGE(""https://docs.google.com/spreadsheets/d/1-uDff_7J0KD5mKrp0Vvzr7lt3OU09vwQwhkpOPPYv2Y/edit?usp=sharing"",""งบพรบ!FP59"")"),0)</f>
        <v>0</v>
      </c>
      <c r="M521" s="77">
        <f ca="1">IFERROR(__xludf.DUMMYFUNCTION("IMPORTRANGE(""https://docs.google.com/spreadsheets/d/1-uDff_7J0KD5mKrp0Vvzr7lt3OU09vwQwhkpOPPYv2Y/edit?usp=sharing"",""งบพรบ!FS59"")"),0)</f>
        <v>0</v>
      </c>
      <c r="N521" s="77">
        <f ca="1">IFERROR(__xludf.DUMMYFUNCTION("IMPORTRANGE(""https://docs.google.com/spreadsheets/d/1-uDff_7J0KD5mKrp0Vvzr7lt3OU09vwQwhkpOPPYv2Y/edit?usp=sharing"",""งบพรบ!FU59"")"),0)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50</v>
      </c>
      <c r="J615" s="1259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6600</v>
      </c>
      <c r="R616" s="266">
        <f ca="1">R617+R618</f>
        <v>6600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6600</v>
      </c>
      <c r="R618" s="77">
        <f ca="1">R621+R624</f>
        <v>6600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6600</v>
      </c>
      <c r="R619" s="77">
        <f ca="1">R620+R621</f>
        <v>6600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IFERROR(__xludf.DUMMYFUNCTION("IMPORTRANGE(""https://docs.google.com/spreadsheets/d/1ItG2mGa2ceCfYo0BwxsXqNm01IGEUdYcSSLTEv9YCik/edit?usp=sharing"",""เบิกจ่ายกองทุน!F59"")"),6600)</f>
        <v>6600</v>
      </c>
      <c r="R621" s="77">
        <f ca="1">IFERROR(__xludf.DUMMYFUNCTION("IMPORTRANGE(""https://docs.google.com/spreadsheets/d/1ItG2mGa2ceCfYo0BwxsXqNm01IGEUdYcSSLTEv9YCik/edit?usp=sharing"",""เบิกจ่ายกองทุน!G59"")"),6600)</f>
        <v>6600</v>
      </c>
      <c r="S621" s="77">
        <f ca="1">IFERROR(__xludf.DUMMYFUNCTION("IMPORTRANGE(""https://docs.google.com/spreadsheets/d/1ItG2mGa2ceCfYo0BwxsXqNm01IGEUdYcSSLTEv9YCik/edit?usp=sharing"",""เบิกจ่ายกองทุน!H59"")"),0)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IFERROR(__xludf.DUMMYFUNCTION("IMPORTRANGE(""https://docs.google.com/spreadsheets/d/1eHaY18a8A9IcSdp1K8H6x8fbOy06t2VsZHhMHf-1x7Y/edit?usp=sharing"",""แผน!ID59"")"),50)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IFERROR(__xludf.DUMMYFUNCTION("IMPORTRANGE(""https://docs.google.com/spreadsheets/d/1eHaY18a8A9IcSdp1K8H6x8fbOy06t2VsZHhMHf-1x7Y/edit?usp=sharing"",""แผน!IC59"")"),0)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IFERROR(__xludf.DUMMYFUNCTION("IMPORTRANGE(""https://docs.google.com/spreadsheets/d/1eHaY18a8A9IcSdp1K8H6x8fbOy06t2VsZHhMHf-1x7Y/edit?usp=sharing"",""แผน!IC59"")"),0)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IFERROR(__xludf.DUMMYFUNCTION("IMPORTRANGE(""https://docs.google.com/spreadsheets/d/1eHaY18a8A9IcSdp1K8H6x8fbOy06t2VsZHhMHf-1x7Y/edit?usp=sharing"",""แผน!IE59"")"),0)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81800</v>
      </c>
      <c r="R642" s="266">
        <f ca="1">R643+R644</f>
        <v>81800</v>
      </c>
      <c r="S642" s="266">
        <f ca="1">S643+S644</f>
        <v>3080</v>
      </c>
      <c r="T642" s="266">
        <f ca="1">IF(Q642&gt;0,S642*100/Q642,0)</f>
        <v>3.7652811735941318</v>
      </c>
      <c r="U642" s="266">
        <f ca="1">IF(R642&gt;0,S642*100/R642,0)</f>
        <v>3.7652811735941318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81800</v>
      </c>
      <c r="R644" s="77">
        <f ca="1">R647+R650</f>
        <v>81800</v>
      </c>
      <c r="S644" s="77">
        <f ca="1">S647+S650</f>
        <v>3080</v>
      </c>
      <c r="T644" s="77">
        <f ca="1">IF(Q644&gt;0,S644*100/Q644,0)</f>
        <v>3.7652811735941318</v>
      </c>
      <c r="U644" s="77">
        <f ca="1">IF(R644&gt;0,S644*100/R644,0)</f>
        <v>3.7652811735941318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81800</v>
      </c>
      <c r="R645" s="77">
        <f ca="1">R646+R647</f>
        <v>81800</v>
      </c>
      <c r="S645" s="77">
        <f ca="1">S646+S647</f>
        <v>3080</v>
      </c>
      <c r="T645" s="77">
        <f ca="1">IF(Q645&gt;0,S645*100/Q645,0)</f>
        <v>3.7652811735941318</v>
      </c>
      <c r="U645" s="77">
        <f ca="1">IF(R645&gt;0,S645*100/R645,0)</f>
        <v>3.7652811735941318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IFERROR(__xludf.DUMMYFUNCTION("IMPORTRANGE(""https://docs.google.com/spreadsheets/d/1ItG2mGa2ceCfYo0BwxsXqNm01IGEUdYcSSLTEv9YCik/edit?usp=sharing"",""เบิกจ่ายกองทุน!I59"")"),81800)</f>
        <v>81800</v>
      </c>
      <c r="R647" s="77">
        <f ca="1">IFERROR(__xludf.DUMMYFUNCTION("IMPORTRANGE(""https://docs.google.com/spreadsheets/d/1ItG2mGa2ceCfYo0BwxsXqNm01IGEUdYcSSLTEv9YCik/edit?usp=sharing"",""เบิกจ่ายกองทุน!J59"")"),81800)</f>
        <v>81800</v>
      </c>
      <c r="S647" s="77">
        <f ca="1">IFERROR(__xludf.DUMMYFUNCTION("IMPORTRANGE(""https://docs.google.com/spreadsheets/d/1ItG2mGa2ceCfYo0BwxsXqNm01IGEUdYcSSLTEv9YCik/edit?usp=sharing"",""เบิกจ่ายกองทุน!K59"")"),3080)</f>
        <v>3080</v>
      </c>
      <c r="T647" s="77">
        <f ca="1">IF(Q647&gt;0,S647*100/Q647,0)</f>
        <v>3.7652811735941318</v>
      </c>
      <c r="U647" s="77">
        <f ca="1">IF(R647&gt;0,S647*100/R647,0)</f>
        <v>3.7652811735941318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IFERROR(__xludf.DUMMYFUNCTION("IMPORTRANGE(""https://docs.google.com/spreadsheets/d/1eHaY18a8A9IcSdp1K8H6x8fbOy06t2VsZHhMHf-1x7Y/edit?usp=sharing"",""แผน!IF59"")"),0)</f>
        <v>0</v>
      </c>
      <c r="J652" s="295">
        <f ca="1">IFERROR(__xludf.DUMMYFUNCTION("IMPORTRANGE(""https://docs.google.com/spreadsheets/d/1tdoBKaGub7dwA3U6UFTqxio9LNnvDCQjHKmttSEBsFQ/edit?usp=sharing"",""จัดที่ดิน!AU59"")"),0)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IFERROR(__xludf.DUMMYFUNCTION("IMPORTRANGE(""https://docs.google.com/spreadsheets/d/1eHaY18a8A9IcSdp1K8H6x8fbOy06t2VsZHhMHf-1x7Y/edit?usp=sharing"",""แผน!IG59"")"),5)</f>
        <v>5</v>
      </c>
      <c r="J653" s="295">
        <f ca="1">IFERROR(__xludf.DUMMYFUNCTION("IMPORTRANGE(""https://docs.google.com/spreadsheets/d/1tdoBKaGub7dwA3U6UFTqxio9LNnvDCQjHKmttSEBsFQ/edit?usp=sharing"",""จัดที่ดิน!AW59"")"),0)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IFERROR(__xludf.DUMMYFUNCTION("IMPORTRANGE(""https://docs.google.com/spreadsheets/d/1eHaY18a8A9IcSdp1K8H6x8fbOy06t2VsZHhMHf-1x7Y/edit?usp=sharing"",""แผน!IH59"")"),225)</f>
        <v>225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IFERROR(__xludf.DUMMYFUNCTION("IMPORTRANGE(""https://docs.google.com/spreadsheets/d/1eHaY18a8A9IcSdp1K8H6x8fbOy06t2VsZHhMHf-1x7Y/edit?usp=sharing"",""แผน!II59"")"),225)</f>
        <v>225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IFERROR(__xludf.DUMMYFUNCTION("IMPORTRANGE(""https://docs.google.com/spreadsheets/d/1eHaY18a8A9IcSdp1K8H6x8fbOy06t2VsZHhMHf-1x7Y/edit?usp=sharing"",""แผน!IJ59"")"),0)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IFERROR(__xludf.DUMMYFUNCTION("IMPORTRANGE(""https://docs.google.com/spreadsheets/d/1eHaY18a8A9IcSdp1K8H6x8fbOy06t2VsZHhMHf-1x7Y/edit?usp=sharing"",""แผน!IK59"")"),100)</f>
        <v>100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IFERROR(__xludf.DUMMYFUNCTION("IMPORTRANGE(""https://docs.google.com/spreadsheets/d/1tdoBKaGub7dwA3U6UFTqxio9LNnvDCQjHKmttSEBsFQ/edit?usp=sharing"",""จัดที่ดิน!AY59"")"),0)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IFERROR(__xludf.DUMMYFUNCTION("IMPORTRANGE(""https://docs.google.com/spreadsheets/d/1tdoBKaGub7dwA3U6UFTqxio9LNnvDCQjHKmttSEBsFQ/edit?usp=sharing"",""จัดที่ดิน!AZ59"")"),0)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IFERROR(__xludf.DUMMYFUNCTION("IMPORTRANGE(""https://docs.google.com/spreadsheets/d/1eHaY18a8A9IcSdp1K8H6x8fbOy06t2VsZHhMHf-1x7Y/edit?usp=sharing"",""แผน!IL59"")"),230)</f>
        <v>230</v>
      </c>
      <c r="J673" s="295">
        <f ca="1">IFERROR(__xludf.DUMMYFUNCTION("IMPORTRANGE(""https://docs.google.com/spreadsheets/d/1tdoBKaGub7dwA3U6UFTqxio9LNnvDCQjHKmttSEBsFQ/edit?usp=sharing"",""จัดที่ดิน!BA59"")"),0)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IFERROR(__xludf.DUMMYFUNCTION("IMPORTRANGE(""https://docs.google.com/spreadsheets/d/1eHaY18a8A9IcSdp1K8H6x8fbOy06t2VsZHhMHf-1x7Y/edit?usp=sharing"",""แผน!IM59"")"),45)</f>
        <v>45</v>
      </c>
      <c r="J674" s="603">
        <f ca="1">J676+J679</f>
        <v>18</v>
      </c>
      <c r="K674" s="266">
        <f ca="1">IF(I674&gt;0,J674*100/I674,0)</f>
        <v>40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IFERROR(__xludf.DUMMYFUNCTION("IMPORTRANGE(""https://docs.google.com/spreadsheets/d/1eHaY18a8A9IcSdp1K8H6x8fbOy06t2VsZHhMHf-1x7Y/edit?usp=sharing"",""แผน!IN59"")"),675)</f>
        <v>675</v>
      </c>
      <c r="J675" s="603">
        <f ca="1">J678+J681</f>
        <v>336.22</v>
      </c>
      <c r="K675" s="266">
        <f ca="1">IF(I675&gt;0,J675*100/I675,0)</f>
        <v>49.810370370370372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IFERROR(__xludf.DUMMYFUNCTION("IMPORTRANGE(""https://docs.google.com/spreadsheets/d/1eHaY18a8A9IcSdp1K8H6x8fbOy06t2VsZHhMHf-1x7Y/edit?usp=sharing"",""แผน!IO59"")"),20)</f>
        <v>20</v>
      </c>
      <c r="J676" s="295">
        <f ca="1">IFERROR(__xludf.DUMMYFUNCTION("IMPORTRANGE(""https://docs.google.com/spreadsheets/d/1tdoBKaGub7dwA3U6UFTqxio9LNnvDCQjHKmttSEBsFQ/edit?usp=sharing"",""จัดที่ดิน!BF59"")"),18)</f>
        <v>18</v>
      </c>
      <c r="K676" s="77">
        <f ca="1">IF(I676&gt;0,J676*100/I676,0)</f>
        <v>90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IFERROR(__xludf.DUMMYFUNCTION("IMPORTRANGE(""https://docs.google.com/spreadsheets/d/1tdoBKaGub7dwA3U6UFTqxio9LNnvDCQjHKmttSEBsFQ/edit?usp=sharing"",""จัดที่ดิน!BG59"")"),25)</f>
        <v>25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IFERROR(__xludf.DUMMYFUNCTION("IMPORTRANGE(""https://docs.google.com/spreadsheets/d/1eHaY18a8A9IcSdp1K8H6x8fbOy06t2VsZHhMHf-1x7Y/edit?usp=sharing"",""แผน!IP59"")"),300)</f>
        <v>300</v>
      </c>
      <c r="J678" s="295">
        <f ca="1">IFERROR(__xludf.DUMMYFUNCTION("IMPORTRANGE(""https://docs.google.com/spreadsheets/d/1tdoBKaGub7dwA3U6UFTqxio9LNnvDCQjHKmttSEBsFQ/edit?usp=sharing"",""จัดที่ดิน!BH59"")"),336.22)</f>
        <v>336.22</v>
      </c>
      <c r="K678" s="77">
        <f ca="1">IF(I678&gt;0,J678*100/I678,0)</f>
        <v>112.07333333333334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IFERROR(__xludf.DUMMYFUNCTION("IMPORTRANGE(""https://docs.google.com/spreadsheets/d/1eHaY18a8A9IcSdp1K8H6x8fbOy06t2VsZHhMHf-1x7Y/edit?usp=sharing"",""แผน!IQ59"")"),25)</f>
        <v>25</v>
      </c>
      <c r="J679" s="295">
        <f ca="1">IFERROR(__xludf.DUMMYFUNCTION("IMPORTRANGE(""https://docs.google.com/spreadsheets/d/1tdoBKaGub7dwA3U6UFTqxio9LNnvDCQjHKmttSEBsFQ/edit?usp=sharing"",""จัดที่ดิน!BK59"")"),0)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IFERROR(__xludf.DUMMYFUNCTION("IMPORTRANGE(""https://docs.google.com/spreadsheets/d/1tdoBKaGub7dwA3U6UFTqxio9LNnvDCQjHKmttSEBsFQ/edit?usp=sharing"",""จัดที่ดิน!BL59"")"),0)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IFERROR(__xludf.DUMMYFUNCTION("IMPORTRANGE(""https://docs.google.com/spreadsheets/d/1eHaY18a8A9IcSdp1K8H6x8fbOy06t2VsZHhMHf-1x7Y/edit?usp=sharing"",""แผน!IR59"")"),375)</f>
        <v>375</v>
      </c>
      <c r="J681" s="295">
        <f ca="1">IFERROR(__xludf.DUMMYFUNCTION("IMPORTRANGE(""https://docs.google.com/spreadsheets/d/1tdoBKaGub7dwA3U6UFTqxio9LNnvDCQjHKmttSEBsFQ/edit?usp=sharing"",""จัดที่ดิน!BM59"")"),0)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IFERROR(__xludf.DUMMYFUNCTION("IMPORTRANGE(""https://docs.google.com/spreadsheets/d/1eHaY18a8A9IcSdp1K8H6x8fbOy06t2VsZHhMHf-1x7Y/edit?usp=sharing"",""แผน!IS59"")"),150)</f>
        <v>150</v>
      </c>
      <c r="J682" s="603">
        <f>J685+J688</f>
        <v>47.870000000000005</v>
      </c>
      <c r="K682" s="266">
        <f ca="1">IF(I682&gt;0,J682*100/I682,0)</f>
        <v>31.913333333333334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4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4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27.375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3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3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20.495000000000001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58650</v>
      </c>
      <c r="R690" s="266">
        <f ca="1">R691+R692</f>
        <v>58650</v>
      </c>
      <c r="S690" s="266">
        <f ca="1">S691+S692</f>
        <v>450</v>
      </c>
      <c r="T690" s="266">
        <f ca="1">IF(Q690&gt;0,S690*100/Q690,0)</f>
        <v>0.76726342710997442</v>
      </c>
      <c r="U690" s="266">
        <f ca="1">IF(R690&gt;0,S690*100/R690,0)</f>
        <v>0.76726342710997442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58650</v>
      </c>
      <c r="R692" s="77">
        <f ca="1">R695+R698</f>
        <v>58650</v>
      </c>
      <c r="S692" s="77">
        <f ca="1">S695+S698</f>
        <v>450</v>
      </c>
      <c r="T692" s="77">
        <f ca="1">IF(Q692&gt;0,S692*100/Q692,0)</f>
        <v>0.76726342710997442</v>
      </c>
      <c r="U692" s="77">
        <f ca="1">IF(R692&gt;0,S692*100/R692,0)</f>
        <v>0.76726342710997442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58650</v>
      </c>
      <c r="R693" s="77">
        <f ca="1">R694+R695</f>
        <v>58650</v>
      </c>
      <c r="S693" s="77">
        <f ca="1">S694+S695</f>
        <v>450</v>
      </c>
      <c r="T693" s="77">
        <f ca="1">IF(Q693&gt;0,S693*100/Q693,0)</f>
        <v>0.76726342710997442</v>
      </c>
      <c r="U693" s="77">
        <f ca="1">IF(R693&gt;0,S693*100/R693,0)</f>
        <v>0.76726342710997442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IFERROR(__xludf.DUMMYFUNCTION("IMPORTRANGE(""https://docs.google.com/spreadsheets/d/1ItG2mGa2ceCfYo0BwxsXqNm01IGEUdYcSSLTEv9YCik/edit?usp=sharing"",""เบิกจ่ายกองทุน!L59"")"),58650)</f>
        <v>58650</v>
      </c>
      <c r="R695" s="77">
        <f ca="1">IFERROR(__xludf.DUMMYFUNCTION("IMPORTRANGE(""https://docs.google.com/spreadsheets/d/1ItG2mGa2ceCfYo0BwxsXqNm01IGEUdYcSSLTEv9YCik/edit?usp=sharing"",""เบิกจ่ายกองทุน!M59"")"),58650)</f>
        <v>58650</v>
      </c>
      <c r="S695" s="77">
        <f ca="1">IFERROR(__xludf.DUMMYFUNCTION("IMPORTRANGE(""https://docs.google.com/spreadsheets/d/1ItG2mGa2ceCfYo0BwxsXqNm01IGEUdYcSSLTEv9YCik/edit?usp=sharing"",""เบิกจ่ายกองทุน!N59"")"),450)</f>
        <v>450</v>
      </c>
      <c r="T695" s="77">
        <f ca="1">IF(Q695&gt;0,S695*100/Q695,0)</f>
        <v>0.76726342710997442</v>
      </c>
      <c r="U695" s="77">
        <f ca="1">IF(R695&gt;0,S695*100/R695,0)</f>
        <v>0.76726342710997442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IFERROR(__xludf.DUMMYFUNCTION("IMPORTRANGE(""https://docs.google.com/spreadsheets/d/1eHaY18a8A9IcSdp1K8H6x8fbOy06t2VsZHhMHf-1x7Y/edit?usp=sharing"",""แผน!LC59"")"),0)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2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IFERROR(__xludf.DUMMYFUNCTION("IMPORTRANGE(""https://docs.google.com/spreadsheets/d/1eHaY18a8A9IcSdp1K8H6x8fbOy06t2VsZHhMHf-1x7Y/edit?usp=sharing"",""แผน!LJ59"")"),0)</f>
        <v>0</v>
      </c>
      <c r="J703" s="295">
        <f ca="1">IFERROR(__xludf.DUMMYFUNCTION("IMPORTRANGE(""https://docs.google.com/spreadsheets/d/1tdoBKaGub7dwA3U6UFTqxio9LNnvDCQjHKmttSEBsFQ/edit?usp=sharing"",""จัดที่ดิน!AP59"")"),0)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IFERROR(__xludf.DUMMYFUNCTION("IMPORTRANGE(""https://docs.google.com/spreadsheets/d/1tdoBKaGub7dwA3U6UFTqxio9LNnvDCQjHKmttSEBsFQ/edit?usp=sharing"",""จัดที่ดิน!AQ59"")"),0)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IFERROR(__xludf.DUMMYFUNCTION("IMPORTRANGE(""https://docs.google.com/spreadsheets/d/1eHaY18a8A9IcSdp1K8H6x8fbOy06t2VsZHhMHf-1x7Y/edit?usp=sharing"",""แผน!LK59"")"),2)</f>
        <v>2</v>
      </c>
      <c r="J705" s="295">
        <f ca="1">IFERROR(__xludf.DUMMYFUNCTION("IMPORTRANGE(""https://docs.google.com/spreadsheets/d/1tdoBKaGub7dwA3U6UFTqxio9LNnvDCQjHKmttSEBsFQ/edit?usp=sharing"",""จัดที่ดิน!AR59"")"),0)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IFERROR(__xludf.DUMMYFUNCTION("IMPORTRANGE(""https://docs.google.com/spreadsheets/d/1tdoBKaGub7dwA3U6UFTqxio9LNnvDCQjHKmttSEBsFQ/edit?usp=sharing"",""จัดที่ดิน!AS59"")"),0)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IFERROR(__xludf.DUMMYFUNCTION("IMPORTRANGE(""https://docs.google.com/spreadsheets/d/1eHaY18a8A9IcSdp1K8H6x8fbOy06t2VsZHhMHf-1x7Y/edit?usp=sharing"",""แผน!LJ59"")"),0)</f>
        <v>0</v>
      </c>
      <c r="J707" s="295">
        <f ca="1">IFERROR(__xludf.DUMMYFUNCTION("IMPORTRANGE(""https://docs.google.com/spreadsheets/d/1tdoBKaGub7dwA3U6UFTqxio9LNnvDCQjHKmttSEBsFQ/edit?usp=sharing"",""จัดที่ดิน!BN59"")"),0)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IFERROR(__xludf.DUMMYFUNCTION("IMPORTRANGE(""https://docs.google.com/spreadsheets/d/1tdoBKaGub7dwA3U6UFTqxio9LNnvDCQjHKmttSEBsFQ/edit?usp=sharing"",""จัดที่ดิน!BO59"")"),0)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IFERROR(__xludf.DUMMYFUNCTION("IMPORTRANGE(""https://docs.google.com/spreadsheets/d/1eHaY18a8A9IcSdp1K8H6x8fbOy06t2VsZHhMHf-1x7Y/edit?usp=sharing"",""แผน!LK59"")"),2)</f>
        <v>2</v>
      </c>
      <c r="J709" s="295">
        <f ca="1">IFERROR(__xludf.DUMMYFUNCTION("IMPORTRANGE(""https://docs.google.com/spreadsheets/d/1tdoBKaGub7dwA3U6UFTqxio9LNnvDCQjHKmttSEBsFQ/edit?usp=sharing"",""จัดที่ดิน!BP59"")"),0)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IFERROR(__xludf.DUMMYFUNCTION("IMPORTRANGE(""https://docs.google.com/spreadsheets/d/1tdoBKaGub7dwA3U6UFTqxio9LNnvDCQjHKmttSEBsFQ/edit?usp=sharing"",""จัดที่ดิน!BQ59"")"),0)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IFERROR(__xludf.DUMMYFUNCTION("IMPORTRANGE(""https://docs.google.com/spreadsheets/d/1eHaY18a8A9IcSdp1K8H6x8fbOy06t2VsZHhMHf-1x7Y/edit?usp=sharing"",""แผน!FZ59"")"),0)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IFERROR(__xludf.DUMMYFUNCTION("IMPORTRANGE(""https://docs.google.com/spreadsheets/d/1eHaY18a8A9IcSdp1K8H6x8fbOy06t2VsZHhMHf-1x7Y/edit?usp=sharing"",""แผน!GA59"")"),0)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IFERROR(__xludf.DUMMYFUNCTION("IMPORTRANGE(""https://docs.google.com/spreadsheets/d/1ItG2mGa2ceCfYo0BwxsXqNm01IGEUdYcSSLTEv9YCik/edit?usp=sharing"",""เบิกจ่ายกองทุน!O59"")"),0)</f>
        <v>0</v>
      </c>
      <c r="R733" s="77">
        <f ca="1">IFERROR(__xludf.DUMMYFUNCTION("IMPORTRANGE(""https://docs.google.com/spreadsheets/d/1ItG2mGa2ceCfYo0BwxsXqNm01IGEUdYcSSLTEv9YCik/edit?usp=sharing"",""เบิกจ่ายกองทุน!P59"")"),0)</f>
        <v>0</v>
      </c>
      <c r="S733" s="77">
        <f ca="1">IFERROR(__xludf.DUMMYFUNCTION("IMPORTRANGE(""https://docs.google.com/spreadsheets/d/1ItG2mGa2ceCfYo0BwxsXqNm01IGEUdYcSSLTEv9YCik/edit?usp=sharing"",""เบิกจ่ายกองทุน!Q59"")"),0)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IFERROR(__xludf.DUMMYFUNCTION("IMPORTRANGE(""https://docs.google.com/spreadsheets/d/1eHaY18a8A9IcSdp1K8H6x8fbOy06t2VsZHhMHf-1x7Y/edit?usp=sharing"",""แผน!GB59"")"),0)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IFERROR(__xludf.DUMMYFUNCTION("IMPORTRANGE(""https://docs.google.com/spreadsheets/d/1eHaY18a8A9IcSdp1K8H6x8fbOy06t2VsZHhMHf-1x7Y/edit?usp=sharing"",""แผน!GC59"")"),0)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IFERROR(__xludf.DUMMYFUNCTION("IMPORTRANGE(""https://docs.google.com/spreadsheets/d/1eHaY18a8A9IcSdp1K8H6x8fbOy06t2VsZHhMHf-1x7Y/edit?usp=sharing"",""แผน!GD59"")"),0)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IFERROR(__xludf.DUMMYFUNCTION("IMPORTRANGE(""https://docs.google.com/spreadsheets/d/1eHaY18a8A9IcSdp1K8H6x8fbOy06t2VsZHhMHf-1x7Y/edit?usp=sharing"",""แผน!GE59"")"),0)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IFERROR(__xludf.DUMMYFUNCTION("IMPORTRANGE(""https://docs.google.com/spreadsheets/d/1eHaY18a8A9IcSdp1K8H6x8fbOy06t2VsZHhMHf-1x7Y/edit?usp=sharing"",""แผน!GF59"")"),0)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IFERROR(__xludf.DUMMYFUNCTION("IMPORTRANGE(""https://docs.google.com/spreadsheets/d/1eHaY18a8A9IcSdp1K8H6x8fbOy06t2VsZHhMHf-1x7Y/edit?usp=sharing"",""แผน!GC59"")"),0)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IFERROR(__xludf.DUMMYFUNCTION("IMPORTRANGE(""https://docs.google.com/spreadsheets/d/1eHaY18a8A9IcSdp1K8H6x8fbOy06t2VsZHhMHf-1x7Y/edit?usp=sharing"",""แผน!GE59"")"),0)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10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20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95360</v>
      </c>
      <c r="R760" s="266">
        <f ca="1">R761+R762</f>
        <v>95360</v>
      </c>
      <c r="S760" s="266">
        <f ca="1">S761+S762</f>
        <v>5680</v>
      </c>
      <c r="T760" s="266">
        <f ca="1">IF(Q760&gt;0,S760*100/Q760,0)</f>
        <v>5.9563758389261743</v>
      </c>
      <c r="U760" s="266">
        <f ca="1">IF(R760&gt;0,S760*100/R760,0)</f>
        <v>5.9563758389261743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95360</v>
      </c>
      <c r="R762" s="77">
        <f ca="1">R765+R768</f>
        <v>95360</v>
      </c>
      <c r="S762" s="77">
        <f ca="1">S765+S768</f>
        <v>5680</v>
      </c>
      <c r="T762" s="77">
        <f ca="1">IF(Q762&gt;0,S762*100/Q762,0)</f>
        <v>5.9563758389261743</v>
      </c>
      <c r="U762" s="77">
        <f ca="1">IF(R762&gt;0,S762*100/R762,0)</f>
        <v>5.9563758389261743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95360</v>
      </c>
      <c r="R763" s="77">
        <f ca="1">R764+R765</f>
        <v>95360</v>
      </c>
      <c r="S763" s="77">
        <f ca="1">S764+S765</f>
        <v>5680</v>
      </c>
      <c r="T763" s="77">
        <f ca="1">IF(Q763&gt;0,S763*100/Q763,0)</f>
        <v>5.9563758389261743</v>
      </c>
      <c r="U763" s="77">
        <f ca="1">IF(R763&gt;0,S763*100/R763,0)</f>
        <v>5.9563758389261743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IFERROR(__xludf.DUMMYFUNCTION("IMPORTRANGE(""https://docs.google.com/spreadsheets/d/1ItG2mGa2ceCfYo0BwxsXqNm01IGEUdYcSSLTEv9YCik/edit?usp=sharing"",""เบิกจ่ายกองทุน!U59"")"),95360)</f>
        <v>95360</v>
      </c>
      <c r="R765" s="77">
        <f ca="1">IFERROR(__xludf.DUMMYFUNCTION("IMPORTRANGE(""https://docs.google.com/spreadsheets/d/1ItG2mGa2ceCfYo0BwxsXqNm01IGEUdYcSSLTEv9YCik/edit?usp=sharing"",""เบิกจ่ายกองทุน!V59"")"),95360)</f>
        <v>95360</v>
      </c>
      <c r="S765" s="77">
        <f ca="1">IFERROR(__xludf.DUMMYFUNCTION("IMPORTRANGE(""https://docs.google.com/spreadsheets/d/1ItG2mGa2ceCfYo0BwxsXqNm01IGEUdYcSSLTEv9YCik/edit?usp=sharing"",""เบิกจ่ายกองทุน!W59"")"),5680)</f>
        <v>5680</v>
      </c>
      <c r="T765" s="77">
        <f ca="1">IF(Q765&gt;0,S765*100/Q765,0)</f>
        <v>5.9563758389261743</v>
      </c>
      <c r="U765" s="77">
        <f ca="1">IF(R765&gt;0,S765*100/R765,0)</f>
        <v>5.9563758389261743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IFERROR(__xludf.DUMMYFUNCTION("IMPORTRANGE(""https://docs.google.com/spreadsheets/d/1eHaY18a8A9IcSdp1K8H6x8fbOy06t2VsZHhMHf-1x7Y/edit?usp=sharing"",""แผน!FI59"")"),0)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IFERROR(__xludf.DUMMYFUNCTION("IMPORTRANGE(""https://docs.google.com/spreadsheets/d/1eHaY18a8A9IcSdp1K8H6x8fbOy06t2VsZHhMHf-1x7Y/edit?usp=sharing"",""แผน!FQ59"")"),10)</f>
        <v>10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IFERROR(__xludf.DUMMYFUNCTION("IMPORTRANGE(""https://docs.google.com/spreadsheets/d/1eHaY18a8A9IcSdp1K8H6x8fbOy06t2VsZHhMHf-1x7Y/edit?usp=sharing"",""แผน!FR59"")"),20)</f>
        <v>20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IFERROR(__xludf.DUMMYFUNCTION("IMPORTRANGE(""https://docs.google.com/spreadsheets/d/1eHaY18a8A9IcSdp1K8H6x8fbOy06t2VsZHhMHf-1x7Y/edit?usp=sharing"",""แผน!FS59"")"),20)</f>
        <v>20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IFERROR(__xludf.DUMMYFUNCTION("IMPORTRANGE(""https://docs.google.com/spreadsheets/d/1eHaY18a8A9IcSdp1K8H6x8fbOy06t2VsZHhMHf-1x7Y/edit?usp=sharing"",""แผน!FT59"")"),10)</f>
        <v>10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IFERROR(__xludf.DUMMYFUNCTION("IMPORTRANGE(""https://docs.google.com/spreadsheets/d/10OvvATaaLtwErnr3qtWFcTmtbfpFEt5Bsqel9sXx0uE/edit?usp=sharing"",""งานกองทุน!D59"")"),2942185.75)</f>
        <v>2942185.75</v>
      </c>
      <c r="J778" s="295">
        <f ca="1">IFERROR(__xludf.DUMMYFUNCTION("IMPORTRANGE(""https://docs.google.com/spreadsheets/d/10OvvATaaLtwErnr3qtWFcTmtbfpFEt5Bsqel9sXx0uE/edit?usp=sharing"",""งานกองทุน!F59"")"),874397.81)</f>
        <v>874397.81</v>
      </c>
      <c r="K778" s="77">
        <f ca="1">IF(I778&gt;0,J778*100/I778,0)</f>
        <v>29.719327204273217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IFERROR(__xludf.DUMMYFUNCTION("IMPORTRANGE(""https://docs.google.com/spreadsheets/d/10OvvATaaLtwErnr3qtWFcTmtbfpFEt5Bsqel9sXx0uE/edit?usp=sharing"",""งานกองทุน!C59"")"),95)</f>
        <v>95</v>
      </c>
      <c r="J779" s="295">
        <f ca="1">IFERROR(__xludf.DUMMYFUNCTION("IMPORTRANGE(""https://docs.google.com/spreadsheets/d/10OvvATaaLtwErnr3qtWFcTmtbfpFEt5Bsqel9sXx0uE/edit?usp=sharing"",""งานกองทุน!E59"")"),21)</f>
        <v>21</v>
      </c>
      <c r="K779" s="77">
        <f ca="1">IF(I779&gt;0,J779*100/I779,0)</f>
        <v>22.105263157894736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IFERROR(__xludf.DUMMYFUNCTION("IMPORTRANGE(""https://docs.google.com/spreadsheets/d/10OvvATaaLtwErnr3qtWFcTmtbfpFEt5Bsqel9sXx0uE/edit?usp=sharing"",""งานกองทุน!I59"")"),4403164.82)</f>
        <v>4403164.82</v>
      </c>
      <c r="J780" s="295">
        <f ca="1">IFERROR(__xludf.DUMMYFUNCTION("IMPORTRANGE(""https://docs.google.com/spreadsheets/d/10OvvATaaLtwErnr3qtWFcTmtbfpFEt5Bsqel9sXx0uE/edit?usp=sharing"",""งานกองทุน!K59"")"),214119.73)</f>
        <v>214119.73</v>
      </c>
      <c r="K780" s="77">
        <f ca="1">IF(I780&gt;0,J780*100/I780,0)</f>
        <v>4.8628597554974107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IFERROR(__xludf.DUMMYFUNCTION("IMPORTRANGE(""https://docs.google.com/spreadsheets/d/10OvvATaaLtwErnr3qtWFcTmtbfpFEt5Bsqel9sXx0uE/edit?usp=sharing"",""งานกองทุน!H59"")"),132)</f>
        <v>132</v>
      </c>
      <c r="J781" s="295">
        <f ca="1">IFERROR(__xludf.DUMMYFUNCTION("IMPORTRANGE(""https://docs.google.com/spreadsheets/d/10OvvATaaLtwErnr3qtWFcTmtbfpFEt5Bsqel9sXx0uE/edit?usp=sharing"",""งานกองทุน!J59"")"),24)</f>
        <v>24</v>
      </c>
      <c r="K781" s="77">
        <f ca="1">IF(I781&gt;0,J781*100/I781,0)</f>
        <v>18.181818181818183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IFERROR(__xludf.DUMMYFUNCTION("IMPORTRANGE(""https://docs.google.com/spreadsheets/d/10OvvATaaLtwErnr3qtWFcTmtbfpFEt5Bsqel9sXx0uE/edit?usp=sharing"",""งานกองทุน!N59"")"),5097910.18)</f>
        <v>5097910.18</v>
      </c>
      <c r="J782" s="295">
        <f ca="1">IFERROR(__xludf.DUMMYFUNCTION("IMPORTRANGE(""https://docs.google.com/spreadsheets/d/10OvvATaaLtwErnr3qtWFcTmtbfpFEt5Bsqel9sXx0uE/edit?usp=sharing"",""งานกองทุน!P59"")"),1977348.97)</f>
        <v>1977348.97</v>
      </c>
      <c r="K782" s="77">
        <f ca="1">IF(I782&gt;0,J782*100/I782,0)</f>
        <v>38.787442308369585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IFERROR(__xludf.DUMMYFUNCTION("IMPORTRANGE(""https://docs.google.com/spreadsheets/d/10OvvATaaLtwErnr3qtWFcTmtbfpFEt5Bsqel9sXx0uE/edit?usp=sharing"",""งานกองทุน!M59"")"),1795)</f>
        <v>1795</v>
      </c>
      <c r="J783" s="295">
        <f ca="1">IFERROR(__xludf.DUMMYFUNCTION("IMPORTRANGE(""https://docs.google.com/spreadsheets/d/10OvvATaaLtwErnr3qtWFcTmtbfpFEt5Bsqel9sXx0uE/edit?usp=sharing"",""งานกองทุน!O59"")"),1056)</f>
        <v>1056</v>
      </c>
      <c r="K783" s="77">
        <f ca="1">IF(I783&gt;0,J783*100/I783,0)</f>
        <v>58.83008356545961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IFERROR(__xludf.DUMMYFUNCTION("IMPORTRANGE(""https://docs.google.com/spreadsheets/d/10OvvATaaLtwErnr3qtWFcTmtbfpFEt5Bsqel9sXx0uE/edit?usp=sharing"",""งานกองทุน!S59"")"),2940000)</f>
        <v>2940000</v>
      </c>
      <c r="J784" s="295">
        <f ca="1">IFERROR(__xludf.DUMMYFUNCTION("IMPORTRANGE(""https://docs.google.com/spreadsheets/d/10OvvATaaLtwErnr3qtWFcTmtbfpFEt5Bsqel9sXx0uE/edit?usp=sharing"",""งานกองทุน!U59"")"),1110000)</f>
        <v>1110000</v>
      </c>
      <c r="K784" s="77">
        <f ca="1">IF(I784&gt;0,J784*100/I784,0)</f>
        <v>37.755102040816325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IFERROR(__xludf.DUMMYFUNCTION("IMPORTRANGE(""https://docs.google.com/spreadsheets/d/10OvvATaaLtwErnr3qtWFcTmtbfpFEt5Bsqel9sXx0uE/edit?usp=sharing"",""งานกองทุน!R59"")"),105)</f>
        <v>105</v>
      </c>
      <c r="J785" s="773">
        <f ca="1">IFERROR(__xludf.DUMMYFUNCTION("IMPORTRANGE(""https://docs.google.com/spreadsheets/d/10OvvATaaLtwErnr3qtWFcTmtbfpFEt5Bsqel9sXx0uE/edit?usp=sharing"",""งานกองทุน!T59"")"),27)</f>
        <v>27</v>
      </c>
      <c r="K785" s="185">
        <f ca="1">IF(I785&gt;0,J785*100/I785,0)</f>
        <v>25.714285714285715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8A5A-43D8-42CE-9BDF-3E855BD9BC68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  <col min="17" max="18" width="18.7109375" bestFit="1" customWidth="1"/>
    <col min="19" max="19" width="16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345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1233495</v>
      </c>
      <c r="M18" s="62">
        <f ca="1">M19+M20</f>
        <v>1271037.1600000001</v>
      </c>
      <c r="N18" s="62">
        <f ca="1">N19+N20</f>
        <v>940407.39</v>
      </c>
      <c r="O18" s="62">
        <f ca="1">IF(L18&gt;0,N18*100/L18,0)</f>
        <v>76.239254313961553</v>
      </c>
      <c r="P18" s="62">
        <f ca="1">IF(M18&gt;0,N18*100/M18,0)</f>
        <v>73.987403326587227</v>
      </c>
      <c r="Q18" s="62">
        <f ca="1">Q19+Q20</f>
        <v>240955</v>
      </c>
      <c r="R18" s="62">
        <f ca="1">R19+R20</f>
        <v>240955</v>
      </c>
      <c r="S18" s="62">
        <f ca="1">S19+S20</f>
        <v>68403.350000000006</v>
      </c>
      <c r="T18" s="62">
        <f ca="1">IF(Q18&gt;0,S18*100/Q18,0)</f>
        <v>28.388433524932044</v>
      </c>
      <c r="U18" s="62">
        <f ca="1">IF(R18&gt;0,S18*100/R18,0)</f>
        <v>28.388433524932044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1233495</v>
      </c>
      <c r="M20" s="68">
        <f ca="1">M23+M26</f>
        <v>1271037.1600000001</v>
      </c>
      <c r="N20" s="68">
        <f ca="1">N23+N26</f>
        <v>940407.39</v>
      </c>
      <c r="O20" s="68">
        <f ca="1">IF(L20&gt;0,N20*100/L20,0)</f>
        <v>76.239254313961553</v>
      </c>
      <c r="P20" s="68">
        <f ca="1">IF(M20&gt;0,N20*100/M20,0)</f>
        <v>73.987403326587227</v>
      </c>
      <c r="Q20" s="68">
        <f ca="1">Q23+Q26</f>
        <v>240955</v>
      </c>
      <c r="R20" s="68">
        <f ca="1">R23+R26</f>
        <v>240955</v>
      </c>
      <c r="S20" s="68">
        <f ca="1">S23+S26</f>
        <v>68403.350000000006</v>
      </c>
      <c r="T20" s="68">
        <f ca="1">IF(Q20&gt;0,S20*100/Q20,0)</f>
        <v>28.388433524932044</v>
      </c>
      <c r="U20" s="68">
        <f ca="1">IF(R20&gt;0,S20*100/R20,0)</f>
        <v>28.388433524932044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1233495</v>
      </c>
      <c r="M21" s="77">
        <f ca="1">M22+M23</f>
        <v>1271037.1600000001</v>
      </c>
      <c r="N21" s="77">
        <f ca="1">N22+N23</f>
        <v>940407.39</v>
      </c>
      <c r="O21" s="77">
        <f ca="1">IF(L21&gt;0,N21*100/L21,0)</f>
        <v>76.239254313961553</v>
      </c>
      <c r="P21" s="77">
        <f ca="1">IF(M21&gt;0,N21*100/M21,0)</f>
        <v>73.987403326587227</v>
      </c>
      <c r="Q21" s="77">
        <f ca="1">Q22+Q23</f>
        <v>240955</v>
      </c>
      <c r="R21" s="77">
        <f ca="1">R22+R23</f>
        <v>240955</v>
      </c>
      <c r="S21" s="77">
        <f ca="1">S22+S23</f>
        <v>68403.350000000006</v>
      </c>
      <c r="T21" s="77">
        <f ca="1">IF(Q21&gt;0,S21*100/Q21,0)</f>
        <v>28.388433524932044</v>
      </c>
      <c r="U21" s="77">
        <f ca="1">IF(R21&gt;0,S21*100/R21,0)</f>
        <v>28.388433524932044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1233495</v>
      </c>
      <c r="M23" s="77">
        <f ca="1">M49+M64+M77+M99+M130+M144+M162+M191+M178+M271+M287+M308+M325+M338+M361+M518</f>
        <v>1271037.1600000001</v>
      </c>
      <c r="N23" s="77">
        <f ca="1">N49+N64+N77+N99+N130+N144+N162+N191+N178+N271+N287+N308+N325+N338+N361+N518</f>
        <v>940407.39</v>
      </c>
      <c r="O23" s="77">
        <f ca="1">IF(L23&gt;0,N23*100/L23,0)</f>
        <v>76.239254313961553</v>
      </c>
      <c r="P23" s="77">
        <f ca="1">IF(M23&gt;0,N23*100/M23,0)</f>
        <v>73.987403326587227</v>
      </c>
      <c r="Q23" s="77">
        <f ca="1">Q77+Q99+Q122+Q144+Q162+Q178+Q191+Q271+Q287+Q308+Q338+Q380+Q397+Q418+Q498+Q604+Q621+Q647+Q695+Q719+Q733+Q765</f>
        <v>240955</v>
      </c>
      <c r="R23" s="77">
        <f ca="1">R77+R99+R122+R144+R162+R178+R191+R271+R287+R308+R338+R380+R397+R418+R498+R604+R621+R647+R695+R719+R733+R765</f>
        <v>240955</v>
      </c>
      <c r="S23" s="77">
        <f ca="1">S77+S99+S122+S144+S162+S178+S191+S271+S287+S308+S338+S380+S397+S418+S498+S604+S621+S647+S695+S719+S733+S765</f>
        <v>68403.350000000006</v>
      </c>
      <c r="T23" s="77">
        <f ca="1">IF(Q23&gt;0,S23*100/Q23,0)</f>
        <v>28.388433524932044</v>
      </c>
      <c r="U23" s="77">
        <f ca="1">IF(R23&gt;0,S23*100/R23,0)</f>
        <v>28.388433524932044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1233495</v>
      </c>
      <c r="M40" s="1308">
        <f ca="1">M44+M59+M72+M94+M125+M139+M157+M173+M186+M266+M282+M303+M320+M333+M356</f>
        <v>1271037.1600000001</v>
      </c>
      <c r="N40" s="1308">
        <f ca="1">N44+N59+N72+N94+N125+N139+N157+N173+N186+N266+N282+N303+N320+N333+N356</f>
        <v>940407.3899999999</v>
      </c>
      <c r="O40" s="1308">
        <f ca="1">IF(L40&gt;0,N40*100/L40,0)</f>
        <v>76.239254313961538</v>
      </c>
      <c r="P40" s="1308">
        <f ca="1">IF(M40&gt;0,N40*100/M40,0)</f>
        <v>73.987403326587227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203250</v>
      </c>
      <c r="M44" s="1304">
        <f ca="1">M45+M46</f>
        <v>224572.16</v>
      </c>
      <c r="N44" s="1304">
        <f ca="1">N45+N46</f>
        <v>201590.93</v>
      </c>
      <c r="O44" s="1304">
        <f ca="1">IF(L44&gt;0,N44*100/L44,0)</f>
        <v>99.183729397293973</v>
      </c>
      <c r="P44" s="1304">
        <f ca="1">IF(M44&gt;0,N44*100/M44,0)</f>
        <v>89.766661192553869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203250</v>
      </c>
      <c r="M46" s="1300">
        <f ca="1">M49+M52</f>
        <v>224572.16</v>
      </c>
      <c r="N46" s="1300">
        <f ca="1">N49+N52</f>
        <v>201590.93</v>
      </c>
      <c r="O46" s="1300">
        <f ca="1">IF(L46&gt;0,N46*100/L46,0)</f>
        <v>99.183729397293973</v>
      </c>
      <c r="P46" s="1300">
        <f ca="1">IF(M46&gt;0,N46*100/M46,0)</f>
        <v>89.766661192553869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203250</v>
      </c>
      <c r="M47" s="77">
        <f ca="1">M48+M49</f>
        <v>224572.16</v>
      </c>
      <c r="N47" s="77">
        <f ca="1">N48+N49</f>
        <v>201590.93</v>
      </c>
      <c r="O47" s="77">
        <f ca="1">IF(L47&gt;0,N47*100/L47,0)</f>
        <v>99.183729397293973</v>
      </c>
      <c r="P47" s="77">
        <f ca="1">IF(M47&gt;0,N47*100/M47,0)</f>
        <v>89.766661192553869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IFERROR(__xludf.DUMMYFUNCTION("IMPORTRANGE(""https://docs.google.com/spreadsheets/d/1-uDff_7J0KD5mKrp0Vvzr7lt3OU09vwQwhkpOPPYv2Y/edit?usp=sharing"",""งบพรบ!P60"")"),203250)</f>
        <v>203250</v>
      </c>
      <c r="M49" s="77">
        <f ca="1">IFERROR(__xludf.DUMMYFUNCTION("IMPORTRANGE(""https://docs.google.com/spreadsheets/d/1-uDff_7J0KD5mKrp0Vvzr7lt3OU09vwQwhkpOPPYv2Y/edit?usp=sharing"",""งบพรบ!V60"")"),224572.16)</f>
        <v>224572.16</v>
      </c>
      <c r="N49" s="77">
        <f ca="1">IFERROR(__xludf.DUMMYFUNCTION("IMPORTRANGE(""https://docs.google.com/spreadsheets/d/1-uDff_7J0KD5mKrp0Vvzr7lt3OU09vwQwhkpOPPYv2Y/edit?usp=sharing"",""งบพรบ!Y60"")"),201590.93)</f>
        <v>201590.93</v>
      </c>
      <c r="O49" s="77">
        <f ca="1">IF(L49&gt;0,N49*100/L49,0)</f>
        <v>99.183729397293973</v>
      </c>
      <c r="P49" s="77">
        <f ca="1">IF(M49&gt;0,N49*100/M49,0)</f>
        <v>89.766661192553869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IFERROR(__xludf.DUMMYFUNCTION("IMPORTRANGE(""https://docs.google.com/spreadsheets/d/1-uDff_7J0KD5mKrp0Vvzr7lt3OU09vwQwhkpOPPYv2Y/edit?usp=sharing"",""งบพรบ!S60"")"),0)</f>
        <v>0</v>
      </c>
      <c r="M52" s="77">
        <f ca="1">IFERROR(__xludf.DUMMYFUNCTION("IMPORTRANGE(""https://docs.google.com/spreadsheets/d/1-uDff_7J0KD5mKrp0Vvzr7lt3OU09vwQwhkpOPPYv2Y/edit?usp=sharing"",""งบพรบ!W60"")"),0)</f>
        <v>0</v>
      </c>
      <c r="N52" s="77">
        <f ca="1">IFERROR(__xludf.DUMMYFUNCTION("IMPORTRANGE(""https://docs.google.com/spreadsheets/d/1-uDff_7J0KD5mKrp0Vvzr7lt3OU09vwQwhkpOPPYv2Y/edit?usp=sharing"",""งบพรบ!Z60"")"),0)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385800</v>
      </c>
      <c r="M59" s="1297">
        <f ca="1">M60+M61</f>
        <v>385800</v>
      </c>
      <c r="N59" s="1297">
        <f ca="1">N60+N61</f>
        <v>313965.98</v>
      </c>
      <c r="O59" s="1297">
        <f ca="1">IF(L59&gt;0,N59*100/L59,0)</f>
        <v>81.380502851218253</v>
      </c>
      <c r="P59" s="1297">
        <f ca="1">IF(M59&gt;0,N59*100/M59,0)</f>
        <v>81.380502851218253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385800</v>
      </c>
      <c r="M61" s="1293">
        <f ca="1">M64+M67</f>
        <v>385800</v>
      </c>
      <c r="N61" s="1293">
        <f ca="1">N64+N67</f>
        <v>313965.98</v>
      </c>
      <c r="O61" s="1293">
        <f ca="1">IF(L61&gt;0,N61*100/L61,0)</f>
        <v>81.380502851218253</v>
      </c>
      <c r="P61" s="1293">
        <f ca="1">IF(M61&gt;0,N61*100/M61,0)</f>
        <v>81.380502851218253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385800</v>
      </c>
      <c r="M62" s="77">
        <f ca="1">M63+M64</f>
        <v>385800</v>
      </c>
      <c r="N62" s="77">
        <f ca="1">N63+N64</f>
        <v>313965.98</v>
      </c>
      <c r="O62" s="77">
        <f ca="1">IF(L62&gt;0,N62*100/L62,0)</f>
        <v>81.380502851218253</v>
      </c>
      <c r="P62" s="77">
        <f ca="1">IF(M62&gt;0,N62*100/M62,0)</f>
        <v>81.380502851218253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IFERROR(__xludf.DUMMYFUNCTION("IMPORTRANGE(""https://docs.google.com/spreadsheets/d/1-uDff_7J0KD5mKrp0Vvzr7lt3OU09vwQwhkpOPPYv2Y/edit?usp=sharing"",""งบพรบ!AC60"")"),385800)</f>
        <v>385800</v>
      </c>
      <c r="M64" s="77">
        <f ca="1">IFERROR(__xludf.DUMMYFUNCTION("IMPORTRANGE(""https://docs.google.com/spreadsheets/d/1-uDff_7J0KD5mKrp0Vvzr7lt3OU09vwQwhkpOPPYv2Y/edit?usp=sharing"",""งบพรบ!AH60"")"),385800)</f>
        <v>385800</v>
      </c>
      <c r="N64" s="77">
        <f ca="1">IFERROR(__xludf.DUMMYFUNCTION("IMPORTRANGE(""https://docs.google.com/spreadsheets/d/1-uDff_7J0KD5mKrp0Vvzr7lt3OU09vwQwhkpOPPYv2Y/edit?usp=sharing"",""งบพรบ!AJ60"")"),313965.98)</f>
        <v>313965.98</v>
      </c>
      <c r="O64" s="77">
        <f ca="1">IF(L64&gt;0,N64*100/L64,0)</f>
        <v>81.380502851218253</v>
      </c>
      <c r="P64" s="77">
        <f ca="1">IF(M64&gt;0,N64*100/M64,0)</f>
        <v>81.380502851218253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IFERROR(__xludf.DUMMYFUNCTION("IMPORTRANGE(""https://docs.google.com/spreadsheets/d/1-uDff_7J0KD5mKrp0Vvzr7lt3OU09vwQwhkpOPPYv2Y/edit?usp=sharing"",""งบพรบ!AF60"")"),0)</f>
        <v>0</v>
      </c>
      <c r="M67" s="185">
        <f ca="1">IFERROR(__xludf.DUMMYFUNCTION("IMPORTRANGE(""https://docs.google.com/spreadsheets/d/1-uDff_7J0KD5mKrp0Vvzr7lt3OU09vwQwhkpOPPYv2Y/edit?usp=sharing"",""งบพรบ!AI60"")"),0)</f>
        <v>0</v>
      </c>
      <c r="N67" s="185">
        <f ca="1">IFERROR(__xludf.DUMMYFUNCTION("IMPORTRANGE(""https://docs.google.com/spreadsheets/d/1-uDff_7J0KD5mKrp0Vvzr7lt3OU09vwQwhkpOPPYv2Y/edit?usp=sharing"",""งบพรบ!AK60"")"),0)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IFERROR(__xludf.DUMMYFUNCTION("IMPORTRANGE(""https://docs.google.com/spreadsheets/d/1-uDff_7J0KD5mKrp0Vvzr7lt3OU09vwQwhkpOPPYv2Y/edit?usp=sharing"",""งบพรบ!AM60"")"),0)</f>
        <v>0</v>
      </c>
      <c r="M77" s="77">
        <f ca="1">IFERROR(__xludf.DUMMYFUNCTION("IMPORTRANGE(""https://docs.google.com/spreadsheets/d/1-uDff_7J0KD5mKrp0Vvzr7lt3OU09vwQwhkpOPPYv2Y/edit?usp=sharing"",""งบพรบ!AR60"")"),0)</f>
        <v>0</v>
      </c>
      <c r="N77" s="77">
        <f ca="1">IFERROR(__xludf.DUMMYFUNCTION("IMPORTRANGE(""https://docs.google.com/spreadsheets/d/1-uDff_7J0KD5mKrp0Vvzr7lt3OU09vwQwhkpOPPYv2Y/edit?usp=sharing"",""งบพรบ!AT60"")"),0)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IFERROR(__xludf.DUMMYFUNCTION("IMPORTRANGE(""https://docs.google.com/spreadsheets/d/1ItG2mGa2ceCfYo0BwxsXqNm01IGEUdYcSSLTEv9YCik/edit?usp=sharing"",""เบิกจ่ายกองทุน!AS60"")"),0)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IFERROR(__xludf.DUMMYFUNCTION("IMPORTRANGE(""https://docs.google.com/spreadsheets/d/1ItG2mGa2ceCfYo0BwxsXqNm01IGEUdYcSSLTEv9YCik/edit?usp=sharing"",""เบิกจ่ายกองทุน!AT60"")"),0)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IFERROR(__xludf.DUMMYFUNCTION("IMPORTRANGE(""https://docs.google.com/spreadsheets/d/1ItG2mGa2ceCfYo0BwxsXqNm01IGEUdYcSSLTEv9YCik/edit?usp=sharing"",""เบิกจ่ายกองทุน!AU60"")"),0)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IFERROR(__xludf.DUMMYFUNCTION("IMPORTRANGE(""https://docs.google.com/spreadsheets/d/1-uDff_7J0KD5mKrp0Vvzr7lt3OU09vwQwhkpOPPYv2Y/edit?usp=sharing"",""งบพรบ!AP60"")"),0)</f>
        <v>0</v>
      </c>
      <c r="M80" s="77">
        <f ca="1">IFERROR(__xludf.DUMMYFUNCTION("IMPORTRANGE(""https://docs.google.com/spreadsheets/d/1-uDff_7J0KD5mKrp0Vvzr7lt3OU09vwQwhkpOPPYv2Y/edit?usp=sharing"",""งบพรบ!AS60"")"),0)</f>
        <v>0</v>
      </c>
      <c r="N80" s="77">
        <f ca="1">IFERROR(__xludf.DUMMYFUNCTION("IMPORTRANGE(""https://docs.google.com/spreadsheets/d/1-uDff_7J0KD5mKrp0Vvzr7lt3OU09vwQwhkpOPPYv2Y/edit?usp=sharing"",""งบพรบ!AU60"")"),0)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IFERROR(__xludf.DUMMYFUNCTION("IMPORTRANGE(""https://docs.google.com/spreadsheets/d/1eHaY18a8A9IcSdp1K8H6x8fbOy06t2VsZHhMHf-1x7Y/edit?usp=sharing"",""แผน!H60"")"),0)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IFERROR(__xludf.DUMMYFUNCTION("IMPORTRANGE(""https://docs.google.com/spreadsheets/d/1eHaY18a8A9IcSdp1K8H6x8fbOy06t2VsZHhMHf-1x7Y/edit?usp=sharing"",""แผน!I60"")"),0)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IFERROR(__xludf.DUMMYFUNCTION("IMPORTRANGE(""https://docs.google.com/spreadsheets/d/1eHaY18a8A9IcSdp1K8H6x8fbOy06t2VsZHhMHf-1x7Y/edit?usp=sharing"",""แผน!F60"")"),0)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IFERROR(__xludf.DUMMYFUNCTION("IMPORTRANGE(""https://docs.google.com/spreadsheets/d/1eHaY18a8A9IcSdp1K8H6x8fbOy06t2VsZHhMHf-1x7Y/edit?usp=sharing"",""แผน!G60"")"),0)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IFERROR(__xludf.DUMMYFUNCTION("IMPORTRANGE(""https://docs.google.com/spreadsheets/d/1eHaY18a8A9IcSdp1K8H6x8fbOy06t2VsZHhMHf-1x7Y/edit?usp=sharing"",""แผน!D60"")"),0)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IFERROR(__xludf.DUMMYFUNCTION("IMPORTRANGE(""https://docs.google.com/spreadsheets/d/1eHaY18a8A9IcSdp1K8H6x8fbOy06t2VsZHhMHf-1x7Y/edit?usp=sharing"",""แผน!E60"")"),0)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IFERROR(__xludf.DUMMYFUNCTION("IMPORTRANGE(""https://docs.google.com/spreadsheets/d/1eHaY18a8A9IcSdp1K8H6x8fbOy06t2VsZHhMHf-1x7Y/edit?usp=sharing"",""แผน!J60"")"),0)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IFERROR(__xludf.DUMMYFUNCTION("IMPORTRANGE(""https://docs.google.com/spreadsheets/d/1-uDff_7J0KD5mKrp0Vvzr7lt3OU09vwQwhkpOPPYv2Y/edit?usp=sharing"",""งบพรบ!AW60"")"),0)</f>
        <v>0</v>
      </c>
      <c r="M99" s="77">
        <f ca="1">IFERROR(__xludf.DUMMYFUNCTION("IMPORTRANGE(""https://docs.google.com/spreadsheets/d/1-uDff_7J0KD5mKrp0Vvzr7lt3OU09vwQwhkpOPPYv2Y/edit?usp=sharing"",""งบพรบ!BB60"")"),0)</f>
        <v>0</v>
      </c>
      <c r="N99" s="77">
        <f ca="1">IFERROR(__xludf.DUMMYFUNCTION("IMPORTRANGE(""https://docs.google.com/spreadsheets/d/1-uDff_7J0KD5mKrp0Vvzr7lt3OU09vwQwhkpOPPYv2Y/edit?usp=sharing"",""งบพรบ!BD60"")"),0)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IFERROR(__xludf.DUMMYFUNCTION("IMPORTRANGE(""https://docs.google.com/spreadsheets/d/1ItG2mGa2ceCfYo0BwxsXqNm01IGEUdYcSSLTEv9YCik/edit?usp=sharing"",""เบิกจ่ายกองทุน!AD60"")"),0)</f>
        <v>0</v>
      </c>
      <c r="R99" s="77">
        <f ca="1">IFERROR(__xludf.DUMMYFUNCTION("IMPORTRANGE(""https://docs.google.com/spreadsheets/d/1ItG2mGa2ceCfYo0BwxsXqNm01IGEUdYcSSLTEv9YCik/edit?usp=sharing"",""เบิกจ่ายกองทุน!AE60"")"),0)</f>
        <v>0</v>
      </c>
      <c r="S99" s="77">
        <f ca="1">IFERROR(__xludf.DUMMYFUNCTION("IMPORTRANGE(""https://docs.google.com/spreadsheets/d/1ItG2mGa2ceCfYo0BwxsXqNm01IGEUdYcSSLTEv9YCik/edit?usp=sharing"",""เบิกจ่ายกองทุน!AF60"")"),0)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IFERROR(__xludf.DUMMYFUNCTION("IMPORTRANGE(""https://docs.google.com/spreadsheets/d/1-uDff_7J0KD5mKrp0Vvzr7lt3OU09vwQwhkpOPPYv2Y/edit?usp=sharing"",""งบพรบ!AZ60"")"),0)</f>
        <v>0</v>
      </c>
      <c r="M102" s="77">
        <f ca="1">IFERROR(__xludf.DUMMYFUNCTION("IMPORTRANGE(""https://docs.google.com/spreadsheets/d/1-uDff_7J0KD5mKrp0Vvzr7lt3OU09vwQwhkpOPPYv2Y/edit?usp=sharing"",""งบพรบ!BC60"")"),0)</f>
        <v>0</v>
      </c>
      <c r="N102" s="77">
        <f ca="1">IFERROR(__xludf.DUMMYFUNCTION("IMPORTRANGE(""https://docs.google.com/spreadsheets/d/1-uDff_7J0KD5mKrp0Vvzr7lt3OU09vwQwhkpOPPYv2Y/edit?usp=sharing"",""งบพรบ!BE60"")"),0)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IFERROR(__xludf.DUMMYFUNCTION("IMPORTRANGE(""https://docs.google.com/spreadsheets/d/1eHaY18a8A9IcSdp1K8H6x8fbOy06t2VsZHhMHf-1x7Y/edit?usp=sharing"",""แผน!N60"")"),0)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IFERROR(__xludf.DUMMYFUNCTION("IMPORTRANGE(""https://docs.google.com/spreadsheets/d/1eHaY18a8A9IcSdp1K8H6x8fbOy06t2VsZHhMHf-1x7Y/edit?usp=sharing"",""แผน!O60"")"),0)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IFERROR(__xludf.DUMMYFUNCTION("IMPORTRANGE(""https://docs.google.com/spreadsheets/d/1eHaY18a8A9IcSdp1K8H6x8fbOy06t2VsZHhMHf-1x7Y/edit?usp=sharing"",""แผน!R60"")"),0)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10</v>
      </c>
      <c r="J116" s="975">
        <f>J127</f>
        <v>10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59303.35</v>
      </c>
      <c r="T117" s="266">
        <f ca="1">IF(Q117&gt;0,S117*100/Q117,0)</f>
        <v>34.149113209720142</v>
      </c>
      <c r="U117" s="266">
        <f ca="1">IF(R117&gt;0,S117*100/R117,0)</f>
        <v>34.149113209720142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59303.35</v>
      </c>
      <c r="T119" s="77">
        <f ca="1">IF(Q119&gt;0,S119*100/Q119,0)</f>
        <v>34.149113209720142</v>
      </c>
      <c r="U119" s="77">
        <f ca="1">IF(R119&gt;0,S119*100/R119,0)</f>
        <v>34.149113209720142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59303.35</v>
      </c>
      <c r="T120" s="77">
        <f ca="1">IF(Q120&gt;0,S120*100/Q120,0)</f>
        <v>34.149113209720142</v>
      </c>
      <c r="U120" s="77">
        <f ca="1">IF(R120&gt;0,S120*100/R120,0)</f>
        <v>34.149113209720142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IFERROR(__xludf.DUMMYFUNCTION("IMPORTRANGE(""https://docs.google.com/spreadsheets/d/1-uDff_7J0KD5mKrp0Vvzr7lt3OU09vwQwhkpOPPYv2Y/edit?usp=sharing"",""งบพรบ!BG60"")"),0)</f>
        <v>0</v>
      </c>
      <c r="M122" s="77">
        <f ca="1">IFERROR(__xludf.DUMMYFUNCTION("IMPORTRANGE(""https://docs.google.com/spreadsheets/d/1-uDff_7J0KD5mKrp0Vvzr7lt3OU09vwQwhkpOPPYv2Y/edit?usp=sharing"",""งบพรบ!BL60"")"),0)</f>
        <v>0</v>
      </c>
      <c r="N122" s="77">
        <f ca="1">IFERROR(__xludf.DUMMYFUNCTION("IMPORTRANGE(""https://docs.google.com/spreadsheets/d/1-uDff_7J0KD5mKrp0Vvzr7lt3OU09vwQwhkpOPPYv2Y/edit?usp=sharing"",""งบพรบ!BN60"")"),0)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IFERROR(__xludf.DUMMYFUNCTION("IMPORTRANGE(""https://docs.google.com/spreadsheets/d/1ItG2mGa2ceCfYo0BwxsXqNm01IGEUdYcSSLTEv9YCik/edit?usp=sharing"",""เบิกจ่ายกองทุน!R60"")"),173660)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IFERROR(__xludf.DUMMYFUNCTION("IMPORTRANGE(""https://docs.google.com/spreadsheets/d/1ItG2mGa2ceCfYo0BwxsXqNm01IGEUdYcSSLTEv9YCik/edit?usp=sharing"",""เบิกจ่ายกองทุน!S60"")"),173660)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IFERROR(__xludf.DUMMYFUNCTION("IMPORTRANGE(""https://docs.google.com/spreadsheets/d/1ItG2mGa2ceCfYo0BwxsXqNm01IGEUdYcSSLTEv9YCik/edit?usp=sharing"",""เบิกจ่ายกองทุน!T60"")"),59303.35)</f>
        <v>59303.35</v>
      </c>
      <c r="T122" s="77">
        <f ca="1">IF(Q122&gt;0,S122*100/Q122,0)</f>
        <v>34.149113209720142</v>
      </c>
      <c r="U122" s="77">
        <f ca="1">IF(R122&gt;0,S122*100/R122,0)</f>
        <v>34.149113209720142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IFERROR(__xludf.DUMMYFUNCTION("IMPORTRANGE(""https://docs.google.com/spreadsheets/d/1-uDff_7J0KD5mKrp0Vvzr7lt3OU09vwQwhkpOPPYv2Y/edit?usp=sharing"",""งบพรบ!BJ60"")"),0)</f>
        <v>0</v>
      </c>
      <c r="M125" s="77">
        <f ca="1">IFERROR(__xludf.DUMMYFUNCTION("IMPORTRANGE(""https://docs.google.com/spreadsheets/d/1-uDff_7J0KD5mKrp0Vvzr7lt3OU09vwQwhkpOPPYv2Y/edit?usp=sharing"",""งบพรบ!BM60"")"),0)</f>
        <v>0</v>
      </c>
      <c r="N125" s="77">
        <f ca="1">IFERROR(__xludf.DUMMYFUNCTION("IMPORTRANGE(""https://docs.google.com/spreadsheets/d/1-uDff_7J0KD5mKrp0Vvzr7lt3OU09vwQwhkpOPPYv2Y/edit?usp=sharing"",""งบพรบ!BO60"")"),0)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IFERROR(__xludf.DUMMYFUNCTION("IMPORTRANGE(""https://docs.google.com/spreadsheets/d/1eHaY18a8A9IcSdp1K8H6x8fbOy06t2VsZHhMHf-1x7Y/edit?usp=sharing"",""แผน!FF60"")"),10)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IFERROR(__xludf.DUMMYFUNCTION("IMPORTRANGE(""https://docs.google.com/spreadsheets/d/1eHaY18a8A9IcSdp1K8H6x8fbOy06t2VsZHhMHf-1x7Y/edit?usp=sharing"",""แผน!FG60"")"),0)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IFERROR(__xludf.DUMMYFUNCTION("IMPORTRANGE(""https://docs.google.com/spreadsheets/d/1eHaY18a8A9IcSdp1K8H6x8fbOy06t2VsZHhMHf-1x7Y/edit?usp=sharing"",""แผน!FH60"")"),10)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IFERROR(__xludf.DUMMYFUNCTION("IMPORTRANGE(""https://docs.google.com/spreadsheets/d/1eHaY18a8A9IcSdp1K8H6x8fbOy06t2VsZHhMHf-1x7Y/edit?usp=sharing"",""แผน!FI60"")"),0)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IFERROR(__xludf.DUMMYFUNCTION("IMPORTRANGE(""https://docs.google.com/spreadsheets/d/1-uDff_7J0KD5mKrp0Vvzr7lt3OU09vwQwhkpOPPYv2Y/edit?usp=sharing"",""งบพรบ!BQ60"")"),0)</f>
        <v>0</v>
      </c>
      <c r="M144" s="77">
        <f ca="1">IFERROR(__xludf.DUMMYFUNCTION("IMPORTRANGE(""https://docs.google.com/spreadsheets/d/1-uDff_7J0KD5mKrp0Vvzr7lt3OU09vwQwhkpOPPYv2Y/edit?usp=sharing"",""งบพรบ!BV60"")"),0)</f>
        <v>0</v>
      </c>
      <c r="N144" s="77">
        <f ca="1">IFERROR(__xludf.DUMMYFUNCTION("IMPORTRANGE(""https://docs.google.com/spreadsheets/d/1-uDff_7J0KD5mKrp0Vvzr7lt3OU09vwQwhkpOPPYv2Y/edit?usp=sharing"",""งบพรบ!BX60"")"),0)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IFERROR(__xludf.DUMMYFUNCTION("IMPORTRANGE(""https://docs.google.com/spreadsheets/d/1ItG2mGa2ceCfYo0BwxsXqNm01IGEUdYcSSLTEv9YCik/edit?usp=sharing"",""เบิกจ่ายกองทุน!BB60"")"),0)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IFERROR(__xludf.DUMMYFUNCTION("IMPORTRANGE(""https://docs.google.com/spreadsheets/d/1ItG2mGa2ceCfYo0BwxsXqNm01IGEUdYcSSLTEv9YCik/edit?usp=sharing"",""เบิกจ่ายกองทุน!BC60"")"),0)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IFERROR(__xludf.DUMMYFUNCTION("IMPORTRANGE(""https://docs.google.com/spreadsheets/d/1ItG2mGa2ceCfYo0BwxsXqNm01IGEUdYcSSLTEv9YCik/edit?usp=sharing"",""เบิกจ่ายกองทุน!BD60"")"),0)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IFERROR(__xludf.DUMMYFUNCTION("IMPORTRANGE(""https://docs.google.com/spreadsheets/d/1-uDff_7J0KD5mKrp0Vvzr7lt3OU09vwQwhkpOPPYv2Y/edit?usp=sharing"",""งบพรบ!BT60"")"),0)</f>
        <v>0</v>
      </c>
      <c r="M147" s="77">
        <f ca="1">IFERROR(__xludf.DUMMYFUNCTION("IMPORTRANGE(""https://docs.google.com/spreadsheets/d/1-uDff_7J0KD5mKrp0Vvzr7lt3OU09vwQwhkpOPPYv2Y/edit?usp=sharing"",""งบพรบ!BW60"")"),0)</f>
        <v>0</v>
      </c>
      <c r="N147" s="77">
        <f ca="1">IFERROR(__xludf.DUMMYFUNCTION("IMPORTRANGE(""https://docs.google.com/spreadsheets/d/1-uDff_7J0KD5mKrp0Vvzr7lt3OU09vwQwhkpOPPYv2Y/edit?usp=sharing"",""งบพรบ!BY60"")"),0)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IFERROR(__xludf.DUMMYFUNCTION("IMPORTRANGE(""https://docs.google.com/spreadsheets/d/1eHaY18a8A9IcSdp1K8H6x8fbOy06t2VsZHhMHf-1x7Y/edit?usp=sharing"",""แผน!U60"")"),0)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IFERROR(__xludf.DUMMYFUNCTION("IMPORTRANGE(""https://docs.google.com/spreadsheets/d/1eHaY18a8A9IcSdp1K8H6x8fbOy06t2VsZHhMHf-1x7Y/edit?usp=sharing"",""แผน!V60"")"),0)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IFERROR(__xludf.DUMMYFUNCTION("IMPORTRANGE(""https://docs.google.com/spreadsheets/d/1eHaY18a8A9IcSdp1K8H6x8fbOy06t2VsZHhMHf-1x7Y/edit?usp=sharing"",""แผน!W60"")"),0)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IFERROR(__xludf.DUMMYFUNCTION("IMPORTRANGE(""https://docs.google.com/spreadsheets/d/1eHaY18a8A9IcSdp1K8H6x8fbOy06t2VsZHhMHf-1x7Y/edit?usp=sharing"",""แผน!X60"")"),0)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IFERROR(__xludf.DUMMYFUNCTION("IMPORTRANGE(""https://docs.google.com/spreadsheets/d/1eHaY18a8A9IcSdp1K8H6x8fbOy06t2VsZHhMHf-1x7Y/edit?usp=sharing"",""แผน!Y60"")"),0)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IFERROR(__xludf.DUMMYFUNCTION("IMPORTRANGE(""https://docs.google.com/spreadsheets/d/1-uDff_7J0KD5mKrp0Vvzr7lt3OU09vwQwhkpOPPYv2Y/edit?usp=sharing"",""งบพรบ!CA60"")"),0)</f>
        <v>0</v>
      </c>
      <c r="M162" s="77">
        <f ca="1">IFERROR(__xludf.DUMMYFUNCTION("IMPORTRANGE(""https://docs.google.com/spreadsheets/d/1-uDff_7J0KD5mKrp0Vvzr7lt3OU09vwQwhkpOPPYv2Y/edit?usp=sharing"",""งบพรบ!CF60"")"),0)</f>
        <v>0</v>
      </c>
      <c r="N162" s="77">
        <f ca="1">IFERROR(__xludf.DUMMYFUNCTION("IMPORTRANGE(""https://docs.google.com/spreadsheets/d/1-uDff_7J0KD5mKrp0Vvzr7lt3OU09vwQwhkpOPPYv2Y/edit?usp=sharing"",""งบพรบ!CH60"")"),0)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IFERROR(__xludf.DUMMYFUNCTION("IMPORTRANGE(""https://docs.google.com/spreadsheets/d/1ItG2mGa2ceCfYo0BwxsXqNm01IGEUdYcSSLTEv9YCik/edit?usp=sharing"",""เบิกจ่ายกองทุน!AG60"")"),0)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IFERROR(__xludf.DUMMYFUNCTION("IMPORTRANGE(""https://docs.google.com/spreadsheets/d/1ItG2mGa2ceCfYo0BwxsXqNm01IGEUdYcSSLTEv9YCik/edit?usp=sharing"",""เบิกจ่ายกองทุน!AH60"")"),0)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IFERROR(__xludf.DUMMYFUNCTION("IMPORTRANGE(""https://docs.google.com/spreadsheets/d/1ItG2mGa2ceCfYo0BwxsXqNm01IGEUdYcSSLTEv9YCik/edit?usp=sharing"",""เบิกจ่ายกองทุน!AI60"")"),0)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IFERROR(__xludf.DUMMYFUNCTION("IMPORTRANGE(""https://docs.google.com/spreadsheets/d/1-uDff_7J0KD5mKrp0Vvzr7lt3OU09vwQwhkpOPPYv2Y/edit?usp=sharing"",""งบพรบ!CD60"")"),0)</f>
        <v>0</v>
      </c>
      <c r="M165" s="77">
        <f ca="1">IFERROR(__xludf.DUMMYFUNCTION("IMPORTRANGE(""https://docs.google.com/spreadsheets/d/1-uDff_7J0KD5mKrp0Vvzr7lt3OU09vwQwhkpOPPYv2Y/edit?usp=sharing"",""งบพรบ!CG60"")"),0)</f>
        <v>0</v>
      </c>
      <c r="N165" s="77">
        <f ca="1">IFERROR(__xludf.DUMMYFUNCTION("IMPORTRANGE(""https://docs.google.com/spreadsheets/d/1-uDff_7J0KD5mKrp0Vvzr7lt3OU09vwQwhkpOPPYv2Y/edit?usp=sharing"",""งบพรบ!CI60"")"),0)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IFERROR(__xludf.DUMMYFUNCTION("IMPORTRANGE(""https://docs.google.com/spreadsheets/d/1eHaY18a8A9IcSdp1K8H6x8fbOy06t2VsZHhMHf-1x7Y/edit?usp=sharing"",""แผน!Z60"")"),0)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IFERROR(__xludf.DUMMYFUNCTION("IMPORTRANGE(""https://docs.google.com/spreadsheets/d/1eHaY18a8A9IcSdp1K8H6x8fbOy06t2VsZHhMHf-1x7Y/edit?usp=sharing"",""แผน!Z60"")"),0)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IFERROR(__xludf.DUMMYFUNCTION("IMPORTRANGE(""https://docs.google.com/spreadsheets/d/1eHaY18a8A9IcSdp1K8H6x8fbOy06t2VsZHhMHf-1x7Y/edit?usp=sharing"",""แผน!Z60"")"),0)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29290</v>
      </c>
      <c r="N173" s="266">
        <f ca="1">N174+N175</f>
        <v>29290</v>
      </c>
      <c r="O173" s="266">
        <f ca="1">IF(L173&gt;0,N173*100/L173,0)</f>
        <v>149.51505870342012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29290</v>
      </c>
      <c r="N175" s="77">
        <f ca="1">N178+N181</f>
        <v>29290</v>
      </c>
      <c r="O175" s="77">
        <f ca="1">IF(L175&gt;0,N175*100/L175,0)</f>
        <v>149.51505870342012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29290</v>
      </c>
      <c r="N176" s="77">
        <f ca="1">N177+N178</f>
        <v>29290</v>
      </c>
      <c r="O176" s="77">
        <f ca="1">IF(L176&gt;0,N176*100/L176,0)</f>
        <v>149.51505870342012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IFERROR(__xludf.DUMMYFUNCTION("IMPORTRANGE(""https://docs.google.com/spreadsheets/d/1-uDff_7J0KD5mKrp0Vvzr7lt3OU09vwQwhkpOPPYv2Y/edit?usp=sharing"",""งบพรบ!CK60"")"),19590)</f>
        <v>19590</v>
      </c>
      <c r="M178" s="77">
        <f ca="1">IFERROR(__xludf.DUMMYFUNCTION("IMPORTRANGE(""https://docs.google.com/spreadsheets/d/1-uDff_7J0KD5mKrp0Vvzr7lt3OU09vwQwhkpOPPYv2Y/edit?usp=sharing"",""งบพรบ!CP60"")"),29290)</f>
        <v>29290</v>
      </c>
      <c r="N178" s="77">
        <f ca="1">IFERROR(__xludf.DUMMYFUNCTION("IMPORTRANGE(""https://docs.google.com/spreadsheets/d/1-uDff_7J0KD5mKrp0Vvzr7lt3OU09vwQwhkpOPPYv2Y/edit?usp=sharing"",""งบพรบ!CR60"")"),29290)</f>
        <v>29290</v>
      </c>
      <c r="O178" s="77">
        <f ca="1">IF(L178&gt;0,N178*100/L178,0)</f>
        <v>149.51505870342012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IFERROR(__xludf.DUMMYFUNCTION("IMPORTRANGE(""https://docs.google.com/spreadsheets/d/1ItG2mGa2ceCfYo0BwxsXqNm01IGEUdYcSSLTEv9YCik/edit?usp=sharing"",""เบิกจ่ายกองทุน!BE60"")"),0)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IFERROR(__xludf.DUMMYFUNCTION("IMPORTRANGE(""https://docs.google.com/spreadsheets/d/1ItG2mGa2ceCfYo0BwxsXqNm01IGEUdYcSSLTEv9YCik/edit?usp=sharing"",""เบิกจ่ายกองทุน!BF60"")"),0)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IFERROR(__xludf.DUMMYFUNCTION("IMPORTRANGE(""https://docs.google.com/spreadsheets/d/1ItG2mGa2ceCfYo0BwxsXqNm01IGEUdYcSSLTEv9YCik/edit?usp=sharing"",""เบิกจ่ายกองทุน!BG60"")"),0)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IFERROR(__xludf.DUMMYFUNCTION("IMPORTRANGE(""https://docs.google.com/spreadsheets/d/1-uDff_7J0KD5mKrp0Vvzr7lt3OU09vwQwhkpOPPYv2Y/edit?usp=sharing"",""งบพรบ!CN60"")"),0)</f>
        <v>0</v>
      </c>
      <c r="M181" s="77">
        <f ca="1">IFERROR(__xludf.DUMMYFUNCTION("IMPORTRANGE(""https://docs.google.com/spreadsheets/d/1-uDff_7J0KD5mKrp0Vvzr7lt3OU09vwQwhkpOPPYv2Y/edit?usp=sharing"",""งบพรบ!CQ60"")"),0)</f>
        <v>0</v>
      </c>
      <c r="N181" s="77">
        <f ca="1">IFERROR(__xludf.DUMMYFUNCTION("IMPORTRANGE(""https://docs.google.com/spreadsheets/d/1-uDff_7J0KD5mKrp0Vvzr7lt3OU09vwQwhkpOPPYv2Y/edit?usp=sharing"",""งบพรบ!CS60"")"),0)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IFERROR(__xludf.DUMMYFUNCTION("IMPORTRANGE(""https://docs.google.com/spreadsheets/d/1eHaY18a8A9IcSdp1K8H6x8fbOy06t2VsZHhMHf-1x7Y/edit?usp=sharing"",""แผน!AA60"")"),7)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15</v>
      </c>
      <c r="J185" s="1165">
        <f>J230+J231</f>
        <v>15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226700</v>
      </c>
      <c r="M186" s="266">
        <f ca="1">M187+M188</f>
        <v>228220</v>
      </c>
      <c r="N186" s="266">
        <f ca="1">N187+N188</f>
        <v>143512.45000000001</v>
      </c>
      <c r="O186" s="266">
        <f ca="1">IF(L186&gt;0,N186*100/L186,0)</f>
        <v>63.305006616674028</v>
      </c>
      <c r="P186" s="266">
        <f ca="1">IF(M186&gt;0,N186*100/M186,0)</f>
        <v>62.883380071860493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226700</v>
      </c>
      <c r="M188" s="77">
        <f ca="1">M191+M194</f>
        <v>228220</v>
      </c>
      <c r="N188" s="77">
        <f ca="1">N191+N194</f>
        <v>143512.45000000001</v>
      </c>
      <c r="O188" s="77">
        <f ca="1">IF(L188&gt;0,N188*100/L188,0)</f>
        <v>63.305006616674028</v>
      </c>
      <c r="P188" s="77">
        <f ca="1">IF(M188&gt;0,N188*100/M188,0)</f>
        <v>62.883380071860493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226700</v>
      </c>
      <c r="M189" s="77">
        <f ca="1">M190+M191</f>
        <v>228220</v>
      </c>
      <c r="N189" s="77">
        <f ca="1">N190+N191</f>
        <v>143512.45000000001</v>
      </c>
      <c r="O189" s="77">
        <f ca="1">IF(L189&gt;0,N189*100/L189,0)</f>
        <v>63.305006616674028</v>
      </c>
      <c r="P189" s="77">
        <f ca="1">IF(M189&gt;0,N189*100/M189,0)</f>
        <v>62.883380071860493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IFERROR(__xludf.DUMMYFUNCTION("IMPORTRANGE(""https://docs.google.com/spreadsheets/d/1-uDff_7J0KD5mKrp0Vvzr7lt3OU09vwQwhkpOPPYv2Y/edit?usp=sharing"",""งบพรบ!CU60"")"),226700)</f>
        <v>226700</v>
      </c>
      <c r="M191" s="77">
        <f ca="1">IFERROR(__xludf.DUMMYFUNCTION("IMPORTRANGE(""https://docs.google.com/spreadsheets/d/1-uDff_7J0KD5mKrp0Vvzr7lt3OU09vwQwhkpOPPYv2Y/edit?usp=sharing"",""งบพรบ!CZ60"")"),228220)</f>
        <v>228220</v>
      </c>
      <c r="N191" s="77">
        <f ca="1">IFERROR(__xludf.DUMMYFUNCTION("IMPORTRANGE(""https://docs.google.com/spreadsheets/d/1-uDff_7J0KD5mKrp0Vvzr7lt3OU09vwQwhkpOPPYv2Y/edit?usp=sharing"",""งบพรบ!DB60"")"),143512.45)</f>
        <v>143512.45000000001</v>
      </c>
      <c r="O191" s="77">
        <f ca="1">IF(L191&gt;0,N191*100/L191,0)</f>
        <v>63.305006616674028</v>
      </c>
      <c r="P191" s="77">
        <f ca="1">IF(M191&gt;0,N191*100/M191,0)</f>
        <v>62.883380071860493</v>
      </c>
      <c r="Q191" s="77">
        <f ca="1">IFERROR(__xludf.DUMMYFUNCTION("IMPORTRANGE(""https://docs.google.com/spreadsheets/d/1ItG2mGa2ceCfYo0BwxsXqNm01IGEUdYcSSLTEv9YCik/edit?usp=sharing"",""เบิกจ่ายกองทุน!AV60"")"),0)</f>
        <v>0</v>
      </c>
      <c r="R191" s="77">
        <f ca="1">IFERROR(__xludf.DUMMYFUNCTION("IMPORTRANGE(""https://docs.google.com/spreadsheets/d/1ItG2mGa2ceCfYo0BwxsXqNm01IGEUdYcSSLTEv9YCik/edit?usp=sharing"",""เบิกจ่ายกองทุน!AW60"")"),0)</f>
        <v>0</v>
      </c>
      <c r="S191" s="77">
        <f ca="1">IFERROR(__xludf.DUMMYFUNCTION("IMPORTRANGE(""https://docs.google.com/spreadsheets/d/1ItG2mGa2ceCfYo0BwxsXqNm01IGEUdYcSSLTEv9YCik/edit?usp=sharing"",""เบิกจ่ายกองทุน!AX60"")"),0)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IFERROR(__xludf.DUMMYFUNCTION("IMPORTRANGE(""https://docs.google.com/spreadsheets/d/1-uDff_7J0KD5mKrp0Vvzr7lt3OU09vwQwhkpOPPYv2Y/edit?usp=sharing"",""งบพรบ!CX60"")"),0)</f>
        <v>0</v>
      </c>
      <c r="M194" s="77">
        <f ca="1">IFERROR(__xludf.DUMMYFUNCTION("IMPORTRANGE(""https://docs.google.com/spreadsheets/d/1-uDff_7J0KD5mKrp0Vvzr7lt3OU09vwQwhkpOPPYv2Y/edit?usp=sharing"",""งบพรบ!DA60"")"),0)</f>
        <v>0</v>
      </c>
      <c r="N194" s="77">
        <f ca="1">IFERROR(__xludf.DUMMYFUNCTION("IMPORTRANGE(""https://docs.google.com/spreadsheets/d/1-uDff_7J0KD5mKrp0Vvzr7lt3OU09vwQwhkpOPPYv2Y/edit?usp=sharing"",""งบพรบ!DC60"")"),0)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IFERROR(__xludf.DUMMYFUNCTION("IMPORTRANGE(""https://docs.google.com/spreadsheets/d/1eHaY18a8A9IcSdp1K8H6x8fbOy06t2VsZHhMHf-1x7Y/edit?usp=sharing"",""แผน!AB60"")"),6000)</f>
        <v>6000</v>
      </c>
      <c r="M196" s="90"/>
      <c r="N196" s="959">
        <v>2000</v>
      </c>
      <c r="O196" s="266">
        <f ca="1">IF(L196&gt;0,N196*100/L196,0)</f>
        <v>33.333333333333336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IFERROR(__xludf.DUMMYFUNCTION("IMPORTRANGE(""https://docs.google.com/spreadsheets/d/1eHaY18a8A9IcSdp1K8H6x8fbOy06t2VsZHhMHf-1x7Y/edit?usp=sharing"",""แผน!AE60"")"),4)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71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IFERROR(__xludf.DUMMYFUNCTION("IMPORTRANGE(""https://docs.google.com/spreadsheets/d/1eHaY18a8A9IcSdp1K8H6x8fbOy06t2VsZHhMHf-1x7Y/edit?usp=sharing"",""แผน!AG60"")"),0)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71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IFERROR(__xludf.DUMMYFUNCTION("IMPORTRANGE(""https://docs.google.com/spreadsheets/d/1eHaY18a8A9IcSdp1K8H6x8fbOy06t2VsZHhMHf-1x7Y/edit?usp=sharing"",""แผน!Ai60"")"),0)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71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IFERROR(__xludf.DUMMYFUNCTION("IMPORTRANGE(""https://docs.google.com/spreadsheets/d/1eHaY18a8A9IcSdp1K8H6x8fbOy06t2VsZHhMHf-1x7Y/edit?usp=sharing"",""แผน!Aj60"")"),0)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IFERROR(__xludf.DUMMYFUNCTION("IMPORTRANGE(""https://docs.google.com/spreadsheets/d/1eHaY18a8A9IcSdp1K8H6x8fbOy06t2VsZHhMHf-1x7Y/edit?usp=sharing"",""แผน!LV60"")"),0)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IFERROR(__xludf.DUMMYFUNCTION("IMPORTRANGE(""https://docs.google.com/spreadsheets/d/1eHaY18a8A9IcSdp1K8H6x8fbOy06t2VsZHhMHf-1x7Y/edit?usp=sharing"",""แผน!AJ60"")"),0)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IFERROR(__xludf.DUMMYFUNCTION("IMPORTRANGE(""https://docs.google.com/spreadsheets/d/1eHaY18a8A9IcSdp1K8H6x8fbOy06t2VsZHhMHf-1x7Y/edit?usp=sharing"",""แผน!AK60"")"),0)</f>
        <v>0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IFERROR(__xludf.DUMMYFUNCTION("IMPORTRANGE(""https://docs.google.com/spreadsheets/d/1eHaY18a8A9IcSdp1K8H6x8fbOy06t2VsZHhMHf-1x7Y/edit?usp=sharing"",""แผน!AK60"")"),0)</f>
        <v>0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IFERROR(__xludf.DUMMYFUNCTION("IMPORTRANGE(""https://docs.google.com/spreadsheets/d/1eHaY18a8A9IcSdp1K8H6x8fbOy06t2VsZHhMHf-1x7Y/edit?usp=sharing"",""แผน!AK60"")"),0)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IFERROR(__xludf.DUMMYFUNCTION("IMPORTRANGE(""https://docs.google.com/spreadsheets/d/1eHaY18a8A9IcSdp1K8H6x8fbOy06t2VsZHhMHf-1x7Y/edit?usp=sharing"",""แผน!AM60"")"),0)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IFERROR(__xludf.DUMMYFUNCTION("IMPORTRANGE(""https://docs.google.com/spreadsheets/d/1eHaY18a8A9IcSdp1K8H6x8fbOy06t2VsZHhMHf-1x7Y/edit?usp=sharing"",""แผน!AN60"")"),0)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IFERROR(__xludf.DUMMYFUNCTION("IMPORTRANGE(""https://docs.google.com/spreadsheets/d/1eHaY18a8A9IcSdp1K8H6x8fbOy06t2VsZHhMHf-1x7Y/edit?usp=sharing"",""แผน!AO60"")"),0)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IFERROR(__xludf.DUMMYFUNCTION("IMPORTRANGE(""https://docs.google.com/spreadsheets/d/1eHaY18a8A9IcSdp1K8H6x8fbOy06t2VsZHhMHf-1x7Y/edit?usp=sharing"",""แผน!LY60"")"),0)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IFERROR(__xludf.DUMMYFUNCTION("IMPORTRANGE(""https://docs.google.com/spreadsheets/d/1eHaY18a8A9IcSdp1K8H6x8fbOy06t2VsZHhMHf-1x7Y/edit?usp=sharing"",""แผน!AP60"")"),0)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IFERROR(__xludf.DUMMYFUNCTION("IMPORTRANGE(""https://docs.google.com/spreadsheets/d/1eHaY18a8A9IcSdp1K8H6x8fbOy06t2VsZHhMHf-1x7Y/edit?usp=sharing"",""แผน!AP60"")"),0)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IFERROR(__xludf.DUMMYFUNCTION("IMPORTRANGE(""https://docs.google.com/spreadsheets/d/1eHaY18a8A9IcSdp1K8H6x8fbOy06t2VsZHhMHf-1x7Y/edit?usp=sharing"",""แผน!AR60"")"),2500)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IFERROR(__xludf.DUMMYFUNCTION("IMPORTRANGE(""https://docs.google.com/spreadsheets/d/1eHaY18a8A9IcSdp1K8H6x8fbOy06t2VsZHhMHf-1x7Y/edit?usp=sharing"",""แผน!AS60"")"),2000)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IFERROR(__xludf.DUMMYFUNCTION("IMPORTRANGE(""https://docs.google.com/spreadsheets/d/1eHaY18a8A9IcSdp1K8H6x8fbOy06t2VsZHhMHf-1x7Y/edit?usp=sharing"",""แผน!AT60"")"),0)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IFERROR(__xludf.DUMMYFUNCTION("IMPORTRANGE(""https://docs.google.com/spreadsheets/d/1eHaY18a8A9IcSdp1K8H6x8fbOy06t2VsZHhMHf-1x7Y/edit?usp=sharing"",""แผน!AV60"")"),5000)</f>
        <v>5000</v>
      </c>
      <c r="J228" s="296">
        <v>5000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IFERROR(__xludf.DUMMYFUNCTION("IMPORTRANGE(""https://docs.google.com/spreadsheets/d/1eHaY18a8A9IcSdp1K8H6x8fbOy06t2VsZHhMHf-1x7Y/edit?usp=sharing"",""แผน!AV60"")"),5000)</f>
        <v>5000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IFERROR(__xludf.DUMMYFUNCTION("IMPORTRANGE(""https://docs.google.com/spreadsheets/d/1eHaY18a8A9IcSdp1K8H6x8fbOy06t2VsZHhMHf-1x7Y/edit?usp=sharing"",""แผน!AU60"")"),0)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15</v>
      </c>
      <c r="J231" s="943">
        <f>J242+J253</f>
        <v>15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46500</v>
      </c>
      <c r="M232" s="90"/>
      <c r="N232" s="1287">
        <f>N243+N254</f>
        <v>38220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2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10000</v>
      </c>
      <c r="M233" s="90"/>
      <c r="N233" s="80">
        <f>N244+N255</f>
        <v>2600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21000</v>
      </c>
      <c r="M235" s="90"/>
      <c r="N235" s="80">
        <f>N246+N257</f>
        <v>20120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15500</v>
      </c>
      <c r="M236" s="90"/>
      <c r="N236" s="80">
        <f>N247+N258</f>
        <v>15500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15</v>
      </c>
      <c r="J238" s="574">
        <f>J249+J260</f>
        <v>15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15</v>
      </c>
      <c r="J240" s="574">
        <f>J251+J262</f>
        <v>15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156" t="s">
        <v>338</v>
      </c>
      <c r="D242" s="375"/>
      <c r="E242" s="375"/>
      <c r="F242" s="375"/>
      <c r="G242" s="376"/>
      <c r="H242" s="377" t="s">
        <v>35</v>
      </c>
      <c r="I242" s="378">
        <f ca="1">I249</f>
        <v>15</v>
      </c>
      <c r="J242" s="378">
        <f>J249</f>
        <v>15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46500</v>
      </c>
      <c r="M243" s="90"/>
      <c r="N243" s="266">
        <f>N244+N245+N246+N247</f>
        <v>38220</v>
      </c>
      <c r="O243" s="266">
        <f ca="1">IF(L243&gt;0,N243*100/L243,0)</f>
        <v>82.193548387096769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IFERROR(__xludf.DUMMYFUNCTION("IMPORTRANGE(""https://docs.google.com/spreadsheets/d/1eHaY18a8A9IcSdp1K8H6x8fbOy06t2VsZHhMHf-1x7Y/edit?usp=sharing"",""แผน!AX60"")"),10000)</f>
        <v>10000</v>
      </c>
      <c r="M244" s="90"/>
      <c r="N244" s="391">
        <v>2600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IFERROR(__xludf.DUMMYFUNCTION("IMPORTRANGE(""https://docs.google.com/spreadsheets/d/1eHaY18a8A9IcSdp1K8H6x8fbOy06t2VsZHhMHf-1x7Y/edit?usp=sharing"",""แผน!AY60"")"),0)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IFERROR(__xludf.DUMMYFUNCTION("IMPORTRANGE(""https://docs.google.com/spreadsheets/d/1eHaY18a8A9IcSdp1K8H6x8fbOy06t2VsZHhMHf-1x7Y/edit?usp=sharing"",""แผน!AZ60"")"),21000)</f>
        <v>21000</v>
      </c>
      <c r="M246" s="90"/>
      <c r="N246" s="391">
        <v>20120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IFERROR(__xludf.DUMMYFUNCTION("IMPORTRANGE(""https://docs.google.com/spreadsheets/d/1eHaY18a8A9IcSdp1K8H6x8fbOy06t2VsZHhMHf-1x7Y/edit?usp=sharing"",""แผน!BA60"")"),15500)</f>
        <v>15500</v>
      </c>
      <c r="M247" s="90"/>
      <c r="N247" s="391">
        <v>15500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IFERROR(__xludf.DUMMYFUNCTION("IMPORTRANGE(""https://docs.google.com/spreadsheets/d/1eHaY18a8A9IcSdp1K8H6x8fbOy06t2VsZHhMHf-1x7Y/edit?usp=sharing"",""แผน!BG60"")"),15)</f>
        <v>15</v>
      </c>
      <c r="J249" s="816">
        <v>15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337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IFERROR(__xludf.DUMMYFUNCTION("IMPORTRANGE(""https://docs.google.com/spreadsheets/d/1eHaY18a8A9IcSdp1K8H6x8fbOy06t2VsZHhMHf-1x7Y/edit?usp=sharing"",""แผน!KB60"")"),15)</f>
        <v>15</v>
      </c>
      <c r="J251" s="816">
        <v>15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336</v>
      </c>
      <c r="F252" s="233"/>
      <c r="G252" s="229"/>
      <c r="H252" s="223" t="s">
        <v>35</v>
      </c>
      <c r="I252" s="241">
        <f ca="1">IFERROR(__xludf.DUMMYFUNCTION("IMPORTRANGE(""https://docs.google.com/spreadsheets/d/1eHaY18a8A9IcSdp1K8H6x8fbOy06t2VsZHhMHf-1x7Y/edit?usp=sharing"",""แผน!KC60"")"),1)</f>
        <v>1</v>
      </c>
      <c r="J252" s="816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IFERROR(__xludf.DUMMYFUNCTION("IMPORTRANGE(""https://docs.google.com/spreadsheets/d/1eHaY18a8A9IcSdp1K8H6x8fbOy06t2VsZHhMHf-1x7Y/edit?usp=sharing"",""แผน!BB60"")"),0)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IFERROR(__xludf.DUMMYFUNCTION("IMPORTRANGE(""https://docs.google.com/spreadsheets/d/1eHaY18a8A9IcSdp1K8H6x8fbOy06t2VsZHhMHf-1x7Y/edit?usp=sharing"",""แผน!BC60"")"),0)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IFERROR(__xludf.DUMMYFUNCTION("IMPORTRANGE(""https://docs.google.com/spreadsheets/d/1eHaY18a8A9IcSdp1K8H6x8fbOy06t2VsZHhMHf-1x7Y/edit?usp=sharing"",""แผน!BD60"")"),0)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IFERROR(__xludf.DUMMYFUNCTION("IMPORTRANGE(""https://docs.google.com/spreadsheets/d/1eHaY18a8A9IcSdp1K8H6x8fbOy06t2VsZHhMHf-1x7Y/edit?usp=sharing"",""แผน!BE60"")"),0)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IFERROR(__xludf.DUMMYFUNCTION("IMPORTRANGE(""https://docs.google.com/spreadsheets/d/1eHaY18a8A9IcSdp1K8H6x8fbOy06t2VsZHhMHf-1x7Y/edit?usp=sharing"",""แผน!BH60"")"),0)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1220</v>
      </c>
      <c r="T266" s="215">
        <f ca="1">IF(Q266&gt;0,S266*100/Q266,0)</f>
        <v>2.4082116067903669</v>
      </c>
      <c r="U266" s="215">
        <f ca="1">IF(R266&gt;0,S266*100/R266,0)</f>
        <v>2.4082116067903669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1220</v>
      </c>
      <c r="T268" s="91">
        <f ca="1">IF(Q268&gt;0,S268*100/Q268,0)</f>
        <v>2.4082116067903669</v>
      </c>
      <c r="U268" s="91">
        <f ca="1">IF(R268&gt;0,S268*100/R268,0)</f>
        <v>2.4082116067903669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1220</v>
      </c>
      <c r="T269" s="91">
        <f ca="1">IF(Q269&gt;0,S269*100/Q269,0)</f>
        <v>2.4082116067903669</v>
      </c>
      <c r="U269" s="91">
        <f ca="1">IF(R269&gt;0,S269*100/R269,0)</f>
        <v>2.4082116067903669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IFERROR(__xludf.DUMMYFUNCTION("IMPORTRANGE(""https://docs.google.com/spreadsheets/d/1-uDff_7J0KD5mKrp0Vvzr7lt3OU09vwQwhkpOPPYv2Y/edit?usp=sharing"",""งบพรบ!DE60"")"),0)</f>
        <v>0</v>
      </c>
      <c r="M271" s="91">
        <f ca="1">IFERROR(__xludf.DUMMYFUNCTION("IMPORTRANGE(""https://docs.google.com/spreadsheets/d/1-uDff_7J0KD5mKrp0Vvzr7lt3OU09vwQwhkpOPPYv2Y/edit?usp=sharing"",""งบพรบ!DJ60"")"),5000)</f>
        <v>5000</v>
      </c>
      <c r="N271" s="91">
        <f ca="1">IFERROR(__xludf.DUMMYFUNCTION("IMPORTRANGE(""https://docs.google.com/spreadsheets/d/1-uDff_7J0KD5mKrp0Vvzr7lt3OU09vwQwhkpOPPYv2Y/edit?usp=sharing"",""งบพรบ!DL60"")"),5000)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IFERROR(__xludf.DUMMYFUNCTION("IMPORTRANGE(""https://docs.google.com/spreadsheets/d/1ItG2mGa2ceCfYo0BwxsXqNm01IGEUdYcSSLTEv9YCik/edit?usp=sharing"",""เบิกจ่ายกองทุน!AJ60"")"),50660)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IFERROR(__xludf.DUMMYFUNCTION("IMPORTRANGE(""https://docs.google.com/spreadsheets/d/1ItG2mGa2ceCfYo0BwxsXqNm01IGEUdYcSSLTEv9YCik/edit?usp=sharing"",""เบิกจ่ายกองทุน!AK60"")"),50660)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IFERROR(__xludf.DUMMYFUNCTION("IMPORTRANGE(""https://docs.google.com/spreadsheets/d/1ItG2mGa2ceCfYo0BwxsXqNm01IGEUdYcSSLTEv9YCik/edit?usp=sharing"",""เบิกจ่ายกองทุน!AL60"")"),1220)</f>
        <v>1220</v>
      </c>
      <c r="T271" s="91">
        <f ca="1">IF(Q271&gt;0,S271*100/Q271,0)</f>
        <v>2.4082116067903669</v>
      </c>
      <c r="U271" s="91">
        <f ca="1">IF(R271&gt;0,S271*100/R271,0)</f>
        <v>2.4082116067903669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IFERROR(__xludf.DUMMYFUNCTION("IMPORTRANGE(""https://docs.google.com/spreadsheets/d/1-uDff_7J0KD5mKrp0Vvzr7lt3OU09vwQwhkpOPPYv2Y/edit?usp=sharing"",""งบพรบ!DH60"")"),0)</f>
        <v>0</v>
      </c>
      <c r="M274" s="91">
        <f ca="1">IFERROR(__xludf.DUMMYFUNCTION("IMPORTRANGE(""https://docs.google.com/spreadsheets/d/1-uDff_7J0KD5mKrp0Vvzr7lt3OU09vwQwhkpOPPYv2Y/edit?usp=sharing"",""งบพรบ!DK60"")"),0)</f>
        <v>0</v>
      </c>
      <c r="N274" s="91">
        <f ca="1">IFERROR(__xludf.DUMMYFUNCTION("IMPORTRANGE(""https://docs.google.com/spreadsheets/d/1-uDff_7J0KD5mKrp0Vvzr7lt3OU09vwQwhkpOPPYv2Y/edit?usp=sharing"",""งบพรบ!DM60"")"),0)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IFERROR(__xludf.DUMMYFUNCTION("IMPORTRANGE(""https://docs.google.com/spreadsheets/d/1eHaY18a8A9IcSdp1K8H6x8fbOy06t2VsZHhMHf-1x7Y/edit?usp=sharing"",""แผน!EC60"")"),22)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IFERROR(__xludf.DUMMYFUNCTION("IMPORTRANGE(""https://docs.google.com/spreadsheets/d/1-uDff_7J0KD5mKrp0Vvzr7lt3OU09vwQwhkpOPPYv2Y/edit?usp=sharing"",""งบพรบ!DO60"")"),0)</f>
        <v>0</v>
      </c>
      <c r="M287" s="77">
        <f ca="1">IFERROR(__xludf.DUMMYFUNCTION("IMPORTRANGE(""https://docs.google.com/spreadsheets/d/1-uDff_7J0KD5mKrp0Vvzr7lt3OU09vwQwhkpOPPYv2Y/edit?usp=sharing"",""งบพรบ!DT60"")"),0)</f>
        <v>0</v>
      </c>
      <c r="N287" s="77">
        <f ca="1">IFERROR(__xludf.DUMMYFUNCTION("IMPORTRANGE(""https://docs.google.com/spreadsheets/d/1-uDff_7J0KD5mKrp0Vvzr7lt3OU09vwQwhkpOPPYv2Y/edit?usp=sharing"",""งบพรบ!DV60"")"),0)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IFERROR(__xludf.DUMMYFUNCTION("IMPORTRANGE(""https://docs.google.com/spreadsheets/d/1-uDff_7J0KD5mKrp0Vvzr7lt3OU09vwQwhkpOPPYv2Y/edit?usp=sharing"",""งบพรบ!DR60"")"),0)</f>
        <v>0</v>
      </c>
      <c r="M290" s="77">
        <f ca="1">IFERROR(__xludf.DUMMYFUNCTION("IMPORTRANGE(""https://docs.google.com/spreadsheets/d/1-uDff_7J0KD5mKrp0Vvzr7lt3OU09vwQwhkpOPPYv2Y/edit?usp=sharing"",""งบพรบ!DU60"")"),0)</f>
        <v>0</v>
      </c>
      <c r="N290" s="77">
        <f ca="1">IFERROR(__xludf.DUMMYFUNCTION("IMPORTRANGE(""https://docs.google.com/spreadsheets/d/1-uDff_7J0KD5mKrp0Vvzr7lt3OU09vwQwhkpOPPYv2Y/edit?usp=sharing"",""งบพรบ!DW60"")"),0)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IFERROR(__xludf.DUMMYFUNCTION("IMPORTRANGE(""https://docs.google.com/spreadsheets/d/1eHaY18a8A9IcSdp1K8H6x8fbOy06t2VsZHhMHf-1x7Y/edit?usp=sharing"",""แผน!EE60"")"),0)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IFERROR(__xludf.DUMMYFUNCTION("IMPORTRANGE(""https://docs.google.com/spreadsheets/d/1eHaY18a8A9IcSdp1K8H6x8fbOy06t2VsZHhMHf-1x7Y/edit?usp=sharing"",""แผน!ED60"")"),0)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IFERROR(__xludf.DUMMYFUNCTION("IMPORTRANGE(""https://docs.google.com/spreadsheets/d/1eHaY18a8A9IcSdp1K8H6x8fbOy06t2VsZHhMHf-1x7Y/edit?usp=sharing"",""แผน!ED60"")"),0)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IFERROR(__xludf.DUMMYFUNCTION("IMPORTRANGE(""https://docs.google.com/spreadsheets/d/1eHaY18a8A9IcSdp1K8H6x8fbOy06t2VsZHhMHf-1x7Y/edit?usp=sharing"",""แผน!ED60"")"),0)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IFERROR(__xludf.DUMMYFUNCTION("IMPORTRANGE(""https://docs.google.com/spreadsheets/d/1-uDff_7J0KD5mKrp0Vvzr7lt3OU09vwQwhkpOPPYv2Y/edit?usp=sharing"",""งบพรบ!DY60"")"),0)</f>
        <v>0</v>
      </c>
      <c r="M308" s="77">
        <f ca="1">IFERROR(__xludf.DUMMYFUNCTION("IMPORTRANGE(""https://docs.google.com/spreadsheets/d/1-uDff_7J0KD5mKrp0Vvzr7lt3OU09vwQwhkpOPPYv2Y/edit?usp=sharing"",""งบพรบ!ED60"")"),0)</f>
        <v>0</v>
      </c>
      <c r="N308" s="77">
        <f ca="1">IFERROR(__xludf.DUMMYFUNCTION("IMPORTRANGE(""https://docs.google.com/spreadsheets/d/1-uDff_7J0KD5mKrp0Vvzr7lt3OU09vwQwhkpOPPYv2Y/edit?usp=sharing"",""งบพรบ!EF60"")"),0)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IFERROR(__xludf.DUMMYFUNCTION("IMPORTRANGE(""https://docs.google.com/spreadsheets/d/1ItG2mGa2ceCfYo0BwxsXqNm01IGEUdYcSSLTEv9YCik/edit?usp=sharing"",""เบิกจ่ายกองทุน!AP60"")"),0)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IFERROR(__xludf.DUMMYFUNCTION("IMPORTRANGE(""https://docs.google.com/spreadsheets/d/1ItG2mGa2ceCfYo0BwxsXqNm01IGEUdYcSSLTEv9YCik/edit?usp=sharing"",""เบิกจ่ายกองทุน!AQ60"")"),0)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IFERROR(__xludf.DUMMYFUNCTION("IMPORTRANGE(""https://docs.google.com/spreadsheets/d/1ItG2mGa2ceCfYo0BwxsXqNm01IGEUdYcSSLTEv9YCik/edit?usp=sharing"",""เบิกจ่ายกองทุน!AR60"")"),0)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IFERROR(__xludf.DUMMYFUNCTION("IMPORTRANGE(""https://docs.google.com/spreadsheets/d/1-uDff_7J0KD5mKrp0Vvzr7lt3OU09vwQwhkpOPPYv2Y/edit?usp=sharing"",""งบพรบ!EB60"")"),0)</f>
        <v>0</v>
      </c>
      <c r="M311" s="77">
        <f ca="1">IFERROR(__xludf.DUMMYFUNCTION("IMPORTRANGE(""https://docs.google.com/spreadsheets/d/1-uDff_7J0KD5mKrp0Vvzr7lt3OU09vwQwhkpOPPYv2Y/edit?usp=sharing"",""งบพรบ!EE60"")"),0)</f>
        <v>0</v>
      </c>
      <c r="N311" s="77">
        <f ca="1">IFERROR(__xludf.DUMMYFUNCTION("IMPORTRANGE(""https://docs.google.com/spreadsheets/d/1-uDff_7J0KD5mKrp0Vvzr7lt3OU09vwQwhkpOPPYv2Y/edit?usp=sharing"",""งบพรบ!EG60"")"),0)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IFERROR(__xludf.DUMMYFUNCTION("IMPORTRANGE(""https://docs.google.com/spreadsheets/d/1eHaY18a8A9IcSdp1K8H6x8fbOy06t2VsZHhMHf-1x7Y/edit?usp=sharing"",""แผน!EF60"")"),0)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IFERROR(__xludf.DUMMYFUNCTION("IMPORTRANGE(""https://docs.google.com/spreadsheets/d/1-uDff_7J0KD5mKrp0Vvzr7lt3OU09vwQwhkpOPPYv2Y/edit?usp=sharing"",""งบพรบ!EI60"")"),0)</f>
        <v>0</v>
      </c>
      <c r="M325" s="77">
        <f ca="1">IFERROR(__xludf.DUMMYFUNCTION("IMPORTRANGE(""https://docs.google.com/spreadsheets/d/1-uDff_7J0KD5mKrp0Vvzr7lt3OU09vwQwhkpOPPYv2Y/edit?usp=sharing"",""งบพรบ!EN60"")"),0)</f>
        <v>0</v>
      </c>
      <c r="N325" s="77">
        <f ca="1">IFERROR(__xludf.DUMMYFUNCTION("IMPORTRANGE(""https://docs.google.com/spreadsheets/d/1-uDff_7J0KD5mKrp0Vvzr7lt3OU09vwQwhkpOPPYv2Y/edit?usp=sharing"",""งบพรบ!EP60"")"),0)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IFERROR(__xludf.DUMMYFUNCTION("IMPORTRANGE(""https://docs.google.com/spreadsheets/d/1-uDff_7J0KD5mKrp0Vvzr7lt3OU09vwQwhkpOPPYv2Y/edit?usp=sharing"",""งบพรบ!EL60"")"),0)</f>
        <v>0</v>
      </c>
      <c r="M328" s="77">
        <f ca="1">IFERROR(__xludf.DUMMYFUNCTION("IMPORTRANGE(""https://docs.google.com/spreadsheets/d/1-uDff_7J0KD5mKrp0Vvzr7lt3OU09vwQwhkpOPPYv2Y/edit?usp=sharing"",""งบพรบ!EO60"")"),0)</f>
        <v>0</v>
      </c>
      <c r="N328" s="77">
        <f ca="1">IFERROR(__xludf.DUMMYFUNCTION("IMPORTRANGE(""https://docs.google.com/spreadsheets/d/1-uDff_7J0KD5mKrp0Vvzr7lt3OU09vwQwhkpOPPYv2Y/edit?usp=sharing"",""งบพรบ!EQ60"")"),0)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IFERROR(__xludf.DUMMYFUNCTION("IMPORTRANGE(""https://docs.google.com/spreadsheets/d/1eHaY18a8A9IcSdp1K8H6x8fbOy06t2VsZHhMHf-1x7Y/edit?usp=sharing"",""แผน!EJ60"")"),0)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140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283100</v>
      </c>
      <c r="M333" s="266">
        <f ca="1">M334+M335</f>
        <v>283100</v>
      </c>
      <c r="N333" s="266">
        <f ca="1">N334+N335</f>
        <v>169048.03</v>
      </c>
      <c r="O333" s="266">
        <f ca="1">IF(L333&gt;0,N333*100/L333,0)</f>
        <v>59.713186153302722</v>
      </c>
      <c r="P333" s="266">
        <f ca="1">IF(M333&gt;0,N333*100/M333,0)</f>
        <v>59.713186153302722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283100</v>
      </c>
      <c r="M335" s="77">
        <f ca="1">M338+M341</f>
        <v>283100</v>
      </c>
      <c r="N335" s="77">
        <f ca="1">N338+N341</f>
        <v>169048.03</v>
      </c>
      <c r="O335" s="77">
        <f ca="1">IF(L335&gt;0,N335*100/L335,0)</f>
        <v>59.713186153302722</v>
      </c>
      <c r="P335" s="77">
        <f ca="1">IF(M335&gt;0,N335*100/M335,0)</f>
        <v>59.713186153302722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283100</v>
      </c>
      <c r="M336" s="77">
        <f ca="1">M337+M338</f>
        <v>283100</v>
      </c>
      <c r="N336" s="77">
        <f ca="1">N337+N338</f>
        <v>169048.03</v>
      </c>
      <c r="O336" s="77">
        <f ca="1">IF(L336&gt;0,N336*100/L336,0)</f>
        <v>59.713186153302722</v>
      </c>
      <c r="P336" s="77">
        <f ca="1">IF(M336&gt;0,N336*100/M336,0)</f>
        <v>59.713186153302722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IFERROR(__xludf.DUMMYFUNCTION("IMPORTRANGE(""https://docs.google.com/spreadsheets/d/1-uDff_7J0KD5mKrp0Vvzr7lt3OU09vwQwhkpOPPYv2Y/edit?usp=sharing"",""งบพรบ!ES60"")"),283100)</f>
        <v>283100</v>
      </c>
      <c r="M338" s="77">
        <f ca="1">IFERROR(__xludf.DUMMYFUNCTION("IMPORTRANGE(""https://docs.google.com/spreadsheets/d/1-uDff_7J0KD5mKrp0Vvzr7lt3OU09vwQwhkpOPPYv2Y/edit?usp=sharing"",""งบพรบ!EX60"")"),283100)</f>
        <v>283100</v>
      </c>
      <c r="N338" s="77">
        <f ca="1">IFERROR(__xludf.DUMMYFUNCTION("IMPORTRANGE(""https://docs.google.com/spreadsheets/d/1-uDff_7J0KD5mKrp0Vvzr7lt3OU09vwQwhkpOPPYv2Y/edit?usp=sharing"",""งบพรบ!EZ60"")"),169048.03)</f>
        <v>169048.03</v>
      </c>
      <c r="O338" s="77">
        <f ca="1">IF(L338&gt;0,N338*100/L338,0)</f>
        <v>59.713186153302722</v>
      </c>
      <c r="P338" s="77">
        <f ca="1">IF(M338&gt;0,N338*100/M338,0)</f>
        <v>59.713186153302722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IFERROR(__xludf.DUMMYFUNCTION("IMPORTRANGE(""https://docs.google.com/spreadsheets/d/1-uDff_7J0KD5mKrp0Vvzr7lt3OU09vwQwhkpOPPYv2Y/edit?usp=sharing"",""งบพรบ!EV60"")"),0)</f>
        <v>0</v>
      </c>
      <c r="M341" s="77">
        <f ca="1">IFERROR(__xludf.DUMMYFUNCTION("IMPORTRANGE(""https://docs.google.com/spreadsheets/d/1-uDff_7J0KD5mKrp0Vvzr7lt3OU09vwQwhkpOPPYv2Y/edit?usp=sharing"",""งบพรบ!EY60"")"),0)</f>
        <v>0</v>
      </c>
      <c r="N341" s="77">
        <f ca="1">IFERROR(__xludf.DUMMYFUNCTION("IMPORTRANGE(""https://docs.google.com/spreadsheets/d/1-uDff_7J0KD5mKrp0Vvzr7lt3OU09vwQwhkpOPPYv2Y/edit?usp=sharing"",""งบพรบ!FA60"")"),0)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224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IFERROR(__xludf.DUMMYFUNCTION("IMPORTRANGE(""https://docs.google.com/spreadsheets/d/1eHaY18a8A9IcSdp1K8H6x8fbOy06t2VsZHhMHf-1x7Y/edit?usp=sharing"",""แผน!EK60"")"),140)</f>
        <v>140</v>
      </c>
      <c r="J344" s="295">
        <f ca="1">IFERROR(__xludf.DUMMYFUNCTION("IMPORTRANGE(""https://docs.google.com/spreadsheets/d/1awYsYK3VOup2i3Pq_Yjnu8DRu_mYwSBnCR2QPthd0rU/edit?usp=sharing"",""ศูนย์ยกเว้นโฉนด!D60"")"),85)</f>
        <v>85</v>
      </c>
      <c r="K344" s="77">
        <f ca="1">IF(I344&gt;0,J344*100/I344,0)</f>
        <v>60.714285714285715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IFERROR(__xludf.DUMMYFUNCTION("IMPORTRANGE(""https://docs.google.com/spreadsheets/d/1eHaY18a8A9IcSdp1K8H6x8fbOy06t2VsZHhMHf-1x7Y/edit?usp=sharing"",""แผน!EL60"")"),1)</f>
        <v>1</v>
      </c>
      <c r="J346" s="295">
        <f ca="1">IFERROR(__xludf.DUMMYFUNCTION("IMPORTRANGE(""https://docs.google.com/spreadsheets/d/1awYsYK3VOup2i3Pq_Yjnu8DRu_mYwSBnCR2QPthd0rU/edit?usp=sharing"",""ศูนย์รวม!E60"")"),1)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IFERROR(__xludf.DUMMYFUNCTION("IMPORTRANGE(""https://docs.google.com/spreadsheets/d/1awYsYK3VOup2i3Pq_Yjnu8DRu_mYwSBnCR2QPthd0rU/edit?usp=sharing"",""ศูนย์ยกเว้นโฉนด!F60"")"),125)</f>
        <v>125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IFERROR(__xludf.DUMMYFUNCTION("IMPORTRANGE(""https://docs.google.com/spreadsheets/d/1awYsYK3VOup2i3Pq_Yjnu8DRu_mYwSBnCR2QPthd0rU/edit?usp=sharing"",""ศูนย์ยกเว้นโฉนด!G60"")"),13)</f>
        <v>13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IFERROR(__xludf.DUMMYFUNCTION("IMPORTRANGE(""https://docs.google.com/spreadsheets/d/1awYsYK3VOup2i3Pq_Yjnu8DRu_mYwSBnCR2QPthd0rU/edit?usp=sharing"",""ศูนย์ยกเว้นโฉนด!H60"")"),1)</f>
        <v>1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IFERROR(__xludf.DUMMYFUNCTION("IMPORTRANGE(""https://docs.google.com/spreadsheets/d/1awYsYK3VOup2i3Pq_Yjnu8DRu_mYwSBnCR2QPthd0rU/edit?usp=sharing"",""โฉนดM3!G60"")"),"")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IFERROR(__xludf.DUMMYFUNCTION("IMPORTRANGE(""https://docs.google.com/spreadsheets/d/1awYsYK3VOup2i3Pq_Yjnu8DRu_mYwSBnCR2QPthd0rU/edit?usp=sharing"",""โฉนดM3!H60"")"),"")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IFERROR(__xludf.DUMMYFUNCTION("IMPORTRANGE(""https://docs.google.com/spreadsheets/d/1awYsYK3VOup2i3Pq_Yjnu8DRu_mYwSBnCR2QPthd0rU/edit?usp=sharing"",""โฉนดM3!I60"")"),"")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115055</v>
      </c>
      <c r="M356" s="266">
        <f ca="1">M357+M358</f>
        <v>115055</v>
      </c>
      <c r="N356" s="266">
        <f ca="1">N357+N358</f>
        <v>78000</v>
      </c>
      <c r="O356" s="266">
        <f ca="1">IF(L356&gt;0,N356*100/L356,0)</f>
        <v>67.793663899873977</v>
      </c>
      <c r="P356" s="266">
        <f ca="1">IF(M356&gt;0,N356*100/M356,0)</f>
        <v>67.793663899873977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115055</v>
      </c>
      <c r="M358" s="77">
        <f ca="1">M361+M364</f>
        <v>115055</v>
      </c>
      <c r="N358" s="77">
        <f ca="1">N361+N364</f>
        <v>78000</v>
      </c>
      <c r="O358" s="77">
        <f ca="1">IF(L358&gt;0,N358*100/L358,0)</f>
        <v>67.793663899873977</v>
      </c>
      <c r="P358" s="77">
        <f ca="1">IF(M358&gt;0,N358*100/M358,0)</f>
        <v>67.793663899873977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115055</v>
      </c>
      <c r="M359" s="77">
        <f ca="1">M360+M361</f>
        <v>115055</v>
      </c>
      <c r="N359" s="77">
        <f ca="1">N360+N361</f>
        <v>78000</v>
      </c>
      <c r="O359" s="77">
        <f ca="1">IF(L359&gt;0,N359*100/L359,0)</f>
        <v>67.793663899873977</v>
      </c>
      <c r="P359" s="77">
        <f ca="1">IF(M359&gt;0,N359*100/M359,0)</f>
        <v>67.793663899873977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IFERROR(__xludf.DUMMYFUNCTION("IMPORTRANGE(""https://docs.google.com/spreadsheets/d/1-uDff_7J0KD5mKrp0Vvzr7lt3OU09vwQwhkpOPPYv2Y/edit?usp=sharing"",""งบพรบ!FC60"")"),115055)</f>
        <v>115055</v>
      </c>
      <c r="M361" s="77">
        <f ca="1">IFERROR(__xludf.DUMMYFUNCTION("IMPORTRANGE(""https://docs.google.com/spreadsheets/d/1-uDff_7J0KD5mKrp0Vvzr7lt3OU09vwQwhkpOPPYv2Y/edit?usp=sharing"",""งบพรบ!FH60"")"),115055)</f>
        <v>115055</v>
      </c>
      <c r="N361" s="77">
        <f ca="1">IFERROR(__xludf.DUMMYFUNCTION("IMPORTRANGE(""https://docs.google.com/spreadsheets/d/1-uDff_7J0KD5mKrp0Vvzr7lt3OU09vwQwhkpOPPYv2Y/edit?usp=sharing"",""งบพรบ!FJ60"")"),78000)</f>
        <v>78000</v>
      </c>
      <c r="O361" s="77">
        <f ca="1">IF(L361&gt;0,N361*100/L361,0)</f>
        <v>67.793663899873977</v>
      </c>
      <c r="P361" s="77">
        <f ca="1">IF(M361&gt;0,N361*100/M361,0)</f>
        <v>67.793663899873977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IFERROR(__xludf.DUMMYFUNCTION("IMPORTRANGE(""https://docs.google.com/spreadsheets/d/1-uDff_7J0KD5mKrp0Vvzr7lt3OU09vwQwhkpOPPYv2Y/edit?usp=sharing"",""งบพรบ!FF60"")"),0)</f>
        <v>0</v>
      </c>
      <c r="M364" s="77">
        <f ca="1">IFERROR(__xludf.DUMMYFUNCTION("IMPORTRANGE(""https://docs.google.com/spreadsheets/d/1-uDff_7J0KD5mKrp0Vvzr7lt3OU09vwQwhkpOPPYv2Y/edit?usp=sharing"",""งบพรบ!FI60"")"),0)</f>
        <v>0</v>
      </c>
      <c r="N364" s="77">
        <f ca="1">IFERROR(__xludf.DUMMYFUNCTION("IMPORTRANGE(""https://docs.google.com/spreadsheets/d/1-uDff_7J0KD5mKrp0Vvzr7lt3OU09vwQwhkpOPPYv2Y/edit?usp=sharing"",""งบพรบ!FK60"")"),0)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IFERROR(__xludf.DUMMYFUNCTION("IMPORTRANGE(""https://docs.google.com/spreadsheets/d/1tdoBKaGub7dwA3U6UFTqxio9LNnvDCQjHKmttSEBsFQ/edit?usp=sharing"",""จัดที่ดิน!AB60"")"),0)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IFERROR(__xludf.DUMMYFUNCTION("IMPORTRANGE(""https://docs.google.com/spreadsheets/d/1eHaY18a8A9IcSdp1K8H6x8fbOy06t2VsZHhMHf-1x7Y/edit?usp=sharing"",""แผน!EW60"")"),0)</f>
        <v>0</v>
      </c>
      <c r="J368" s="1094">
        <f ca="1">IFERROR(__xludf.DUMMYFUNCTION("IMPORTRANGE(""https://docs.google.com/spreadsheets/d/1tdoBKaGub7dwA3U6UFTqxio9LNnvDCQjHKmttSEBsFQ/edit?usp=sharing"",""จัดที่ดิน!AC60"")"),0)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IFERROR(__xludf.DUMMYFUNCTION("IMPORTRANGE(""https://docs.google.com/spreadsheets/d/1eHaY18a8A9IcSdp1K8H6x8fbOy06t2VsZHhMHf-1x7Y/edit?usp=sharing"",""แผน!EX60"")"),0)</f>
        <v>0</v>
      </c>
      <c r="J369" s="295">
        <f ca="1">IFERROR(__xludf.DUMMYFUNCTION("IMPORTRANGE(""https://docs.google.com/spreadsheets/d/1tdoBKaGub7dwA3U6UFTqxio9LNnvDCQjHKmttSEBsFQ/edit?usp=sharing"",""จัดที่ดิน!AD60"")"),0)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IFERROR(__xludf.DUMMYFUNCTION("IMPORTRANGE(""https://docs.google.com/spreadsheets/d/1tdoBKaGub7dwA3U6UFTqxio9LNnvDCQjHKmttSEBsFQ/edit?usp=sharing"",""จัดที่ดิน!AE60"")"),0)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IFERROR(__xludf.DUMMYFUNCTION("IMPORTRANGE(""https://docs.google.com/spreadsheets/d/1eHaY18a8A9IcSdp1K8H6x8fbOy06t2VsZHhMHf-1x7Y/edit?usp=sharing"",""แผน!EY60"")"),0)</f>
        <v>0</v>
      </c>
      <c r="J371" s="295">
        <f ca="1">IFERROR(__xludf.DUMMYFUNCTION("IMPORTRANGE(""https://docs.google.com/spreadsheets/d/1tdoBKaGub7dwA3U6UFTqxio9LNnvDCQjHKmttSEBsFQ/edit?usp=sharing"",""จัดที่ดิน!AF60"")"),0)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IFERROR(__xludf.DUMMYFUNCTION("IMPORTRANGE(""https://docs.google.com/spreadsheets/d/1tdoBKaGub7dwA3U6UFTqxio9LNnvDCQjHKmttSEBsFQ/edit?usp=sharing"",""จัดที่ดิน!AG60"")"),0)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IFERROR(__xludf.DUMMYFUNCTION("IMPORTRANGE(""https://docs.google.com/spreadsheets/d/1ItG2mGa2ceCfYo0BwxsXqNm01IGEUdYcSSLTEv9YCik/edit?usp=sharing"",""เบิกจ่ายกองทุน!AY60"")"),0)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IFERROR(__xludf.DUMMYFUNCTION("IMPORTRANGE(""https://docs.google.com/spreadsheets/d/1ItG2mGa2ceCfYo0BwxsXqNm01IGEUdYcSSLTEv9YCik/edit?usp=sharing"",""เบิกจ่ายกองทุน!AZ60"")"),0)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IFERROR(__xludf.DUMMYFUNCTION("IMPORTRANGE(""https://docs.google.com/spreadsheets/d/1ItG2mGa2ceCfYo0BwxsXqNm01IGEUdYcSSLTEv9YCik/edit?usp=sharing"",""เบิกจ่ายกองทุน!BA60"")"),0)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IFERROR(__xludf.DUMMYFUNCTION("IMPORTRANGE(""https://docs.google.com/spreadsheets/d/1eHaY18a8A9IcSdp1K8H6x8fbOy06t2VsZHhMHf-1x7Y/edit?usp=sharing"",""แผน!JQ60"")"),0)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IFERROR(__xludf.DUMMYFUNCTION("IMPORTRANGE(""https://docs.google.com/spreadsheets/d/1eHaY18a8A9IcSdp1K8H6x8fbOy06t2VsZHhMHf-1x7Y/edit?usp=sharing"",""แผน!JQ60"")"),0)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IFERROR(__xludf.DUMMYFUNCTION("IMPORTRANGE(""https://docs.google.com/spreadsheets/d/1ItG2mGa2ceCfYo0BwxsXqNm01IGEUdYcSSLTEv9YCik/edit?usp=sharing"",""เบิกจ่ายกองทุน!BH60"")"),0)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IFERROR(__xludf.DUMMYFUNCTION("IMPORTRANGE(""https://docs.google.com/spreadsheets/d/1ItG2mGa2ceCfYo0BwxsXqNm01IGEUdYcSSLTEv9YCik/edit?usp=sharing"",""เบิกจ่ายกองทุน!BI60"")"),0)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IFERROR(__xludf.DUMMYFUNCTION("IMPORTRANGE(""https://docs.google.com/spreadsheets/d/1ItG2mGa2ceCfYo0BwxsXqNm01IGEUdYcSSLTEv9YCik/edit?usp=sharing"",""เบิกจ่ายกองทุน!BJ60"")"),0)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IFERROR(__xludf.DUMMYFUNCTION("IMPORTRANGE(""https://docs.google.com/spreadsheets/d/1eHaY18a8A9IcSdp1K8H6x8fbOy06t2VsZHhMHf-1x7Y/edit?usp=sharing"",""แผน!HJ60"")"),0)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IFERROR(__xludf.DUMMYFUNCTION("IMPORTRANGE(""https://docs.google.com/spreadsheets/d/1eHaY18a8A9IcSdp1K8H6x8fbOy06t2VsZHhMHf-1x7Y/edit?usp=sharing"",""แผน!HK60"")"),0)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IFERROR(__xludf.DUMMYFUNCTION("IMPORTRANGE(""https://docs.google.com/spreadsheets/d/1eHaY18a8A9IcSdp1K8H6x8fbOy06t2VsZHhMHf-1x7Y/edit?usp=sharing"",""แผน!HJ60"")"),0)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IFERROR(__xludf.DUMMYFUNCTION("IMPORTRANGE(""https://docs.google.com/spreadsheets/d/1eHaY18a8A9IcSdp1K8H6x8fbOy06t2VsZHhMHf-1x7Y/edit?usp=sharing"",""แผน!HK60"")"),0)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IFERROR(__xludf.DUMMYFUNCTION("IMPORTRANGE(""https://docs.google.com/spreadsheets/d/1eHaY18a8A9IcSdp1K8H6x8fbOy06t2VsZHhMHf-1x7Y/edit?usp=sharing"",""แผน!HJ60"")"),0)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IFERROR(__xludf.DUMMYFUNCTION("IMPORTRANGE(""https://docs.google.com/spreadsheets/d/1eHaY18a8A9IcSdp1K8H6x8fbOy06t2VsZHhMHf-1x7Y/edit?usp=sharing"",""แผน!HK60"")"),0)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IFERROR(__xludf.DUMMYFUNCTION("IMPORTRANGE(""https://docs.google.com/spreadsheets/d/1eHaY18a8A9IcSdp1K8H6x8fbOy06t2VsZHhMHf-1x7Y/edit?usp=sharing"",""แผน!HL60"")"),0)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IFERROR(__xludf.DUMMYFUNCTION("IMPORTRANGE(""https://docs.google.com/spreadsheets/d/1eHaY18a8A9IcSdp1K8H6x8fbOy06t2VsZHhMHf-1x7Y/edit?usp=sharing"",""แผน!HM60"")"),0)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IFERROR(__xludf.DUMMYFUNCTION("IMPORTRANGE(""https://docs.google.com/spreadsheets/d/1eHaY18a8A9IcSdp1K8H6x8fbOy06t2VsZHhMHf-1x7Y/edit?usp=sharing"",""แผน!HN60"")"),0)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IFERROR(__xludf.DUMMYFUNCTION("IMPORTRANGE(""https://docs.google.com/spreadsheets/d/1eHaY18a8A9IcSdp1K8H6x8fbOy06t2VsZHhMHf-1x7Y/edit?usp=sharing"",""แผน!HO60"")"),0)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1313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IFERROR(__xludf.DUMMYFUNCTION("IMPORTRANGE(""https://docs.google.com/spreadsheets/d/1ItG2mGa2ceCfYo0BwxsXqNm01IGEUdYcSSLTEv9YCik/edit?usp=sharing"",""เบิกจ่ายกองทุน!X60"")"),0)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IFERROR(__xludf.DUMMYFUNCTION("IMPORTRANGE(""https://docs.google.com/spreadsheets/d/1ItG2mGa2ceCfYo0BwxsXqNm01IGEUdYcSSLTEv9YCik/edit?usp=sharing"",""เบิกจ่ายกองทุน!Y60"")"),0)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IFERROR(__xludf.DUMMYFUNCTION("IMPORTRANGE(""https://docs.google.com/spreadsheets/d/1ItG2mGa2ceCfYo0BwxsXqNm01IGEUdYcSSLTEv9YCik/edit?usp=sharing"",""เบิกจ่ายกองทุน!Z60"")"),0)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IFERROR(__xludf.DUMMYFUNCTION("IMPORTRANGE(""https://docs.google.com/spreadsheets/d/1eHaY18a8A9IcSdp1K8H6x8fbOy06t2VsZHhMHf-1x7Y/edit?usp=sharing"",""แผน!GX60"")"),0)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IFERROR(__xludf.DUMMYFUNCTION("IMPORTRANGE(""https://docs.google.com/spreadsheets/d/1eHaY18a8A9IcSdp1K8H6x8fbOy06t2VsZHhMHf-1x7Y/edit?usp=sharing"",""แผน!GY60"")"),0)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IFERROR(__xludf.DUMMYFUNCTION("IMPORTRANGE(""https://docs.google.com/spreadsheets/d/1eHaY18a8A9IcSdp1K8H6x8fbOy06t2VsZHhMHf-1x7Y/edit?usp=sharing"",""แผน!GZ60"")"),0)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IFERROR(__xludf.DUMMYFUNCTION("IMPORTRANGE(""https://docs.google.com/spreadsheets/d/1eHaY18a8A9IcSdp1K8H6x8fbOy06t2VsZHhMHf-1x7Y/edit?usp=sharing"",""แผน!HA60"")"),0)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IFERROR(__xludf.DUMMYFUNCTION("IMPORTRANGE(""https://docs.google.com/spreadsheets/d/1eHaY18a8A9IcSdp1K8H6x8fbOy06t2VsZHhMHf-1x7Y/edit?usp=sharing"",""แผน!HB60"")"),0)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1312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IFERROR(__xludf.DUMMYFUNCTION("IMPORTRANGE(""https://docs.google.com/spreadsheets/d/1eHaY18a8A9IcSdp1K8H6x8fbOy06t2VsZHhMHf-1x7Y/edit?usp=sharing"",""แผน!HC60"")"),0)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IFERROR(__xludf.DUMMYFUNCTION("IMPORTRANGE(""https://docs.google.com/spreadsheets/d/1-uDff_7J0KD5mKrp0Vvzr7lt3OU09vwQwhkpOPPYv2Y/edit?usp=sharing"",""งบพรบ!FM60"")"),0)</f>
        <v>0</v>
      </c>
      <c r="M518" s="77">
        <f ca="1">IFERROR(__xludf.DUMMYFUNCTION("IMPORTRANGE(""https://docs.google.com/spreadsheets/d/1-uDff_7J0KD5mKrp0Vvzr7lt3OU09vwQwhkpOPPYv2Y/edit?usp=sharing"",""งบพรบ!FR60"")"),0)</f>
        <v>0</v>
      </c>
      <c r="N518" s="77">
        <f ca="1">IFERROR(__xludf.DUMMYFUNCTION("IMPORTRANGE(""https://docs.google.com/spreadsheets/d/1-uDff_7J0KD5mKrp0Vvzr7lt3OU09vwQwhkpOPPYv2Y/edit?usp=sharing"",""งบพรบ!FT60"")"),0)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IFERROR(__xludf.DUMMYFUNCTION("IMPORTRANGE(""https://docs.google.com/spreadsheets/d/1-uDff_7J0KD5mKrp0Vvzr7lt3OU09vwQwhkpOPPYv2Y/edit?usp=sharing"",""งบพรบ!FP60"")"),0)</f>
        <v>0</v>
      </c>
      <c r="M521" s="77">
        <f ca="1">IFERROR(__xludf.DUMMYFUNCTION("IMPORTRANGE(""https://docs.google.com/spreadsheets/d/1-uDff_7J0KD5mKrp0Vvzr7lt3OU09vwQwhkpOPPYv2Y/edit?usp=sharing"",""งบพรบ!FS60"")"),0)</f>
        <v>0</v>
      </c>
      <c r="N521" s="77">
        <f ca="1">IFERROR(__xludf.DUMMYFUNCTION("IMPORTRANGE(""https://docs.google.com/spreadsheets/d/1-uDff_7J0KD5mKrp0Vvzr7lt3OU09vwQwhkpOPPYv2Y/edit?usp=sharing"",""งบพรบ!FU60"")"),0)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50</v>
      </c>
      <c r="J615" s="1259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7275</v>
      </c>
      <c r="R616" s="266">
        <f ca="1">R617+R618</f>
        <v>7275</v>
      </c>
      <c r="S616" s="266">
        <f ca="1">S617+S618</f>
        <v>3440</v>
      </c>
      <c r="T616" s="266">
        <f ca="1">IF(Q616&gt;0,S616*100/Q616,0)</f>
        <v>47.285223367697597</v>
      </c>
      <c r="U616" s="266">
        <f ca="1">IF(R616&gt;0,S616*100/R616,0)</f>
        <v>47.285223367697597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7275</v>
      </c>
      <c r="R618" s="77">
        <f ca="1">R621+R624</f>
        <v>7275</v>
      </c>
      <c r="S618" s="77">
        <f ca="1">S621+S624</f>
        <v>3440</v>
      </c>
      <c r="T618" s="77">
        <f ca="1">IF(Q618&gt;0,S618*100/Q618,0)</f>
        <v>47.285223367697597</v>
      </c>
      <c r="U618" s="77">
        <f ca="1">IF(R618&gt;0,S618*100/R618,0)</f>
        <v>47.285223367697597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7275</v>
      </c>
      <c r="R619" s="77">
        <f ca="1">R620+R621</f>
        <v>7275</v>
      </c>
      <c r="S619" s="77">
        <f ca="1">S620+S621</f>
        <v>3440</v>
      </c>
      <c r="T619" s="77">
        <f ca="1">IF(Q619&gt;0,S619*100/Q619,0)</f>
        <v>47.285223367697597</v>
      </c>
      <c r="U619" s="77">
        <f ca="1">IF(R619&gt;0,S619*100/R619,0)</f>
        <v>47.285223367697597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IFERROR(__xludf.DUMMYFUNCTION("IMPORTRANGE(""https://docs.google.com/spreadsheets/d/1ItG2mGa2ceCfYo0BwxsXqNm01IGEUdYcSSLTEv9YCik/edit?usp=sharing"",""เบิกจ่ายกองทุน!F60"")"),7275)</f>
        <v>7275</v>
      </c>
      <c r="R621" s="77">
        <f ca="1">IFERROR(__xludf.DUMMYFUNCTION("IMPORTRANGE(""https://docs.google.com/spreadsheets/d/1ItG2mGa2ceCfYo0BwxsXqNm01IGEUdYcSSLTEv9YCik/edit?usp=sharing"",""เบิกจ่ายกองทุน!G60"")"),7275)</f>
        <v>7275</v>
      </c>
      <c r="S621" s="77">
        <f ca="1">IFERROR(__xludf.DUMMYFUNCTION("IMPORTRANGE(""https://docs.google.com/spreadsheets/d/1ItG2mGa2ceCfYo0BwxsXqNm01IGEUdYcSSLTEv9YCik/edit?usp=sharing"",""เบิกจ่ายกองทุน!H60"")"),3440)</f>
        <v>3440</v>
      </c>
      <c r="T621" s="77">
        <f ca="1">IF(Q621&gt;0,S621*100/Q621,0)</f>
        <v>47.285223367697597</v>
      </c>
      <c r="U621" s="77">
        <f ca="1">IF(R621&gt;0,S621*100/R621,0)</f>
        <v>47.285223367697597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IFERROR(__xludf.DUMMYFUNCTION("IMPORTRANGE(""https://docs.google.com/spreadsheets/d/1eHaY18a8A9IcSdp1K8H6x8fbOy06t2VsZHhMHf-1x7Y/edit?usp=sharing"",""แผน!ID60"")"),50)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IFERROR(__xludf.DUMMYFUNCTION("IMPORTRANGE(""https://docs.google.com/spreadsheets/d/1eHaY18a8A9IcSdp1K8H6x8fbOy06t2VsZHhMHf-1x7Y/edit?usp=sharing"",""แผน!IC60"")"),1)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IFERROR(__xludf.DUMMYFUNCTION("IMPORTRANGE(""https://docs.google.com/spreadsheets/d/1eHaY18a8A9IcSdp1K8H6x8fbOy06t2VsZHhMHf-1x7Y/edit?usp=sharing"",""แผน!IC60"")"),1)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IFERROR(__xludf.DUMMYFUNCTION("IMPORTRANGE(""https://docs.google.com/spreadsheets/d/1eHaY18a8A9IcSdp1K8H6x8fbOy06t2VsZHhMHf-1x7Y/edit?usp=sharing"",""แผน!IE60"")"),0)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9360</v>
      </c>
      <c r="R642" s="266">
        <f ca="1">R643+R644</f>
        <v>9360</v>
      </c>
      <c r="S642" s="266">
        <f ca="1">S643+S644</f>
        <v>4440</v>
      </c>
      <c r="T642" s="266">
        <f ca="1">IF(Q642&gt;0,S642*100/Q642,0)</f>
        <v>47.435897435897438</v>
      </c>
      <c r="U642" s="266">
        <f ca="1">IF(R642&gt;0,S642*100/R642,0)</f>
        <v>47.435897435897438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9360</v>
      </c>
      <c r="R644" s="77">
        <f ca="1">R647+R650</f>
        <v>9360</v>
      </c>
      <c r="S644" s="77">
        <f ca="1">S647+S650</f>
        <v>4440</v>
      </c>
      <c r="T644" s="77">
        <f ca="1">IF(Q644&gt;0,S644*100/Q644,0)</f>
        <v>47.435897435897438</v>
      </c>
      <c r="U644" s="77">
        <f ca="1">IF(R644&gt;0,S644*100/R644,0)</f>
        <v>47.435897435897438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9360</v>
      </c>
      <c r="R645" s="77">
        <f ca="1">R646+R647</f>
        <v>9360</v>
      </c>
      <c r="S645" s="77">
        <f ca="1">S646+S647</f>
        <v>4440</v>
      </c>
      <c r="T645" s="77">
        <f ca="1">IF(Q645&gt;0,S645*100/Q645,0)</f>
        <v>47.435897435897438</v>
      </c>
      <c r="U645" s="77">
        <f ca="1">IF(R645&gt;0,S645*100/R645,0)</f>
        <v>47.435897435897438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IFERROR(__xludf.DUMMYFUNCTION("IMPORTRANGE(""https://docs.google.com/spreadsheets/d/1ItG2mGa2ceCfYo0BwxsXqNm01IGEUdYcSSLTEv9YCik/edit?usp=sharing"",""เบิกจ่ายกองทุน!I60"")"),9360)</f>
        <v>9360</v>
      </c>
      <c r="R647" s="77">
        <f ca="1">IFERROR(__xludf.DUMMYFUNCTION("IMPORTRANGE(""https://docs.google.com/spreadsheets/d/1ItG2mGa2ceCfYo0BwxsXqNm01IGEUdYcSSLTEv9YCik/edit?usp=sharing"",""เบิกจ่ายกองทุน!J60"")"),9360)</f>
        <v>9360</v>
      </c>
      <c r="S647" s="77">
        <f ca="1">IFERROR(__xludf.DUMMYFUNCTION("IMPORTRANGE(""https://docs.google.com/spreadsheets/d/1ItG2mGa2ceCfYo0BwxsXqNm01IGEUdYcSSLTEv9YCik/edit?usp=sharing"",""เบิกจ่ายกองทุน!K60"")"),4440)</f>
        <v>4440</v>
      </c>
      <c r="T647" s="77">
        <f ca="1">IF(Q647&gt;0,S647*100/Q647,0)</f>
        <v>47.435897435897438</v>
      </c>
      <c r="U647" s="77">
        <f ca="1">IF(R647&gt;0,S647*100/R647,0)</f>
        <v>47.435897435897438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IFERROR(__xludf.DUMMYFUNCTION("IMPORTRANGE(""https://docs.google.com/spreadsheets/d/1eHaY18a8A9IcSdp1K8H6x8fbOy06t2VsZHhMHf-1x7Y/edit?usp=sharing"",""แผน!IF60"")"),0)</f>
        <v>0</v>
      </c>
      <c r="J652" s="295">
        <f ca="1">IFERROR(__xludf.DUMMYFUNCTION("IMPORTRANGE(""https://docs.google.com/spreadsheets/d/1tdoBKaGub7dwA3U6UFTqxio9LNnvDCQjHKmttSEBsFQ/edit?usp=sharing"",""จัดที่ดิน!AU60"")"),0)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IFERROR(__xludf.DUMMYFUNCTION("IMPORTRANGE(""https://docs.google.com/spreadsheets/d/1eHaY18a8A9IcSdp1K8H6x8fbOy06t2VsZHhMHf-1x7Y/edit?usp=sharing"",""แผน!IG60"")"),0)</f>
        <v>0</v>
      </c>
      <c r="J653" s="295">
        <f ca="1">IFERROR(__xludf.DUMMYFUNCTION("IMPORTRANGE(""https://docs.google.com/spreadsheets/d/1tdoBKaGub7dwA3U6UFTqxio9LNnvDCQjHKmttSEBsFQ/edit?usp=sharing"",""จัดที่ดิน!AW60"")"),0)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IFERROR(__xludf.DUMMYFUNCTION("IMPORTRANGE(""https://docs.google.com/spreadsheets/d/1eHaY18a8A9IcSdp1K8H6x8fbOy06t2VsZHhMHf-1x7Y/edit?usp=sharing"",""แผน!IH60"")"),30)</f>
        <v>30</v>
      </c>
      <c r="J654" s="603">
        <f>J657+J660</f>
        <v>59.17</v>
      </c>
      <c r="K654" s="266">
        <f ca="1">IF(I654&gt;0,J654*100/I654,0)</f>
        <v>197.23333333333332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4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4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IFERROR(__xludf.DUMMYFUNCTION("IMPORTRANGE(""https://docs.google.com/spreadsheets/d/1eHaY18a8A9IcSdp1K8H6x8fbOy06t2VsZHhMHf-1x7Y/edit?usp=sharing"",""แผน!II60"")"),30)</f>
        <v>30</v>
      </c>
      <c r="J657" s="296">
        <v>59.17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IFERROR(__xludf.DUMMYFUNCTION("IMPORTRANGE(""https://docs.google.com/spreadsheets/d/1eHaY18a8A9IcSdp1K8H6x8fbOy06t2VsZHhMHf-1x7Y/edit?usp=sharing"",""แผน!IJ60"")"),0)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IFERROR(__xludf.DUMMYFUNCTION("IMPORTRANGE(""https://docs.google.com/spreadsheets/d/1eHaY18a8A9IcSdp1K8H6x8fbOy06t2VsZHhMHf-1x7Y/edit?usp=sharing"",""แผน!IK60"")"),21)</f>
        <v>21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IFERROR(__xludf.DUMMYFUNCTION("IMPORTRANGE(""https://docs.google.com/spreadsheets/d/1tdoBKaGub7dwA3U6UFTqxio9LNnvDCQjHKmttSEBsFQ/edit?usp=sharing"",""จัดที่ดิน!AY60"")"),0)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IFERROR(__xludf.DUMMYFUNCTION("IMPORTRANGE(""https://docs.google.com/spreadsheets/d/1tdoBKaGub7dwA3U6UFTqxio9LNnvDCQjHKmttSEBsFQ/edit?usp=sharing"",""จัดที่ดิน!AZ60"")"),0)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IFERROR(__xludf.DUMMYFUNCTION("IMPORTRANGE(""https://docs.google.com/spreadsheets/d/1eHaY18a8A9IcSdp1K8H6x8fbOy06t2VsZHhMHf-1x7Y/edit?usp=sharing"",""แผน!IL60"")"),20)</f>
        <v>20</v>
      </c>
      <c r="J673" s="295">
        <f ca="1">IFERROR(__xludf.DUMMYFUNCTION("IMPORTRANGE(""https://docs.google.com/spreadsheets/d/1tdoBKaGub7dwA3U6UFTqxio9LNnvDCQjHKmttSEBsFQ/edit?usp=sharing"",""จัดที่ดิน!BA60"")"),0)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IFERROR(__xludf.DUMMYFUNCTION("IMPORTRANGE(""https://docs.google.com/spreadsheets/d/1eHaY18a8A9IcSdp1K8H6x8fbOy06t2VsZHhMHf-1x7Y/edit?usp=sharing"",""แผน!IM60"")"),6)</f>
        <v>6</v>
      </c>
      <c r="J674" s="603">
        <f ca="1">J676+J679</f>
        <v>5</v>
      </c>
      <c r="K674" s="266">
        <f ca="1">IF(I674&gt;0,J674*100/I674,0)</f>
        <v>83.333333333333329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IFERROR(__xludf.DUMMYFUNCTION("IMPORTRANGE(""https://docs.google.com/spreadsheets/d/1eHaY18a8A9IcSdp1K8H6x8fbOy06t2VsZHhMHf-1x7Y/edit?usp=sharing"",""แผน!IN60"")"),65)</f>
        <v>65</v>
      </c>
      <c r="J675" s="603">
        <f ca="1">J678+J681</f>
        <v>25.72</v>
      </c>
      <c r="K675" s="266">
        <f ca="1">IF(I675&gt;0,J675*100/I675,0)</f>
        <v>39.569230769230771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IFERROR(__xludf.DUMMYFUNCTION("IMPORTRANGE(""https://docs.google.com/spreadsheets/d/1eHaY18a8A9IcSdp1K8H6x8fbOy06t2VsZHhMHf-1x7Y/edit?usp=sharing"",""แผน!IO60"")"),2)</f>
        <v>2</v>
      </c>
      <c r="J676" s="295">
        <f ca="1">IFERROR(__xludf.DUMMYFUNCTION("IMPORTRANGE(""https://docs.google.com/spreadsheets/d/1tdoBKaGub7dwA3U6UFTqxio9LNnvDCQjHKmttSEBsFQ/edit?usp=sharing"",""จัดที่ดิน!BF60"")"),5)</f>
        <v>5</v>
      </c>
      <c r="K676" s="77">
        <f ca="1">IF(I676&gt;0,J676*100/I676,0)</f>
        <v>250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IFERROR(__xludf.DUMMYFUNCTION("IMPORTRANGE(""https://docs.google.com/spreadsheets/d/1tdoBKaGub7dwA3U6UFTqxio9LNnvDCQjHKmttSEBsFQ/edit?usp=sharing"",""จัดที่ดิน!BG60"")"),5)</f>
        <v>5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IFERROR(__xludf.DUMMYFUNCTION("IMPORTRANGE(""https://docs.google.com/spreadsheets/d/1eHaY18a8A9IcSdp1K8H6x8fbOy06t2VsZHhMHf-1x7Y/edit?usp=sharing"",""แผน!IP60"")"),15)</f>
        <v>15</v>
      </c>
      <c r="J678" s="295">
        <f ca="1">IFERROR(__xludf.DUMMYFUNCTION("IMPORTRANGE(""https://docs.google.com/spreadsheets/d/1tdoBKaGub7dwA3U6UFTqxio9LNnvDCQjHKmttSEBsFQ/edit?usp=sharing"",""จัดที่ดิน!BH60"")"),25.72)</f>
        <v>25.72</v>
      </c>
      <c r="K678" s="77">
        <f ca="1">IF(I678&gt;0,J678*100/I678,0)</f>
        <v>171.46666666666667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IFERROR(__xludf.DUMMYFUNCTION("IMPORTRANGE(""https://docs.google.com/spreadsheets/d/1eHaY18a8A9IcSdp1K8H6x8fbOy06t2VsZHhMHf-1x7Y/edit?usp=sharing"",""แผน!IQ60"")"),4)</f>
        <v>4</v>
      </c>
      <c r="J679" s="295">
        <f ca="1">IFERROR(__xludf.DUMMYFUNCTION("IMPORTRANGE(""https://docs.google.com/spreadsheets/d/1tdoBKaGub7dwA3U6UFTqxio9LNnvDCQjHKmttSEBsFQ/edit?usp=sharing"",""จัดที่ดิน!BK60"")"),0)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IFERROR(__xludf.DUMMYFUNCTION("IMPORTRANGE(""https://docs.google.com/spreadsheets/d/1tdoBKaGub7dwA3U6UFTqxio9LNnvDCQjHKmttSEBsFQ/edit?usp=sharing"",""จัดที่ดิน!BL60"")"),0)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IFERROR(__xludf.DUMMYFUNCTION("IMPORTRANGE(""https://docs.google.com/spreadsheets/d/1eHaY18a8A9IcSdp1K8H6x8fbOy06t2VsZHhMHf-1x7Y/edit?usp=sharing"",""แผน!IR60"")"),50)</f>
        <v>50</v>
      </c>
      <c r="J681" s="295">
        <f ca="1">IFERROR(__xludf.DUMMYFUNCTION("IMPORTRANGE(""https://docs.google.com/spreadsheets/d/1tdoBKaGub7dwA3U6UFTqxio9LNnvDCQjHKmttSEBsFQ/edit?usp=sharing"",""จัดที่ดิน!BM60"")"),0)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IFERROR(__xludf.DUMMYFUNCTION("IMPORTRANGE(""https://docs.google.com/spreadsheets/d/1eHaY18a8A9IcSdp1K8H6x8fbOy06t2VsZHhMHf-1x7Y/edit?usp=sharing"",""แผน!IS60"")"),0)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hidden="1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hidden="1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IFERROR(__xludf.DUMMYFUNCTION("IMPORTRANGE(""https://docs.google.com/spreadsheets/d/1ItG2mGa2ceCfYo0BwxsXqNm01IGEUdYcSSLTEv9YCik/edit?usp=sharing"",""เบิกจ่ายกองทุน!L60"")"),0)</f>
        <v>0</v>
      </c>
      <c r="R695" s="77">
        <f ca="1">IFERROR(__xludf.DUMMYFUNCTION("IMPORTRANGE(""https://docs.google.com/spreadsheets/d/1ItG2mGa2ceCfYo0BwxsXqNm01IGEUdYcSSLTEv9YCik/edit?usp=sharing"",""เบิกจ่ายกองทุน!M60"")"),0)</f>
        <v>0</v>
      </c>
      <c r="S695" s="77">
        <f ca="1">IFERROR(__xludf.DUMMYFUNCTION("IMPORTRANGE(""https://docs.google.com/spreadsheets/d/1ItG2mGa2ceCfYo0BwxsXqNm01IGEUdYcSSLTEv9YCik/edit?usp=sharing"",""เบิกจ่ายกองทุน!N60"")"),0)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IFERROR(__xludf.DUMMYFUNCTION("IMPORTRANGE(""https://docs.google.com/spreadsheets/d/1eHaY18a8A9IcSdp1K8H6x8fbOy06t2VsZHhMHf-1x7Y/edit?usp=sharing"",""แผน!LC60"")"),0)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0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IFERROR(__xludf.DUMMYFUNCTION("IMPORTRANGE(""https://docs.google.com/spreadsheets/d/1eHaY18a8A9IcSdp1K8H6x8fbOy06t2VsZHhMHf-1x7Y/edit?usp=sharing"",""แผน!LJ60"")"),0)</f>
        <v>0</v>
      </c>
      <c r="J703" s="295">
        <f ca="1">IFERROR(__xludf.DUMMYFUNCTION("IMPORTRANGE(""https://docs.google.com/spreadsheets/d/1tdoBKaGub7dwA3U6UFTqxio9LNnvDCQjHKmttSEBsFQ/edit?usp=sharing"",""จัดที่ดิน!AP60"")"),0)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IFERROR(__xludf.DUMMYFUNCTION("IMPORTRANGE(""https://docs.google.com/spreadsheets/d/1tdoBKaGub7dwA3U6UFTqxio9LNnvDCQjHKmttSEBsFQ/edit?usp=sharing"",""จัดที่ดิน!AQ60"")"),0)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IFERROR(__xludf.DUMMYFUNCTION("IMPORTRANGE(""https://docs.google.com/spreadsheets/d/1eHaY18a8A9IcSdp1K8H6x8fbOy06t2VsZHhMHf-1x7Y/edit?usp=sharing"",""แผน!LK60"")"),0)</f>
        <v>0</v>
      </c>
      <c r="J705" s="295">
        <f ca="1">IFERROR(__xludf.DUMMYFUNCTION("IMPORTRANGE(""https://docs.google.com/spreadsheets/d/1tdoBKaGub7dwA3U6UFTqxio9LNnvDCQjHKmttSEBsFQ/edit?usp=sharing"",""จัดที่ดิน!AR60"")"),0)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IFERROR(__xludf.DUMMYFUNCTION("IMPORTRANGE(""https://docs.google.com/spreadsheets/d/1tdoBKaGub7dwA3U6UFTqxio9LNnvDCQjHKmttSEBsFQ/edit?usp=sharing"",""จัดที่ดิน!AS60"")"),0)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IFERROR(__xludf.DUMMYFUNCTION("IMPORTRANGE(""https://docs.google.com/spreadsheets/d/1eHaY18a8A9IcSdp1K8H6x8fbOy06t2VsZHhMHf-1x7Y/edit?usp=sharing"",""แผน!LJ60"")"),0)</f>
        <v>0</v>
      </c>
      <c r="J707" s="295">
        <f ca="1">IFERROR(__xludf.DUMMYFUNCTION("IMPORTRANGE(""https://docs.google.com/spreadsheets/d/1tdoBKaGub7dwA3U6UFTqxio9LNnvDCQjHKmttSEBsFQ/edit?usp=sharing"",""จัดที่ดิน!BN60"")"),0)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IFERROR(__xludf.DUMMYFUNCTION("IMPORTRANGE(""https://docs.google.com/spreadsheets/d/1tdoBKaGub7dwA3U6UFTqxio9LNnvDCQjHKmttSEBsFQ/edit?usp=sharing"",""จัดที่ดิน!BO60"")"),0)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IFERROR(__xludf.DUMMYFUNCTION("IMPORTRANGE(""https://docs.google.com/spreadsheets/d/1eHaY18a8A9IcSdp1K8H6x8fbOy06t2VsZHhMHf-1x7Y/edit?usp=sharing"",""แผน!LK60"")"),0)</f>
        <v>0</v>
      </c>
      <c r="J709" s="295">
        <f ca="1">IFERROR(__xludf.DUMMYFUNCTION("IMPORTRANGE(""https://docs.google.com/spreadsheets/d/1tdoBKaGub7dwA3U6UFTqxio9LNnvDCQjHKmttSEBsFQ/edit?usp=sharing"",""จัดที่ดิน!BP60"")"),0)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IFERROR(__xludf.DUMMYFUNCTION("IMPORTRANGE(""https://docs.google.com/spreadsheets/d/1tdoBKaGub7dwA3U6UFTqxio9LNnvDCQjHKmttSEBsFQ/edit?usp=sharing"",""จัดที่ดิน!BQ60"")"),0)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IFERROR(__xludf.DUMMYFUNCTION("IMPORTRANGE(""https://docs.google.com/spreadsheets/d/1eHaY18a8A9IcSdp1K8H6x8fbOy06t2VsZHhMHf-1x7Y/edit?usp=sharing"",""แผน!FZ60"")"),0)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IFERROR(__xludf.DUMMYFUNCTION("IMPORTRANGE(""https://docs.google.com/spreadsheets/d/1eHaY18a8A9IcSdp1K8H6x8fbOy06t2VsZHhMHf-1x7Y/edit?usp=sharing"",""แผน!GA60"")"),0)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IFERROR(__xludf.DUMMYFUNCTION("IMPORTRANGE(""https://docs.google.com/spreadsheets/d/1ItG2mGa2ceCfYo0BwxsXqNm01IGEUdYcSSLTEv9YCik/edit?usp=sharing"",""เบิกจ่ายกองทุน!O60"")"),0)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IFERROR(__xludf.DUMMYFUNCTION("IMPORTRANGE(""https://docs.google.com/spreadsheets/d/1ItG2mGa2ceCfYo0BwxsXqNm01IGEUdYcSSLTEv9YCik/edit?usp=sharing"",""เบิกจ่ายกองทุน!P60"")"),0)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IFERROR(__xludf.DUMMYFUNCTION("IMPORTRANGE(""https://docs.google.com/spreadsheets/d/1ItG2mGa2ceCfYo0BwxsXqNm01IGEUdYcSSLTEv9YCik/edit?usp=sharing"",""เบิกจ่ายกองทุน!Q60"")"),0)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IFERROR(__xludf.DUMMYFUNCTION("IMPORTRANGE(""https://docs.google.com/spreadsheets/d/1eHaY18a8A9IcSdp1K8H6x8fbOy06t2VsZHhMHf-1x7Y/edit?usp=sharing"",""แผน!GB60"")"),0)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IFERROR(__xludf.DUMMYFUNCTION("IMPORTRANGE(""https://docs.google.com/spreadsheets/d/1eHaY18a8A9IcSdp1K8H6x8fbOy06t2VsZHhMHf-1x7Y/edit?usp=sharing"",""แผน!GC60"")"),0)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IFERROR(__xludf.DUMMYFUNCTION("IMPORTRANGE(""https://docs.google.com/spreadsheets/d/1eHaY18a8A9IcSdp1K8H6x8fbOy06t2VsZHhMHf-1x7Y/edit?usp=sharing"",""แผน!GD60"")"),0)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IFERROR(__xludf.DUMMYFUNCTION("IMPORTRANGE(""https://docs.google.com/spreadsheets/d/1eHaY18a8A9IcSdp1K8H6x8fbOy06t2VsZHhMHf-1x7Y/edit?usp=sharing"",""แผน!GE60"")"),0)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IFERROR(__xludf.DUMMYFUNCTION("IMPORTRANGE(""https://docs.google.com/spreadsheets/d/1eHaY18a8A9IcSdp1K8H6x8fbOy06t2VsZHhMHf-1x7Y/edit?usp=sharing"",""แผน!GF60"")"),0)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IFERROR(__xludf.DUMMYFUNCTION("IMPORTRANGE(""https://docs.google.com/spreadsheets/d/1eHaY18a8A9IcSdp1K8H6x8fbOy06t2VsZHhMHf-1x7Y/edit?usp=sharing"",""แผน!GC60"")"),0)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IFERROR(__xludf.DUMMYFUNCTION("IMPORTRANGE(""https://docs.google.com/spreadsheets/d/1eHaY18a8A9IcSdp1K8H6x8fbOy06t2VsZHhMHf-1x7Y/edit?usp=sharing"",""แผน!GE60"")"),0)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IFERROR(__xludf.DUMMYFUNCTION("IMPORTRANGE(""https://docs.google.com/spreadsheets/d/1ItG2mGa2ceCfYo0BwxsXqNm01IGEUdYcSSLTEv9YCik/edit?usp=sharing"",""เบิกจ่ายกองทุน!U60"")"),0)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IFERROR(__xludf.DUMMYFUNCTION("IMPORTRANGE(""https://docs.google.com/spreadsheets/d/1ItG2mGa2ceCfYo0BwxsXqNm01IGEUdYcSSLTEv9YCik/edit?usp=sharing"",""เบิกจ่ายกองทุน!V60"")"),0)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IFERROR(__xludf.DUMMYFUNCTION("IMPORTRANGE(""https://docs.google.com/spreadsheets/d/1ItG2mGa2ceCfYo0BwxsXqNm01IGEUdYcSSLTEv9YCik/edit?usp=sharing"",""เบิกจ่ายกองทุน!W60"")"),0)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IFERROR(__xludf.DUMMYFUNCTION("IMPORTRANGE(""https://docs.google.com/spreadsheets/d/1eHaY18a8A9IcSdp1K8H6x8fbOy06t2VsZHhMHf-1x7Y/edit?usp=sharing"",""แผน!FI60"")"),0)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IFERROR(__xludf.DUMMYFUNCTION("IMPORTRANGE(""https://docs.google.com/spreadsheets/d/1eHaY18a8A9IcSdp1K8H6x8fbOy06t2VsZHhMHf-1x7Y/edit?usp=sharing"",""แผน!FQ60"")"),0)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IFERROR(__xludf.DUMMYFUNCTION("IMPORTRANGE(""https://docs.google.com/spreadsheets/d/1eHaY18a8A9IcSdp1K8H6x8fbOy06t2VsZHhMHf-1x7Y/edit?usp=sharing"",""แผน!FR60"")"),0)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IFERROR(__xludf.DUMMYFUNCTION("IMPORTRANGE(""https://docs.google.com/spreadsheets/d/1eHaY18a8A9IcSdp1K8H6x8fbOy06t2VsZHhMHf-1x7Y/edit?usp=sharing"",""แผน!FS60"")"),0)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IFERROR(__xludf.DUMMYFUNCTION("IMPORTRANGE(""https://docs.google.com/spreadsheets/d/1eHaY18a8A9IcSdp1K8H6x8fbOy06t2VsZHhMHf-1x7Y/edit?usp=sharing"",""แผน!FT60"")"),0)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IFERROR(__xludf.DUMMYFUNCTION("IMPORTRANGE(""https://docs.google.com/spreadsheets/d/10OvvATaaLtwErnr3qtWFcTmtbfpFEt5Bsqel9sXx0uE/edit?usp=sharing"",""งานกองทุน!D60"")"),2350000)</f>
        <v>2350000</v>
      </c>
      <c r="J778" s="295">
        <f ca="1">IFERROR(__xludf.DUMMYFUNCTION("IMPORTRANGE(""https://docs.google.com/spreadsheets/d/10OvvATaaLtwErnr3qtWFcTmtbfpFEt5Bsqel9sXx0uE/edit?usp=sharing"",""งานกองทุน!F60"")"),150000)</f>
        <v>150000</v>
      </c>
      <c r="K778" s="77">
        <f ca="1">IF(I778&gt;0,J778*100/I778,0)</f>
        <v>6.3829787234042552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IFERROR(__xludf.DUMMYFUNCTION("IMPORTRANGE(""https://docs.google.com/spreadsheets/d/10OvvATaaLtwErnr3qtWFcTmtbfpFEt5Bsqel9sXx0uE/edit?usp=sharing"",""งานกองทุน!C60"")"),49)</f>
        <v>49</v>
      </c>
      <c r="J779" s="295">
        <f ca="1">IFERROR(__xludf.DUMMYFUNCTION("IMPORTRANGE(""https://docs.google.com/spreadsheets/d/10OvvATaaLtwErnr3qtWFcTmtbfpFEt5Bsqel9sXx0uE/edit?usp=sharing"",""งานกองทุน!E60"")"),3)</f>
        <v>3</v>
      </c>
      <c r="K779" s="77">
        <f ca="1">IF(I779&gt;0,J779*100/I779,0)</f>
        <v>6.1224489795918364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IFERROR(__xludf.DUMMYFUNCTION("IMPORTRANGE(""https://docs.google.com/spreadsheets/d/10OvvATaaLtwErnr3qtWFcTmtbfpFEt5Bsqel9sXx0uE/edit?usp=sharing"",""งานกองทุน!I60"")"),350516.37)</f>
        <v>350516.37</v>
      </c>
      <c r="J780" s="295">
        <f ca="1">IFERROR(__xludf.DUMMYFUNCTION("IMPORTRANGE(""https://docs.google.com/spreadsheets/d/10OvvATaaLtwErnr3qtWFcTmtbfpFEt5Bsqel9sXx0uE/edit?usp=sharing"",""งานกองทุน!K60"")"),164776.28)</f>
        <v>164776.28</v>
      </c>
      <c r="K780" s="77">
        <f ca="1">IF(I780&gt;0,J780*100/I780,0)</f>
        <v>47.009581891995516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IFERROR(__xludf.DUMMYFUNCTION("IMPORTRANGE(""https://docs.google.com/spreadsheets/d/10OvvATaaLtwErnr3qtWFcTmtbfpFEt5Bsqel9sXx0uE/edit?usp=sharing"",""งานกองทุน!H60"")"),16)</f>
        <v>16</v>
      </c>
      <c r="J781" s="295">
        <f ca="1">IFERROR(__xludf.DUMMYFUNCTION("IMPORTRANGE(""https://docs.google.com/spreadsheets/d/10OvvATaaLtwErnr3qtWFcTmtbfpFEt5Bsqel9sXx0uE/edit?usp=sharing"",""งานกองทุน!J60"")"),16)</f>
        <v>16</v>
      </c>
      <c r="K781" s="77">
        <f ca="1">IF(I781&gt;0,J781*100/I781,0)</f>
        <v>100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IFERROR(__xludf.DUMMYFUNCTION("IMPORTRANGE(""https://docs.google.com/spreadsheets/d/10OvvATaaLtwErnr3qtWFcTmtbfpFEt5Bsqel9sXx0uE/edit?usp=sharing"",""งานกองทุน!N60"")"),420430.64)</f>
        <v>420430.64</v>
      </c>
      <c r="J782" s="295">
        <f ca="1">IFERROR(__xludf.DUMMYFUNCTION("IMPORTRANGE(""https://docs.google.com/spreadsheets/d/10OvvATaaLtwErnr3qtWFcTmtbfpFEt5Bsqel9sXx0uE/edit?usp=sharing"",""งานกองทุน!P60"")"),188527.12)</f>
        <v>188527.12</v>
      </c>
      <c r="K782" s="77">
        <f ca="1">IF(I782&gt;0,J782*100/I782,0)</f>
        <v>44.841432108754013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IFERROR(__xludf.DUMMYFUNCTION("IMPORTRANGE(""https://docs.google.com/spreadsheets/d/10OvvATaaLtwErnr3qtWFcTmtbfpFEt5Bsqel9sXx0uE/edit?usp=sharing"",""งานกองทุน!M60"")"),255)</f>
        <v>255</v>
      </c>
      <c r="J783" s="295">
        <f ca="1">IFERROR(__xludf.DUMMYFUNCTION("IMPORTRANGE(""https://docs.google.com/spreadsheets/d/10OvvATaaLtwErnr3qtWFcTmtbfpFEt5Bsqel9sXx0uE/edit?usp=sharing"",""งานกองทุน!O60"")"),194)</f>
        <v>194</v>
      </c>
      <c r="K783" s="77">
        <f ca="1">IF(I783&gt;0,J783*100/I783,0)</f>
        <v>76.078431372549019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IFERROR(__xludf.DUMMYFUNCTION("IMPORTRANGE(""https://docs.google.com/spreadsheets/d/10OvvATaaLtwErnr3qtWFcTmtbfpFEt5Bsqel9sXx0uE/edit?usp=sharing"",""งานกองทุน!S60"")"),2492000)</f>
        <v>2492000</v>
      </c>
      <c r="J784" s="295">
        <f ca="1">IFERROR(__xludf.DUMMYFUNCTION("IMPORTRANGE(""https://docs.google.com/spreadsheets/d/10OvvATaaLtwErnr3qtWFcTmtbfpFEt5Bsqel9sXx0uE/edit?usp=sharing"",""งานกองทุน!U60"")"),550000)</f>
        <v>550000</v>
      </c>
      <c r="K784" s="77">
        <f ca="1">IF(I784&gt;0,J784*100/I784,0)</f>
        <v>22.070626003210272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IFERROR(__xludf.DUMMYFUNCTION("IMPORTRANGE(""https://docs.google.com/spreadsheets/d/10OvvATaaLtwErnr3qtWFcTmtbfpFEt5Bsqel9sXx0uE/edit?usp=sharing"",""งานกองทุน!R60"")"),89)</f>
        <v>89</v>
      </c>
      <c r="J785" s="773">
        <f ca="1">IFERROR(__xludf.DUMMYFUNCTION("IMPORTRANGE(""https://docs.google.com/spreadsheets/d/10OvvATaaLtwErnr3qtWFcTmtbfpFEt5Bsqel9sXx0uE/edit?usp=sharing"",""งานกองทุน!T60"")"),15)</f>
        <v>15</v>
      </c>
      <c r="K785" s="185">
        <f ca="1">IF(I785&gt;0,J785*100/I785,0)</f>
        <v>16.853932584269664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8F22-CE97-440F-B067-2ECEE381FC08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  <col min="17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346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315" t="s">
        <v>4</v>
      </c>
      <c r="B5" s="791"/>
      <c r="C5" s="791"/>
      <c r="D5" s="791"/>
      <c r="E5" s="791"/>
      <c r="F5" s="791"/>
      <c r="G5" s="1253"/>
      <c r="H5" s="1314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1622880</v>
      </c>
      <c r="M18" s="62">
        <f ca="1">M19+M20</f>
        <v>1716543.87</v>
      </c>
      <c r="N18" s="62">
        <f ca="1">N19+N20</f>
        <v>1445513.9199999997</v>
      </c>
      <c r="O18" s="62">
        <f ca="1">IF(L18&gt;0,N18*100/L18,0)</f>
        <v>89.070906043576827</v>
      </c>
      <c r="P18" s="62">
        <f ca="1">IF(M18&gt;0,N18*100/M18,0)</f>
        <v>84.210718133291849</v>
      </c>
      <c r="Q18" s="62">
        <f ca="1">Q19+Q20</f>
        <v>802007.39</v>
      </c>
      <c r="R18" s="62">
        <f ca="1">R19+R20</f>
        <v>808007</v>
      </c>
      <c r="S18" s="62">
        <f ca="1">S19+S20</f>
        <v>186933.34</v>
      </c>
      <c r="T18" s="62">
        <f ca="1">IF(Q18&gt;0,S18*100/Q18,0)</f>
        <v>23.308181736330383</v>
      </c>
      <c r="U18" s="62">
        <f ca="1">IF(R18&gt;0,S18*100/R18,0)</f>
        <v>23.135113928468442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1622880</v>
      </c>
      <c r="M20" s="68">
        <f ca="1">M23+M26</f>
        <v>1716543.87</v>
      </c>
      <c r="N20" s="68">
        <f ca="1">N23+N26</f>
        <v>1445513.9199999997</v>
      </c>
      <c r="O20" s="68">
        <f ca="1">IF(L20&gt;0,N20*100/L20,0)</f>
        <v>89.070906043576827</v>
      </c>
      <c r="P20" s="68">
        <f ca="1">IF(M20&gt;0,N20*100/M20,0)</f>
        <v>84.210718133291849</v>
      </c>
      <c r="Q20" s="68">
        <f ca="1">Q23+Q26</f>
        <v>802007.39</v>
      </c>
      <c r="R20" s="68">
        <f ca="1">R23+R26</f>
        <v>808007</v>
      </c>
      <c r="S20" s="68">
        <f ca="1">S23+S26</f>
        <v>186933.34</v>
      </c>
      <c r="T20" s="68">
        <f ca="1">IF(Q20&gt;0,S20*100/Q20,0)</f>
        <v>23.308181736330383</v>
      </c>
      <c r="U20" s="68">
        <f ca="1">IF(R20&gt;0,S20*100/R20,0)</f>
        <v>23.135113928468442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1622880</v>
      </c>
      <c r="M21" s="77">
        <f ca="1">M22+M23</f>
        <v>1716543.87</v>
      </c>
      <c r="N21" s="77">
        <f ca="1">N22+N23</f>
        <v>1445513.9199999997</v>
      </c>
      <c r="O21" s="77">
        <f ca="1">IF(L21&gt;0,N21*100/L21,0)</f>
        <v>89.070906043576827</v>
      </c>
      <c r="P21" s="77">
        <f ca="1">IF(M21&gt;0,N21*100/M21,0)</f>
        <v>84.210718133291849</v>
      </c>
      <c r="Q21" s="77">
        <f ca="1">Q22+Q23</f>
        <v>802007.39</v>
      </c>
      <c r="R21" s="77">
        <f ca="1">R22+R23</f>
        <v>808007</v>
      </c>
      <c r="S21" s="77">
        <f ca="1">S22+S23</f>
        <v>186933.34</v>
      </c>
      <c r="T21" s="77">
        <f ca="1">IF(Q21&gt;0,S21*100/Q21,0)</f>
        <v>23.308181736330383</v>
      </c>
      <c r="U21" s="77">
        <f ca="1">IF(R21&gt;0,S21*100/R21,0)</f>
        <v>23.135113928468442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1622880</v>
      </c>
      <c r="M23" s="77">
        <f ca="1">M49+M64+M77+M99+M130+M144+M162+M191+M178+M271+M287+M308+M325+M338+M361+M518</f>
        <v>1716543.87</v>
      </c>
      <c r="N23" s="77">
        <f ca="1">N49+N64+N77+N99+N130+N144+N162+N191+N178+N271+N287+N308+N325+N338+N361+N518</f>
        <v>1445513.9199999997</v>
      </c>
      <c r="O23" s="77">
        <f ca="1">IF(L23&gt;0,N23*100/L23,0)</f>
        <v>89.070906043576827</v>
      </c>
      <c r="P23" s="77">
        <f ca="1">IF(M23&gt;0,N23*100/M23,0)</f>
        <v>84.210718133291849</v>
      </c>
      <c r="Q23" s="77">
        <f ca="1">Q77+Q99+Q122+Q144+Q162+Q178+Q191+Q271+Q287+Q308+Q338+Q380+Q397+Q418+Q498+Q604+Q621+Q647+Q695+Q719+Q733+Q765</f>
        <v>802007.39</v>
      </c>
      <c r="R23" s="77">
        <f ca="1">R77+R99+R122+R144+R162+R178+R191+R271+R287+R308+R338+R380+R397+R418+R498+R604+R621+R647+R695+R719+R733+R765</f>
        <v>808007</v>
      </c>
      <c r="S23" s="77">
        <f ca="1">S77+S99+S122+S144+S162+S178+S191+S271+S287+S308+S338+S380+S397+S418+S498+S604+S621+S647+S695+S719+S733+S765</f>
        <v>186933.34</v>
      </c>
      <c r="T23" s="77">
        <f ca="1">IF(Q23&gt;0,S23*100/Q23,0)</f>
        <v>23.308181736330383</v>
      </c>
      <c r="U23" s="77">
        <f ca="1">IF(R23&gt;0,S23*100/R23,0)</f>
        <v>23.135113928468442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1622880</v>
      </c>
      <c r="M40" s="1308">
        <f ca="1">M44+M59+M72+M94+M125+M139+M157+M173+M186+M266+M282+M303+M320+M333+M356</f>
        <v>1716543.87</v>
      </c>
      <c r="N40" s="1308">
        <f ca="1">N44+N59+N72+N94+N125+N139+N157+N173+N186+N266+N282+N303+N320+N333+N356</f>
        <v>1445513.9199999997</v>
      </c>
      <c r="O40" s="1308">
        <f ca="1">IF(L40&gt;0,N40*100/L40,0)</f>
        <v>89.070906043576827</v>
      </c>
      <c r="P40" s="1308">
        <f ca="1">IF(M40&gt;0,N40*100/M40,0)</f>
        <v>84.210718133291849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307900</v>
      </c>
      <c r="M44" s="1304">
        <f ca="1">M45+M46</f>
        <v>381563.87</v>
      </c>
      <c r="N44" s="1304">
        <f ca="1">N45+N46</f>
        <v>335647.74</v>
      </c>
      <c r="O44" s="1304">
        <f ca="1">IF(L44&gt;0,N44*100/L44,0)</f>
        <v>109.01193244559921</v>
      </c>
      <c r="P44" s="1304">
        <f ca="1">IF(M44&gt;0,N44*100/M44,0)</f>
        <v>87.966331822769277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307900</v>
      </c>
      <c r="M46" s="1300">
        <f ca="1">M49+M52</f>
        <v>381563.87</v>
      </c>
      <c r="N46" s="1300">
        <f ca="1">N49+N52</f>
        <v>335647.74</v>
      </c>
      <c r="O46" s="1300">
        <f ca="1">IF(L46&gt;0,N46*100/L46,0)</f>
        <v>109.01193244559921</v>
      </c>
      <c r="P46" s="1300">
        <f ca="1">IF(M46&gt;0,N46*100/M46,0)</f>
        <v>87.966331822769277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307900</v>
      </c>
      <c r="M47" s="77">
        <f ca="1">M48+M49</f>
        <v>381563.87</v>
      </c>
      <c r="N47" s="77">
        <f ca="1">N48+N49</f>
        <v>335647.74</v>
      </c>
      <c r="O47" s="77">
        <f ca="1">IF(L47&gt;0,N47*100/L47,0)</f>
        <v>109.01193244559921</v>
      </c>
      <c r="P47" s="77">
        <f ca="1">IF(M47&gt;0,N47*100/M47,0)</f>
        <v>87.966331822769277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IFERROR(__xludf.DUMMYFUNCTION("IMPORTRANGE(""https://docs.google.com/spreadsheets/d/1-uDff_7J0KD5mKrp0Vvzr7lt3OU09vwQwhkpOPPYv2Y/edit?usp=sharing"",""งบพรบ!P61"")"),307900)</f>
        <v>307900</v>
      </c>
      <c r="M49" s="77">
        <f ca="1">IFERROR(__xludf.DUMMYFUNCTION("IMPORTRANGE(""https://docs.google.com/spreadsheets/d/1-uDff_7J0KD5mKrp0Vvzr7lt3OU09vwQwhkpOPPYv2Y/edit?usp=sharing"",""งบพรบ!V61"")"),381563.87)</f>
        <v>381563.87</v>
      </c>
      <c r="N49" s="77">
        <f ca="1">IFERROR(__xludf.DUMMYFUNCTION("IMPORTRANGE(""https://docs.google.com/spreadsheets/d/1-uDff_7J0KD5mKrp0Vvzr7lt3OU09vwQwhkpOPPYv2Y/edit?usp=sharing"",""งบพรบ!Y61"")"),335647.74)</f>
        <v>335647.74</v>
      </c>
      <c r="O49" s="77">
        <f ca="1">IF(L49&gt;0,N49*100/L49,0)</f>
        <v>109.01193244559921</v>
      </c>
      <c r="P49" s="77">
        <f ca="1">IF(M49&gt;0,N49*100/M49,0)</f>
        <v>87.966331822769277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IFERROR(__xludf.DUMMYFUNCTION("IMPORTRANGE(""https://docs.google.com/spreadsheets/d/1-uDff_7J0KD5mKrp0Vvzr7lt3OU09vwQwhkpOPPYv2Y/edit?usp=sharing"",""งบพรบ!S61"")"),0)</f>
        <v>0</v>
      </c>
      <c r="M52" s="77">
        <f ca="1">IFERROR(__xludf.DUMMYFUNCTION("IMPORTRANGE(""https://docs.google.com/spreadsheets/d/1-uDff_7J0KD5mKrp0Vvzr7lt3OU09vwQwhkpOPPYv2Y/edit?usp=sharing"",""งบพรบ!W61"")"),0)</f>
        <v>0</v>
      </c>
      <c r="N52" s="77">
        <f ca="1">IFERROR(__xludf.DUMMYFUNCTION("IMPORTRANGE(""https://docs.google.com/spreadsheets/d/1-uDff_7J0KD5mKrp0Vvzr7lt3OU09vwQwhkpOPPYv2Y/edit?usp=sharing"",""งบพรบ!Z61"")"),0)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450500</v>
      </c>
      <c r="M59" s="1297">
        <f ca="1">M60+M61</f>
        <v>450500</v>
      </c>
      <c r="N59" s="1297">
        <f ca="1">N60+N61</f>
        <v>420449.72</v>
      </c>
      <c r="O59" s="1297">
        <f ca="1">IF(L59&gt;0,N59*100/L59,0)</f>
        <v>93.329571587125415</v>
      </c>
      <c r="P59" s="1297">
        <f ca="1">IF(M59&gt;0,N59*100/M59,0)</f>
        <v>93.329571587125415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450500</v>
      </c>
      <c r="M61" s="1293">
        <f ca="1">M64+M67</f>
        <v>450500</v>
      </c>
      <c r="N61" s="1293">
        <f ca="1">N64+N67</f>
        <v>420449.72</v>
      </c>
      <c r="O61" s="1293">
        <f ca="1">IF(L61&gt;0,N61*100/L61,0)</f>
        <v>93.329571587125415</v>
      </c>
      <c r="P61" s="1293">
        <f ca="1">IF(M61&gt;0,N61*100/M61,0)</f>
        <v>93.329571587125415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450500</v>
      </c>
      <c r="M62" s="77">
        <f ca="1">M63+M64</f>
        <v>450500</v>
      </c>
      <c r="N62" s="77">
        <f ca="1">N63+N64</f>
        <v>420449.72</v>
      </c>
      <c r="O62" s="77">
        <f ca="1">IF(L62&gt;0,N62*100/L62,0)</f>
        <v>93.329571587125415</v>
      </c>
      <c r="P62" s="77">
        <f ca="1">IF(M62&gt;0,N62*100/M62,0)</f>
        <v>93.329571587125415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IFERROR(__xludf.DUMMYFUNCTION("IMPORTRANGE(""https://docs.google.com/spreadsheets/d/1-uDff_7J0KD5mKrp0Vvzr7lt3OU09vwQwhkpOPPYv2Y/edit?usp=sharing"",""งบพรบ!AC61"")"),450500)</f>
        <v>450500</v>
      </c>
      <c r="M64" s="77">
        <f ca="1">IFERROR(__xludf.DUMMYFUNCTION("IMPORTRANGE(""https://docs.google.com/spreadsheets/d/1-uDff_7J0KD5mKrp0Vvzr7lt3OU09vwQwhkpOPPYv2Y/edit?usp=sharing"",""งบพรบ!AH61"")"),450500)</f>
        <v>450500</v>
      </c>
      <c r="N64" s="77">
        <f ca="1">IFERROR(__xludf.DUMMYFUNCTION("IMPORTRANGE(""https://docs.google.com/spreadsheets/d/1-uDff_7J0KD5mKrp0Vvzr7lt3OU09vwQwhkpOPPYv2Y/edit?usp=sharing"",""งบพรบ!AJ61"")"),420449.72)</f>
        <v>420449.72</v>
      </c>
      <c r="O64" s="77">
        <f ca="1">IF(L64&gt;0,N64*100/L64,0)</f>
        <v>93.329571587125415</v>
      </c>
      <c r="P64" s="77">
        <f ca="1">IF(M64&gt;0,N64*100/M64,0)</f>
        <v>93.329571587125415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IFERROR(__xludf.DUMMYFUNCTION("IMPORTRANGE(""https://docs.google.com/spreadsheets/d/1-uDff_7J0KD5mKrp0Vvzr7lt3OU09vwQwhkpOPPYv2Y/edit?usp=sharing"",""งบพรบ!AF61"")"),0)</f>
        <v>0</v>
      </c>
      <c r="M67" s="185">
        <f ca="1">IFERROR(__xludf.DUMMYFUNCTION("IMPORTRANGE(""https://docs.google.com/spreadsheets/d/1-uDff_7J0KD5mKrp0Vvzr7lt3OU09vwQwhkpOPPYv2Y/edit?usp=sharing"",""งบพรบ!AI61"")"),0)</f>
        <v>0</v>
      </c>
      <c r="N67" s="185">
        <f ca="1">IFERROR(__xludf.DUMMYFUNCTION("IMPORTRANGE(""https://docs.google.com/spreadsheets/d/1-uDff_7J0KD5mKrp0Vvzr7lt3OU09vwQwhkpOPPYv2Y/edit?usp=sharing"",""งบพรบ!AK61"")"),0)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IFERROR(__xludf.DUMMYFUNCTION("IMPORTRANGE(""https://docs.google.com/spreadsheets/d/1-uDff_7J0KD5mKrp0Vvzr7lt3OU09vwQwhkpOPPYv2Y/edit?usp=sharing"",""งบพรบ!AM61"")"),0)</f>
        <v>0</v>
      </c>
      <c r="M77" s="77">
        <f ca="1">IFERROR(__xludf.DUMMYFUNCTION("IMPORTRANGE(""https://docs.google.com/spreadsheets/d/1-uDff_7J0KD5mKrp0Vvzr7lt3OU09vwQwhkpOPPYv2Y/edit?usp=sharing"",""งบพรบ!AR61"")"),0)</f>
        <v>0</v>
      </c>
      <c r="N77" s="77">
        <f ca="1">IFERROR(__xludf.DUMMYFUNCTION("IMPORTRANGE(""https://docs.google.com/spreadsheets/d/1-uDff_7J0KD5mKrp0Vvzr7lt3OU09vwQwhkpOPPYv2Y/edit?usp=sharing"",""งบพรบ!AT61"")"),0)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IFERROR(__xludf.DUMMYFUNCTION("IMPORTRANGE(""https://docs.google.com/spreadsheets/d/1ItG2mGa2ceCfYo0BwxsXqNm01IGEUdYcSSLTEv9YCik/edit?usp=sharing"",""เบิกจ่ายกองทุน!AS61"")"),0)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IFERROR(__xludf.DUMMYFUNCTION("IMPORTRANGE(""https://docs.google.com/spreadsheets/d/1ItG2mGa2ceCfYo0BwxsXqNm01IGEUdYcSSLTEv9YCik/edit?usp=sharing"",""เบิกจ่ายกองทุน!AT61"")"),0)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IFERROR(__xludf.DUMMYFUNCTION("IMPORTRANGE(""https://docs.google.com/spreadsheets/d/1ItG2mGa2ceCfYo0BwxsXqNm01IGEUdYcSSLTEv9YCik/edit?usp=sharing"",""เบิกจ่ายกองทุน!AU61"")"),0)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IFERROR(__xludf.DUMMYFUNCTION("IMPORTRANGE(""https://docs.google.com/spreadsheets/d/1-uDff_7J0KD5mKrp0Vvzr7lt3OU09vwQwhkpOPPYv2Y/edit?usp=sharing"",""งบพรบ!AP61"")"),0)</f>
        <v>0</v>
      </c>
      <c r="M80" s="77">
        <f ca="1">IFERROR(__xludf.DUMMYFUNCTION("IMPORTRANGE(""https://docs.google.com/spreadsheets/d/1-uDff_7J0KD5mKrp0Vvzr7lt3OU09vwQwhkpOPPYv2Y/edit?usp=sharing"",""งบพรบ!AS61"")"),0)</f>
        <v>0</v>
      </c>
      <c r="N80" s="77">
        <f ca="1">IFERROR(__xludf.DUMMYFUNCTION("IMPORTRANGE(""https://docs.google.com/spreadsheets/d/1-uDff_7J0KD5mKrp0Vvzr7lt3OU09vwQwhkpOPPYv2Y/edit?usp=sharing"",""งบพรบ!AU61"")"),0)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IFERROR(__xludf.DUMMYFUNCTION("IMPORTRANGE(""https://docs.google.com/spreadsheets/d/1eHaY18a8A9IcSdp1K8H6x8fbOy06t2VsZHhMHf-1x7Y/edit?usp=sharing"",""แผน!H61"")"),0)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IFERROR(__xludf.DUMMYFUNCTION("IMPORTRANGE(""https://docs.google.com/spreadsheets/d/1eHaY18a8A9IcSdp1K8H6x8fbOy06t2VsZHhMHf-1x7Y/edit?usp=sharing"",""แผน!I61"")"),0)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IFERROR(__xludf.DUMMYFUNCTION("IMPORTRANGE(""https://docs.google.com/spreadsheets/d/1eHaY18a8A9IcSdp1K8H6x8fbOy06t2VsZHhMHf-1x7Y/edit?usp=sharing"",""แผน!F61"")"),0)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IFERROR(__xludf.DUMMYFUNCTION("IMPORTRANGE(""https://docs.google.com/spreadsheets/d/1eHaY18a8A9IcSdp1K8H6x8fbOy06t2VsZHhMHf-1x7Y/edit?usp=sharing"",""แผน!G61"")"),0)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IFERROR(__xludf.DUMMYFUNCTION("IMPORTRANGE(""https://docs.google.com/spreadsheets/d/1eHaY18a8A9IcSdp1K8H6x8fbOy06t2VsZHhMHf-1x7Y/edit?usp=sharing"",""แผน!D61"")"),0)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IFERROR(__xludf.DUMMYFUNCTION("IMPORTRANGE(""https://docs.google.com/spreadsheets/d/1eHaY18a8A9IcSdp1K8H6x8fbOy06t2VsZHhMHf-1x7Y/edit?usp=sharing"",""แผน!E61"")"),0)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IFERROR(__xludf.DUMMYFUNCTION("IMPORTRANGE(""https://docs.google.com/spreadsheets/d/1eHaY18a8A9IcSdp1K8H6x8fbOy06t2VsZHhMHf-1x7Y/edit?usp=sharing"",""แผน!J61"")"),0)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101304</v>
      </c>
      <c r="R94" s="266">
        <f ca="1">R95+R96</f>
        <v>101304</v>
      </c>
      <c r="S94" s="266">
        <f ca="1">S95+S96</f>
        <v>34705</v>
      </c>
      <c r="T94" s="266">
        <f ca="1">IF(Q94&gt;0,S94*100/Q94,0)</f>
        <v>34.258272131406457</v>
      </c>
      <c r="U94" s="266">
        <f ca="1">IF(R94&gt;0,S94*100/R94,0)</f>
        <v>34.258272131406457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101304</v>
      </c>
      <c r="R96" s="77">
        <f ca="1">R99+R102</f>
        <v>101304</v>
      </c>
      <c r="S96" s="77">
        <f ca="1">S99+S102</f>
        <v>34705</v>
      </c>
      <c r="T96" s="77">
        <f ca="1">IF(Q96&gt;0,S96*100/Q96,0)</f>
        <v>34.258272131406457</v>
      </c>
      <c r="U96" s="77">
        <f ca="1">IF(R96&gt;0,S96*100/R96,0)</f>
        <v>34.258272131406457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101304</v>
      </c>
      <c r="R97" s="77">
        <f ca="1">R98+R99</f>
        <v>101304</v>
      </c>
      <c r="S97" s="77">
        <f ca="1">S98+S99</f>
        <v>34705</v>
      </c>
      <c r="T97" s="77">
        <f ca="1">IF(Q97&gt;0,S97*100/Q97,0)</f>
        <v>34.258272131406457</v>
      </c>
      <c r="U97" s="77">
        <f ca="1">IF(R97&gt;0,S97*100/R97,0)</f>
        <v>34.258272131406457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IFERROR(__xludf.DUMMYFUNCTION("IMPORTRANGE(""https://docs.google.com/spreadsheets/d/1-uDff_7J0KD5mKrp0Vvzr7lt3OU09vwQwhkpOPPYv2Y/edit?usp=sharing"",""งบพรบ!AW61"")"),0)</f>
        <v>0</v>
      </c>
      <c r="M99" s="77">
        <f ca="1">IFERROR(__xludf.DUMMYFUNCTION("IMPORTRANGE(""https://docs.google.com/spreadsheets/d/1-uDff_7J0KD5mKrp0Vvzr7lt3OU09vwQwhkpOPPYv2Y/edit?usp=sharing"",""งบพรบ!BB61"")"),0)</f>
        <v>0</v>
      </c>
      <c r="N99" s="77">
        <f ca="1">IFERROR(__xludf.DUMMYFUNCTION("IMPORTRANGE(""https://docs.google.com/spreadsheets/d/1-uDff_7J0KD5mKrp0Vvzr7lt3OU09vwQwhkpOPPYv2Y/edit?usp=sharing"",""งบพรบ!BD61"")"),0)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IFERROR(__xludf.DUMMYFUNCTION("IMPORTRANGE(""https://docs.google.com/spreadsheets/d/1ItG2mGa2ceCfYo0BwxsXqNm01IGEUdYcSSLTEv9YCik/edit?usp=sharing"",""เบิกจ่ายกองทุน!AD61"")"),101304)</f>
        <v>101304</v>
      </c>
      <c r="R99" s="77">
        <f ca="1">IFERROR(__xludf.DUMMYFUNCTION("IMPORTRANGE(""https://docs.google.com/spreadsheets/d/1ItG2mGa2ceCfYo0BwxsXqNm01IGEUdYcSSLTEv9YCik/edit?usp=sharing"",""เบิกจ่ายกองทุน!AE61"")"),101304)</f>
        <v>101304</v>
      </c>
      <c r="S99" s="77">
        <f ca="1">IFERROR(__xludf.DUMMYFUNCTION("IMPORTRANGE(""https://docs.google.com/spreadsheets/d/1ItG2mGa2ceCfYo0BwxsXqNm01IGEUdYcSSLTEv9YCik/edit?usp=sharing"",""เบิกจ่ายกองทุน!AF61"")"),34705)</f>
        <v>34705</v>
      </c>
      <c r="T99" s="77">
        <f ca="1">IF(Q99&gt;0,S99*100/Q99,0)</f>
        <v>34.258272131406457</v>
      </c>
      <c r="U99" s="77">
        <f ca="1">IF(R99&gt;0,S99*100/R99,0)</f>
        <v>34.258272131406457</v>
      </c>
    </row>
    <row r="100" spans="1:21" ht="18.75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IFERROR(__xludf.DUMMYFUNCTION("IMPORTRANGE(""https://docs.google.com/spreadsheets/d/1-uDff_7J0KD5mKrp0Vvzr7lt3OU09vwQwhkpOPPYv2Y/edit?usp=sharing"",""งบพรบ!AZ61"")"),0)</f>
        <v>0</v>
      </c>
      <c r="M102" s="77">
        <f ca="1">IFERROR(__xludf.DUMMYFUNCTION("IMPORTRANGE(""https://docs.google.com/spreadsheets/d/1-uDff_7J0KD5mKrp0Vvzr7lt3OU09vwQwhkpOPPYv2Y/edit?usp=sharing"",""งบพรบ!BC61"")"),0)</f>
        <v>0</v>
      </c>
      <c r="N102" s="77">
        <f ca="1">IFERROR(__xludf.DUMMYFUNCTION("IMPORTRANGE(""https://docs.google.com/spreadsheets/d/1-uDff_7J0KD5mKrp0Vvzr7lt3OU09vwQwhkpOPPYv2Y/edit?usp=sharing"",""งบพรบ!BE61"")"),0)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IFERROR(__xludf.DUMMYFUNCTION("IMPORTRANGE(""https://docs.google.com/spreadsheets/d/1eHaY18a8A9IcSdp1K8H6x8fbOy06t2VsZHhMHf-1x7Y/edit?usp=sharing"",""แผน!N61"")"),36)</f>
        <v>36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IFERROR(__xludf.DUMMYFUNCTION("IMPORTRANGE(""https://docs.google.com/spreadsheets/d/1eHaY18a8A9IcSdp1K8H6x8fbOy06t2VsZHhMHf-1x7Y/edit?usp=sharing"",""แผน!O61"")"),12)</f>
        <v>12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766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IFERROR(__xludf.DUMMYFUNCTION("IMPORTRANGE(""https://docs.google.com/spreadsheets/d/1eHaY18a8A9IcSdp1K8H6x8fbOy06t2VsZHhMHf-1x7Y/edit?usp=sharing"",""แผน!N61"")"),36)</f>
        <v>36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IFERROR(__xludf.DUMMYFUNCTION("IMPORTRANGE(""https://docs.google.com/spreadsheets/d/1eHaY18a8A9IcSdp1K8H6x8fbOy06t2VsZHhMHf-1x7Y/edit?usp=sharing"",""แผน!O61"")"),12)</f>
        <v>12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10</v>
      </c>
      <c r="J116" s="975">
        <f>J127</f>
        <v>10</v>
      </c>
      <c r="K116" s="97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75108.34</v>
      </c>
      <c r="T117" s="266">
        <f ca="1">IF(Q117&gt;0,S117*100/Q117,0)</f>
        <v>43.250224576759187</v>
      </c>
      <c r="U117" s="266">
        <f ca="1">IF(R117&gt;0,S117*100/R117,0)</f>
        <v>43.250224576759187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75108.34</v>
      </c>
      <c r="T119" s="77">
        <f ca="1">IF(Q119&gt;0,S119*100/Q119,0)</f>
        <v>43.250224576759187</v>
      </c>
      <c r="U119" s="77">
        <f ca="1">IF(R119&gt;0,S119*100/R119,0)</f>
        <v>43.250224576759187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75108.34</v>
      </c>
      <c r="T120" s="77">
        <f ca="1">IF(Q120&gt;0,S120*100/Q120,0)</f>
        <v>43.250224576759187</v>
      </c>
      <c r="U120" s="77">
        <f ca="1">IF(R120&gt;0,S120*100/R120,0)</f>
        <v>43.250224576759187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IFERROR(__xludf.DUMMYFUNCTION("IMPORTRANGE(""https://docs.google.com/spreadsheets/d/1-uDff_7J0KD5mKrp0Vvzr7lt3OU09vwQwhkpOPPYv2Y/edit?usp=sharing"",""งบพรบ!BG61"")"),0)</f>
        <v>0</v>
      </c>
      <c r="M122" s="77">
        <f ca="1">IFERROR(__xludf.DUMMYFUNCTION("IMPORTRANGE(""https://docs.google.com/spreadsheets/d/1-uDff_7J0KD5mKrp0Vvzr7lt3OU09vwQwhkpOPPYv2Y/edit?usp=sharing"",""งบพรบ!BL61"")"),0)</f>
        <v>0</v>
      </c>
      <c r="N122" s="77">
        <f ca="1">IFERROR(__xludf.DUMMYFUNCTION("IMPORTRANGE(""https://docs.google.com/spreadsheets/d/1-uDff_7J0KD5mKrp0Vvzr7lt3OU09vwQwhkpOPPYv2Y/edit?usp=sharing"",""งบพรบ!BN61"")"),0)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IFERROR(__xludf.DUMMYFUNCTION("IMPORTRANGE(""https://docs.google.com/spreadsheets/d/1ItG2mGa2ceCfYo0BwxsXqNm01IGEUdYcSSLTEv9YCik/edit?usp=sharing"",""เบิกจ่ายกองทุน!R61"")"),173660)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IFERROR(__xludf.DUMMYFUNCTION("IMPORTRANGE(""https://docs.google.com/spreadsheets/d/1ItG2mGa2ceCfYo0BwxsXqNm01IGEUdYcSSLTEv9YCik/edit?usp=sharing"",""เบิกจ่ายกองทุน!S61"")"),173660)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IFERROR(__xludf.DUMMYFUNCTION("IMPORTRANGE(""https://docs.google.com/spreadsheets/d/1ItG2mGa2ceCfYo0BwxsXqNm01IGEUdYcSSLTEv9YCik/edit?usp=sharing"",""เบิกจ่ายกองทุน!T61"")"),75108.34)</f>
        <v>75108.34</v>
      </c>
      <c r="T122" s="77">
        <f ca="1">IF(Q122&gt;0,S122*100/Q122,0)</f>
        <v>43.250224576759187</v>
      </c>
      <c r="U122" s="77">
        <f ca="1">IF(R122&gt;0,S122*100/R122,0)</f>
        <v>43.250224576759187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IFERROR(__xludf.DUMMYFUNCTION("IMPORTRANGE(""https://docs.google.com/spreadsheets/d/1-uDff_7J0KD5mKrp0Vvzr7lt3OU09vwQwhkpOPPYv2Y/edit?usp=sharing"",""งบพรบ!BJ61"")"),0)</f>
        <v>0</v>
      </c>
      <c r="M125" s="77">
        <f ca="1">IFERROR(__xludf.DUMMYFUNCTION("IMPORTRANGE(""https://docs.google.com/spreadsheets/d/1-uDff_7J0KD5mKrp0Vvzr7lt3OU09vwQwhkpOPPYv2Y/edit?usp=sharing"",""งบพรบ!BM61"")"),0)</f>
        <v>0</v>
      </c>
      <c r="N125" s="77">
        <f ca="1">IFERROR(__xludf.DUMMYFUNCTION("IMPORTRANGE(""https://docs.google.com/spreadsheets/d/1-uDff_7J0KD5mKrp0Vvzr7lt3OU09vwQwhkpOPPYv2Y/edit?usp=sharing"",""งบพรบ!BO61"")"),0)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IFERROR(__xludf.DUMMYFUNCTION("IMPORTRANGE(""https://docs.google.com/spreadsheets/d/1eHaY18a8A9IcSdp1K8H6x8fbOy06t2VsZHhMHf-1x7Y/edit?usp=sharing"",""แผน!FF61"")"),10)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IFERROR(__xludf.DUMMYFUNCTION("IMPORTRANGE(""https://docs.google.com/spreadsheets/d/1eHaY18a8A9IcSdp1K8H6x8fbOy06t2VsZHhMHf-1x7Y/edit?usp=sharing"",""แผน!FG61"")"),0)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IFERROR(__xludf.DUMMYFUNCTION("IMPORTRANGE(""https://docs.google.com/spreadsheets/d/1eHaY18a8A9IcSdp1K8H6x8fbOy06t2VsZHhMHf-1x7Y/edit?usp=sharing"",""แผน!FH61"")"),10)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IFERROR(__xludf.DUMMYFUNCTION("IMPORTRANGE(""https://docs.google.com/spreadsheets/d/1eHaY18a8A9IcSdp1K8H6x8fbOy06t2VsZHhMHf-1x7Y/edit?usp=sharing"",""แผน!FI61"")"),0)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IFERROR(__xludf.DUMMYFUNCTION("IMPORTRANGE(""https://docs.google.com/spreadsheets/d/1-uDff_7J0KD5mKrp0Vvzr7lt3OU09vwQwhkpOPPYv2Y/edit?usp=sharing"",""งบพรบ!BQ61"")"),0)</f>
        <v>0</v>
      </c>
      <c r="M144" s="77">
        <f ca="1">IFERROR(__xludf.DUMMYFUNCTION("IMPORTRANGE(""https://docs.google.com/spreadsheets/d/1-uDff_7J0KD5mKrp0Vvzr7lt3OU09vwQwhkpOPPYv2Y/edit?usp=sharing"",""งบพรบ!BV61"")"),0)</f>
        <v>0</v>
      </c>
      <c r="N144" s="77">
        <f ca="1">IFERROR(__xludf.DUMMYFUNCTION("IMPORTRANGE(""https://docs.google.com/spreadsheets/d/1-uDff_7J0KD5mKrp0Vvzr7lt3OU09vwQwhkpOPPYv2Y/edit?usp=sharing"",""งบพรบ!BX61"")"),0)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IFERROR(__xludf.DUMMYFUNCTION("IMPORTRANGE(""https://docs.google.com/spreadsheets/d/1ItG2mGa2ceCfYo0BwxsXqNm01IGEUdYcSSLTEv9YCik/edit?usp=sharing"",""เบิกจ่ายกองทุน!BB61"")"),0)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IFERROR(__xludf.DUMMYFUNCTION("IMPORTRANGE(""https://docs.google.com/spreadsheets/d/1ItG2mGa2ceCfYo0BwxsXqNm01IGEUdYcSSLTEv9YCik/edit?usp=sharing"",""เบิกจ่ายกองทุน!BC61"")"),0)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IFERROR(__xludf.DUMMYFUNCTION("IMPORTRANGE(""https://docs.google.com/spreadsheets/d/1ItG2mGa2ceCfYo0BwxsXqNm01IGEUdYcSSLTEv9YCik/edit?usp=sharing"",""เบิกจ่ายกองทุน!BD61"")"),0)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IFERROR(__xludf.DUMMYFUNCTION("IMPORTRANGE(""https://docs.google.com/spreadsheets/d/1-uDff_7J0KD5mKrp0Vvzr7lt3OU09vwQwhkpOPPYv2Y/edit?usp=sharing"",""งบพรบ!BT61"")"),0)</f>
        <v>0</v>
      </c>
      <c r="M147" s="77">
        <f ca="1">IFERROR(__xludf.DUMMYFUNCTION("IMPORTRANGE(""https://docs.google.com/spreadsheets/d/1-uDff_7J0KD5mKrp0Vvzr7lt3OU09vwQwhkpOPPYv2Y/edit?usp=sharing"",""งบพรบ!BW61"")"),0)</f>
        <v>0</v>
      </c>
      <c r="N147" s="77">
        <f ca="1">IFERROR(__xludf.DUMMYFUNCTION("IMPORTRANGE(""https://docs.google.com/spreadsheets/d/1-uDff_7J0KD5mKrp0Vvzr7lt3OU09vwQwhkpOPPYv2Y/edit?usp=sharing"",""งบพรบ!BY61"")"),0)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IFERROR(__xludf.DUMMYFUNCTION("IMPORTRANGE(""https://docs.google.com/spreadsheets/d/1eHaY18a8A9IcSdp1K8H6x8fbOy06t2VsZHhMHf-1x7Y/edit?usp=sharing"",""แผน!U61"")"),0)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IFERROR(__xludf.DUMMYFUNCTION("IMPORTRANGE(""https://docs.google.com/spreadsheets/d/1eHaY18a8A9IcSdp1K8H6x8fbOy06t2VsZHhMHf-1x7Y/edit?usp=sharing"",""แผน!V61"")"),0)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IFERROR(__xludf.DUMMYFUNCTION("IMPORTRANGE(""https://docs.google.com/spreadsheets/d/1eHaY18a8A9IcSdp1K8H6x8fbOy06t2VsZHhMHf-1x7Y/edit?usp=sharing"",""แผน!W61"")"),0)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IFERROR(__xludf.DUMMYFUNCTION("IMPORTRANGE(""https://docs.google.com/spreadsheets/d/1eHaY18a8A9IcSdp1K8H6x8fbOy06t2VsZHhMHf-1x7Y/edit?usp=sharing"",""แผน!X61"")"),0)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IFERROR(__xludf.DUMMYFUNCTION("IMPORTRANGE(""https://docs.google.com/spreadsheets/d/1eHaY18a8A9IcSdp1K8H6x8fbOy06t2VsZHhMHf-1x7Y/edit?usp=sharing"",""แผน!Y61"")"),0)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3840</v>
      </c>
      <c r="N157" s="266">
        <f ca="1">N158+N159</f>
        <v>2718</v>
      </c>
      <c r="O157" s="266">
        <f ca="1">IF(L157&gt;0,N157*100/L157,0)</f>
        <v>0</v>
      </c>
      <c r="P157" s="266">
        <f ca="1">IF(M157&gt;0,N157*100/M157,0)</f>
        <v>70.78125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3840</v>
      </c>
      <c r="N159" s="77">
        <f ca="1">N162+N165</f>
        <v>2718</v>
      </c>
      <c r="O159" s="77">
        <f ca="1">IF(L159&gt;0,N159*100/L159,0)</f>
        <v>0</v>
      </c>
      <c r="P159" s="77">
        <f ca="1">IF(M159&gt;0,N159*100/M159,0)</f>
        <v>70.78125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3840</v>
      </c>
      <c r="N160" s="77">
        <f ca="1">N161+N162</f>
        <v>2718</v>
      </c>
      <c r="O160" s="77">
        <f ca="1">IF(L160&gt;0,N160*100/L160,0)</f>
        <v>0</v>
      </c>
      <c r="P160" s="77">
        <f ca="1">IF(M160&gt;0,N160*100/M160,0)</f>
        <v>70.78125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IFERROR(__xludf.DUMMYFUNCTION("IMPORTRANGE(""https://docs.google.com/spreadsheets/d/1-uDff_7J0KD5mKrp0Vvzr7lt3OU09vwQwhkpOPPYv2Y/edit?usp=sharing"",""งบพรบ!CA61"")"),0)</f>
        <v>0</v>
      </c>
      <c r="M162" s="77">
        <f ca="1">IFERROR(__xludf.DUMMYFUNCTION("IMPORTRANGE(""https://docs.google.com/spreadsheets/d/1-uDff_7J0KD5mKrp0Vvzr7lt3OU09vwQwhkpOPPYv2Y/edit?usp=sharing"",""งบพรบ!CF61"")"),3840)</f>
        <v>3840</v>
      </c>
      <c r="N162" s="77">
        <f ca="1">IFERROR(__xludf.DUMMYFUNCTION("IMPORTRANGE(""https://docs.google.com/spreadsheets/d/1-uDff_7J0KD5mKrp0Vvzr7lt3OU09vwQwhkpOPPYv2Y/edit?usp=sharing"",""งบพรบ!CH61"")"),2718)</f>
        <v>2718</v>
      </c>
      <c r="O162" s="77">
        <f ca="1">IF(L162&gt;0,N162*100/L162,0)</f>
        <v>0</v>
      </c>
      <c r="P162" s="77">
        <f ca="1">IF(M162&gt;0,N162*100/M162,0)</f>
        <v>70.78125</v>
      </c>
      <c r="Q162" s="77">
        <f ca="1">IFERROR(__xludf.DUMMYFUNCTION("IMPORTRANGE(""https://docs.google.com/spreadsheets/d/1ItG2mGa2ceCfYo0BwxsXqNm01IGEUdYcSSLTEv9YCik/edit?usp=sharing"",""เบิกจ่ายกองทุน!AG61"")"),0)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IFERROR(__xludf.DUMMYFUNCTION("IMPORTRANGE(""https://docs.google.com/spreadsheets/d/1ItG2mGa2ceCfYo0BwxsXqNm01IGEUdYcSSLTEv9YCik/edit?usp=sharing"",""เบิกจ่ายกองทุน!AH61"")"),0)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IFERROR(__xludf.DUMMYFUNCTION("IMPORTRANGE(""https://docs.google.com/spreadsheets/d/1ItG2mGa2ceCfYo0BwxsXqNm01IGEUdYcSSLTEv9YCik/edit?usp=sharing"",""เบิกจ่ายกองทุน!AI61"")"),0)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IFERROR(__xludf.DUMMYFUNCTION("IMPORTRANGE(""https://docs.google.com/spreadsheets/d/1-uDff_7J0KD5mKrp0Vvzr7lt3OU09vwQwhkpOPPYv2Y/edit?usp=sharing"",""งบพรบ!CD61"")"),0)</f>
        <v>0</v>
      </c>
      <c r="M165" s="77">
        <f ca="1">IFERROR(__xludf.DUMMYFUNCTION("IMPORTRANGE(""https://docs.google.com/spreadsheets/d/1-uDff_7J0KD5mKrp0Vvzr7lt3OU09vwQwhkpOPPYv2Y/edit?usp=sharing"",""งบพรบ!CG61"")"),0)</f>
        <v>0</v>
      </c>
      <c r="N165" s="77">
        <f ca="1">IFERROR(__xludf.DUMMYFUNCTION("IMPORTRANGE(""https://docs.google.com/spreadsheets/d/1-uDff_7J0KD5mKrp0Vvzr7lt3OU09vwQwhkpOPPYv2Y/edit?usp=sharing"",""งบพรบ!CI61"")"),0)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IFERROR(__xludf.DUMMYFUNCTION("IMPORTRANGE(""https://docs.google.com/spreadsheets/d/1eHaY18a8A9IcSdp1K8H6x8fbOy06t2VsZHhMHf-1x7Y/edit?usp=sharing"",""แผน!Z61"")"),0)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IFERROR(__xludf.DUMMYFUNCTION("IMPORTRANGE(""https://docs.google.com/spreadsheets/d/1eHaY18a8A9IcSdp1K8H6x8fbOy06t2VsZHhMHf-1x7Y/edit?usp=sharing"",""แผน!Z61"")"),0)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IFERROR(__xludf.DUMMYFUNCTION("IMPORTRANGE(""https://docs.google.com/spreadsheets/d/1eHaY18a8A9IcSdp1K8H6x8fbOy06t2VsZHhMHf-1x7Y/edit?usp=sharing"",""แผน!Z61"")"),0)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29230</v>
      </c>
      <c r="N173" s="266">
        <f ca="1">N174+N175</f>
        <v>28842</v>
      </c>
      <c r="O173" s="266">
        <f ca="1">IF(L173&gt;0,N173*100/L173,0)</f>
        <v>147.2281776416539</v>
      </c>
      <c r="P173" s="266">
        <f ca="1">IF(M173&gt;0,N173*100/M173,0)</f>
        <v>98.672596647280187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29230</v>
      </c>
      <c r="N175" s="77">
        <f ca="1">N178+N181</f>
        <v>28842</v>
      </c>
      <c r="O175" s="77">
        <f ca="1">IF(L175&gt;0,N175*100/L175,0)</f>
        <v>147.2281776416539</v>
      </c>
      <c r="P175" s="77">
        <f ca="1">IF(M175&gt;0,N175*100/M175,0)</f>
        <v>98.672596647280187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29230</v>
      </c>
      <c r="N176" s="77">
        <f ca="1">N177+N178</f>
        <v>28842</v>
      </c>
      <c r="O176" s="77">
        <f ca="1">IF(L176&gt;0,N176*100/L176,0)</f>
        <v>147.2281776416539</v>
      </c>
      <c r="P176" s="77">
        <f ca="1">IF(M176&gt;0,N176*100/M176,0)</f>
        <v>98.672596647280187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IFERROR(__xludf.DUMMYFUNCTION("IMPORTRANGE(""https://docs.google.com/spreadsheets/d/1-uDff_7J0KD5mKrp0Vvzr7lt3OU09vwQwhkpOPPYv2Y/edit?usp=sharing"",""งบพรบ!CK61"")"),19590)</f>
        <v>19590</v>
      </c>
      <c r="M178" s="77">
        <f ca="1">IFERROR(__xludf.DUMMYFUNCTION("IMPORTRANGE(""https://docs.google.com/spreadsheets/d/1-uDff_7J0KD5mKrp0Vvzr7lt3OU09vwQwhkpOPPYv2Y/edit?usp=sharing"",""งบพรบ!CP61"")"),29230)</f>
        <v>29230</v>
      </c>
      <c r="N178" s="77">
        <f ca="1">IFERROR(__xludf.DUMMYFUNCTION("IMPORTRANGE(""https://docs.google.com/spreadsheets/d/1-uDff_7J0KD5mKrp0Vvzr7lt3OU09vwQwhkpOPPYv2Y/edit?usp=sharing"",""งบพรบ!CR61"")"),28842)</f>
        <v>28842</v>
      </c>
      <c r="O178" s="77">
        <f ca="1">IF(L178&gt;0,N178*100/L178,0)</f>
        <v>147.2281776416539</v>
      </c>
      <c r="P178" s="77">
        <f ca="1">IF(M178&gt;0,N178*100/M178,0)</f>
        <v>98.672596647280187</v>
      </c>
      <c r="Q178" s="77">
        <f ca="1">IFERROR(__xludf.DUMMYFUNCTION("IMPORTRANGE(""https://docs.google.com/spreadsheets/d/1ItG2mGa2ceCfYo0BwxsXqNm01IGEUdYcSSLTEv9YCik/edit?usp=sharing"",""เบิกจ่ายกองทุน!BE61"")"),0)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IFERROR(__xludf.DUMMYFUNCTION("IMPORTRANGE(""https://docs.google.com/spreadsheets/d/1ItG2mGa2ceCfYo0BwxsXqNm01IGEUdYcSSLTEv9YCik/edit?usp=sharing"",""เบิกจ่ายกองทุน!BF61"")"),0)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IFERROR(__xludf.DUMMYFUNCTION("IMPORTRANGE(""https://docs.google.com/spreadsheets/d/1ItG2mGa2ceCfYo0BwxsXqNm01IGEUdYcSSLTEv9YCik/edit?usp=sharing"",""เบิกจ่ายกองทุน!BG61"")"),0)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IFERROR(__xludf.DUMMYFUNCTION("IMPORTRANGE(""https://docs.google.com/spreadsheets/d/1-uDff_7J0KD5mKrp0Vvzr7lt3OU09vwQwhkpOPPYv2Y/edit?usp=sharing"",""งบพรบ!CN61"")"),0)</f>
        <v>0</v>
      </c>
      <c r="M181" s="77">
        <f ca="1">IFERROR(__xludf.DUMMYFUNCTION("IMPORTRANGE(""https://docs.google.com/spreadsheets/d/1-uDff_7J0KD5mKrp0Vvzr7lt3OU09vwQwhkpOPPYv2Y/edit?usp=sharing"",""งบพรบ!CQ61"")"),0)</f>
        <v>0</v>
      </c>
      <c r="N181" s="77">
        <f ca="1">IFERROR(__xludf.DUMMYFUNCTION("IMPORTRANGE(""https://docs.google.com/spreadsheets/d/1-uDff_7J0KD5mKrp0Vvzr7lt3OU09vwQwhkpOPPYv2Y/edit?usp=sharing"",""งบพรบ!CS61"")"),0)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IFERROR(__xludf.DUMMYFUNCTION("IMPORTRANGE(""https://docs.google.com/spreadsheets/d/1eHaY18a8A9IcSdp1K8H6x8fbOy06t2VsZHhMHf-1x7Y/edit?usp=sharing"",""แผน!AA61"")"),7)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60</v>
      </c>
      <c r="J185" s="1165">
        <f>J230+J231</f>
        <v>60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391600</v>
      </c>
      <c r="M186" s="266">
        <f ca="1">M187+M188</f>
        <v>393120</v>
      </c>
      <c r="N186" s="266">
        <f ca="1">N187+N188</f>
        <v>302343.19</v>
      </c>
      <c r="O186" s="266">
        <f ca="1">IF(L186&gt;0,N186*100/L186,0)</f>
        <v>77.207147599591423</v>
      </c>
      <c r="P186" s="266">
        <f ca="1">IF(M186&gt;0,N186*100/M186,0)</f>
        <v>76.908625864875859</v>
      </c>
      <c r="Q186" s="266">
        <f ca="1">Q187+Q188</f>
        <v>0</v>
      </c>
      <c r="R186" s="266">
        <f ca="1">R187+R188</f>
        <v>6000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391600</v>
      </c>
      <c r="M188" s="77">
        <f ca="1">M191+M194</f>
        <v>393120</v>
      </c>
      <c r="N188" s="77">
        <f ca="1">N191+N194</f>
        <v>302343.19</v>
      </c>
      <c r="O188" s="77">
        <f ca="1">IF(L188&gt;0,N188*100/L188,0)</f>
        <v>77.207147599591423</v>
      </c>
      <c r="P188" s="77">
        <f ca="1">IF(M188&gt;0,N188*100/M188,0)</f>
        <v>76.908625864875859</v>
      </c>
      <c r="Q188" s="77">
        <f ca="1">Q191+Q194</f>
        <v>0</v>
      </c>
      <c r="R188" s="77">
        <f ca="1">R191+R194</f>
        <v>6000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391600</v>
      </c>
      <c r="M189" s="77">
        <f ca="1">M190+M191</f>
        <v>393120</v>
      </c>
      <c r="N189" s="77">
        <f ca="1">N190+N191</f>
        <v>302343.19</v>
      </c>
      <c r="O189" s="77">
        <f ca="1">IF(L189&gt;0,N189*100/L189,0)</f>
        <v>77.207147599591423</v>
      </c>
      <c r="P189" s="77">
        <f ca="1">IF(M189&gt;0,N189*100/M189,0)</f>
        <v>76.908625864875859</v>
      </c>
      <c r="Q189" s="77">
        <f ca="1">Q190+Q191</f>
        <v>0</v>
      </c>
      <c r="R189" s="77">
        <f ca="1">R190+R191</f>
        <v>6000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IFERROR(__xludf.DUMMYFUNCTION("IMPORTRANGE(""https://docs.google.com/spreadsheets/d/1-uDff_7J0KD5mKrp0Vvzr7lt3OU09vwQwhkpOPPYv2Y/edit?usp=sharing"",""งบพรบ!CU61"")"),391600)</f>
        <v>391600</v>
      </c>
      <c r="M191" s="77">
        <f ca="1">IFERROR(__xludf.DUMMYFUNCTION("IMPORTRANGE(""https://docs.google.com/spreadsheets/d/1-uDff_7J0KD5mKrp0Vvzr7lt3OU09vwQwhkpOPPYv2Y/edit?usp=sharing"",""งบพรบ!CZ61"")"),393120)</f>
        <v>393120</v>
      </c>
      <c r="N191" s="77">
        <f ca="1">IFERROR(__xludf.DUMMYFUNCTION("IMPORTRANGE(""https://docs.google.com/spreadsheets/d/1-uDff_7J0KD5mKrp0Vvzr7lt3OU09vwQwhkpOPPYv2Y/edit?usp=sharing"",""งบพรบ!DB61"")"),302343.19)</f>
        <v>302343.19</v>
      </c>
      <c r="O191" s="77">
        <f ca="1">IF(L191&gt;0,N191*100/L191,0)</f>
        <v>77.207147599591423</v>
      </c>
      <c r="P191" s="77">
        <f ca="1">IF(M191&gt;0,N191*100/M191,0)</f>
        <v>76.908625864875859</v>
      </c>
      <c r="Q191" s="77">
        <f ca="1">IFERROR(__xludf.DUMMYFUNCTION("IMPORTRANGE(""https://docs.google.com/spreadsheets/d/1ItG2mGa2ceCfYo0BwxsXqNm01IGEUdYcSSLTEv9YCik/edit?usp=sharing"",""เบิกจ่ายกองทุน!AV61"")"),0)</f>
        <v>0</v>
      </c>
      <c r="R191" s="77">
        <f ca="1">IFERROR(__xludf.DUMMYFUNCTION("IMPORTRANGE(""https://docs.google.com/spreadsheets/d/1ItG2mGa2ceCfYo0BwxsXqNm01IGEUdYcSSLTEv9YCik/edit?usp=sharing"",""เบิกจ่ายกองทุน!AW61"")"),6000)</f>
        <v>6000</v>
      </c>
      <c r="S191" s="77">
        <f ca="1">IFERROR(__xludf.DUMMYFUNCTION("IMPORTRANGE(""https://docs.google.com/spreadsheets/d/1ItG2mGa2ceCfYo0BwxsXqNm01IGEUdYcSSLTEv9YCik/edit?usp=sharing"",""เบิกจ่ายกองทุน!AX61"")"),0)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IFERROR(__xludf.DUMMYFUNCTION("IMPORTRANGE(""https://docs.google.com/spreadsheets/d/1-uDff_7J0KD5mKrp0Vvzr7lt3OU09vwQwhkpOPPYv2Y/edit?usp=sharing"",""งบพรบ!CX61"")"),0)</f>
        <v>0</v>
      </c>
      <c r="M194" s="77">
        <f ca="1">IFERROR(__xludf.DUMMYFUNCTION("IMPORTRANGE(""https://docs.google.com/spreadsheets/d/1-uDff_7J0KD5mKrp0Vvzr7lt3OU09vwQwhkpOPPYv2Y/edit?usp=sharing"",""งบพรบ!DA61"")"),0)</f>
        <v>0</v>
      </c>
      <c r="N194" s="77">
        <f ca="1">IFERROR(__xludf.DUMMYFUNCTION("IMPORTRANGE(""https://docs.google.com/spreadsheets/d/1-uDff_7J0KD5mKrp0Vvzr7lt3OU09vwQwhkpOPPYv2Y/edit?usp=sharing"",""งบพรบ!DC61"")"),0)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IFERROR(__xludf.DUMMYFUNCTION("IMPORTRANGE(""https://docs.google.com/spreadsheets/d/1eHaY18a8A9IcSdp1K8H6x8fbOy06t2VsZHhMHf-1x7Y/edit?usp=sharing"",""แผน!AB61"")"),6000)</f>
        <v>6000</v>
      </c>
      <c r="M196" s="90"/>
      <c r="N196" s="959">
        <v>4815</v>
      </c>
      <c r="O196" s="266">
        <f ca="1">IF(L196&gt;0,N196*100/L196,0)</f>
        <v>80.25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IFERROR(__xludf.DUMMYFUNCTION("IMPORTRANGE(""https://docs.google.com/spreadsheets/d/1eHaY18a8A9IcSdp1K8H6x8fbOy06t2VsZHhMHf-1x7Y/edit?usp=sharing"",""แผน!AE61"")"),4)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45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45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13000</v>
      </c>
      <c r="M203" s="90"/>
      <c r="N203" s="266">
        <f>N204+N205+N206+N207</f>
        <v>13000</v>
      </c>
      <c r="O203" s="266">
        <f ca="1">IF(L203&gt;0,N203*100/L203,0)</f>
        <v>100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IFERROR(__xludf.DUMMYFUNCTION("IMPORTRANGE(""https://docs.google.com/spreadsheets/d/1eHaY18a8A9IcSdp1K8H6x8fbOy06t2VsZHhMHf-1x7Y/edit?usp=sharing"",""แผน!AG61"")"),1000)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IFERROR(__xludf.DUMMYFUNCTION("IMPORTRANGE(""https://docs.google.com/spreadsheets/d/1eHaY18a8A9IcSdp1K8H6x8fbOy06t2VsZHhMHf-1x7Y/edit?usp=sharing"",""แผน!AH61"")"),0)</f>
        <v>0</v>
      </c>
      <c r="M205" s="90"/>
      <c r="N205" s="391">
        <v>415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IFERROR(__xludf.DUMMYFUNCTION("IMPORTRANGE(""https://docs.google.com/spreadsheets/d/1eHaY18a8A9IcSdp1K8H6x8fbOy06t2VsZHhMHf-1x7Y/edit?usp=sharing"",""แผน!AI61"")"),8000)</f>
        <v>8000</v>
      </c>
      <c r="M206" s="90"/>
      <c r="N206" s="391">
        <v>8585</v>
      </c>
      <c r="O206" s="231"/>
      <c r="P206" s="90"/>
      <c r="Q206" s="76">
        <f ca="1">IFERROR(__xludf.DUMMYFUNCTION("IMPORTRANGE(""https://docs.google.com/spreadsheets/d/1eHaY18a8A9IcSdp1K8H6x8fbOy06t2VsZHhMHf-1x7Y/edit?usp=sharing"",""แผน!LV61"")"),0)</f>
        <v>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IFERROR(__xludf.DUMMYFUNCTION("IMPORTRANGE(""https://docs.google.com/spreadsheets/d/1eHaY18a8A9IcSdp1K8H6x8fbOy06t2VsZHhMHf-1x7Y/edit?usp=sharing"",""แผน!AJ61"")"),4000)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IFERROR(__xludf.DUMMYFUNCTION("IMPORTRANGE(""https://docs.google.com/spreadsheets/d/1eHaY18a8A9IcSdp1K8H6x8fbOy06t2VsZHhMHf-1x7Y/edit?usp=sharing"",""แผน!AK61"")"),1)</f>
        <v>1</v>
      </c>
      <c r="J209" s="296">
        <v>1</v>
      </c>
      <c r="K209" s="748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IFERROR(__xludf.DUMMYFUNCTION("IMPORTRANGE(""https://docs.google.com/spreadsheets/d/1eHaY18a8A9IcSdp1K8H6x8fbOy06t2VsZHhMHf-1x7Y/edit?usp=sharing"",""แผน!JX61"")"),1)</f>
        <v>1</v>
      </c>
      <c r="J211" s="296">
        <v>1</v>
      </c>
      <c r="K211" s="748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IFERROR(__xludf.DUMMYFUNCTION("IMPORTRANGE(""https://docs.google.com/spreadsheets/d/1eHaY18a8A9IcSdp1K8H6x8fbOy06t2VsZHhMHf-1x7Y/edit?usp=sharing"",""แผน!JY61"")"),0)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IFERROR(__xludf.DUMMYFUNCTION("IMPORTRANGE(""https://docs.google.com/spreadsheets/d/1eHaY18a8A9IcSdp1K8H6x8fbOy06t2VsZHhMHf-1x7Y/edit?usp=sharing"",""แผน!AM61"")"),0)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IFERROR(__xludf.DUMMYFUNCTION("IMPORTRANGE(""https://docs.google.com/spreadsheets/d/1eHaY18a8A9IcSdp1K8H6x8fbOy06t2VsZHhMHf-1x7Y/edit?usp=sharing"",""แผน!AN61"")"),0)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IFERROR(__xludf.DUMMYFUNCTION("IMPORTRANGE(""https://docs.google.com/spreadsheets/d/1eHaY18a8A9IcSdp1K8H6x8fbOy06t2VsZHhMHf-1x7Y/edit?usp=sharing"",""แผน!AO61"")"),0)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IFERROR(__xludf.DUMMYFUNCTION("IMPORTRANGE(""https://docs.google.com/spreadsheets/d/1eHaY18a8A9IcSdp1K8H6x8fbOy06t2VsZHhMHf-1x7Y/edit?usp=sharing"",""แผน!LY61"")"),0)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IFERROR(__xludf.DUMMYFUNCTION("IMPORTRANGE(""https://docs.google.com/spreadsheets/d/1eHaY18a8A9IcSdp1K8H6x8fbOy06t2VsZHhMHf-1x7Y/edit?usp=sharing"",""แผน!AP61"")"),0)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IFERROR(__xludf.DUMMYFUNCTION("IMPORTRANGE(""https://docs.google.com/spreadsheets/d/1eHaY18a8A9IcSdp1K8H6x8fbOy06t2VsZHhMHf-1x7Y/edit?usp=sharing"",""แผน!AP61"")"),0)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IFERROR(__xludf.DUMMYFUNCTION("IMPORTRANGE(""https://docs.google.com/spreadsheets/d/1eHaY18a8A9IcSdp1K8H6x8fbOy06t2VsZHhMHf-1x7Y/edit?usp=sharing"",""แผน!AR61"")"),2500)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IFERROR(__xludf.DUMMYFUNCTION("IMPORTRANGE(""https://docs.google.com/spreadsheets/d/1eHaY18a8A9IcSdp1K8H6x8fbOy06t2VsZHhMHf-1x7Y/edit?usp=sharing"",""แผน!AS61"")"),2000)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IFERROR(__xludf.DUMMYFUNCTION("IMPORTRANGE(""https://docs.google.com/spreadsheets/d/1eHaY18a8A9IcSdp1K8H6x8fbOy06t2VsZHhMHf-1x7Y/edit?usp=sharing"",""แผน!AT61"")"),0)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IFERROR(__xludf.DUMMYFUNCTION("IMPORTRANGE(""https://docs.google.com/spreadsheets/d/1eHaY18a8A9IcSdp1K8H6x8fbOy06t2VsZHhMHf-1x7Y/edit?usp=sharing"",""แผน!AV61"")"),20000)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IFERROR(__xludf.DUMMYFUNCTION("IMPORTRANGE(""https://docs.google.com/spreadsheets/d/1eHaY18a8A9IcSdp1K8H6x8fbOy06t2VsZHhMHf-1x7Y/edit?usp=sharing"",""แผน!AV61"")"),20000)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IFERROR(__xludf.DUMMYFUNCTION("IMPORTRANGE(""https://docs.google.com/spreadsheets/d/1eHaY18a8A9IcSdp1K8H6x8fbOy06t2VsZHhMHf-1x7Y/edit?usp=sharing"",""แผน!AU61"")"),0)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1155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60</v>
      </c>
      <c r="J231" s="943">
        <f>J242+J253</f>
        <v>60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2"/>
      <c r="C232" s="940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104900</v>
      </c>
      <c r="M232" s="90"/>
      <c r="N232" s="1287">
        <f>N243+N254</f>
        <v>50120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2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11000</v>
      </c>
      <c r="M233" s="90"/>
      <c r="N233" s="80">
        <f>N244+N255</f>
        <v>2500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720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46900</v>
      </c>
      <c r="M235" s="90"/>
      <c r="N235" s="80">
        <f>N246+N257</f>
        <v>46900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47000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115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687" t="s">
        <v>35</v>
      </c>
      <c r="I238" s="574">
        <f ca="1">I249+I260</f>
        <v>60</v>
      </c>
      <c r="J238" s="574">
        <f>J249+J260</f>
        <v>60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115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687" t="s">
        <v>35</v>
      </c>
      <c r="I240" s="574">
        <f ca="1">I251+I262</f>
        <v>60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687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156" t="s">
        <v>338</v>
      </c>
      <c r="D242" s="375"/>
      <c r="E242" s="375"/>
      <c r="F242" s="375"/>
      <c r="G242" s="376"/>
      <c r="H242" s="377" t="s">
        <v>35</v>
      </c>
      <c r="I242" s="378">
        <f ca="1">I249</f>
        <v>60</v>
      </c>
      <c r="J242" s="378">
        <f>J249</f>
        <v>60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104900</v>
      </c>
      <c r="M243" s="90"/>
      <c r="N243" s="266">
        <f>N244+N245+N246+N247</f>
        <v>50120</v>
      </c>
      <c r="O243" s="266">
        <f ca="1">IF(L243&gt;0,N243*100/L243,0)</f>
        <v>47.778836987607242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IFERROR(__xludf.DUMMYFUNCTION("IMPORTRANGE(""https://docs.google.com/spreadsheets/d/1eHaY18a8A9IcSdp1K8H6x8fbOy06t2VsZHhMHf-1x7Y/edit?usp=sharing"",""แผน!AX61"")"),11000)</f>
        <v>11000</v>
      </c>
      <c r="M244" s="90"/>
      <c r="N244" s="391">
        <v>2500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IFERROR(__xludf.DUMMYFUNCTION("IMPORTRANGE(""https://docs.google.com/spreadsheets/d/1eHaY18a8A9IcSdp1K8H6x8fbOy06t2VsZHhMHf-1x7Y/edit?usp=sharing"",""แผน!AY61"")"),0)</f>
        <v>0</v>
      </c>
      <c r="M245" s="90"/>
      <c r="N245" s="391">
        <v>720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IFERROR(__xludf.DUMMYFUNCTION("IMPORTRANGE(""https://docs.google.com/spreadsheets/d/1eHaY18a8A9IcSdp1K8H6x8fbOy06t2VsZHhMHf-1x7Y/edit?usp=sharing"",""แผน!AZ61"")"),46900)</f>
        <v>46900</v>
      </c>
      <c r="M246" s="90"/>
      <c r="N246" s="391">
        <v>46900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IFERROR(__xludf.DUMMYFUNCTION("IMPORTRANGE(""https://docs.google.com/spreadsheets/d/1eHaY18a8A9IcSdp1K8H6x8fbOy06t2VsZHhMHf-1x7Y/edit?usp=sharing"",""แผน!BA61"")"),47000)</f>
        <v>47000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IFERROR(__xludf.DUMMYFUNCTION("IMPORTRANGE(""https://docs.google.com/spreadsheets/d/1eHaY18a8A9IcSdp1K8H6x8fbOy06t2VsZHhMHf-1x7Y/edit?usp=sharing"",""แผน!BG61"")"),60)</f>
        <v>60</v>
      </c>
      <c r="J249" s="816">
        <v>60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275" t="s">
        <v>337</v>
      </c>
      <c r="F251" s="765"/>
      <c r="G251" s="767"/>
      <c r="H251" s="768" t="s">
        <v>35</v>
      </c>
      <c r="I251" s="241">
        <f ca="1">IFERROR(__xludf.DUMMYFUNCTION("IMPORTRANGE(""https://docs.google.com/spreadsheets/d/1eHaY18a8A9IcSdp1K8H6x8fbOy06t2VsZHhMHf-1x7Y/edit?usp=sharing"",""แผน!KB61"")"),60)</f>
        <v>60</v>
      </c>
      <c r="J251" s="816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7" t="s">
        <v>336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IFERROR(__xludf.DUMMYFUNCTION("IMPORTRANGE(""https://docs.google.com/spreadsheets/d/1eHaY18a8A9IcSdp1K8H6x8fbOy06t2VsZHhMHf-1x7Y/edit?usp=sharing"",""แผน!KC61"")"),1)</f>
        <v>1</v>
      </c>
      <c r="J252" s="816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IFERROR(__xludf.DUMMYFUNCTION("IMPORTRANGE(""https://docs.google.com/spreadsheets/d/1eHaY18a8A9IcSdp1K8H6x8fbOy06t2VsZHhMHf-1x7Y/edit?usp=sharing"",""แผน!BB61"")"),0)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IFERROR(__xludf.DUMMYFUNCTION("IMPORTRANGE(""https://docs.google.com/spreadsheets/d/1eHaY18a8A9IcSdp1K8H6x8fbOy06t2VsZHhMHf-1x7Y/edit?usp=sharing"",""แผน!BC61"")"),0)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IFERROR(__xludf.DUMMYFUNCTION("IMPORTRANGE(""https://docs.google.com/spreadsheets/d/1eHaY18a8A9IcSdp1K8H6x8fbOy06t2VsZHhMHf-1x7Y/edit?usp=sharing"",""แผน!BD61"")"),0)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IFERROR(__xludf.DUMMYFUNCTION("IMPORTRANGE(""https://docs.google.com/spreadsheets/d/1eHaY18a8A9IcSdp1K8H6x8fbOy06t2VsZHhMHf-1x7Y/edit?usp=sharing"",""แผน!BE61"")"),0)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IFERROR(__xludf.DUMMYFUNCTION("IMPORTRANGE(""https://docs.google.com/spreadsheets/d/1eHaY18a8A9IcSdp1K8H6x8fbOy06t2VsZHhMHf-1x7Y/edit?usp=sharing"",""แผน!BH61"")"),0)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IFERROR(__xludf.DUMMYFUNCTION("IMPORTRANGE(""https://docs.google.com/spreadsheets/d/1-uDff_7J0KD5mKrp0Vvzr7lt3OU09vwQwhkpOPPYv2Y/edit?usp=sharing"",""งบพรบ!DE61"")"),0)</f>
        <v>0</v>
      </c>
      <c r="M271" s="91">
        <f ca="1">IFERROR(__xludf.DUMMYFUNCTION("IMPORTRANGE(""https://docs.google.com/spreadsheets/d/1-uDff_7J0KD5mKrp0Vvzr7lt3OU09vwQwhkpOPPYv2Y/edit?usp=sharing"",""งบพรบ!DJ61"")"),5000)</f>
        <v>5000</v>
      </c>
      <c r="N271" s="91">
        <f ca="1">IFERROR(__xludf.DUMMYFUNCTION("IMPORTRANGE(""https://docs.google.com/spreadsheets/d/1-uDff_7J0KD5mKrp0Vvzr7lt3OU09vwQwhkpOPPYv2Y/edit?usp=sharing"",""งบพรบ!DL61"")"),5000)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IFERROR(__xludf.DUMMYFUNCTION("IMPORTRANGE(""https://docs.google.com/spreadsheets/d/1ItG2mGa2ceCfYo0BwxsXqNm01IGEUdYcSSLTEv9YCik/edit?usp=sharing"",""เบิกจ่ายกองทุน!AJ61"")"),50660)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IFERROR(__xludf.DUMMYFUNCTION("IMPORTRANGE(""https://docs.google.com/spreadsheets/d/1ItG2mGa2ceCfYo0BwxsXqNm01IGEUdYcSSLTEv9YCik/edit?usp=sharing"",""เบิกจ่ายกองทุน!AK61"")"),50660)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IFERROR(__xludf.DUMMYFUNCTION("IMPORTRANGE(""https://docs.google.com/spreadsheets/d/1ItG2mGa2ceCfYo0BwxsXqNm01IGEUdYcSSLTEv9YCik/edit?usp=sharing"",""เบิกจ่ายกองทุน!AL61"")"),0)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IFERROR(__xludf.DUMMYFUNCTION("IMPORTRANGE(""https://docs.google.com/spreadsheets/d/1-uDff_7J0KD5mKrp0Vvzr7lt3OU09vwQwhkpOPPYv2Y/edit?usp=sharing"",""งบพรบ!DH61"")"),0)</f>
        <v>0</v>
      </c>
      <c r="M274" s="91">
        <f ca="1">IFERROR(__xludf.DUMMYFUNCTION("IMPORTRANGE(""https://docs.google.com/spreadsheets/d/1-uDff_7J0KD5mKrp0Vvzr7lt3OU09vwQwhkpOPPYv2Y/edit?usp=sharing"",""งบพรบ!DK61"")"),0)</f>
        <v>0</v>
      </c>
      <c r="N274" s="91">
        <f ca="1">IFERROR(__xludf.DUMMYFUNCTION("IMPORTRANGE(""https://docs.google.com/spreadsheets/d/1-uDff_7J0KD5mKrp0Vvzr7lt3OU09vwQwhkpOPPYv2Y/edit?usp=sharing"",""งบพรบ!DM61"")"),0)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IFERROR(__xludf.DUMMYFUNCTION("IMPORTRANGE(""https://docs.google.com/spreadsheets/d/1eHaY18a8A9IcSdp1K8H6x8fbOy06t2VsZHhMHf-1x7Y/edit?usp=sharing"",""แผน!EC61"")"),22)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145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IFERROR(__xludf.DUMMYFUNCTION("IMPORTRANGE(""https://docs.google.com/spreadsheets/d/1-uDff_7J0KD5mKrp0Vvzr7lt3OU09vwQwhkpOPPYv2Y/edit?usp=sharing"",""งบพรบ!DO61"")"),0)</f>
        <v>0</v>
      </c>
      <c r="M287" s="77">
        <f ca="1">IFERROR(__xludf.DUMMYFUNCTION("IMPORTRANGE(""https://docs.google.com/spreadsheets/d/1-uDff_7J0KD5mKrp0Vvzr7lt3OU09vwQwhkpOPPYv2Y/edit?usp=sharing"",""งบพรบ!DT61"")"),0)</f>
        <v>0</v>
      </c>
      <c r="N287" s="77">
        <f ca="1">IFERROR(__xludf.DUMMYFUNCTION("IMPORTRANGE(""https://docs.google.com/spreadsheets/d/1-uDff_7J0KD5mKrp0Vvzr7lt3OU09vwQwhkpOPPYv2Y/edit?usp=sharing"",""งบพรบ!DV61"")"),0)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IFERROR(__xludf.DUMMYFUNCTION("IMPORTRANGE(""https://docs.google.com/spreadsheets/d/1-uDff_7J0KD5mKrp0Vvzr7lt3OU09vwQwhkpOPPYv2Y/edit?usp=sharing"",""งบพรบ!DR61"")"),0)</f>
        <v>0</v>
      </c>
      <c r="M290" s="77">
        <f ca="1">IFERROR(__xludf.DUMMYFUNCTION("IMPORTRANGE(""https://docs.google.com/spreadsheets/d/1-uDff_7J0KD5mKrp0Vvzr7lt3OU09vwQwhkpOPPYv2Y/edit?usp=sharing"",""งบพรบ!DU61"")"),0)</f>
        <v>0</v>
      </c>
      <c r="N290" s="77">
        <f ca="1">IFERROR(__xludf.DUMMYFUNCTION("IMPORTRANGE(""https://docs.google.com/spreadsheets/d/1-uDff_7J0KD5mKrp0Vvzr7lt3OU09vwQwhkpOPPYv2Y/edit?usp=sharing"",""งบพรบ!DW61"")"),0)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IFERROR(__xludf.DUMMYFUNCTION("IMPORTRANGE(""https://docs.google.com/spreadsheets/d/1eHaY18a8A9IcSdp1K8H6x8fbOy06t2VsZHhMHf-1x7Y/edit?usp=sharing"",""แผน!EE61"")"),0)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IFERROR(__xludf.DUMMYFUNCTION("IMPORTRANGE(""https://docs.google.com/spreadsheets/d/1eHaY18a8A9IcSdp1K8H6x8fbOy06t2VsZHhMHf-1x7Y/edit?usp=sharing"",""แผน!ED61"")"),0)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IFERROR(__xludf.DUMMYFUNCTION("IMPORTRANGE(""https://docs.google.com/spreadsheets/d/1eHaY18a8A9IcSdp1K8H6x8fbOy06t2VsZHhMHf-1x7Y/edit?usp=sharing"",""แผน!ED61"")"),0)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IFERROR(__xludf.DUMMYFUNCTION("IMPORTRANGE(""https://docs.google.com/spreadsheets/d/1eHaY18a8A9IcSdp1K8H6x8fbOy06t2VsZHhMHf-1x7Y/edit?usp=sharing"",""แผน!ED61"")"),0)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30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IFERROR(__xludf.DUMMYFUNCTION("IMPORTRANGE(""https://docs.google.com/spreadsheets/d/1-uDff_7J0KD5mKrp0Vvzr7lt3OU09vwQwhkpOPPYv2Y/edit?usp=sharing"",""งบพรบ!DY61"")"),0)</f>
        <v>0</v>
      </c>
      <c r="M308" s="77">
        <f ca="1">IFERROR(__xludf.DUMMYFUNCTION("IMPORTRANGE(""https://docs.google.com/spreadsheets/d/1-uDff_7J0KD5mKrp0Vvzr7lt3OU09vwQwhkpOPPYv2Y/edit?usp=sharing"",""งบพรบ!ED61"")"),0)</f>
        <v>0</v>
      </c>
      <c r="N308" s="77">
        <f ca="1">IFERROR(__xludf.DUMMYFUNCTION("IMPORTRANGE(""https://docs.google.com/spreadsheets/d/1-uDff_7J0KD5mKrp0Vvzr7lt3OU09vwQwhkpOPPYv2Y/edit?usp=sharing"",""งบพรบ!EF61"")"),0)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IFERROR(__xludf.DUMMYFUNCTION("IMPORTRANGE(""https://docs.google.com/spreadsheets/d/1ItG2mGa2ceCfYo0BwxsXqNm01IGEUdYcSSLTEv9YCik/edit?usp=sharing"",""เบิกจ่ายกองทุน!AP61"")"),260958.39)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IFERROR(__xludf.DUMMYFUNCTION("IMPORTRANGE(""https://docs.google.com/spreadsheets/d/1ItG2mGa2ceCfYo0BwxsXqNm01IGEUdYcSSLTEv9YCik/edit?usp=sharing"",""เบิกจ่ายกองทุน!AQ61"")"),260958)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IFERROR(__xludf.DUMMYFUNCTION("IMPORTRANGE(""https://docs.google.com/spreadsheets/d/1ItG2mGa2ceCfYo0BwxsXqNm01IGEUdYcSSLTEv9YCik/edit?usp=sharing"",""เบิกจ่ายกองทุน!AR61"")"),0)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IFERROR(__xludf.DUMMYFUNCTION("IMPORTRANGE(""https://docs.google.com/spreadsheets/d/1-uDff_7J0KD5mKrp0Vvzr7lt3OU09vwQwhkpOPPYv2Y/edit?usp=sharing"",""งบพรบ!EB61"")"),0)</f>
        <v>0</v>
      </c>
      <c r="M311" s="77">
        <f ca="1">IFERROR(__xludf.DUMMYFUNCTION("IMPORTRANGE(""https://docs.google.com/spreadsheets/d/1-uDff_7J0KD5mKrp0Vvzr7lt3OU09vwQwhkpOPPYv2Y/edit?usp=sharing"",""งบพรบ!EE61"")"),0)</f>
        <v>0</v>
      </c>
      <c r="N311" s="77">
        <f ca="1">IFERROR(__xludf.DUMMYFUNCTION("IMPORTRANGE(""https://docs.google.com/spreadsheets/d/1-uDff_7J0KD5mKrp0Vvzr7lt3OU09vwQwhkpOPPYv2Y/edit?usp=sharing"",""งบพรบ!EG61"")"),0)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1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IFERROR(__xludf.DUMMYFUNCTION("IMPORTRANGE(""https://docs.google.com/spreadsheets/d/1eHaY18a8A9IcSdp1K8H6x8fbOy06t2VsZHhMHf-1x7Y/edit?usp=sharing"",""แผน!EF61"")"),30)</f>
        <v>30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IFERROR(__xludf.DUMMYFUNCTION("IMPORTRANGE(""https://docs.google.com/spreadsheets/d/1-uDff_7J0KD5mKrp0Vvzr7lt3OU09vwQwhkpOPPYv2Y/edit?usp=sharing"",""งบพรบ!EI61"")"),0)</f>
        <v>0</v>
      </c>
      <c r="M325" s="77">
        <f ca="1">IFERROR(__xludf.DUMMYFUNCTION("IMPORTRANGE(""https://docs.google.com/spreadsheets/d/1-uDff_7J0KD5mKrp0Vvzr7lt3OU09vwQwhkpOPPYv2Y/edit?usp=sharing"",""งบพรบ!EN61"")"),0)</f>
        <v>0</v>
      </c>
      <c r="N325" s="77">
        <f ca="1">IFERROR(__xludf.DUMMYFUNCTION("IMPORTRANGE(""https://docs.google.com/spreadsheets/d/1-uDff_7J0KD5mKrp0Vvzr7lt3OU09vwQwhkpOPPYv2Y/edit?usp=sharing"",""งบพรบ!EP61"")"),0)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IFERROR(__xludf.DUMMYFUNCTION("IMPORTRANGE(""https://docs.google.com/spreadsheets/d/1-uDff_7J0KD5mKrp0Vvzr7lt3OU09vwQwhkpOPPYv2Y/edit?usp=sharing"",""งบพรบ!EL61"")"),0)</f>
        <v>0</v>
      </c>
      <c r="M328" s="77">
        <f ca="1">IFERROR(__xludf.DUMMYFUNCTION("IMPORTRANGE(""https://docs.google.com/spreadsheets/d/1-uDff_7J0KD5mKrp0Vvzr7lt3OU09vwQwhkpOPPYv2Y/edit?usp=sharing"",""งบพรบ!EO61"")"),0)</f>
        <v>0</v>
      </c>
      <c r="N328" s="77">
        <f ca="1">IFERROR(__xludf.DUMMYFUNCTION("IMPORTRANGE(""https://docs.google.com/spreadsheets/d/1-uDff_7J0KD5mKrp0Vvzr7lt3OU09vwQwhkpOPPYv2Y/edit?usp=sharing"",""งบพรบ!EQ61"")"),0)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IFERROR(__xludf.DUMMYFUNCTION("IMPORTRANGE(""https://docs.google.com/spreadsheets/d/1eHaY18a8A9IcSdp1K8H6x8fbOy06t2VsZHhMHf-1x7Y/edit?usp=sharing"",""แผน!EJ61"")"),0)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940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337200</v>
      </c>
      <c r="M333" s="266">
        <f ca="1">M334+M335</f>
        <v>337200</v>
      </c>
      <c r="N333" s="266">
        <f ca="1">N334+N335</f>
        <v>272246.61</v>
      </c>
      <c r="O333" s="266">
        <f ca="1">IF(L333&gt;0,N333*100/L333,0)</f>
        <v>80.737428825622771</v>
      </c>
      <c r="P333" s="266">
        <f ca="1">IF(M333&gt;0,N333*100/M333,0)</f>
        <v>80.737428825622771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337200</v>
      </c>
      <c r="M335" s="77">
        <f ca="1">M338+M341</f>
        <v>337200</v>
      </c>
      <c r="N335" s="77">
        <f ca="1">N338+N341</f>
        <v>272246.61</v>
      </c>
      <c r="O335" s="77">
        <f ca="1">IF(L335&gt;0,N335*100/L335,0)</f>
        <v>80.737428825622771</v>
      </c>
      <c r="P335" s="77">
        <f ca="1">IF(M335&gt;0,N335*100/M335,0)</f>
        <v>80.737428825622771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337200</v>
      </c>
      <c r="M336" s="77">
        <f ca="1">M337+M338</f>
        <v>337200</v>
      </c>
      <c r="N336" s="77">
        <f ca="1">N337+N338</f>
        <v>272246.61</v>
      </c>
      <c r="O336" s="77">
        <f ca="1">IF(L336&gt;0,N336*100/L336,0)</f>
        <v>80.737428825622771</v>
      </c>
      <c r="P336" s="77">
        <f ca="1">IF(M336&gt;0,N336*100/M336,0)</f>
        <v>80.737428825622771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IFERROR(__xludf.DUMMYFUNCTION("IMPORTRANGE(""https://docs.google.com/spreadsheets/d/1-uDff_7J0KD5mKrp0Vvzr7lt3OU09vwQwhkpOPPYv2Y/edit?usp=sharing"",""งบพรบ!ES61"")"),337200)</f>
        <v>337200</v>
      </c>
      <c r="M338" s="77">
        <f ca="1">IFERROR(__xludf.DUMMYFUNCTION("IMPORTRANGE(""https://docs.google.com/spreadsheets/d/1-uDff_7J0KD5mKrp0Vvzr7lt3OU09vwQwhkpOPPYv2Y/edit?usp=sharing"",""งบพรบ!EX61"")"),337200)</f>
        <v>337200</v>
      </c>
      <c r="N338" s="77">
        <f ca="1">IFERROR(__xludf.DUMMYFUNCTION("IMPORTRANGE(""https://docs.google.com/spreadsheets/d/1-uDff_7J0KD5mKrp0Vvzr7lt3OU09vwQwhkpOPPYv2Y/edit?usp=sharing"",""งบพรบ!EZ61"")"),272246.61)</f>
        <v>272246.61</v>
      </c>
      <c r="O338" s="77">
        <f ca="1">IF(L338&gt;0,N338*100/L338,0)</f>
        <v>80.737428825622771</v>
      </c>
      <c r="P338" s="77">
        <f ca="1">IF(M338&gt;0,N338*100/M338,0)</f>
        <v>80.737428825622771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IFERROR(__xludf.DUMMYFUNCTION("IMPORTRANGE(""https://docs.google.com/spreadsheets/d/1-uDff_7J0KD5mKrp0Vvzr7lt3OU09vwQwhkpOPPYv2Y/edit?usp=sharing"",""งบพรบ!EV61"")"),0)</f>
        <v>0</v>
      </c>
      <c r="M341" s="77">
        <f ca="1">IFERROR(__xludf.DUMMYFUNCTION("IMPORTRANGE(""https://docs.google.com/spreadsheets/d/1-uDff_7J0KD5mKrp0Vvzr7lt3OU09vwQwhkpOPPYv2Y/edit?usp=sharing"",""งบพรบ!EY61"")"),0)</f>
        <v>0</v>
      </c>
      <c r="N341" s="77">
        <f ca="1">IFERROR(__xludf.DUMMYFUNCTION("IMPORTRANGE(""https://docs.google.com/spreadsheets/d/1-uDff_7J0KD5mKrp0Vvzr7lt3OU09vwQwhkpOPPYv2Y/edit?usp=sharing"",""งบพรบ!FA61"")"),0)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911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IFERROR(__xludf.DUMMYFUNCTION("IMPORTRANGE(""https://docs.google.com/spreadsheets/d/1eHaY18a8A9IcSdp1K8H6x8fbOy06t2VsZHhMHf-1x7Y/edit?usp=sharing"",""แผน!EK61"")"),940)</f>
        <v>940</v>
      </c>
      <c r="J344" s="295">
        <f ca="1">IFERROR(__xludf.DUMMYFUNCTION("IMPORTRANGE(""https://docs.google.com/spreadsheets/d/1awYsYK3VOup2i3Pq_Yjnu8DRu_mYwSBnCR2QPthd0rU/edit?usp=sharing"",""ศูนย์ยกเว้นโฉนด!D61"")"),284)</f>
        <v>284</v>
      </c>
      <c r="K344" s="77">
        <f ca="1">IF(I344&gt;0,J344*100/I344,0)</f>
        <v>30.212765957446809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IFERROR(__xludf.DUMMYFUNCTION("IMPORTRANGE(""https://docs.google.com/spreadsheets/d/1eHaY18a8A9IcSdp1K8H6x8fbOy06t2VsZHhMHf-1x7Y/edit?usp=sharing"",""แผน!EL61"")"),1)</f>
        <v>1</v>
      </c>
      <c r="J346" s="295">
        <f ca="1">IFERROR(__xludf.DUMMYFUNCTION("IMPORTRANGE(""https://docs.google.com/spreadsheets/d/1awYsYK3VOup2i3Pq_Yjnu8DRu_mYwSBnCR2QPthd0rU/edit?usp=sharing"",""ศูนย์รวม!E61"")"),8)</f>
        <v>8</v>
      </c>
      <c r="K346" s="77">
        <f ca="1">IF(I346&gt;0,J346*100/I346,0)</f>
        <v>800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IFERROR(__xludf.DUMMYFUNCTION("IMPORTRANGE(""https://docs.google.com/spreadsheets/d/1awYsYK3VOup2i3Pq_Yjnu8DRu_mYwSBnCR2QPthd0rU/edit?usp=sharing"",""ศูนย์ยกเว้นโฉนด!F61"")"),593)</f>
        <v>593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IFERROR(__xludf.DUMMYFUNCTION("IMPORTRANGE(""https://docs.google.com/spreadsheets/d/1awYsYK3VOup2i3Pq_Yjnu8DRu_mYwSBnCR2QPthd0rU/edit?usp=sharing"",""ศูนย์ยกเว้นโฉนด!G61"")"),34)</f>
        <v>34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IFERROR(__xludf.DUMMYFUNCTION("IMPORTRANGE(""https://docs.google.com/spreadsheets/d/1awYsYK3VOup2i3Pq_Yjnu8DRu_mYwSBnCR2QPthd0rU/edit?usp=sharing"",""ศูนย์ยกเว้นโฉนด!H61"")"),0)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IFERROR(__xludf.DUMMYFUNCTION("IMPORTRANGE(""https://docs.google.com/spreadsheets/d/1awYsYK3VOup2i3Pq_Yjnu8DRu_mYwSBnCR2QPthd0rU/edit?usp=sharing"",""โฉนดM3!G61"")"),"")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IFERROR(__xludf.DUMMYFUNCTION("IMPORTRANGE(""https://docs.google.com/spreadsheets/d/1awYsYK3VOup2i3Pq_Yjnu8DRu_mYwSBnCR2QPthd0rU/edit?usp=sharing"",""โฉนดM3!H61"")"),"")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IFERROR(__xludf.DUMMYFUNCTION("IMPORTRANGE(""https://docs.google.com/spreadsheets/d/1awYsYK3VOup2i3Pq_Yjnu8DRu_mYwSBnCR2QPthd0rU/edit?usp=sharing"",""โฉนดM3!I61"")"),"")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116090</v>
      </c>
      <c r="M356" s="266">
        <f ca="1">M357+M358</f>
        <v>116090</v>
      </c>
      <c r="N356" s="266">
        <f ca="1">N357+N358</f>
        <v>78266.66</v>
      </c>
      <c r="O356" s="266">
        <f ca="1">IF(L356&gt;0,N356*100/L356,0)</f>
        <v>67.418950814023603</v>
      </c>
      <c r="P356" s="266">
        <f ca="1">IF(M356&gt;0,N356*100/M356,0)</f>
        <v>67.418950814023603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116090</v>
      </c>
      <c r="M358" s="77">
        <f ca="1">M361+M364</f>
        <v>116090</v>
      </c>
      <c r="N358" s="77">
        <f ca="1">N361+N364</f>
        <v>78266.66</v>
      </c>
      <c r="O358" s="77">
        <f ca="1">IF(L358&gt;0,N358*100/L358,0)</f>
        <v>67.418950814023603</v>
      </c>
      <c r="P358" s="77">
        <f ca="1">IF(M358&gt;0,N358*100/M358,0)</f>
        <v>67.418950814023603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116090</v>
      </c>
      <c r="M359" s="77">
        <f ca="1">M360+M361</f>
        <v>116090</v>
      </c>
      <c r="N359" s="77">
        <f ca="1">N360+N361</f>
        <v>78266.66</v>
      </c>
      <c r="O359" s="77">
        <f ca="1">IF(L359&gt;0,N359*100/L359,0)</f>
        <v>67.418950814023603</v>
      </c>
      <c r="P359" s="77">
        <f ca="1">IF(M359&gt;0,N359*100/M359,0)</f>
        <v>67.418950814023603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IFERROR(__xludf.DUMMYFUNCTION("IMPORTRANGE(""https://docs.google.com/spreadsheets/d/1-uDff_7J0KD5mKrp0Vvzr7lt3OU09vwQwhkpOPPYv2Y/edit?usp=sharing"",""งบพรบ!FC61"")"),116090)</f>
        <v>116090</v>
      </c>
      <c r="M361" s="77">
        <f ca="1">IFERROR(__xludf.DUMMYFUNCTION("IMPORTRANGE(""https://docs.google.com/spreadsheets/d/1-uDff_7J0KD5mKrp0Vvzr7lt3OU09vwQwhkpOPPYv2Y/edit?usp=sharing"",""งบพรบ!FH61"")"),116090)</f>
        <v>116090</v>
      </c>
      <c r="N361" s="77">
        <f ca="1">IFERROR(__xludf.DUMMYFUNCTION("IMPORTRANGE(""https://docs.google.com/spreadsheets/d/1-uDff_7J0KD5mKrp0Vvzr7lt3OU09vwQwhkpOPPYv2Y/edit?usp=sharing"",""งบพรบ!FJ61"")"),78266.66)</f>
        <v>78266.66</v>
      </c>
      <c r="O361" s="77">
        <f ca="1">IF(L361&gt;0,N361*100/L361,0)</f>
        <v>67.418950814023603</v>
      </c>
      <c r="P361" s="77">
        <f ca="1">IF(M361&gt;0,N361*100/M361,0)</f>
        <v>67.418950814023603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IFERROR(__xludf.DUMMYFUNCTION("IMPORTRANGE(""https://docs.google.com/spreadsheets/d/1-uDff_7J0KD5mKrp0Vvzr7lt3OU09vwQwhkpOPPYv2Y/edit?usp=sharing"",""งบพรบ!FF61"")"),0)</f>
        <v>0</v>
      </c>
      <c r="M364" s="77">
        <f ca="1">IFERROR(__xludf.DUMMYFUNCTION("IMPORTRANGE(""https://docs.google.com/spreadsheets/d/1-uDff_7J0KD5mKrp0Vvzr7lt3OU09vwQwhkpOPPYv2Y/edit?usp=sharing"",""งบพรบ!FI61"")"),0)</f>
        <v>0</v>
      </c>
      <c r="N364" s="77">
        <f ca="1">IFERROR(__xludf.DUMMYFUNCTION("IMPORTRANGE(""https://docs.google.com/spreadsheets/d/1-uDff_7J0KD5mKrp0Vvzr7lt3OU09vwQwhkpOPPYv2Y/edit?usp=sharing"",""งบพรบ!FK61"")"),0)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IFERROR(__xludf.DUMMYFUNCTION("IMPORTRANGE(""https://docs.google.com/spreadsheets/d/1tdoBKaGub7dwA3U6UFTqxio9LNnvDCQjHKmttSEBsFQ/edit?usp=sharing"",""จัดที่ดิน!AB61"")"),0)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IFERROR(__xludf.DUMMYFUNCTION("IMPORTRANGE(""https://docs.google.com/spreadsheets/d/1eHaY18a8A9IcSdp1K8H6x8fbOy06t2VsZHhMHf-1x7Y/edit?usp=sharing"",""แผน!EW61"")"),0)</f>
        <v>0</v>
      </c>
      <c r="J368" s="1094">
        <f ca="1">IFERROR(__xludf.DUMMYFUNCTION("IMPORTRANGE(""https://docs.google.com/spreadsheets/d/1tdoBKaGub7dwA3U6UFTqxio9LNnvDCQjHKmttSEBsFQ/edit?usp=sharing"",""จัดที่ดิน!AC61"")"),0)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IFERROR(__xludf.DUMMYFUNCTION("IMPORTRANGE(""https://docs.google.com/spreadsheets/d/1eHaY18a8A9IcSdp1K8H6x8fbOy06t2VsZHhMHf-1x7Y/edit?usp=sharing"",""แผน!EX61"")"),0)</f>
        <v>0</v>
      </c>
      <c r="J369" s="295">
        <f ca="1">IFERROR(__xludf.DUMMYFUNCTION("IMPORTRANGE(""https://docs.google.com/spreadsheets/d/1tdoBKaGub7dwA3U6UFTqxio9LNnvDCQjHKmttSEBsFQ/edit?usp=sharing"",""จัดที่ดิน!AD61"")"),0)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IFERROR(__xludf.DUMMYFUNCTION("IMPORTRANGE(""https://docs.google.com/spreadsheets/d/1tdoBKaGub7dwA3U6UFTqxio9LNnvDCQjHKmttSEBsFQ/edit?usp=sharing"",""จัดที่ดิน!AE61"")"),0)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IFERROR(__xludf.DUMMYFUNCTION("IMPORTRANGE(""https://docs.google.com/spreadsheets/d/1eHaY18a8A9IcSdp1K8H6x8fbOy06t2VsZHhMHf-1x7Y/edit?usp=sharing"",""แผน!EY61"")"),0)</f>
        <v>0</v>
      </c>
      <c r="J371" s="295">
        <f ca="1">IFERROR(__xludf.DUMMYFUNCTION("IMPORTRANGE(""https://docs.google.com/spreadsheets/d/1tdoBKaGub7dwA3U6UFTqxio9LNnvDCQjHKmttSEBsFQ/edit?usp=sharing"",""จัดที่ดิน!AF61"")"),0)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IFERROR(__xludf.DUMMYFUNCTION("IMPORTRANGE(""https://docs.google.com/spreadsheets/d/1tdoBKaGub7dwA3U6UFTqxio9LNnvDCQjHKmttSEBsFQ/edit?usp=sharing"",""จัดที่ดิน!AG61"")"),0)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IFERROR(__xludf.DUMMYFUNCTION("IMPORTRANGE(""https://docs.google.com/spreadsheets/d/1ItG2mGa2ceCfYo0BwxsXqNm01IGEUdYcSSLTEv9YCik/edit?usp=sharing"",""เบิกจ่ายกองทุน!AY61"")"),0)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IFERROR(__xludf.DUMMYFUNCTION("IMPORTRANGE(""https://docs.google.com/spreadsheets/d/1ItG2mGa2ceCfYo0BwxsXqNm01IGEUdYcSSLTEv9YCik/edit?usp=sharing"",""เบิกจ่ายกองทุน!AZ61"")"),0)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IFERROR(__xludf.DUMMYFUNCTION("IMPORTRANGE(""https://docs.google.com/spreadsheets/d/1ItG2mGa2ceCfYo0BwxsXqNm01IGEUdYcSSLTEv9YCik/edit?usp=sharing"",""เบิกจ่ายกองทุน!BA61"")"),0)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IFERROR(__xludf.DUMMYFUNCTION("IMPORTRANGE(""https://docs.google.com/spreadsheets/d/1eHaY18a8A9IcSdp1K8H6x8fbOy06t2VsZHhMHf-1x7Y/edit?usp=sharing"",""แผน!JQ61"")"),0)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IFERROR(__xludf.DUMMYFUNCTION("IMPORTRANGE(""https://docs.google.com/spreadsheets/d/1eHaY18a8A9IcSdp1K8H6x8fbOy06t2VsZHhMHf-1x7Y/edit?usp=sharing"",""แผน!JQ61"")"),0)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IFERROR(__xludf.DUMMYFUNCTION("IMPORTRANGE(""https://docs.google.com/spreadsheets/d/1ItG2mGa2ceCfYo0BwxsXqNm01IGEUdYcSSLTEv9YCik/edit?usp=sharing"",""เบิกจ่ายกองทุน!BH61"")"),0)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IFERROR(__xludf.DUMMYFUNCTION("IMPORTRANGE(""https://docs.google.com/spreadsheets/d/1ItG2mGa2ceCfYo0BwxsXqNm01IGEUdYcSSLTEv9YCik/edit?usp=sharing"",""เบิกจ่ายกองทุน!BI61"")"),0)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IFERROR(__xludf.DUMMYFUNCTION("IMPORTRANGE(""https://docs.google.com/spreadsheets/d/1ItG2mGa2ceCfYo0BwxsXqNm01IGEUdYcSSLTEv9YCik/edit?usp=sharing"",""เบิกจ่ายกองทุน!BJ61"")"),0)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IFERROR(__xludf.DUMMYFUNCTION("IMPORTRANGE(""https://docs.google.com/spreadsheets/d/1eHaY18a8A9IcSdp1K8H6x8fbOy06t2VsZHhMHf-1x7Y/edit?usp=sharing"",""แผน!HJ61"")"),0)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IFERROR(__xludf.DUMMYFUNCTION("IMPORTRANGE(""https://docs.google.com/spreadsheets/d/1eHaY18a8A9IcSdp1K8H6x8fbOy06t2VsZHhMHf-1x7Y/edit?usp=sharing"",""แผน!HK61"")"),0)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IFERROR(__xludf.DUMMYFUNCTION("IMPORTRANGE(""https://docs.google.com/spreadsheets/d/1eHaY18a8A9IcSdp1K8H6x8fbOy06t2VsZHhMHf-1x7Y/edit?usp=sharing"",""แผน!HJ61"")"),0)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IFERROR(__xludf.DUMMYFUNCTION("IMPORTRANGE(""https://docs.google.com/spreadsheets/d/1eHaY18a8A9IcSdp1K8H6x8fbOy06t2VsZHhMHf-1x7Y/edit?usp=sharing"",""แผน!HK61"")"),0)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IFERROR(__xludf.DUMMYFUNCTION("IMPORTRANGE(""https://docs.google.com/spreadsheets/d/1eHaY18a8A9IcSdp1K8H6x8fbOy06t2VsZHhMHf-1x7Y/edit?usp=sharing"",""แผน!HJ61"")"),0)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IFERROR(__xludf.DUMMYFUNCTION("IMPORTRANGE(""https://docs.google.com/spreadsheets/d/1eHaY18a8A9IcSdp1K8H6x8fbOy06t2VsZHhMHf-1x7Y/edit?usp=sharing"",""แผน!HK61"")"),0)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IFERROR(__xludf.DUMMYFUNCTION("IMPORTRANGE(""https://docs.google.com/spreadsheets/d/1eHaY18a8A9IcSdp1K8H6x8fbOy06t2VsZHhMHf-1x7Y/edit?usp=sharing"",""แผน!HL61"")"),0)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IFERROR(__xludf.DUMMYFUNCTION("IMPORTRANGE(""https://docs.google.com/spreadsheets/d/1eHaY18a8A9IcSdp1K8H6x8fbOy06t2VsZHhMHf-1x7Y/edit?usp=sharing"",""แผน!HM61"")"),0)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IFERROR(__xludf.DUMMYFUNCTION("IMPORTRANGE(""https://docs.google.com/spreadsheets/d/1eHaY18a8A9IcSdp1K8H6x8fbOy06t2VsZHhMHf-1x7Y/edit?usp=sharing"",""แผน!HN61"")"),0)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IFERROR(__xludf.DUMMYFUNCTION("IMPORTRANGE(""https://docs.google.com/spreadsheets/d/1eHaY18a8A9IcSdp1K8H6x8fbOy06t2VsZHhMHf-1x7Y/edit?usp=sharing"",""แผน!HO61"")"),0)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IFERROR(__xludf.DUMMYFUNCTION("IMPORTRANGE(""https://docs.google.com/spreadsheets/d/1ItG2mGa2ceCfYo0BwxsXqNm01IGEUdYcSSLTEv9YCik/edit?usp=sharing"",""เบิกจ่ายกองทุน!X61"")"),0)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IFERROR(__xludf.DUMMYFUNCTION("IMPORTRANGE(""https://docs.google.com/spreadsheets/d/1ItG2mGa2ceCfYo0BwxsXqNm01IGEUdYcSSLTEv9YCik/edit?usp=sharing"",""เบิกจ่ายกองทุน!Y61"")"),0)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IFERROR(__xludf.DUMMYFUNCTION("IMPORTRANGE(""https://docs.google.com/spreadsheets/d/1ItG2mGa2ceCfYo0BwxsXqNm01IGEUdYcSSLTEv9YCik/edit?usp=sharing"",""เบิกจ่ายกองทุน!Z61"")"),0)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IFERROR(__xludf.DUMMYFUNCTION("IMPORTRANGE(""https://docs.google.com/spreadsheets/d/1eHaY18a8A9IcSdp1K8H6x8fbOy06t2VsZHhMHf-1x7Y/edit?usp=sharing"",""แผน!GX61"")"),0)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IFERROR(__xludf.DUMMYFUNCTION("IMPORTRANGE(""https://docs.google.com/spreadsheets/d/1eHaY18a8A9IcSdp1K8H6x8fbOy06t2VsZHhMHf-1x7Y/edit?usp=sharing"",""แผน!GY61"")"),0)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IFERROR(__xludf.DUMMYFUNCTION("IMPORTRANGE(""https://docs.google.com/spreadsheets/d/1eHaY18a8A9IcSdp1K8H6x8fbOy06t2VsZHhMHf-1x7Y/edit?usp=sharing"",""แผน!GZ61"")"),0)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IFERROR(__xludf.DUMMYFUNCTION("IMPORTRANGE(""https://docs.google.com/spreadsheets/d/1eHaY18a8A9IcSdp1K8H6x8fbOy06t2VsZHhMHf-1x7Y/edit?usp=sharing"",""แผน!HA61"")"),0)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IFERROR(__xludf.DUMMYFUNCTION("IMPORTRANGE(""https://docs.google.com/spreadsheets/d/1eHaY18a8A9IcSdp1K8H6x8fbOy06t2VsZHhMHf-1x7Y/edit?usp=sharing"",""แผน!HB61"")"),0)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IFERROR(__xludf.DUMMYFUNCTION("IMPORTRANGE(""https://docs.google.com/spreadsheets/d/1eHaY18a8A9IcSdp1K8H6x8fbOy06t2VsZHhMHf-1x7Y/edit?usp=sharing"",""แผน!HC61"")"),0)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IFERROR(__xludf.DUMMYFUNCTION("IMPORTRANGE(""https://docs.google.com/spreadsheets/d/1-uDff_7J0KD5mKrp0Vvzr7lt3OU09vwQwhkpOPPYv2Y/edit?usp=sharing"",""งบพรบ!FM61"")"),0)</f>
        <v>0</v>
      </c>
      <c r="M518" s="77">
        <f ca="1">IFERROR(__xludf.DUMMYFUNCTION("IMPORTRANGE(""https://docs.google.com/spreadsheets/d/1-uDff_7J0KD5mKrp0Vvzr7lt3OU09vwQwhkpOPPYv2Y/edit?usp=sharing"",""งบพรบ!FR61"")"),0)</f>
        <v>0</v>
      </c>
      <c r="N518" s="77">
        <f ca="1">IFERROR(__xludf.DUMMYFUNCTION("IMPORTRANGE(""https://docs.google.com/spreadsheets/d/1-uDff_7J0KD5mKrp0Vvzr7lt3OU09vwQwhkpOPPYv2Y/edit?usp=sharing"",""งบพรบ!FT61"")"),0)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IFERROR(__xludf.DUMMYFUNCTION("IMPORTRANGE(""https://docs.google.com/spreadsheets/d/1-uDff_7J0KD5mKrp0Vvzr7lt3OU09vwQwhkpOPPYv2Y/edit?usp=sharing"",""งบพรบ!FP61"")"),0)</f>
        <v>0</v>
      </c>
      <c r="M521" s="77">
        <f ca="1">IFERROR(__xludf.DUMMYFUNCTION("IMPORTRANGE(""https://docs.google.com/spreadsheets/d/1-uDff_7J0KD5mKrp0Vvzr7lt3OU09vwQwhkpOPPYv2Y/edit?usp=sharing"",""งบพรบ!FS61"")"),0)</f>
        <v>0</v>
      </c>
      <c r="N521" s="77">
        <f ca="1">IFERROR(__xludf.DUMMYFUNCTION("IMPORTRANGE(""https://docs.google.com/spreadsheets/d/1-uDff_7J0KD5mKrp0Vvzr7lt3OU09vwQwhkpOPPYv2Y/edit?usp=sharing"",""งบพรบ!FU61"")"),0)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100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12275</v>
      </c>
      <c r="R616" s="266">
        <f ca="1">R617+R618</f>
        <v>12275</v>
      </c>
      <c r="S616" s="266">
        <f ca="1">S617+S618</f>
        <v>2940</v>
      </c>
      <c r="T616" s="266">
        <f ca="1">IF(Q616&gt;0,S616*100/Q616,0)</f>
        <v>23.951120162932789</v>
      </c>
      <c r="U616" s="266">
        <f ca="1">IF(R616&gt;0,S616*100/R616,0)</f>
        <v>23.951120162932789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12275</v>
      </c>
      <c r="R618" s="77">
        <f ca="1">R621+R624</f>
        <v>12275</v>
      </c>
      <c r="S618" s="77">
        <f ca="1">S621+S624</f>
        <v>2940</v>
      </c>
      <c r="T618" s="77">
        <f ca="1">IF(Q618&gt;0,S618*100/Q618,0)</f>
        <v>23.951120162932789</v>
      </c>
      <c r="U618" s="77">
        <f ca="1">IF(R618&gt;0,S618*100/R618,0)</f>
        <v>23.951120162932789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12275</v>
      </c>
      <c r="R619" s="77">
        <f ca="1">R620+R621</f>
        <v>12275</v>
      </c>
      <c r="S619" s="77">
        <f ca="1">S620+S621</f>
        <v>2940</v>
      </c>
      <c r="T619" s="77">
        <f ca="1">IF(Q619&gt;0,S619*100/Q619,0)</f>
        <v>23.951120162932789</v>
      </c>
      <c r="U619" s="77">
        <f ca="1">IF(R619&gt;0,S619*100/R619,0)</f>
        <v>23.951120162932789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IFERROR(__xludf.DUMMYFUNCTION("IMPORTRANGE(""https://docs.google.com/spreadsheets/d/1ItG2mGa2ceCfYo0BwxsXqNm01IGEUdYcSSLTEv9YCik/edit?usp=sharing"",""เบิกจ่ายกองทุน!F61"")"),12275)</f>
        <v>12275</v>
      </c>
      <c r="R621" s="77">
        <f ca="1">IFERROR(__xludf.DUMMYFUNCTION("IMPORTRANGE(""https://docs.google.com/spreadsheets/d/1ItG2mGa2ceCfYo0BwxsXqNm01IGEUdYcSSLTEv9YCik/edit?usp=sharing"",""เบิกจ่ายกองทุน!G61"")"),12275)</f>
        <v>12275</v>
      </c>
      <c r="S621" s="77">
        <f ca="1">IFERROR(__xludf.DUMMYFUNCTION("IMPORTRANGE(""https://docs.google.com/spreadsheets/d/1ItG2mGa2ceCfYo0BwxsXqNm01IGEUdYcSSLTEv9YCik/edit?usp=sharing"",""เบิกจ่ายกองทุน!H61"")"),2940)</f>
        <v>2940</v>
      </c>
      <c r="T621" s="77">
        <f ca="1">IF(Q621&gt;0,S621*100/Q621,0)</f>
        <v>23.951120162932789</v>
      </c>
      <c r="U621" s="77">
        <f ca="1">IF(R621&gt;0,S621*100/R621,0)</f>
        <v>23.951120162932789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IFERROR(__xludf.DUMMYFUNCTION("IMPORTRANGE(""https://docs.google.com/spreadsheets/d/1eHaY18a8A9IcSdp1K8H6x8fbOy06t2VsZHhMHf-1x7Y/edit?usp=sharing"",""แผน!ID61"")"),100)</f>
        <v>100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IFERROR(__xludf.DUMMYFUNCTION("IMPORTRANGE(""https://docs.google.com/spreadsheets/d/1eHaY18a8A9IcSdp1K8H6x8fbOy06t2VsZHhMHf-1x7Y/edit?usp=sharing"",""แผน!IC61"")"),1)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IFERROR(__xludf.DUMMYFUNCTION("IMPORTRANGE(""https://docs.google.com/spreadsheets/d/1eHaY18a8A9IcSdp1K8H6x8fbOy06t2VsZHhMHf-1x7Y/edit?usp=sharing"",""แผน!IC61"")"),1)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230</v>
      </c>
      <c r="K629" s="77">
        <f ca="1">IF(I$626&gt;0,J629*100/I$626,0)</f>
        <v>230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230</v>
      </c>
      <c r="K630" s="77">
        <f ca="1">IF(I$626&gt;0,J630*100/I$626,0)</f>
        <v>230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IFERROR(__xludf.DUMMYFUNCTION("IMPORTRANGE(""https://docs.google.com/spreadsheets/d/1eHaY18a8A9IcSdp1K8H6x8fbOy06t2VsZHhMHf-1x7Y/edit?usp=sharing"",""แผน!IE61"")"),0)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52200</v>
      </c>
      <c r="R642" s="266">
        <f ca="1">R643+R644</f>
        <v>52200</v>
      </c>
      <c r="S642" s="266">
        <f ca="1">S643+S644</f>
        <v>24770</v>
      </c>
      <c r="T642" s="266">
        <f ca="1">IF(Q642&gt;0,S642*100/Q642,0)</f>
        <v>47.452107279693486</v>
      </c>
      <c r="U642" s="266">
        <f ca="1">IF(R642&gt;0,S642*100/R642,0)</f>
        <v>47.452107279693486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52200</v>
      </c>
      <c r="R644" s="77">
        <f ca="1">R647+R650</f>
        <v>52200</v>
      </c>
      <c r="S644" s="77">
        <f ca="1">S647+S650</f>
        <v>24770</v>
      </c>
      <c r="T644" s="77">
        <f ca="1">IF(Q644&gt;0,S644*100/Q644,0)</f>
        <v>47.452107279693486</v>
      </c>
      <c r="U644" s="77">
        <f ca="1">IF(R644&gt;0,S644*100/R644,0)</f>
        <v>47.452107279693486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52200</v>
      </c>
      <c r="R645" s="77">
        <f ca="1">R646+R647</f>
        <v>52200</v>
      </c>
      <c r="S645" s="77">
        <f ca="1">S646+S647</f>
        <v>24770</v>
      </c>
      <c r="T645" s="77">
        <f ca="1">IF(Q645&gt;0,S645*100/Q645,0)</f>
        <v>47.452107279693486</v>
      </c>
      <c r="U645" s="77">
        <f ca="1">IF(R645&gt;0,S645*100/R645,0)</f>
        <v>47.452107279693486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IFERROR(__xludf.DUMMYFUNCTION("IMPORTRANGE(""https://docs.google.com/spreadsheets/d/1ItG2mGa2ceCfYo0BwxsXqNm01IGEUdYcSSLTEv9YCik/edit?usp=sharing"",""เบิกจ่ายกองทุน!I61"")"),52200)</f>
        <v>52200</v>
      </c>
      <c r="R647" s="77">
        <f ca="1">IFERROR(__xludf.DUMMYFUNCTION("IMPORTRANGE(""https://docs.google.com/spreadsheets/d/1ItG2mGa2ceCfYo0BwxsXqNm01IGEUdYcSSLTEv9YCik/edit?usp=sharing"",""เบิกจ่ายกองทุน!J61"")"),52200)</f>
        <v>52200</v>
      </c>
      <c r="S647" s="77">
        <f ca="1">IFERROR(__xludf.DUMMYFUNCTION("IMPORTRANGE(""https://docs.google.com/spreadsheets/d/1ItG2mGa2ceCfYo0BwxsXqNm01IGEUdYcSSLTEv9YCik/edit?usp=sharing"",""เบิกจ่ายกองทุน!K61"")"),24770)</f>
        <v>24770</v>
      </c>
      <c r="T647" s="77">
        <f ca="1">IF(Q647&gt;0,S647*100/Q647,0)</f>
        <v>47.452107279693486</v>
      </c>
      <c r="U647" s="77">
        <f ca="1">IF(R647&gt;0,S647*100/R647,0)</f>
        <v>47.452107279693486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IFERROR(__xludf.DUMMYFUNCTION("IMPORTRANGE(""https://docs.google.com/spreadsheets/d/1eHaY18a8A9IcSdp1K8H6x8fbOy06t2VsZHhMHf-1x7Y/edit?usp=sharing"",""แผน!IF61"")"),0)</f>
        <v>0</v>
      </c>
      <c r="J652" s="295">
        <f ca="1">IFERROR(__xludf.DUMMYFUNCTION("IMPORTRANGE(""https://docs.google.com/spreadsheets/d/1tdoBKaGub7dwA3U6UFTqxio9LNnvDCQjHKmttSEBsFQ/edit?usp=sharing"",""จัดที่ดิน!AU61"")"),0)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IFERROR(__xludf.DUMMYFUNCTION("IMPORTRANGE(""https://docs.google.com/spreadsheets/d/1eHaY18a8A9IcSdp1K8H6x8fbOy06t2VsZHhMHf-1x7Y/edit?usp=sharing"",""แผน!IG61"")"),0)</f>
        <v>0</v>
      </c>
      <c r="J653" s="295">
        <f ca="1">IFERROR(__xludf.DUMMYFUNCTION("IMPORTRANGE(""https://docs.google.com/spreadsheets/d/1tdoBKaGub7dwA3U6UFTqxio9LNnvDCQjHKmttSEBsFQ/edit?usp=sharing"",""จัดที่ดิน!AW61"")"),0)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IFERROR(__xludf.DUMMYFUNCTION("IMPORTRANGE(""https://docs.google.com/spreadsheets/d/1eHaY18a8A9IcSdp1K8H6x8fbOy06t2VsZHhMHf-1x7Y/edit?usp=sharing"",""แผน!IH61"")"),130)</f>
        <v>130</v>
      </c>
      <c r="J654" s="603">
        <f>J657+J660</f>
        <v>120.33</v>
      </c>
      <c r="K654" s="266">
        <f ca="1">IF(I654&gt;0,J654*100/I654,0)</f>
        <v>92.561538461538461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20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21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IFERROR(__xludf.DUMMYFUNCTION("IMPORTRANGE(""https://docs.google.com/spreadsheets/d/1eHaY18a8A9IcSdp1K8H6x8fbOy06t2VsZHhMHf-1x7Y/edit?usp=sharing"",""แผน!II61"")"),130)</f>
        <v>130</v>
      </c>
      <c r="J657" s="296">
        <v>120.33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/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/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IFERROR(__xludf.DUMMYFUNCTION("IMPORTRANGE(""https://docs.google.com/spreadsheets/d/1eHaY18a8A9IcSdp1K8H6x8fbOy06t2VsZHhMHf-1x7Y/edit?usp=sharing"",""แผน!IJ61"")"),0)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IFERROR(__xludf.DUMMYFUNCTION("IMPORTRANGE(""https://docs.google.com/spreadsheets/d/1eHaY18a8A9IcSdp1K8H6x8fbOy06t2VsZHhMHf-1x7Y/edit?usp=sharing"",""แผน!IK61"")"),100)</f>
        <v>100</v>
      </c>
      <c r="J661" s="603">
        <f>J667+J670</f>
        <v>74.88</v>
      </c>
      <c r="K661" s="266">
        <f ca="1">IF(I661&gt;0,J661*100/I661,0)</f>
        <v>74.88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11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12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74.88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IFERROR(__xludf.DUMMYFUNCTION("IMPORTRANGE(""https://docs.google.com/spreadsheets/d/1tdoBKaGub7dwA3U6UFTqxio9LNnvDCQjHKmttSEBsFQ/edit?usp=sharing"",""จัดที่ดิน!AY61"")"),4)</f>
        <v>4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IFERROR(__xludf.DUMMYFUNCTION("IMPORTRANGE(""https://docs.google.com/spreadsheets/d/1tdoBKaGub7dwA3U6UFTqxio9LNnvDCQjHKmttSEBsFQ/edit?usp=sharing"",""จัดที่ดิน!AZ61"")"),6)</f>
        <v>6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IFERROR(__xludf.DUMMYFUNCTION("IMPORTRANGE(""https://docs.google.com/spreadsheets/d/1eHaY18a8A9IcSdp1K8H6x8fbOy06t2VsZHhMHf-1x7Y/edit?usp=sharing"",""แผน!IL61"")"),400)</f>
        <v>400</v>
      </c>
      <c r="J673" s="295">
        <f ca="1">IFERROR(__xludf.DUMMYFUNCTION("IMPORTRANGE(""https://docs.google.com/spreadsheets/d/1tdoBKaGub7dwA3U6UFTqxio9LNnvDCQjHKmttSEBsFQ/edit?usp=sharing"",""จัดที่ดิน!BA61"")"),51.26)</f>
        <v>51.26</v>
      </c>
      <c r="K673" s="77">
        <f ca="1">IF(I673&gt;0,J673*100/I673,0)</f>
        <v>12.815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IFERROR(__xludf.DUMMYFUNCTION("IMPORTRANGE(""https://docs.google.com/spreadsheets/d/1eHaY18a8A9IcSdp1K8H6x8fbOy06t2VsZHhMHf-1x7Y/edit?usp=sharing"",""แผน!IM61"")"),30)</f>
        <v>30</v>
      </c>
      <c r="J674" s="603">
        <f ca="1">J676+J679</f>
        <v>90</v>
      </c>
      <c r="K674" s="266">
        <f ca="1">IF(I674&gt;0,J674*100/I674,0)</f>
        <v>300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IFERROR(__xludf.DUMMYFUNCTION("IMPORTRANGE(""https://docs.google.com/spreadsheets/d/1eHaY18a8A9IcSdp1K8H6x8fbOy06t2VsZHhMHf-1x7Y/edit?usp=sharing"",""แผน!IN61"")"),250)</f>
        <v>250</v>
      </c>
      <c r="J675" s="603">
        <f ca="1">J678+J681</f>
        <v>610.71</v>
      </c>
      <c r="K675" s="266">
        <f ca="1">IF(I675&gt;0,J675*100/I675,0)</f>
        <v>244.28399999999999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IFERROR(__xludf.DUMMYFUNCTION("IMPORTRANGE(""https://docs.google.com/spreadsheets/d/1eHaY18a8A9IcSdp1K8H6x8fbOy06t2VsZHhMHf-1x7Y/edit?usp=sharing"",""แผน!IO61"")"),15)</f>
        <v>15</v>
      </c>
      <c r="J676" s="295">
        <f ca="1">IFERROR(__xludf.DUMMYFUNCTION("IMPORTRANGE(""https://docs.google.com/spreadsheets/d/1tdoBKaGub7dwA3U6UFTqxio9LNnvDCQjHKmttSEBsFQ/edit?usp=sharing"",""จัดที่ดิน!BF61"")"),19)</f>
        <v>19</v>
      </c>
      <c r="K676" s="77">
        <f ca="1">IF(I676&gt;0,J676*100/I676,0)</f>
        <v>126.66666666666667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IFERROR(__xludf.DUMMYFUNCTION("IMPORTRANGE(""https://docs.google.com/spreadsheets/d/1tdoBKaGub7dwA3U6UFTqxio9LNnvDCQjHKmttSEBsFQ/edit?usp=sharing"",""จัดที่ดิน!BG61"")"),20)</f>
        <v>20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IFERROR(__xludf.DUMMYFUNCTION("IMPORTRANGE(""https://docs.google.com/spreadsheets/d/1eHaY18a8A9IcSdp1K8H6x8fbOy06t2VsZHhMHf-1x7Y/edit?usp=sharing"",""แผน!IP61"")"),150)</f>
        <v>150</v>
      </c>
      <c r="J678" s="295">
        <f ca="1">IFERROR(__xludf.DUMMYFUNCTION("IMPORTRANGE(""https://docs.google.com/spreadsheets/d/1tdoBKaGub7dwA3U6UFTqxio9LNnvDCQjHKmttSEBsFQ/edit?usp=sharing"",""จัดที่ดิน!BH61"")"),166.23)</f>
        <v>166.23</v>
      </c>
      <c r="K678" s="77">
        <f ca="1">IF(I678&gt;0,J678*100/I678,0)</f>
        <v>110.82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IFERROR(__xludf.DUMMYFUNCTION("IMPORTRANGE(""https://docs.google.com/spreadsheets/d/1eHaY18a8A9IcSdp1K8H6x8fbOy06t2VsZHhMHf-1x7Y/edit?usp=sharing"",""แผน!IQ61"")"),15)</f>
        <v>15</v>
      </c>
      <c r="J679" s="295">
        <f ca="1">IFERROR(__xludf.DUMMYFUNCTION("IMPORTRANGE(""https://docs.google.com/spreadsheets/d/1tdoBKaGub7dwA3U6UFTqxio9LNnvDCQjHKmttSEBsFQ/edit?usp=sharing"",""จัดที่ดิน!BK61"")"),71)</f>
        <v>71</v>
      </c>
      <c r="K679" s="77">
        <f ca="1">IF(I679&gt;0,J679*100/I679,0)</f>
        <v>473.33333333333331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IFERROR(__xludf.DUMMYFUNCTION("IMPORTRANGE(""https://docs.google.com/spreadsheets/d/1tdoBKaGub7dwA3U6UFTqxio9LNnvDCQjHKmttSEBsFQ/edit?usp=sharing"",""จัดที่ดิน!BL61"")"),85)</f>
        <v>85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IFERROR(__xludf.DUMMYFUNCTION("IMPORTRANGE(""https://docs.google.com/spreadsheets/d/1eHaY18a8A9IcSdp1K8H6x8fbOy06t2VsZHhMHf-1x7Y/edit?usp=sharing"",""แผน!IR61"")"),100)</f>
        <v>100</v>
      </c>
      <c r="J681" s="295">
        <f ca="1">IFERROR(__xludf.DUMMYFUNCTION("IMPORTRANGE(""https://docs.google.com/spreadsheets/d/1tdoBKaGub7dwA3U6UFTqxio9LNnvDCQjHKmttSEBsFQ/edit?usp=sharing"",""จัดที่ดิน!BM61"")"),444.48)</f>
        <v>444.48</v>
      </c>
      <c r="K681" s="77">
        <f ca="1">IF(I681&gt;0,J681*100/I681,0)</f>
        <v>444.48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IFERROR(__xludf.DUMMYFUNCTION("IMPORTRANGE(""https://docs.google.com/spreadsheets/d/1eHaY18a8A9IcSdp1K8H6x8fbOy06t2VsZHhMHf-1x7Y/edit?usp=sharing"",""แผน!IS61"")"),70)</f>
        <v>70</v>
      </c>
      <c r="J682" s="603">
        <f>J685+J688</f>
        <v>84.08</v>
      </c>
      <c r="K682" s="266">
        <f ca="1">IF(I682&gt;0,J682*100/I682,0)</f>
        <v>120.11428571428571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10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10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84.08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59590</v>
      </c>
      <c r="R690" s="266">
        <f ca="1">R691+R692</f>
        <v>59590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59590</v>
      </c>
      <c r="R692" s="77">
        <f ca="1">R695+R698</f>
        <v>59590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59590</v>
      </c>
      <c r="R693" s="77">
        <f ca="1">R694+R695</f>
        <v>59590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IFERROR(__xludf.DUMMYFUNCTION("IMPORTRANGE(""https://docs.google.com/spreadsheets/d/1ItG2mGa2ceCfYo0BwxsXqNm01IGEUdYcSSLTEv9YCik/edit?usp=sharing"",""เบิกจ่ายกองทุน!L61"")"),59590)</f>
        <v>59590</v>
      </c>
      <c r="R695" s="77">
        <f ca="1">IFERROR(__xludf.DUMMYFUNCTION("IMPORTRANGE(""https://docs.google.com/spreadsheets/d/1ItG2mGa2ceCfYo0BwxsXqNm01IGEUdYcSSLTEv9YCik/edit?usp=sharing"",""เบิกจ่ายกองทุน!M61"")"),59590)</f>
        <v>59590</v>
      </c>
      <c r="S695" s="77">
        <f ca="1">IFERROR(__xludf.DUMMYFUNCTION("IMPORTRANGE(""https://docs.google.com/spreadsheets/d/1ItG2mGa2ceCfYo0BwxsXqNm01IGEUdYcSSLTEv9YCik/edit?usp=sharing"",""เบิกจ่ายกองทุน!N61"")"),0)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IFERROR(__xludf.DUMMYFUNCTION("IMPORTRANGE(""https://docs.google.com/spreadsheets/d/1eHaY18a8A9IcSdp1K8H6x8fbOy06t2VsZHhMHf-1x7Y/edit?usp=sharing"",""แผน!LC61"")"),0)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3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IFERROR(__xludf.DUMMYFUNCTION("IMPORTRANGE(""https://docs.google.com/spreadsheets/d/1eHaY18a8A9IcSdp1K8H6x8fbOy06t2VsZHhMHf-1x7Y/edit?usp=sharing"",""แผน!LJ61"")"),0)</f>
        <v>0</v>
      </c>
      <c r="J703" s="295">
        <f ca="1">IFERROR(__xludf.DUMMYFUNCTION("IMPORTRANGE(""https://docs.google.com/spreadsheets/d/1tdoBKaGub7dwA3U6UFTqxio9LNnvDCQjHKmttSEBsFQ/edit?usp=sharing"",""จัดที่ดิน!AP61"")"),0)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IFERROR(__xludf.DUMMYFUNCTION("IMPORTRANGE(""https://docs.google.com/spreadsheets/d/1tdoBKaGub7dwA3U6UFTqxio9LNnvDCQjHKmttSEBsFQ/edit?usp=sharing"",""จัดที่ดิน!AQ61"")"),0)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IFERROR(__xludf.DUMMYFUNCTION("IMPORTRANGE(""https://docs.google.com/spreadsheets/d/1eHaY18a8A9IcSdp1K8H6x8fbOy06t2VsZHhMHf-1x7Y/edit?usp=sharing"",""แผน!LK61"")"),3)</f>
        <v>3</v>
      </c>
      <c r="J705" s="295">
        <f ca="1">IFERROR(__xludf.DUMMYFUNCTION("IMPORTRANGE(""https://docs.google.com/spreadsheets/d/1tdoBKaGub7dwA3U6UFTqxio9LNnvDCQjHKmttSEBsFQ/edit?usp=sharing"",""จัดที่ดิน!AR61"")"),0)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IFERROR(__xludf.DUMMYFUNCTION("IMPORTRANGE(""https://docs.google.com/spreadsheets/d/1tdoBKaGub7dwA3U6UFTqxio9LNnvDCQjHKmttSEBsFQ/edit?usp=sharing"",""จัดที่ดิน!AS61"")"),0)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IFERROR(__xludf.DUMMYFUNCTION("IMPORTRANGE(""https://docs.google.com/spreadsheets/d/1eHaY18a8A9IcSdp1K8H6x8fbOy06t2VsZHhMHf-1x7Y/edit?usp=sharing"",""แผน!LJ61"")"),0)</f>
        <v>0</v>
      </c>
      <c r="J707" s="295">
        <f ca="1">IFERROR(__xludf.DUMMYFUNCTION("IMPORTRANGE(""https://docs.google.com/spreadsheets/d/1tdoBKaGub7dwA3U6UFTqxio9LNnvDCQjHKmttSEBsFQ/edit?usp=sharing"",""จัดที่ดิน!BN61"")"),0)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IFERROR(__xludf.DUMMYFUNCTION("IMPORTRANGE(""https://docs.google.com/spreadsheets/d/1tdoBKaGub7dwA3U6UFTqxio9LNnvDCQjHKmttSEBsFQ/edit?usp=sharing"",""จัดที่ดิน!BO61"")"),0)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IFERROR(__xludf.DUMMYFUNCTION("IMPORTRANGE(""https://docs.google.com/spreadsheets/d/1eHaY18a8A9IcSdp1K8H6x8fbOy06t2VsZHhMHf-1x7Y/edit?usp=sharing"",""แผน!LK61"")"),3)</f>
        <v>3</v>
      </c>
      <c r="J709" s="295">
        <f ca="1">IFERROR(__xludf.DUMMYFUNCTION("IMPORTRANGE(""https://docs.google.com/spreadsheets/d/1tdoBKaGub7dwA3U6UFTqxio9LNnvDCQjHKmttSEBsFQ/edit?usp=sharing"",""จัดที่ดิน!BP61"")"),4)</f>
        <v>4</v>
      </c>
      <c r="K709" s="77">
        <f ca="1">IF(I709&gt;0,J709*100/I709,0)</f>
        <v>133.33333333333334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IFERROR(__xludf.DUMMYFUNCTION("IMPORTRANGE(""https://docs.google.com/spreadsheets/d/1tdoBKaGub7dwA3U6UFTqxio9LNnvDCQjHKmttSEBsFQ/edit?usp=sharing"",""จัดที่ดิน!BQ61"")"),0)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IFERROR(__xludf.DUMMYFUNCTION("IMPORTRANGE(""https://docs.google.com/spreadsheets/d/1eHaY18a8A9IcSdp1K8H6x8fbOy06t2VsZHhMHf-1x7Y/edit?usp=sharing"",""แผน!FZ61"")"),0)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IFERROR(__xludf.DUMMYFUNCTION("IMPORTRANGE(""https://docs.google.com/spreadsheets/d/1eHaY18a8A9IcSdp1K8H6x8fbOy06t2VsZHhMHf-1x7Y/edit?usp=sharing"",""แผน!GA61"")"),0)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IFERROR(__xludf.DUMMYFUNCTION("IMPORTRANGE(""https://docs.google.com/spreadsheets/d/1ItG2mGa2ceCfYo0BwxsXqNm01IGEUdYcSSLTEv9YCik/edit?usp=sharing"",""เบิกจ่ายกองทุน!O61"")"),0)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IFERROR(__xludf.DUMMYFUNCTION("IMPORTRANGE(""https://docs.google.com/spreadsheets/d/1ItG2mGa2ceCfYo0BwxsXqNm01IGEUdYcSSLTEv9YCik/edit?usp=sharing"",""เบิกจ่ายกองทุน!P61"")"),0)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IFERROR(__xludf.DUMMYFUNCTION("IMPORTRANGE(""https://docs.google.com/spreadsheets/d/1ItG2mGa2ceCfYo0BwxsXqNm01IGEUdYcSSLTEv9YCik/edit?usp=sharing"",""เบิกจ่ายกองทุน!Q61"")"),0)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IFERROR(__xludf.DUMMYFUNCTION("IMPORTRANGE(""https://docs.google.com/spreadsheets/d/1eHaY18a8A9IcSdp1K8H6x8fbOy06t2VsZHhMHf-1x7Y/edit?usp=sharing"",""แผน!GB61"")"),0)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IFERROR(__xludf.DUMMYFUNCTION("IMPORTRANGE(""https://docs.google.com/spreadsheets/d/1eHaY18a8A9IcSdp1K8H6x8fbOy06t2VsZHhMHf-1x7Y/edit?usp=sharing"",""แผน!GC61"")"),0)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IFERROR(__xludf.DUMMYFUNCTION("IMPORTRANGE(""https://docs.google.com/spreadsheets/d/1eHaY18a8A9IcSdp1K8H6x8fbOy06t2VsZHhMHf-1x7Y/edit?usp=sharing"",""แผน!GD61"")"),0)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IFERROR(__xludf.DUMMYFUNCTION("IMPORTRANGE(""https://docs.google.com/spreadsheets/d/1eHaY18a8A9IcSdp1K8H6x8fbOy06t2VsZHhMHf-1x7Y/edit?usp=sharing"",""แผน!GE61"")"),0)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IFERROR(__xludf.DUMMYFUNCTION("IMPORTRANGE(""https://docs.google.com/spreadsheets/d/1eHaY18a8A9IcSdp1K8H6x8fbOy06t2VsZHhMHf-1x7Y/edit?usp=sharing"",""แผน!GF61"")"),0)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IFERROR(__xludf.DUMMYFUNCTION("IMPORTRANGE(""https://docs.google.com/spreadsheets/d/1eHaY18a8A9IcSdp1K8H6x8fbOy06t2VsZHhMHf-1x7Y/edit?usp=sharing"",""แผน!GC61"")"),0)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IFERROR(__xludf.DUMMYFUNCTION("IMPORTRANGE(""https://docs.google.com/spreadsheets/d/1eHaY18a8A9IcSdp1K8H6x8fbOy06t2VsZHhMHf-1x7Y/edit?usp=sharing"",""แผน!GE61"")"),0)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10</v>
      </c>
      <c r="J758" s="760">
        <f>J772</f>
        <v>10</v>
      </c>
      <c r="K758" s="746">
        <f ca="1">IF(I758&gt;0,J758*100/I758,0)</f>
        <v>100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20</v>
      </c>
      <c r="J759" s="760">
        <f>J774</f>
        <v>20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91360</v>
      </c>
      <c r="R760" s="266">
        <f ca="1">R761+R762</f>
        <v>91360</v>
      </c>
      <c r="S760" s="266">
        <f ca="1">S761+S762</f>
        <v>49410</v>
      </c>
      <c r="T760" s="266">
        <f ca="1">IF(Q760&gt;0,S760*100/Q760,0)</f>
        <v>54.082749562171628</v>
      </c>
      <c r="U760" s="266">
        <f ca="1">IF(R760&gt;0,S760*100/R760,0)</f>
        <v>54.082749562171628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91360</v>
      </c>
      <c r="R762" s="77">
        <f ca="1">R765+R768</f>
        <v>91360</v>
      </c>
      <c r="S762" s="77">
        <f ca="1">S765+S768</f>
        <v>49410</v>
      </c>
      <c r="T762" s="77">
        <f ca="1">IF(Q762&gt;0,S762*100/Q762,0)</f>
        <v>54.082749562171628</v>
      </c>
      <c r="U762" s="77">
        <f ca="1">IF(R762&gt;0,S762*100/R762,0)</f>
        <v>54.082749562171628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91360</v>
      </c>
      <c r="R763" s="77">
        <f ca="1">R764+R765</f>
        <v>91360</v>
      </c>
      <c r="S763" s="77">
        <f ca="1">S764+S765</f>
        <v>49410</v>
      </c>
      <c r="T763" s="77">
        <f ca="1">IF(Q763&gt;0,S763*100/Q763,0)</f>
        <v>54.082749562171628</v>
      </c>
      <c r="U763" s="77">
        <f ca="1">IF(R763&gt;0,S763*100/R763,0)</f>
        <v>54.082749562171628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IFERROR(__xludf.DUMMYFUNCTION("IMPORTRANGE(""https://docs.google.com/spreadsheets/d/1ItG2mGa2ceCfYo0BwxsXqNm01IGEUdYcSSLTEv9YCik/edit?usp=sharing"",""เบิกจ่ายกองทุน!U61"")"),91360)</f>
        <v>91360</v>
      </c>
      <c r="R765" s="77">
        <f ca="1">IFERROR(__xludf.DUMMYFUNCTION("IMPORTRANGE(""https://docs.google.com/spreadsheets/d/1ItG2mGa2ceCfYo0BwxsXqNm01IGEUdYcSSLTEv9YCik/edit?usp=sharing"",""เบิกจ่ายกองทุน!V61"")"),91360)</f>
        <v>91360</v>
      </c>
      <c r="S765" s="77">
        <f ca="1">IFERROR(__xludf.DUMMYFUNCTION("IMPORTRANGE(""https://docs.google.com/spreadsheets/d/1ItG2mGa2ceCfYo0BwxsXqNm01IGEUdYcSSLTEv9YCik/edit?usp=sharing"",""เบิกจ่ายกองทุน!W61"")"),49410)</f>
        <v>49410</v>
      </c>
      <c r="T765" s="77">
        <f ca="1">IF(Q765&gt;0,S765*100/Q765,0)</f>
        <v>54.082749562171628</v>
      </c>
      <c r="U765" s="77">
        <f ca="1">IF(R765&gt;0,S765*100/R765,0)</f>
        <v>54.082749562171628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IFERROR(__xludf.DUMMYFUNCTION("IMPORTRANGE(""https://docs.google.com/spreadsheets/d/1eHaY18a8A9IcSdp1K8H6x8fbOy06t2VsZHhMHf-1x7Y/edit?usp=sharing"",""แผน!FI61"")"),0)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IFERROR(__xludf.DUMMYFUNCTION("IMPORTRANGE(""https://docs.google.com/spreadsheets/d/1eHaY18a8A9IcSdp1K8H6x8fbOy06t2VsZHhMHf-1x7Y/edit?usp=sharing"",""แผน!FQ61"")"),10)</f>
        <v>10</v>
      </c>
      <c r="J772" s="296">
        <v>10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IFERROR(__xludf.DUMMYFUNCTION("IMPORTRANGE(""https://docs.google.com/spreadsheets/d/1eHaY18a8A9IcSdp1K8H6x8fbOy06t2VsZHhMHf-1x7Y/edit?usp=sharing"",""แผน!FR61"")"),20)</f>
        <v>20</v>
      </c>
      <c r="J774" s="296">
        <v>20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IFERROR(__xludf.DUMMYFUNCTION("IMPORTRANGE(""https://docs.google.com/spreadsheets/d/1eHaY18a8A9IcSdp1K8H6x8fbOy06t2VsZHhMHf-1x7Y/edit?usp=sharing"",""แผน!FS61"")"),20)</f>
        <v>20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IFERROR(__xludf.DUMMYFUNCTION("IMPORTRANGE(""https://docs.google.com/spreadsheets/d/1eHaY18a8A9IcSdp1K8H6x8fbOy06t2VsZHhMHf-1x7Y/edit?usp=sharing"",""แผน!FT61"")"),10)</f>
        <v>10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IFERROR(__xludf.DUMMYFUNCTION("IMPORTRANGE(""https://docs.google.com/spreadsheets/d/10OvvATaaLtwErnr3qtWFcTmtbfpFEt5Bsqel9sXx0uE/edit?usp=sharing"",""งานกองทุน!D61"")"),1318000)</f>
        <v>1318000</v>
      </c>
      <c r="J778" s="295">
        <f ca="1">IFERROR(__xludf.DUMMYFUNCTION("IMPORTRANGE(""https://docs.google.com/spreadsheets/d/10OvvATaaLtwErnr3qtWFcTmtbfpFEt5Bsqel9sXx0uE/edit?usp=sharing"",""งานกองทุน!F61"")"),899000)</f>
        <v>899000</v>
      </c>
      <c r="K778" s="77">
        <f ca="1">IF(I778&gt;0,J778*100/I778,0)</f>
        <v>68.209408194233689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IFERROR(__xludf.DUMMYFUNCTION("IMPORTRANGE(""https://docs.google.com/spreadsheets/d/10OvvATaaLtwErnr3qtWFcTmtbfpFEt5Bsqel9sXx0uE/edit?usp=sharing"",""งานกองทุน!C61"")"),45)</f>
        <v>45</v>
      </c>
      <c r="J779" s="295">
        <f ca="1">IFERROR(__xludf.DUMMYFUNCTION("IMPORTRANGE(""https://docs.google.com/spreadsheets/d/10OvvATaaLtwErnr3qtWFcTmtbfpFEt5Bsqel9sXx0uE/edit?usp=sharing"",""งานกองทุน!E61"")"),32)</f>
        <v>32</v>
      </c>
      <c r="K779" s="77">
        <f ca="1">IF(I779&gt;0,J779*100/I779,0)</f>
        <v>71.111111111111114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IFERROR(__xludf.DUMMYFUNCTION("IMPORTRANGE(""https://docs.google.com/spreadsheets/d/10OvvATaaLtwErnr3qtWFcTmtbfpFEt5Bsqel9sXx0uE/edit?usp=sharing"",""งานกองทุน!I61"")"),88462.27)</f>
        <v>88462.27</v>
      </c>
      <c r="J780" s="295">
        <f ca="1">IFERROR(__xludf.DUMMYFUNCTION("IMPORTRANGE(""https://docs.google.com/spreadsheets/d/10OvvATaaLtwErnr3qtWFcTmtbfpFEt5Bsqel9sXx0uE/edit?usp=sharing"",""งานกองทุน!K61"")"),32251.8)</f>
        <v>32251.8</v>
      </c>
      <c r="K780" s="77">
        <f ca="1">IF(I780&gt;0,J780*100/I780,0)</f>
        <v>36.458255027821465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IFERROR(__xludf.DUMMYFUNCTION("IMPORTRANGE(""https://docs.google.com/spreadsheets/d/10OvvATaaLtwErnr3qtWFcTmtbfpFEt5Bsqel9sXx0uE/edit?usp=sharing"",""งานกองทุน!H61"")"),6)</f>
        <v>6</v>
      </c>
      <c r="J781" s="295">
        <f ca="1">IFERROR(__xludf.DUMMYFUNCTION("IMPORTRANGE(""https://docs.google.com/spreadsheets/d/10OvvATaaLtwErnr3qtWFcTmtbfpFEt5Bsqel9sXx0uE/edit?usp=sharing"",""งานกองทุน!J61"")"),4)</f>
        <v>4</v>
      </c>
      <c r="K781" s="77">
        <f ca="1">IF(I781&gt;0,J781*100/I781,0)</f>
        <v>66.666666666666671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IFERROR(__xludf.DUMMYFUNCTION("IMPORTRANGE(""https://docs.google.com/spreadsheets/d/10OvvATaaLtwErnr3qtWFcTmtbfpFEt5Bsqel9sXx0uE/edit?usp=sharing"",""งานกองทุน!N61"")"),2513736.39)</f>
        <v>2513736.39</v>
      </c>
      <c r="J782" s="295">
        <f ca="1">IFERROR(__xludf.DUMMYFUNCTION("IMPORTRANGE(""https://docs.google.com/spreadsheets/d/10OvvATaaLtwErnr3qtWFcTmtbfpFEt5Bsqel9sXx0uE/edit?usp=sharing"",""งานกองทุน!P61"")"),891617.88)</f>
        <v>891617.88</v>
      </c>
      <c r="K782" s="77">
        <f ca="1">IF(I782&gt;0,J782*100/I782,0)</f>
        <v>35.46982426426981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IFERROR(__xludf.DUMMYFUNCTION("IMPORTRANGE(""https://docs.google.com/spreadsheets/d/10OvvATaaLtwErnr3qtWFcTmtbfpFEt5Bsqel9sXx0uE/edit?usp=sharing"",""งานกองทุน!M61"")"),1855)</f>
        <v>1855</v>
      </c>
      <c r="J783" s="295">
        <f ca="1">IFERROR(__xludf.DUMMYFUNCTION("IMPORTRANGE(""https://docs.google.com/spreadsheets/d/10OvvATaaLtwErnr3qtWFcTmtbfpFEt5Bsqel9sXx0uE/edit?usp=sharing"",""งานกองทุน!O61"")"),1342)</f>
        <v>1342</v>
      </c>
      <c r="K783" s="77">
        <f ca="1">IF(I783&gt;0,J783*100/I783,0)</f>
        <v>72.345013477088955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IFERROR(__xludf.DUMMYFUNCTION("IMPORTRANGE(""https://docs.google.com/spreadsheets/d/10OvvATaaLtwErnr3qtWFcTmtbfpFEt5Bsqel9sXx0uE/edit?usp=sharing"",""งานกองทุน!S61"")"),1092000)</f>
        <v>1092000</v>
      </c>
      <c r="J784" s="295">
        <f ca="1">IFERROR(__xludf.DUMMYFUNCTION("IMPORTRANGE(""https://docs.google.com/spreadsheets/d/10OvvATaaLtwErnr3qtWFcTmtbfpFEt5Bsqel9sXx0uE/edit?usp=sharing"",""งานกองทุน!U61"")"),210000)</f>
        <v>210000</v>
      </c>
      <c r="K784" s="77">
        <f ca="1">IF(I784&gt;0,J784*100/I784,0)</f>
        <v>19.23076923076923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IFERROR(__xludf.DUMMYFUNCTION("IMPORTRANGE(""https://docs.google.com/spreadsheets/d/10OvvATaaLtwErnr3qtWFcTmtbfpFEt5Bsqel9sXx0uE/edit?usp=sharing"",""งานกองทุน!R61"")"),39)</f>
        <v>39</v>
      </c>
      <c r="J785" s="773">
        <f ca="1">IFERROR(__xludf.DUMMYFUNCTION("IMPORTRANGE(""https://docs.google.com/spreadsheets/d/10OvvATaaLtwErnr3qtWFcTmtbfpFEt5Bsqel9sXx0uE/edit?usp=sharing"",""งานกองทุน!T61"")"),7)</f>
        <v>7</v>
      </c>
      <c r="K785" s="185">
        <f ca="1">IF(I785&gt;0,J785*100/I785,0)</f>
        <v>17.948717948717949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1877-1704-434D-9B05-134FCF3BA6FE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6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347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1209180</v>
      </c>
      <c r="M18" s="62">
        <f ca="1">M19+M20</f>
        <v>1229433</v>
      </c>
      <c r="N18" s="62">
        <f ca="1">N19+N20</f>
        <v>964785.97</v>
      </c>
      <c r="O18" s="62">
        <f ca="1">IF(L18&gt;0,N18*100/L18,0)</f>
        <v>79.788449196976458</v>
      </c>
      <c r="P18" s="62">
        <f ca="1">IF(M18&gt;0,N18*100/M18,0)</f>
        <v>78.474058366743037</v>
      </c>
      <c r="Q18" s="62">
        <f ca="1">Q19+Q20</f>
        <v>1142515.3900000001</v>
      </c>
      <c r="R18" s="62">
        <f ca="1">R19+R20</f>
        <v>1142515</v>
      </c>
      <c r="S18" s="62">
        <f ca="1">S19+S20</f>
        <v>33080</v>
      </c>
      <c r="T18" s="62">
        <f ca="1">IF(Q18&gt;0,S18*100/Q18,0)</f>
        <v>2.8953658120964127</v>
      </c>
      <c r="U18" s="62">
        <f ca="1">IF(R18&gt;0,S18*100/R18,0)</f>
        <v>2.8953668004358804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1209180</v>
      </c>
      <c r="M20" s="68">
        <f ca="1">M23+M26</f>
        <v>1229433</v>
      </c>
      <c r="N20" s="68">
        <f ca="1">N23+N26</f>
        <v>964785.97</v>
      </c>
      <c r="O20" s="68">
        <f ca="1">IF(L20&gt;0,N20*100/L20,0)</f>
        <v>79.788449196976458</v>
      </c>
      <c r="P20" s="68">
        <f ca="1">IF(M20&gt;0,N20*100/M20,0)</f>
        <v>78.474058366743037</v>
      </c>
      <c r="Q20" s="68">
        <f ca="1">Q23+Q26</f>
        <v>1142515.3900000001</v>
      </c>
      <c r="R20" s="68">
        <f ca="1">R23+R26</f>
        <v>1142515</v>
      </c>
      <c r="S20" s="68">
        <f ca="1">S23+S26</f>
        <v>33080</v>
      </c>
      <c r="T20" s="68">
        <f ca="1">IF(Q20&gt;0,S20*100/Q20,0)</f>
        <v>2.8953658120964127</v>
      </c>
      <c r="U20" s="68">
        <f ca="1">IF(R20&gt;0,S20*100/R20,0)</f>
        <v>2.8953668004358804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1209180</v>
      </c>
      <c r="M21" s="77">
        <f ca="1">M22+M23</f>
        <v>1229433</v>
      </c>
      <c r="N21" s="77">
        <f ca="1">N22+N23</f>
        <v>964785.97</v>
      </c>
      <c r="O21" s="77">
        <f ca="1">IF(L21&gt;0,N21*100/L21,0)</f>
        <v>79.788449196976458</v>
      </c>
      <c r="P21" s="77">
        <f ca="1">IF(M21&gt;0,N21*100/M21,0)</f>
        <v>78.474058366743037</v>
      </c>
      <c r="Q21" s="77">
        <f ca="1">Q22+Q23</f>
        <v>1142515.3900000001</v>
      </c>
      <c r="R21" s="77">
        <f ca="1">R22+R23</f>
        <v>1142515</v>
      </c>
      <c r="S21" s="77">
        <f ca="1">S22+S23</f>
        <v>33080</v>
      </c>
      <c r="T21" s="77">
        <f ca="1">IF(Q21&gt;0,S21*100/Q21,0)</f>
        <v>2.8953658120964127</v>
      </c>
      <c r="U21" s="77">
        <f ca="1">IF(R21&gt;0,S21*100/R21,0)</f>
        <v>2.8953668004358804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1209180</v>
      </c>
      <c r="M23" s="77">
        <f ca="1">M49+M64+M77+M99+M130+M144+M162+M191+M178+M271+M287+M308+M325+M338+M361+M518</f>
        <v>1229433</v>
      </c>
      <c r="N23" s="77">
        <f ca="1">N49+N64+N77+N99+N130+N144+N162+N191+N178+N271+N287+N308+N325+N338+N361+N518</f>
        <v>964785.97</v>
      </c>
      <c r="O23" s="77">
        <f ca="1">IF(L23&gt;0,N23*100/L23,0)</f>
        <v>79.788449196976458</v>
      </c>
      <c r="P23" s="77">
        <f ca="1">IF(M23&gt;0,N23*100/M23,0)</f>
        <v>78.474058366743037</v>
      </c>
      <c r="Q23" s="77">
        <f ca="1">Q77+Q99+Q122+Q144+Q162+Q178+Q191+Q271+Q287+Q308+Q338+Q380+Q397+Q418+Q498+Q604+Q621+Q647+Q695+Q719+Q733+Q765</f>
        <v>1142515.3900000001</v>
      </c>
      <c r="R23" s="77">
        <f ca="1">R77+R99+R122+R144+R162+R178+R191+R271+R287+R308+R338+R380+R397+R418+R498+R604+R621+R647+R695+R719+R733+R765</f>
        <v>1142515</v>
      </c>
      <c r="S23" s="77">
        <f ca="1">S77+S99+S122+S144+S162+S178+S191+S271+S287+S308+S338+S380+S397+S418+S498+S604+S621+S647+S695+S719+S733+S765</f>
        <v>33080</v>
      </c>
      <c r="T23" s="77">
        <f ca="1">IF(Q23&gt;0,S23*100/Q23,0)</f>
        <v>2.8953658120964127</v>
      </c>
      <c r="U23" s="77">
        <f ca="1">IF(R23&gt;0,S23*100/R23,0)</f>
        <v>2.8953668004358804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38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1209180</v>
      </c>
      <c r="M40" s="1308">
        <f ca="1">M44+M59+M72+M94+M125+M139+M157+M173+M186+M266+M282+M303+M320+M333+M356</f>
        <v>1229433</v>
      </c>
      <c r="N40" s="1308">
        <f ca="1">N44+N59+N72+N94+N125+N139+N157+N173+N186+N266+N282+N303+N320+N333+N356</f>
        <v>964785.97</v>
      </c>
      <c r="O40" s="1308">
        <f ca="1">IF(L40&gt;0,N40*100/L40,0)</f>
        <v>79.788449196976458</v>
      </c>
      <c r="P40" s="1308">
        <f ca="1">IF(M40&gt;0,N40*100/M40,0)</f>
        <v>78.474058366743037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192600</v>
      </c>
      <c r="M44" s="1304">
        <f ca="1">M45+M46</f>
        <v>200433</v>
      </c>
      <c r="N44" s="1304">
        <f ca="1">N45+N46</f>
        <v>196033</v>
      </c>
      <c r="O44" s="1304">
        <f ca="1">IF(L44&gt;0,N44*100/L44,0)</f>
        <v>101.78245067497404</v>
      </c>
      <c r="P44" s="1304">
        <f ca="1">IF(M44&gt;0,N44*100/M44,0)</f>
        <v>97.804752710382019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192600</v>
      </c>
      <c r="M46" s="1300">
        <f ca="1">M49+M52</f>
        <v>200433</v>
      </c>
      <c r="N46" s="1300">
        <f ca="1">N49+N52</f>
        <v>196033</v>
      </c>
      <c r="O46" s="1300">
        <f ca="1">IF(L46&gt;0,N46*100/L46,0)</f>
        <v>101.78245067497404</v>
      </c>
      <c r="P46" s="1300">
        <f ca="1">IF(M46&gt;0,N46*100/M46,0)</f>
        <v>97.804752710382019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192600</v>
      </c>
      <c r="M47" s="77">
        <f ca="1">M48+M49</f>
        <v>200433</v>
      </c>
      <c r="N47" s="77">
        <f ca="1">N48+N49</f>
        <v>196033</v>
      </c>
      <c r="O47" s="77">
        <f ca="1">IF(L47&gt;0,N47*100/L47,0)</f>
        <v>101.78245067497404</v>
      </c>
      <c r="P47" s="77">
        <f ca="1">IF(M47&gt;0,N47*100/M47,0)</f>
        <v>97.804752710382019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IFERROR(__xludf.DUMMYFUNCTION("IMPORTRANGE(""https://docs.google.com/spreadsheets/d/1-uDff_7J0KD5mKrp0Vvzr7lt3OU09vwQwhkpOPPYv2Y/edit?usp=sharing"",""งบพรบ!P62"")"),192600)</f>
        <v>192600</v>
      </c>
      <c r="M49" s="77">
        <f ca="1">IFERROR(__xludf.DUMMYFUNCTION("IMPORTRANGE(""https://docs.google.com/spreadsheets/d/1-uDff_7J0KD5mKrp0Vvzr7lt3OU09vwQwhkpOPPYv2Y/edit?usp=sharing"",""งบพรบ!V62"")"),200433)</f>
        <v>200433</v>
      </c>
      <c r="N49" s="77">
        <f ca="1">IFERROR(__xludf.DUMMYFUNCTION("IMPORTRANGE(""https://docs.google.com/spreadsheets/d/1-uDff_7J0KD5mKrp0Vvzr7lt3OU09vwQwhkpOPPYv2Y/edit?usp=sharing"",""งบพรบ!Y62"")"),196033)</f>
        <v>196033</v>
      </c>
      <c r="O49" s="77">
        <f ca="1">IF(L49&gt;0,N49*100/L49,0)</f>
        <v>101.78245067497404</v>
      </c>
      <c r="P49" s="77">
        <f ca="1">IF(M49&gt;0,N49*100/M49,0)</f>
        <v>97.804752710382019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IFERROR(__xludf.DUMMYFUNCTION("IMPORTRANGE(""https://docs.google.com/spreadsheets/d/1-uDff_7J0KD5mKrp0Vvzr7lt3OU09vwQwhkpOPPYv2Y/edit?usp=sharing"",""งบพรบ!S62"")"),0)</f>
        <v>0</v>
      </c>
      <c r="M52" s="77">
        <f ca="1">IFERROR(__xludf.DUMMYFUNCTION("IMPORTRANGE(""https://docs.google.com/spreadsheets/d/1-uDff_7J0KD5mKrp0Vvzr7lt3OU09vwQwhkpOPPYv2Y/edit?usp=sharing"",""งบพรบ!W62"")"),0)</f>
        <v>0</v>
      </c>
      <c r="N52" s="77">
        <f ca="1">IFERROR(__xludf.DUMMYFUNCTION("IMPORTRANGE(""https://docs.google.com/spreadsheets/d/1-uDff_7J0KD5mKrp0Vvzr7lt3OU09vwQwhkpOPPYv2Y/edit?usp=sharing"",""งบพรบ!Z62"")"),0)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393200</v>
      </c>
      <c r="M59" s="1297">
        <f ca="1">M60+M61</f>
        <v>393200</v>
      </c>
      <c r="N59" s="1297">
        <f ca="1">N60+N61</f>
        <v>377003.88</v>
      </c>
      <c r="O59" s="1297">
        <f ca="1">IF(L59&gt;0,N59*100/L59,0)</f>
        <v>95.88094608341811</v>
      </c>
      <c r="P59" s="1297">
        <f ca="1">IF(M59&gt;0,N59*100/M59,0)</f>
        <v>95.88094608341811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393200</v>
      </c>
      <c r="M61" s="1293">
        <f ca="1">M64+M67</f>
        <v>393200</v>
      </c>
      <c r="N61" s="1293">
        <f ca="1">N64+N67</f>
        <v>377003.88</v>
      </c>
      <c r="O61" s="1293">
        <f ca="1">IF(L61&gt;0,N61*100/L61,0)</f>
        <v>95.88094608341811</v>
      </c>
      <c r="P61" s="1293">
        <f ca="1">IF(M61&gt;0,N61*100/M61,0)</f>
        <v>95.88094608341811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533"/>
      <c r="B62" s="271"/>
      <c r="C62" s="271"/>
      <c r="D62" s="900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393200</v>
      </c>
      <c r="M62" s="77">
        <f ca="1">M63+M64</f>
        <v>393200</v>
      </c>
      <c r="N62" s="77">
        <f ca="1">N63+N64</f>
        <v>377003.88</v>
      </c>
      <c r="O62" s="77">
        <f ca="1">IF(L62&gt;0,N62*100/L62,0)</f>
        <v>95.88094608341811</v>
      </c>
      <c r="P62" s="77">
        <f ca="1">IF(M62&gt;0,N62*100/M62,0)</f>
        <v>95.88094608341811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IFERROR(__xludf.DUMMYFUNCTION("IMPORTRANGE(""https://docs.google.com/spreadsheets/d/1-uDff_7J0KD5mKrp0Vvzr7lt3OU09vwQwhkpOPPYv2Y/edit?usp=sharing"",""งบพรบ!AC62"")"),393200)</f>
        <v>393200</v>
      </c>
      <c r="M64" s="77">
        <f ca="1">IFERROR(__xludf.DUMMYFUNCTION("IMPORTRANGE(""https://docs.google.com/spreadsheets/d/1-uDff_7J0KD5mKrp0Vvzr7lt3OU09vwQwhkpOPPYv2Y/edit?usp=sharing"",""งบพรบ!AH62"")"),393200)</f>
        <v>393200</v>
      </c>
      <c r="N64" s="77">
        <f ca="1">IFERROR(__xludf.DUMMYFUNCTION("IMPORTRANGE(""https://docs.google.com/spreadsheets/d/1-uDff_7J0KD5mKrp0Vvzr7lt3OU09vwQwhkpOPPYv2Y/edit?usp=sharing"",""งบพรบ!AJ62"")"),377003.88)</f>
        <v>377003.88</v>
      </c>
      <c r="O64" s="77">
        <f ca="1">IF(L64&gt;0,N64*100/L64,0)</f>
        <v>95.88094608341811</v>
      </c>
      <c r="P64" s="77">
        <f ca="1">IF(M64&gt;0,N64*100/M64,0)</f>
        <v>95.88094608341811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0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178"/>
      <c r="B67" s="617"/>
      <c r="C67" s="617"/>
      <c r="D67" s="617"/>
      <c r="E67" s="999" t="s">
        <v>21</v>
      </c>
      <c r="F67" s="617"/>
      <c r="G67" s="618"/>
      <c r="H67" s="611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IFERROR(__xludf.DUMMYFUNCTION("IMPORTRANGE(""https://docs.google.com/spreadsheets/d/1-uDff_7J0KD5mKrp0Vvzr7lt3OU09vwQwhkpOPPYv2Y/edit?usp=sharing"",""งบพรบ!AF62"")"),0)</f>
        <v>0</v>
      </c>
      <c r="M67" s="185">
        <f ca="1">IFERROR(__xludf.DUMMYFUNCTION("IMPORTRANGE(""https://docs.google.com/spreadsheets/d/1-uDff_7J0KD5mKrp0Vvzr7lt3OU09vwQwhkpOPPYv2Y/edit?usp=sharing"",""งบพรบ!AI62"")"),0)</f>
        <v>0</v>
      </c>
      <c r="N67" s="185">
        <f ca="1">IFERROR(__xludf.DUMMYFUNCTION("IMPORTRANGE(""https://docs.google.com/spreadsheets/d/1-uDff_7J0KD5mKrp0Vvzr7lt3OU09vwQwhkpOPPYv2Y/edit?usp=sharing"",""งบพรบ!AK62"")"),0)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0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7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IFERROR(__xludf.DUMMYFUNCTION("IMPORTRANGE(""https://docs.google.com/spreadsheets/d/1-uDff_7J0KD5mKrp0Vvzr7lt3OU09vwQwhkpOPPYv2Y/edit?usp=sharing"",""งบพรบ!AM62"")"),0)</f>
        <v>0</v>
      </c>
      <c r="M77" s="77">
        <f ca="1">IFERROR(__xludf.DUMMYFUNCTION("IMPORTRANGE(""https://docs.google.com/spreadsheets/d/1-uDff_7J0KD5mKrp0Vvzr7lt3OU09vwQwhkpOPPYv2Y/edit?usp=sharing"",""งบพรบ!AR62"")"),0)</f>
        <v>0</v>
      </c>
      <c r="N77" s="77">
        <f ca="1">IFERROR(__xludf.DUMMYFUNCTION("IMPORTRANGE(""https://docs.google.com/spreadsheets/d/1-uDff_7J0KD5mKrp0Vvzr7lt3OU09vwQwhkpOPPYv2Y/edit?usp=sharing"",""งบพรบ!AT62"")"),0)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IFERROR(__xludf.DUMMYFUNCTION("IMPORTRANGE(""https://docs.google.com/spreadsheets/d/1ItG2mGa2ceCfYo0BwxsXqNm01IGEUdYcSSLTEv9YCik/edit?usp=sharing"",""เบิกจ่ายกองทุน!AS62"")"),0)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IFERROR(__xludf.DUMMYFUNCTION("IMPORTRANGE(""https://docs.google.com/spreadsheets/d/1ItG2mGa2ceCfYo0BwxsXqNm01IGEUdYcSSLTEv9YCik/edit?usp=sharing"",""เบิกจ่ายกองทุน!AT62"")"),0)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IFERROR(__xludf.DUMMYFUNCTION("IMPORTRANGE(""https://docs.google.com/spreadsheets/d/1ItG2mGa2ceCfYo0BwxsXqNm01IGEUdYcSSLTEv9YCik/edit?usp=sharing"",""เบิกจ่ายกองทุน!AU62"")"),0)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0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IFERROR(__xludf.DUMMYFUNCTION("IMPORTRANGE(""https://docs.google.com/spreadsheets/d/1-uDff_7J0KD5mKrp0Vvzr7lt3OU09vwQwhkpOPPYv2Y/edit?usp=sharing"",""งบพรบ!AP62"")"),0)</f>
        <v>0</v>
      </c>
      <c r="M80" s="77">
        <f ca="1">IFERROR(__xludf.DUMMYFUNCTION("IMPORTRANGE(""https://docs.google.com/spreadsheets/d/1-uDff_7J0KD5mKrp0Vvzr7lt3OU09vwQwhkpOPPYv2Y/edit?usp=sharing"",""งบพรบ!AS62"")"),0)</f>
        <v>0</v>
      </c>
      <c r="N80" s="77">
        <f ca="1">IFERROR(__xludf.DUMMYFUNCTION("IMPORTRANGE(""https://docs.google.com/spreadsheets/d/1-uDff_7J0KD5mKrp0Vvzr7lt3OU09vwQwhkpOPPYv2Y/edit?usp=sharing"",""งบพรบ!AU62"")"),0)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0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096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IFERROR(__xludf.DUMMYFUNCTION("IMPORTRANGE(""https://docs.google.com/spreadsheets/d/1eHaY18a8A9IcSdp1K8H6x8fbOy06t2VsZHhMHf-1x7Y/edit?usp=sharing"",""แผน!H62"")"),0)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IFERROR(__xludf.DUMMYFUNCTION("IMPORTRANGE(""https://docs.google.com/spreadsheets/d/1eHaY18a8A9IcSdp1K8H6x8fbOy06t2VsZHhMHf-1x7Y/edit?usp=sharing"",""แผน!I62"")"),0)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IFERROR(__xludf.DUMMYFUNCTION("IMPORTRANGE(""https://docs.google.com/spreadsheets/d/1eHaY18a8A9IcSdp1K8H6x8fbOy06t2VsZHhMHf-1x7Y/edit?usp=sharing"",""แผน!F62"")"),0)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IFERROR(__xludf.DUMMYFUNCTION("IMPORTRANGE(""https://docs.google.com/spreadsheets/d/1eHaY18a8A9IcSdp1K8H6x8fbOy06t2VsZHhMHf-1x7Y/edit?usp=sharing"",""แผน!G62"")"),0)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IFERROR(__xludf.DUMMYFUNCTION("IMPORTRANGE(""https://docs.google.com/spreadsheets/d/1eHaY18a8A9IcSdp1K8H6x8fbOy06t2VsZHhMHf-1x7Y/edit?usp=sharing"",""แผน!D62"")"),0)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IFERROR(__xludf.DUMMYFUNCTION("IMPORTRANGE(""https://docs.google.com/spreadsheets/d/1eHaY18a8A9IcSdp1K8H6x8fbOy06t2VsZHhMHf-1x7Y/edit?usp=sharing"",""แผน!E62"")"),0)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IFERROR(__xludf.DUMMYFUNCTION("IMPORTRANGE(""https://docs.google.com/spreadsheets/d/1eHaY18a8A9IcSdp1K8H6x8fbOy06t2VsZHhMHf-1x7Y/edit?usp=sharing"",""แผน!J62"")"),0)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7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45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15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126630</v>
      </c>
      <c r="R94" s="266">
        <f ca="1">R95+R96</f>
        <v>126630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126630</v>
      </c>
      <c r="R96" s="77">
        <f ca="1">R99+R102</f>
        <v>126630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126630</v>
      </c>
      <c r="R97" s="77">
        <f ca="1">R98+R99</f>
        <v>126630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IFERROR(__xludf.DUMMYFUNCTION("IMPORTRANGE(""https://docs.google.com/spreadsheets/d/1-uDff_7J0KD5mKrp0Vvzr7lt3OU09vwQwhkpOPPYv2Y/edit?usp=sharing"",""งบพรบ!AW62"")"),0)</f>
        <v>0</v>
      </c>
      <c r="M99" s="77">
        <f ca="1">IFERROR(__xludf.DUMMYFUNCTION("IMPORTRANGE(""https://docs.google.com/spreadsheets/d/1-uDff_7J0KD5mKrp0Vvzr7lt3OU09vwQwhkpOPPYv2Y/edit?usp=sharing"",""งบพรบ!BB62"")"),0)</f>
        <v>0</v>
      </c>
      <c r="N99" s="77">
        <f ca="1">IFERROR(__xludf.DUMMYFUNCTION("IMPORTRANGE(""https://docs.google.com/spreadsheets/d/1-uDff_7J0KD5mKrp0Vvzr7lt3OU09vwQwhkpOPPYv2Y/edit?usp=sharing"",""งบพรบ!BD62"")"),0)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IFERROR(__xludf.DUMMYFUNCTION("IMPORTRANGE(""https://docs.google.com/spreadsheets/d/1ItG2mGa2ceCfYo0BwxsXqNm01IGEUdYcSSLTEv9YCik/edit?usp=sharing"",""เบิกจ่ายกองทุน!AD62"")"),126630)</f>
        <v>126630</v>
      </c>
      <c r="R99" s="77">
        <f ca="1">IFERROR(__xludf.DUMMYFUNCTION("IMPORTRANGE(""https://docs.google.com/spreadsheets/d/1ItG2mGa2ceCfYo0BwxsXqNm01IGEUdYcSSLTEv9YCik/edit?usp=sharing"",""เบิกจ่ายกองทุน!AE62"")"),126630)</f>
        <v>126630</v>
      </c>
      <c r="S99" s="77">
        <f ca="1">IFERROR(__xludf.DUMMYFUNCTION("IMPORTRANGE(""https://docs.google.com/spreadsheets/d/1ItG2mGa2ceCfYo0BwxsXqNm01IGEUdYcSSLTEv9YCik/edit?usp=sharing"",""เบิกจ่ายกองทุน!AF62"")"),0)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71"/>
      <c r="C100" s="271"/>
      <c r="D100" s="900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IFERROR(__xludf.DUMMYFUNCTION("IMPORTRANGE(""https://docs.google.com/spreadsheets/d/1-uDff_7J0KD5mKrp0Vvzr7lt3OU09vwQwhkpOPPYv2Y/edit?usp=sharing"",""งบพรบ!AZ62"")"),0)</f>
        <v>0</v>
      </c>
      <c r="M102" s="77">
        <f ca="1">IFERROR(__xludf.DUMMYFUNCTION("IMPORTRANGE(""https://docs.google.com/spreadsheets/d/1-uDff_7J0KD5mKrp0Vvzr7lt3OU09vwQwhkpOPPYv2Y/edit?usp=sharing"",""งบพรบ!BC62"")"),0)</f>
        <v>0</v>
      </c>
      <c r="N102" s="77">
        <f ca="1">IFERROR(__xludf.DUMMYFUNCTION("IMPORTRANGE(""https://docs.google.com/spreadsheets/d/1-uDff_7J0KD5mKrp0Vvzr7lt3OU09vwQwhkpOPPYv2Y/edit?usp=sharing"",""งบพรบ!BE62"")"),0)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IFERROR(__xludf.DUMMYFUNCTION("IMPORTRANGE(""https://docs.google.com/spreadsheets/d/1eHaY18a8A9IcSdp1K8H6x8fbOy06t2VsZHhMHf-1x7Y/edit?usp=sharing"",""แผน!N62"")"),45)</f>
        <v>45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IFERROR(__xludf.DUMMYFUNCTION("IMPORTRANGE(""https://docs.google.com/spreadsheets/d/1eHaY18a8A9IcSdp1K8H6x8fbOy06t2VsZHhMHf-1x7Y/edit?usp=sharing"",""แผน!O62"")"),15)</f>
        <v>15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766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IFERROR(__xludf.DUMMYFUNCTION("IMPORTRANGE(""https://docs.google.com/spreadsheets/d/1eHaY18a8A9IcSdp1K8H6x8fbOy06t2VsZHhMHf-1x7Y/edit?usp=sharing"",""แผน!N62"")"),45)</f>
        <v>45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IFERROR(__xludf.DUMMYFUNCTION("IMPORTRANGE(""https://docs.google.com/spreadsheets/d/1eHaY18a8A9IcSdp1K8H6x8fbOy06t2VsZHhMHf-1x7Y/edit?usp=sharing"",""แผน!O62"")"),15)</f>
        <v>15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4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76">
        <f ca="1">I127</f>
        <v>11</v>
      </c>
      <c r="J116" s="975">
        <f>J127</f>
        <v>0</v>
      </c>
      <c r="K116" s="974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177330</v>
      </c>
      <c r="R117" s="266">
        <f ca="1">R118+R119</f>
        <v>177330</v>
      </c>
      <c r="S117" s="266">
        <f ca="1">S118+S119</f>
        <v>29640</v>
      </c>
      <c r="T117" s="266">
        <f ca="1">IF(Q117&gt;0,S117*100/Q117,0)</f>
        <v>16.714599898494331</v>
      </c>
      <c r="U117" s="266">
        <f ca="1">IF(R117&gt;0,S117*100/R117,0)</f>
        <v>16.714599898494331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177330</v>
      </c>
      <c r="R119" s="77">
        <f ca="1">R122+R125</f>
        <v>177330</v>
      </c>
      <c r="S119" s="77">
        <f ca="1">S122+S125</f>
        <v>29640</v>
      </c>
      <c r="T119" s="77">
        <f ca="1">IF(Q119&gt;0,S119*100/Q119,0)</f>
        <v>16.714599898494331</v>
      </c>
      <c r="U119" s="77">
        <f ca="1">IF(R119&gt;0,S119*100/R119,0)</f>
        <v>16.714599898494331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177330</v>
      </c>
      <c r="R120" s="77">
        <f ca="1">R121+R122</f>
        <v>177330</v>
      </c>
      <c r="S120" s="77">
        <f ca="1">S121+S122</f>
        <v>29640</v>
      </c>
      <c r="T120" s="77">
        <f ca="1">IF(Q120&gt;0,S120*100/Q120,0)</f>
        <v>16.714599898494331</v>
      </c>
      <c r="U120" s="77">
        <f ca="1">IF(R120&gt;0,S120*100/R120,0)</f>
        <v>16.714599898494331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IFERROR(__xludf.DUMMYFUNCTION("IMPORTRANGE(""https://docs.google.com/spreadsheets/d/1-uDff_7J0KD5mKrp0Vvzr7lt3OU09vwQwhkpOPPYv2Y/edit?usp=sharing"",""งบพรบ!BG62"")"),0)</f>
        <v>0</v>
      </c>
      <c r="M122" s="77">
        <f ca="1">IFERROR(__xludf.DUMMYFUNCTION("IMPORTRANGE(""https://docs.google.com/spreadsheets/d/1-uDff_7J0KD5mKrp0Vvzr7lt3OU09vwQwhkpOPPYv2Y/edit?usp=sharing"",""งบพรบ!BL62"")"),0)</f>
        <v>0</v>
      </c>
      <c r="N122" s="77">
        <f ca="1">IFERROR(__xludf.DUMMYFUNCTION("IMPORTRANGE(""https://docs.google.com/spreadsheets/d/1-uDff_7J0KD5mKrp0Vvzr7lt3OU09vwQwhkpOPPYv2Y/edit?usp=sharing"",""งบพรบ!BN62"")"),0)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IFERROR(__xludf.DUMMYFUNCTION("IMPORTRANGE(""https://docs.google.com/spreadsheets/d/1ItG2mGa2ceCfYo0BwxsXqNm01IGEUdYcSSLTEv9YCik/edit?usp=sharing"",""เบิกจ่ายกองทุน!R62"")"),177330)</f>
        <v>177330</v>
      </c>
      <c r="R122" s="77">
        <f ca="1">IFERROR(__xludf.DUMMYFUNCTION("IMPORTRANGE(""https://docs.google.com/spreadsheets/d/1ItG2mGa2ceCfYo0BwxsXqNm01IGEUdYcSSLTEv9YCik/edit?usp=sharing"",""เบิกจ่ายกองทุน!S62"")"),177330)</f>
        <v>177330</v>
      </c>
      <c r="S122" s="77">
        <f ca="1">IFERROR(__xludf.DUMMYFUNCTION("IMPORTRANGE(""https://docs.google.com/spreadsheets/d/1ItG2mGa2ceCfYo0BwxsXqNm01IGEUdYcSSLTEv9YCik/edit?usp=sharing"",""เบิกจ่ายกองทุน!T62"")"),29640)</f>
        <v>29640</v>
      </c>
      <c r="T122" s="77">
        <f ca="1">IF(Q122&gt;0,S122*100/Q122,0)</f>
        <v>16.714599898494331</v>
      </c>
      <c r="U122" s="77">
        <f ca="1">IF(R122&gt;0,S122*100/R122,0)</f>
        <v>16.714599898494331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IFERROR(__xludf.DUMMYFUNCTION("IMPORTRANGE(""https://docs.google.com/spreadsheets/d/1-uDff_7J0KD5mKrp0Vvzr7lt3OU09vwQwhkpOPPYv2Y/edit?usp=sharing"",""งบพรบ!BJ62"")"),0)</f>
        <v>0</v>
      </c>
      <c r="M125" s="77">
        <f ca="1">IFERROR(__xludf.DUMMYFUNCTION("IMPORTRANGE(""https://docs.google.com/spreadsheets/d/1-uDff_7J0KD5mKrp0Vvzr7lt3OU09vwQwhkpOPPYv2Y/edit?usp=sharing"",""งบพรบ!BM62"")"),0)</f>
        <v>0</v>
      </c>
      <c r="N125" s="77">
        <f ca="1">IFERROR(__xludf.DUMMYFUNCTION("IMPORTRANGE(""https://docs.google.com/spreadsheets/d/1-uDff_7J0KD5mKrp0Vvzr7lt3OU09vwQwhkpOPPYv2Y/edit?usp=sharing"",""งบพรบ!BO62"")"),0)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IFERROR(__xludf.DUMMYFUNCTION("IMPORTRANGE(""https://docs.google.com/spreadsheets/d/1eHaY18a8A9IcSdp1K8H6x8fbOy06t2VsZHhMHf-1x7Y/edit?usp=sharing"",""แผน!FF62"")"),11)</f>
        <v>11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IFERROR(__xludf.DUMMYFUNCTION("IMPORTRANGE(""https://docs.google.com/spreadsheets/d/1eHaY18a8A9IcSdp1K8H6x8fbOy06t2VsZHhMHf-1x7Y/edit?usp=sharing"",""แผน!FG62"")"),0)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6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IFERROR(__xludf.DUMMYFUNCTION("IMPORTRANGE(""https://docs.google.com/spreadsheets/d/1eHaY18a8A9IcSdp1K8H6x8fbOy06t2VsZHhMHf-1x7Y/edit?usp=sharing"",""แผน!FH62"")"),11)</f>
        <v>11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IFERROR(__xludf.DUMMYFUNCTION("IMPORTRANGE(""https://docs.google.com/spreadsheets/d/1eHaY18a8A9IcSdp1K8H6x8fbOy06t2VsZHhMHf-1x7Y/edit?usp=sharing"",""แผน!FI62"")"),0)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689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689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4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IFERROR(__xludf.DUMMYFUNCTION("IMPORTRANGE(""https://docs.google.com/spreadsheets/d/1-uDff_7J0KD5mKrp0Vvzr7lt3OU09vwQwhkpOPPYv2Y/edit?usp=sharing"",""งบพรบ!BQ62"")"),0)</f>
        <v>0</v>
      </c>
      <c r="M144" s="77">
        <f ca="1">IFERROR(__xludf.DUMMYFUNCTION("IMPORTRANGE(""https://docs.google.com/spreadsheets/d/1-uDff_7J0KD5mKrp0Vvzr7lt3OU09vwQwhkpOPPYv2Y/edit?usp=sharing"",""งบพรบ!BV62"")"),0)</f>
        <v>0</v>
      </c>
      <c r="N144" s="77">
        <f ca="1">IFERROR(__xludf.DUMMYFUNCTION("IMPORTRANGE(""https://docs.google.com/spreadsheets/d/1-uDff_7J0KD5mKrp0Vvzr7lt3OU09vwQwhkpOPPYv2Y/edit?usp=sharing"",""งบพรบ!BX62"")"),0)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IFERROR(__xludf.DUMMYFUNCTION("IMPORTRANGE(""https://docs.google.com/spreadsheets/d/1ItG2mGa2ceCfYo0BwxsXqNm01IGEUdYcSSLTEv9YCik/edit?usp=sharing"",""เบิกจ่ายกองทุน!BB62"")"),0)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IFERROR(__xludf.DUMMYFUNCTION("IMPORTRANGE(""https://docs.google.com/spreadsheets/d/1ItG2mGa2ceCfYo0BwxsXqNm01IGEUdYcSSLTEv9YCik/edit?usp=sharing"",""เบิกจ่ายกองทุน!BC62"")"),0)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IFERROR(__xludf.DUMMYFUNCTION("IMPORTRANGE(""https://docs.google.com/spreadsheets/d/1ItG2mGa2ceCfYo0BwxsXqNm01IGEUdYcSSLTEv9YCik/edit?usp=sharing"",""เบิกจ่ายกองทุน!BD62"")"),0)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IFERROR(__xludf.DUMMYFUNCTION("IMPORTRANGE(""https://docs.google.com/spreadsheets/d/1-uDff_7J0KD5mKrp0Vvzr7lt3OU09vwQwhkpOPPYv2Y/edit?usp=sharing"",""งบพรบ!BT62"")"),0)</f>
        <v>0</v>
      </c>
      <c r="M147" s="77">
        <f ca="1">IFERROR(__xludf.DUMMYFUNCTION("IMPORTRANGE(""https://docs.google.com/spreadsheets/d/1-uDff_7J0KD5mKrp0Vvzr7lt3OU09vwQwhkpOPPYv2Y/edit?usp=sharing"",""งบพรบ!BW62"")"),0)</f>
        <v>0</v>
      </c>
      <c r="N147" s="77">
        <f ca="1">IFERROR(__xludf.DUMMYFUNCTION("IMPORTRANGE(""https://docs.google.com/spreadsheets/d/1-uDff_7J0KD5mKrp0Vvzr7lt3OU09vwQwhkpOPPYv2Y/edit?usp=sharing"",""งบพรบ!BY62"")"),0)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IFERROR(__xludf.DUMMYFUNCTION("IMPORTRANGE(""https://docs.google.com/spreadsheets/d/1eHaY18a8A9IcSdp1K8H6x8fbOy06t2VsZHhMHf-1x7Y/edit?usp=sharing"",""แผน!U62"")"),0)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IFERROR(__xludf.DUMMYFUNCTION("IMPORTRANGE(""https://docs.google.com/spreadsheets/d/1eHaY18a8A9IcSdp1K8H6x8fbOy06t2VsZHhMHf-1x7Y/edit?usp=sharing"",""แผน!V62"")"),0)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IFERROR(__xludf.DUMMYFUNCTION("IMPORTRANGE(""https://docs.google.com/spreadsheets/d/1eHaY18a8A9IcSdp1K8H6x8fbOy06t2VsZHhMHf-1x7Y/edit?usp=sharing"",""แผน!W62"")"),0)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IFERROR(__xludf.DUMMYFUNCTION("IMPORTRANGE(""https://docs.google.com/spreadsheets/d/1eHaY18a8A9IcSdp1K8H6x8fbOy06t2VsZHhMHf-1x7Y/edit?usp=sharing"",""แผน!X62"")"),0)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IFERROR(__xludf.DUMMYFUNCTION("IMPORTRANGE(""https://docs.google.com/spreadsheets/d/1eHaY18a8A9IcSdp1K8H6x8fbOy06t2VsZHhMHf-1x7Y/edit?usp=sharing"",""แผน!Y62"")"),0)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4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10250</v>
      </c>
      <c r="N157" s="266">
        <f ca="1">N158+N159</f>
        <v>1860</v>
      </c>
      <c r="O157" s="266">
        <f ca="1">IF(L157&gt;0,N157*100/L157,0)</f>
        <v>62</v>
      </c>
      <c r="P157" s="266">
        <f ca="1">IF(M157&gt;0,N157*100/M157,0)</f>
        <v>18.146341463414632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10250</v>
      </c>
      <c r="N159" s="77">
        <f ca="1">N162+N165</f>
        <v>1860</v>
      </c>
      <c r="O159" s="77">
        <f ca="1">IF(L159&gt;0,N159*100/L159,0)</f>
        <v>62</v>
      </c>
      <c r="P159" s="77">
        <f ca="1">IF(M159&gt;0,N159*100/M159,0)</f>
        <v>18.146341463414632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10250</v>
      </c>
      <c r="N160" s="77">
        <f ca="1">N161+N162</f>
        <v>1860</v>
      </c>
      <c r="O160" s="77">
        <f ca="1">IF(L160&gt;0,N160*100/L160,0)</f>
        <v>62</v>
      </c>
      <c r="P160" s="77">
        <f ca="1">IF(M160&gt;0,N160*100/M160,0)</f>
        <v>18.146341463414632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IFERROR(__xludf.DUMMYFUNCTION("IMPORTRANGE(""https://docs.google.com/spreadsheets/d/1-uDff_7J0KD5mKrp0Vvzr7lt3OU09vwQwhkpOPPYv2Y/edit?usp=sharing"",""งบพรบ!CA62"")"),3000)</f>
        <v>3000</v>
      </c>
      <c r="M162" s="77">
        <f ca="1">IFERROR(__xludf.DUMMYFUNCTION("IMPORTRANGE(""https://docs.google.com/spreadsheets/d/1-uDff_7J0KD5mKrp0Vvzr7lt3OU09vwQwhkpOPPYv2Y/edit?usp=sharing"",""งบพรบ!CF62"")"),10250)</f>
        <v>10250</v>
      </c>
      <c r="N162" s="77">
        <f ca="1">IFERROR(__xludf.DUMMYFUNCTION("IMPORTRANGE(""https://docs.google.com/spreadsheets/d/1-uDff_7J0KD5mKrp0Vvzr7lt3OU09vwQwhkpOPPYv2Y/edit?usp=sharing"",""งบพรบ!CH62"")"),1860)</f>
        <v>1860</v>
      </c>
      <c r="O162" s="77">
        <f ca="1">IF(L162&gt;0,N162*100/L162,0)</f>
        <v>62</v>
      </c>
      <c r="P162" s="77">
        <f ca="1">IF(M162&gt;0,N162*100/M162,0)</f>
        <v>18.146341463414632</v>
      </c>
      <c r="Q162" s="77">
        <f ca="1">IFERROR(__xludf.DUMMYFUNCTION("IMPORTRANGE(""https://docs.google.com/spreadsheets/d/1ItG2mGa2ceCfYo0BwxsXqNm01IGEUdYcSSLTEv9YCik/edit?usp=sharing"",""เบิกจ่ายกองทุน!AG62"")"),0)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IFERROR(__xludf.DUMMYFUNCTION("IMPORTRANGE(""https://docs.google.com/spreadsheets/d/1ItG2mGa2ceCfYo0BwxsXqNm01IGEUdYcSSLTEv9YCik/edit?usp=sharing"",""เบิกจ่ายกองทุน!AH62"")"),0)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IFERROR(__xludf.DUMMYFUNCTION("IMPORTRANGE(""https://docs.google.com/spreadsheets/d/1ItG2mGa2ceCfYo0BwxsXqNm01IGEUdYcSSLTEv9YCik/edit?usp=sharing"",""เบิกจ่ายกองทุน!AI62"")"),0)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IFERROR(__xludf.DUMMYFUNCTION("IMPORTRANGE(""https://docs.google.com/spreadsheets/d/1-uDff_7J0KD5mKrp0Vvzr7lt3OU09vwQwhkpOPPYv2Y/edit?usp=sharing"",""งบพรบ!CD62"")"),0)</f>
        <v>0</v>
      </c>
      <c r="M165" s="77">
        <f ca="1">IFERROR(__xludf.DUMMYFUNCTION("IMPORTRANGE(""https://docs.google.com/spreadsheets/d/1-uDff_7J0KD5mKrp0Vvzr7lt3OU09vwQwhkpOPPYv2Y/edit?usp=sharing"",""งบพรบ!CG62"")"),0)</f>
        <v>0</v>
      </c>
      <c r="N165" s="77">
        <f ca="1">IFERROR(__xludf.DUMMYFUNCTION("IMPORTRANGE(""https://docs.google.com/spreadsheets/d/1-uDff_7J0KD5mKrp0Vvzr7lt3OU09vwQwhkpOPPYv2Y/edit?usp=sharing"",""งบพรบ!CI62"")"),0)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IFERROR(__xludf.DUMMYFUNCTION("IMPORTRANGE(""https://docs.google.com/spreadsheets/d/1eHaY18a8A9IcSdp1K8H6x8fbOy06t2VsZHhMHf-1x7Y/edit?usp=sharing"",""แผน!Z62"")"),15)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4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169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166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30760</v>
      </c>
      <c r="N173" s="266">
        <f ca="1">N174+N175</f>
        <v>30270</v>
      </c>
      <c r="O173" s="266">
        <f ca="1">IF(L173&gt;0,N173*100/L173,0)</f>
        <v>154.51761102603368</v>
      </c>
      <c r="P173" s="266">
        <f ca="1">IF(M173&gt;0,N173*100/M173,0)</f>
        <v>98.407022106631985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30760</v>
      </c>
      <c r="N175" s="77">
        <f ca="1">N178+N181</f>
        <v>30270</v>
      </c>
      <c r="O175" s="77">
        <f ca="1">IF(L175&gt;0,N175*100/L175,0)</f>
        <v>154.51761102603368</v>
      </c>
      <c r="P175" s="77">
        <f ca="1">IF(M175&gt;0,N175*100/M175,0)</f>
        <v>98.407022106631985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30760</v>
      </c>
      <c r="N176" s="77">
        <f ca="1">N177+N178</f>
        <v>30270</v>
      </c>
      <c r="O176" s="77">
        <f ca="1">IF(L176&gt;0,N176*100/L176,0)</f>
        <v>154.51761102603368</v>
      </c>
      <c r="P176" s="77">
        <f ca="1">IF(M176&gt;0,N176*100/M176,0)</f>
        <v>98.407022106631985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IFERROR(__xludf.DUMMYFUNCTION("IMPORTRANGE(""https://docs.google.com/spreadsheets/d/1-uDff_7J0KD5mKrp0Vvzr7lt3OU09vwQwhkpOPPYv2Y/edit?usp=sharing"",""งบพรบ!CK62"")"),19590)</f>
        <v>19590</v>
      </c>
      <c r="M178" s="77">
        <f ca="1">IFERROR(__xludf.DUMMYFUNCTION("IMPORTRANGE(""https://docs.google.com/spreadsheets/d/1-uDff_7J0KD5mKrp0Vvzr7lt3OU09vwQwhkpOPPYv2Y/edit?usp=sharing"",""งบพรบ!CP62"")"),30760)</f>
        <v>30760</v>
      </c>
      <c r="N178" s="77">
        <f ca="1">IFERROR(__xludf.DUMMYFUNCTION("IMPORTRANGE(""https://docs.google.com/spreadsheets/d/1-uDff_7J0KD5mKrp0Vvzr7lt3OU09vwQwhkpOPPYv2Y/edit?usp=sharing"",""งบพรบ!CR62"")"),30270)</f>
        <v>30270</v>
      </c>
      <c r="O178" s="77">
        <f ca="1">IF(L178&gt;0,N178*100/L178,0)</f>
        <v>154.51761102603368</v>
      </c>
      <c r="P178" s="77">
        <f ca="1">IF(M178&gt;0,N178*100/M178,0)</f>
        <v>98.407022106631985</v>
      </c>
      <c r="Q178" s="77">
        <f ca="1">IFERROR(__xludf.DUMMYFUNCTION("IMPORTRANGE(""https://docs.google.com/spreadsheets/d/1ItG2mGa2ceCfYo0BwxsXqNm01IGEUdYcSSLTEv9YCik/edit?usp=sharing"",""เบิกจ่ายกองทุน!BE62"")"),0)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IFERROR(__xludf.DUMMYFUNCTION("IMPORTRANGE(""https://docs.google.com/spreadsheets/d/1ItG2mGa2ceCfYo0BwxsXqNm01IGEUdYcSSLTEv9YCik/edit?usp=sharing"",""เบิกจ่ายกองทุน!BF62"")"),0)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IFERROR(__xludf.DUMMYFUNCTION("IMPORTRANGE(""https://docs.google.com/spreadsheets/d/1ItG2mGa2ceCfYo0BwxsXqNm01IGEUdYcSSLTEv9YCik/edit?usp=sharing"",""เบิกจ่ายกองทุน!BG62"")"),0)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IFERROR(__xludf.DUMMYFUNCTION("IMPORTRANGE(""https://docs.google.com/spreadsheets/d/1-uDff_7J0KD5mKrp0Vvzr7lt3OU09vwQwhkpOPPYv2Y/edit?usp=sharing"",""งบพรบ!CN62"")"),0)</f>
        <v>0</v>
      </c>
      <c r="M181" s="77">
        <f ca="1">IFERROR(__xludf.DUMMYFUNCTION("IMPORTRANGE(""https://docs.google.com/spreadsheets/d/1-uDff_7J0KD5mKrp0Vvzr7lt3OU09vwQwhkpOPPYv2Y/edit?usp=sharing"",""งบพรบ!CQ62"")"),0)</f>
        <v>0</v>
      </c>
      <c r="N181" s="77">
        <f ca="1">IFERROR(__xludf.DUMMYFUNCTION("IMPORTRANGE(""https://docs.google.com/spreadsheets/d/1-uDff_7J0KD5mKrp0Vvzr7lt3OU09vwQwhkpOPPYv2Y/edit?usp=sharing"",""งบพรบ!CS62"")"),0)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IFERROR(__xludf.DUMMYFUNCTION("IMPORTRANGE(""https://docs.google.com/spreadsheets/d/1eHaY18a8A9IcSdp1K8H6x8fbOy06t2VsZHhMHf-1x7Y/edit?usp=sharing"",""แผน!AA62"")"),7)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166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115200</v>
      </c>
      <c r="M186" s="266">
        <f ca="1">M187+M188</f>
        <v>99200</v>
      </c>
      <c r="N186" s="266">
        <f ca="1">N187+N188</f>
        <v>45948</v>
      </c>
      <c r="O186" s="266">
        <f ca="1">IF(L186&gt;0,N186*100/L186,0)</f>
        <v>39.885416666666664</v>
      </c>
      <c r="P186" s="266">
        <f ca="1">IF(M186&gt;0,N186*100/M186,0)</f>
        <v>46.318548387096776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115200</v>
      </c>
      <c r="M188" s="77">
        <f ca="1">M191+M194</f>
        <v>99200</v>
      </c>
      <c r="N188" s="77">
        <f ca="1">N191+N194</f>
        <v>45948</v>
      </c>
      <c r="O188" s="77">
        <f ca="1">IF(L188&gt;0,N188*100/L188,0)</f>
        <v>39.885416666666664</v>
      </c>
      <c r="P188" s="77">
        <f ca="1">IF(M188&gt;0,N188*100/M188,0)</f>
        <v>46.318548387096776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115200</v>
      </c>
      <c r="M189" s="77">
        <f ca="1">M190+M191</f>
        <v>99200</v>
      </c>
      <c r="N189" s="77">
        <f ca="1">N190+N191</f>
        <v>45948</v>
      </c>
      <c r="O189" s="77">
        <f ca="1">IF(L189&gt;0,N189*100/L189,0)</f>
        <v>39.885416666666664</v>
      </c>
      <c r="P189" s="77">
        <f ca="1">IF(M189&gt;0,N189*100/M189,0)</f>
        <v>46.318548387096776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IFERROR(__xludf.DUMMYFUNCTION("IMPORTRANGE(""https://docs.google.com/spreadsheets/d/1-uDff_7J0KD5mKrp0Vvzr7lt3OU09vwQwhkpOPPYv2Y/edit?usp=sharing"",""งบพรบ!CU62"")"),115200)</f>
        <v>115200</v>
      </c>
      <c r="M191" s="77">
        <f ca="1">IFERROR(__xludf.DUMMYFUNCTION("IMPORTRANGE(""https://docs.google.com/spreadsheets/d/1-uDff_7J0KD5mKrp0Vvzr7lt3OU09vwQwhkpOPPYv2Y/edit?usp=sharing"",""งบพรบ!CZ62"")"),99200)</f>
        <v>99200</v>
      </c>
      <c r="N191" s="77">
        <f ca="1">IFERROR(__xludf.DUMMYFUNCTION("IMPORTRANGE(""https://docs.google.com/spreadsheets/d/1-uDff_7J0KD5mKrp0Vvzr7lt3OU09vwQwhkpOPPYv2Y/edit?usp=sharing"",""งบพรบ!DB62"")"),45948)</f>
        <v>45948</v>
      </c>
      <c r="O191" s="77">
        <f ca="1">IF(L191&gt;0,N191*100/L191,0)</f>
        <v>39.885416666666664</v>
      </c>
      <c r="P191" s="77">
        <f ca="1">IF(M191&gt;0,N191*100/M191,0)</f>
        <v>46.318548387096776</v>
      </c>
      <c r="Q191" s="77">
        <f ca="1">IFERROR(__xludf.DUMMYFUNCTION("IMPORTRANGE(""https://docs.google.com/spreadsheets/d/1ItG2mGa2ceCfYo0BwxsXqNm01IGEUdYcSSLTEv9YCik/edit?usp=sharing"",""เบิกจ่ายกองทุน!AV62"")"),28000)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IFERROR(__xludf.DUMMYFUNCTION("IMPORTRANGE(""https://docs.google.com/spreadsheets/d/1ItG2mGa2ceCfYo0BwxsXqNm01IGEUdYcSSLTEv9YCik/edit?usp=sharing"",""เบิกจ่ายกองทุน!AW62"")"),28000)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IFERROR(__xludf.DUMMYFUNCTION("IMPORTRANGE(""https://docs.google.com/spreadsheets/d/1ItG2mGa2ceCfYo0BwxsXqNm01IGEUdYcSSLTEv9YCik/edit?usp=sharing"",""เบิกจ่ายกองทุน!AX62"")"),0)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IFERROR(__xludf.DUMMYFUNCTION("IMPORTRANGE(""https://docs.google.com/spreadsheets/d/1-uDff_7J0KD5mKrp0Vvzr7lt3OU09vwQwhkpOPPYv2Y/edit?usp=sharing"",""งบพรบ!CX62"")"),0)</f>
        <v>0</v>
      </c>
      <c r="M194" s="77">
        <f ca="1">IFERROR(__xludf.DUMMYFUNCTION("IMPORTRANGE(""https://docs.google.com/spreadsheets/d/1-uDff_7J0KD5mKrp0Vvzr7lt3OU09vwQwhkpOPPYv2Y/edit?usp=sharing"",""งบพรบ!DA62"")"),0)</f>
        <v>0</v>
      </c>
      <c r="N194" s="77">
        <f ca="1">IFERROR(__xludf.DUMMYFUNCTION("IMPORTRANGE(""https://docs.google.com/spreadsheets/d/1-uDff_7J0KD5mKrp0Vvzr7lt3OU09vwQwhkpOPPYv2Y/edit?usp=sharing"",""งบพรบ!DC62"")"),0)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59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IFERROR(__xludf.DUMMYFUNCTION("IMPORTRANGE(""https://docs.google.com/spreadsheets/d/1eHaY18a8A9IcSdp1K8H6x8fbOy06t2VsZHhMHf-1x7Y/edit?usp=sharing"",""แผน!AB62"")"),6000)</f>
        <v>6000</v>
      </c>
      <c r="M196" s="90"/>
      <c r="N196" s="959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IFERROR(__xludf.DUMMYFUNCTION("IMPORTRANGE(""https://docs.google.com/spreadsheets/d/1eHaY18a8A9IcSdp1K8H6x8fbOy06t2VsZHhMHf-1x7Y/edit?usp=sharing"",""แผน!AE62"")"),4)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69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69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10000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IFERROR(__xludf.DUMMYFUNCTION("IMPORTRANGE(""https://docs.google.com/spreadsheets/d/1eHaY18a8A9IcSdp1K8H6x8fbOy06t2VsZHhMHf-1x7Y/edit?usp=sharing"",""แผน!AG62"")"),2000)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IFERROR(__xludf.DUMMYFUNCTION("IMPORTRANGE(""https://docs.google.com/spreadsheets/d/1eHaY18a8A9IcSdp1K8H6x8fbOy06t2VsZHhMHf-1x7Y/edit?usp=sharing"",""แผน!AH62"")"),0)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IFERROR(__xludf.DUMMYFUNCTION("IMPORTRANGE(""https://docs.google.com/spreadsheets/d/1eHaY18a8A9IcSdp1K8H6x8fbOy06t2VsZHhMHf-1x7Y/edit?usp=sharing"",""แผน!AI62"")"),0)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IFERROR(__xludf.DUMMYFUNCTION("IMPORTRANGE(""https://docs.google.com/spreadsheets/d/1eHaY18a8A9IcSdp1K8H6x8fbOy06t2VsZHhMHf-1x7Y/edit?usp=sharing"",""แผน!LV62"")"),28000)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IFERROR(__xludf.DUMMYFUNCTION("IMPORTRANGE(""https://docs.google.com/spreadsheets/d/1eHaY18a8A9IcSdp1K8H6x8fbOy06t2VsZHhMHf-1x7Y/edit?usp=sharing"",""แผน!AJ62"")"),8000)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1" t="s">
        <v>85</v>
      </c>
      <c r="I209" s="295">
        <f ca="1">IFERROR(__xludf.DUMMYFUNCTION("IMPORTRANGE(""https://docs.google.com/spreadsheets/d/1eHaY18a8A9IcSdp1K8H6x8fbOy06t2VsZHhMHf-1x7Y/edit?usp=sharing"",""แผน!AK62"")"),2)</f>
        <v>2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1" t="s">
        <v>85</v>
      </c>
      <c r="I211" s="295">
        <f ca="1">IFERROR(__xludf.DUMMYFUNCTION("IMPORTRANGE(""https://docs.google.com/spreadsheets/d/1eHaY18a8A9IcSdp1K8H6x8fbOy06t2VsZHhMHf-1x7Y/edit?usp=sharing"",""แผน!JX62"")"),2)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IFERROR(__xludf.DUMMYFUNCTION("IMPORTRANGE(""https://docs.google.com/spreadsheets/d/1eHaY18a8A9IcSdp1K8H6x8fbOy06t2VsZHhMHf-1x7Y/edit?usp=sharing"",""แผน!JY62"")"),0)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59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IFERROR(__xludf.DUMMYFUNCTION("IMPORTRANGE(""https://docs.google.com/spreadsheets/d/1eHaY18a8A9IcSdp1K8H6x8fbOy06t2VsZHhMHf-1x7Y/edit?usp=sharing"",""แผน!AM62"")"),0)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IFERROR(__xludf.DUMMYFUNCTION("IMPORTRANGE(""https://docs.google.com/spreadsheets/d/1eHaY18a8A9IcSdp1K8H6x8fbOy06t2VsZHhMHf-1x7Y/edit?usp=sharing"",""แผน!AN62"")"),0)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IFERROR(__xludf.DUMMYFUNCTION("IMPORTRANGE(""https://docs.google.com/spreadsheets/d/1eHaY18a8A9IcSdp1K8H6x8fbOy06t2VsZHhMHf-1x7Y/edit?usp=sharing"",""แผน!AO62"")"),0)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IFERROR(__xludf.DUMMYFUNCTION("IMPORTRANGE(""https://docs.google.com/spreadsheets/d/1eHaY18a8A9IcSdp1K8H6x8fbOy06t2VsZHhMHf-1x7Y/edit?usp=sharing"",""แผน!LY62"")"),0)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1" t="s">
        <v>85</v>
      </c>
      <c r="I219" s="295">
        <f ca="1">IFERROR(__xludf.DUMMYFUNCTION("IMPORTRANGE(""https://docs.google.com/spreadsheets/d/1eHaY18a8A9IcSdp1K8H6x8fbOy06t2VsZHhMHf-1x7Y/edit?usp=sharing"",""แผน!AP62"")"),0)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IFERROR(__xludf.DUMMYFUNCTION("IMPORTRANGE(""https://docs.google.com/spreadsheets/d/1eHaY18a8A9IcSdp1K8H6x8fbOy06t2VsZHhMHf-1x7Y/edit?usp=sharing"",""แผน!AP62"")"),0)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5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903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154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IFERROR(__xludf.DUMMYFUNCTION("IMPORTRANGE(""https://docs.google.com/spreadsheets/d/1eHaY18a8A9IcSdp1K8H6x8fbOy06t2VsZHhMHf-1x7Y/edit?usp=sharing"",""แผน!AR62"")"),2500)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IFERROR(__xludf.DUMMYFUNCTION("IMPORTRANGE(""https://docs.google.com/spreadsheets/d/1eHaY18a8A9IcSdp1K8H6x8fbOy06t2VsZHhMHf-1x7Y/edit?usp=sharing"",""แผน!AS62"")"),2000)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IFERROR(__xludf.DUMMYFUNCTION("IMPORTRANGE(""https://docs.google.com/spreadsheets/d/1eHaY18a8A9IcSdp1K8H6x8fbOy06t2VsZHhMHf-1x7Y/edit?usp=sharing"",""แผน!AT62"")"),0)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IFERROR(__xludf.DUMMYFUNCTION("IMPORTRANGE(""https://docs.google.com/spreadsheets/d/1eHaY18a8A9IcSdp1K8H6x8fbOy06t2VsZHhMHf-1x7Y/edit?usp=sharing"",""แผน!AV62"")"),20000)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IFERROR(__xludf.DUMMYFUNCTION("IMPORTRANGE(""https://docs.google.com/spreadsheets/d/1eHaY18a8A9IcSdp1K8H6x8fbOy06t2VsZHhMHf-1x7Y/edit?usp=sharing"",""แผน!AV62"")"),20000)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IFERROR(__xludf.DUMMYFUNCTION("IMPORTRANGE(""https://docs.google.com/spreadsheets/d/1eHaY18a8A9IcSdp1K8H6x8fbOy06t2VsZHhMHf-1x7Y/edit?usp=sharing"",""แผน!AU62"")"),0)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5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71"/>
      <c r="C232" s="280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71"/>
      <c r="D233" s="571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571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571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309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7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309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7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7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1155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71"/>
      <c r="C243" s="940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71"/>
      <c r="D244" s="573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IFERROR(__xludf.DUMMYFUNCTION("IMPORTRANGE(""https://docs.google.com/spreadsheets/d/1eHaY18a8A9IcSdp1K8H6x8fbOy06t2VsZHhMHf-1x7Y/edit?usp=sharing"",""แผน!AX62"")"),0)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573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IFERROR(__xludf.DUMMYFUNCTION("IMPORTRANGE(""https://docs.google.com/spreadsheets/d/1eHaY18a8A9IcSdp1K8H6x8fbOy06t2VsZHhMHf-1x7Y/edit?usp=sharing"",""แผน!AY62"")"),0)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573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IFERROR(__xludf.DUMMYFUNCTION("IMPORTRANGE(""https://docs.google.com/spreadsheets/d/1eHaY18a8A9IcSdp1K8H6x8fbOy06t2VsZHhMHf-1x7Y/edit?usp=sharing"",""แผน!AZ62"")"),0)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IFERROR(__xludf.DUMMYFUNCTION("IMPORTRANGE(""https://docs.google.com/spreadsheets/d/1eHaY18a8A9IcSdp1K8H6x8fbOy06t2VsZHhMHf-1x7Y/edit?usp=sharing"",""แผน!BA62"")"),0)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309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687" t="s">
        <v>35</v>
      </c>
      <c r="I249" s="574">
        <f ca="1">IFERROR(__xludf.DUMMYFUNCTION("IMPORTRANGE(""https://docs.google.com/spreadsheets/d/1eHaY18a8A9IcSdp1K8H6x8fbOy06t2VsZHhMHf-1x7Y/edit?usp=sharing"",""แผน!BG62"")"),0)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309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687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687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155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40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573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IFERROR(__xludf.DUMMYFUNCTION("IMPORTRANGE(""https://docs.google.com/spreadsheets/d/1eHaY18a8A9IcSdp1K8H6x8fbOy06t2VsZHhMHf-1x7Y/edit?usp=sharing"",""แผน!BB62"")"),0)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3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IFERROR(__xludf.DUMMYFUNCTION("IMPORTRANGE(""https://docs.google.com/spreadsheets/d/1eHaY18a8A9IcSdp1K8H6x8fbOy06t2VsZHhMHf-1x7Y/edit?usp=sharing"",""แผน!BC62"")"),0)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3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IFERROR(__xludf.DUMMYFUNCTION("IMPORTRANGE(""https://docs.google.com/spreadsheets/d/1eHaY18a8A9IcSdp1K8H6x8fbOy06t2VsZHhMHf-1x7Y/edit?usp=sharing"",""แผน!BD62"")"),0)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IFERROR(__xludf.DUMMYFUNCTION("IMPORTRANGE(""https://docs.google.com/spreadsheets/d/1eHaY18a8A9IcSdp1K8H6x8fbOy06t2VsZHhMHf-1x7Y/edit?usp=sharing"",""แผน!BE62"")"),0)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687" t="s">
        <v>35</v>
      </c>
      <c r="I260" s="574">
        <f ca="1">IFERROR(__xludf.DUMMYFUNCTION("IMPORTRANGE(""https://docs.google.com/spreadsheets/d/1eHaY18a8A9IcSdp1K8H6x8fbOy06t2VsZHhMHf-1x7Y/edit?usp=sharing"",""แผน!BH62"")"),0)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687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687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153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1326"/>
      <c r="B265" s="360" t="s">
        <v>114</v>
      </c>
      <c r="C265" s="1325"/>
      <c r="D265" s="360"/>
      <c r="E265" s="360"/>
      <c r="F265" s="360"/>
      <c r="G265" s="1324"/>
      <c r="H265" s="115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393">
        <f ca="1">L267+L268</f>
        <v>0</v>
      </c>
      <c r="M266" s="266">
        <f ca="1">M267+M268</f>
        <v>5000</v>
      </c>
      <c r="N266" s="266">
        <f ca="1">N267+N268</f>
        <v>0</v>
      </c>
      <c r="O266" s="266">
        <f ca="1">IF(L266&gt;0,N266*100/L266,0)</f>
        <v>0</v>
      </c>
      <c r="P266" s="266">
        <f ca="1">IF(M266&gt;0,N266*100/M266,0)</f>
        <v>0</v>
      </c>
      <c r="Q266" s="266">
        <f ca="1">Q267+Q268</f>
        <v>50660</v>
      </c>
      <c r="R266" s="266">
        <f ca="1">R267+R268</f>
        <v>50660</v>
      </c>
      <c r="S266" s="266">
        <f ca="1">S267+S268</f>
        <v>0</v>
      </c>
      <c r="T266" s="266">
        <f ca="1">IF(Q266&gt;0,S266*100/Q266,0)</f>
        <v>0</v>
      </c>
      <c r="U266" s="266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76">
        <f ca="1">L271+L274</f>
        <v>0</v>
      </c>
      <c r="M268" s="77">
        <f ca="1">M271+M274</f>
        <v>5000</v>
      </c>
      <c r="N268" s="77">
        <f ca="1">N271+N274</f>
        <v>0</v>
      </c>
      <c r="O268" s="77">
        <f ca="1">IF(L268&gt;0,N268*100/L268,0)</f>
        <v>0</v>
      </c>
      <c r="P268" s="77">
        <f ca="1">IF(M268&gt;0,N268*100/M268,0)</f>
        <v>0</v>
      </c>
      <c r="Q268" s="77">
        <f ca="1">Q271+Q274</f>
        <v>50660</v>
      </c>
      <c r="R268" s="77">
        <f ca="1">R271+R274</f>
        <v>50660</v>
      </c>
      <c r="S268" s="77">
        <f ca="1">S271+S274</f>
        <v>0</v>
      </c>
      <c r="T268" s="77">
        <f ca="1">IF(Q268&gt;0,S268*100/Q268,0)</f>
        <v>0</v>
      </c>
      <c r="U268" s="77">
        <f ca="1">IF(R268&gt;0,S268*100/R268,0)</f>
        <v>0</v>
      </c>
    </row>
    <row r="269" spans="1:21" ht="18.75" x14ac:dyDescent="0.25">
      <c r="A269" s="211"/>
      <c r="B269" s="371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76">
        <f ca="1">L270+L271</f>
        <v>0</v>
      </c>
      <c r="M269" s="77">
        <f ca="1">M270+M271</f>
        <v>5000</v>
      </c>
      <c r="N269" s="77">
        <f ca="1">N270+N271</f>
        <v>0</v>
      </c>
      <c r="O269" s="77">
        <f ca="1">IF(L269&gt;0,N269*100/L269,0)</f>
        <v>0</v>
      </c>
      <c r="P269" s="77">
        <f ca="1">IF(M269&gt;0,N269*100/M269,0)</f>
        <v>0</v>
      </c>
      <c r="Q269" s="77">
        <f ca="1">Q270+Q271</f>
        <v>50660</v>
      </c>
      <c r="R269" s="77">
        <f ca="1">R270+R271</f>
        <v>50660</v>
      </c>
      <c r="S269" s="77">
        <f ca="1">S270+S271</f>
        <v>0</v>
      </c>
      <c r="T269" s="77">
        <f ca="1">IF(Q269&gt;0,S269*100/Q269,0)</f>
        <v>0</v>
      </c>
      <c r="U269" s="77">
        <f ca="1">IF(R269&gt;0,S269*100/R269,0)</f>
        <v>0</v>
      </c>
    </row>
    <row r="270" spans="1:21" ht="18.75" hidden="1" x14ac:dyDescent="0.25">
      <c r="A270" s="882"/>
      <c r="B270" s="872"/>
      <c r="C270" s="872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76">
        <f ca="1">IFERROR(__xludf.DUMMYFUNCTION("IMPORTRANGE(""https://docs.google.com/spreadsheets/d/1-uDff_7J0KD5mKrp0Vvzr7lt3OU09vwQwhkpOPPYv2Y/edit?usp=sharing"",""งบพรบ!DE62"")"),0)</f>
        <v>0</v>
      </c>
      <c r="M271" s="77">
        <f ca="1">IFERROR(__xludf.DUMMYFUNCTION("IMPORTRANGE(""https://docs.google.com/spreadsheets/d/1-uDff_7J0KD5mKrp0Vvzr7lt3OU09vwQwhkpOPPYv2Y/edit?usp=sharing"",""งบพรบ!DJ62"")"),5000)</f>
        <v>5000</v>
      </c>
      <c r="N271" s="77">
        <f ca="1">IFERROR(__xludf.DUMMYFUNCTION("IMPORTRANGE(""https://docs.google.com/spreadsheets/d/1-uDff_7J0KD5mKrp0Vvzr7lt3OU09vwQwhkpOPPYv2Y/edit?usp=sharing"",""งบพรบ!DL62"")"),0)</f>
        <v>0</v>
      </c>
      <c r="O271" s="77">
        <f ca="1">IF(L271&gt;0,N271*100/L271,0)</f>
        <v>0</v>
      </c>
      <c r="P271" s="77">
        <f ca="1">IF(M271&gt;0,N271*100/M271,0)</f>
        <v>0</v>
      </c>
      <c r="Q271" s="77">
        <f ca="1">IFERROR(__xludf.DUMMYFUNCTION("IMPORTRANGE(""https://docs.google.com/spreadsheets/d/1ItG2mGa2ceCfYo0BwxsXqNm01IGEUdYcSSLTEv9YCik/edit?usp=sharing"",""เบิกจ่ายกองทุน!AJ62"")"),50660)</f>
        <v>50660</v>
      </c>
      <c r="R271" s="77">
        <f ca="1">IFERROR(__xludf.DUMMYFUNCTION("IMPORTRANGE(""https://docs.google.com/spreadsheets/d/1ItG2mGa2ceCfYo0BwxsXqNm01IGEUdYcSSLTEv9YCik/edit?usp=sharing"",""เบิกจ่ายกองทุน!AK62"")"),50660)</f>
        <v>50660</v>
      </c>
      <c r="S271" s="77">
        <f ca="1">IFERROR(__xludf.DUMMYFUNCTION("IMPORTRANGE(""https://docs.google.com/spreadsheets/d/1ItG2mGa2ceCfYo0BwxsXqNm01IGEUdYcSSLTEv9YCik/edit?usp=sharing"",""เบิกจ่ายกองทุน!AL62"")"),0)</f>
        <v>0</v>
      </c>
      <c r="T271" s="77">
        <f ca="1">IF(Q271&gt;0,S271*100/Q271,0)</f>
        <v>0</v>
      </c>
      <c r="U271" s="77">
        <f ca="1">IF(R271&gt;0,S271*100/R271,0)</f>
        <v>0</v>
      </c>
    </row>
    <row r="272" spans="1:21" ht="18.75" x14ac:dyDescent="0.25">
      <c r="A272" s="211"/>
      <c r="B272" s="371"/>
      <c r="C272" s="371"/>
      <c r="D272" s="1150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76">
        <f ca="1">L273+L274</f>
        <v>0</v>
      </c>
      <c r="M272" s="77">
        <f ca="1">M273+M274</f>
        <v>0</v>
      </c>
      <c r="N272" s="77">
        <f ca="1">N273+N274</f>
        <v>0</v>
      </c>
      <c r="O272" s="77">
        <f ca="1">IF(L272&gt;0,N272*100/L272,0)</f>
        <v>0</v>
      </c>
      <c r="P272" s="77">
        <f ca="1">IF(M272&gt;0,N272*100/M272,0)</f>
        <v>0</v>
      </c>
      <c r="Q272" s="77">
        <f>Q273+Q274</f>
        <v>0</v>
      </c>
      <c r="R272" s="77">
        <f>R273+R274</f>
        <v>0</v>
      </c>
      <c r="S272" s="77">
        <f>S273+S274</f>
        <v>0</v>
      </c>
      <c r="T272" s="77">
        <f>IF(Q272&gt;0,S272*100/Q272,0)</f>
        <v>0</v>
      </c>
      <c r="U272" s="77">
        <f>IF(R272&gt;0,S272*100/R272,0)</f>
        <v>0</v>
      </c>
    </row>
    <row r="273" spans="1:21" ht="18.75" hidden="1" x14ac:dyDescent="0.25">
      <c r="A273" s="882"/>
      <c r="B273" s="870"/>
      <c r="C273" s="872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76">
        <f ca="1">IFERROR(__xludf.DUMMYFUNCTION("IMPORTRANGE(""https://docs.google.com/spreadsheets/d/1-uDff_7J0KD5mKrp0Vvzr7lt3OU09vwQwhkpOPPYv2Y/edit?usp=sharing"",""งบพรบ!DH62"")"),0)</f>
        <v>0</v>
      </c>
      <c r="M274" s="77">
        <f ca="1">IFERROR(__xludf.DUMMYFUNCTION("IMPORTRANGE(""https://docs.google.com/spreadsheets/d/1-uDff_7J0KD5mKrp0Vvzr7lt3OU09vwQwhkpOPPYv2Y/edit?usp=sharing"",""งบพรบ!DK62"")"),0)</f>
        <v>0</v>
      </c>
      <c r="N274" s="77">
        <f ca="1">IFERROR(__xludf.DUMMYFUNCTION("IMPORTRANGE(""https://docs.google.com/spreadsheets/d/1-uDff_7J0KD5mKrp0Vvzr7lt3OU09vwQwhkpOPPYv2Y/edit?usp=sharing"",""งบพรบ!DM62"")"),0)</f>
        <v>0</v>
      </c>
      <c r="O274" s="77">
        <f ca="1">IF(L274&gt;0,N274*100/L274,0)</f>
        <v>0</v>
      </c>
      <c r="P274" s="77">
        <f ca="1">IF(M274&gt;0,N274*100/M274,0)</f>
        <v>0</v>
      </c>
      <c r="Q274" s="77">
        <v>0</v>
      </c>
      <c r="R274" s="77">
        <v>0</v>
      </c>
      <c r="S274" s="77">
        <v>0</v>
      </c>
      <c r="T274" s="77">
        <f>IF(Q274&gt;0,S274*100/Q274,0)</f>
        <v>0</v>
      </c>
      <c r="U274" s="77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149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IFERROR(__xludf.DUMMYFUNCTION("IMPORTRANGE(""https://docs.google.com/spreadsheets/d/1eHaY18a8A9IcSdp1K8H6x8fbOy06t2VsZHhMHf-1x7Y/edit?usp=sharing"",""แผน!EC62"")"),22)</f>
        <v>22</v>
      </c>
      <c r="J276" s="931">
        <v>0</v>
      </c>
      <c r="K276" s="88">
        <f ca="1">IF(I276&gt;0,J276*100/I276,0)</f>
        <v>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5"/>
      <c r="B277" s="737"/>
      <c r="C277" s="737"/>
      <c r="D277" s="1146" t="s">
        <v>116</v>
      </c>
      <c r="E277" s="738"/>
      <c r="F277" s="738"/>
      <c r="G277" s="739"/>
      <c r="H277" s="1145" t="s">
        <v>35</v>
      </c>
      <c r="I277" s="758">
        <v>0</v>
      </c>
      <c r="J277" s="758">
        <v>0</v>
      </c>
      <c r="K277" s="1144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1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7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129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129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IFERROR(__xludf.DUMMYFUNCTION("IMPORTRANGE(""https://docs.google.com/spreadsheets/d/1-uDff_7J0KD5mKrp0Vvzr7lt3OU09vwQwhkpOPPYv2Y/edit?usp=sharing"",""งบพรบ!DO62"")"),0)</f>
        <v>0</v>
      </c>
      <c r="M287" s="77">
        <f ca="1">IFERROR(__xludf.DUMMYFUNCTION("IMPORTRANGE(""https://docs.google.com/spreadsheets/d/1-uDff_7J0KD5mKrp0Vvzr7lt3OU09vwQwhkpOPPYv2Y/edit?usp=sharing"",""งบพรบ!DT62"")"),0)</f>
        <v>0</v>
      </c>
      <c r="N287" s="77">
        <f ca="1">IFERROR(__xludf.DUMMYFUNCTION("IMPORTRANGE(""https://docs.google.com/spreadsheets/d/1-uDff_7J0KD5mKrp0Vvzr7lt3OU09vwQwhkpOPPYv2Y/edit?usp=sharing"",""งบพรบ!DV62"")"),0)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IFERROR(__xludf.DUMMYFUNCTION("IMPORTRANGE(""https://docs.google.com/spreadsheets/d/1-uDff_7J0KD5mKrp0Vvzr7lt3OU09vwQwhkpOPPYv2Y/edit?usp=sharing"",""งบพรบ!DR62"")"),0)</f>
        <v>0</v>
      </c>
      <c r="M290" s="77">
        <f ca="1">IFERROR(__xludf.DUMMYFUNCTION("IMPORTRANGE(""https://docs.google.com/spreadsheets/d/1-uDff_7J0KD5mKrp0Vvzr7lt3OU09vwQwhkpOPPYv2Y/edit?usp=sharing"",""งบพรบ!DU62"")"),0)</f>
        <v>0</v>
      </c>
      <c r="N290" s="77">
        <f ca="1">IFERROR(__xludf.DUMMYFUNCTION("IMPORTRANGE(""https://docs.google.com/spreadsheets/d/1-uDff_7J0KD5mKrp0Vvzr7lt3OU09vwQwhkpOPPYv2Y/edit?usp=sharing"",""งบพรบ!DW62"")"),0)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IFERROR(__xludf.DUMMYFUNCTION("IMPORTRANGE(""https://docs.google.com/spreadsheets/d/1eHaY18a8A9IcSdp1K8H6x8fbOy06t2VsZHhMHf-1x7Y/edit?usp=sharing"",""แผน!EE62"")"),0)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IFERROR(__xludf.DUMMYFUNCTION("IMPORTRANGE(""https://docs.google.com/spreadsheets/d/1eHaY18a8A9IcSdp1K8H6x8fbOy06t2VsZHhMHf-1x7Y/edit?usp=sharing"",""แผน!ED62"")"),0)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IFERROR(__xludf.DUMMYFUNCTION("IMPORTRANGE(""https://docs.google.com/spreadsheets/d/1eHaY18a8A9IcSdp1K8H6x8fbOy06t2VsZHhMHf-1x7Y/edit?usp=sharing"",""แผน!ED62"")"),0)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IFERROR(__xludf.DUMMYFUNCTION("IMPORTRANGE(""https://docs.google.com/spreadsheets/d/1eHaY18a8A9IcSdp1K8H6x8fbOy06t2VsZHhMHf-1x7Y/edit?usp=sharing"",""แผน!ED62"")"),0)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0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6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3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228095.39</v>
      </c>
      <c r="R303" s="266">
        <f ca="1">R304+R305</f>
        <v>228095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228095.39</v>
      </c>
      <c r="R305" s="77">
        <f ca="1">R308+R311</f>
        <v>228095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228095.39</v>
      </c>
      <c r="R306" s="77">
        <f ca="1">R307+R308</f>
        <v>228095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IFERROR(__xludf.DUMMYFUNCTION("IMPORTRANGE(""https://docs.google.com/spreadsheets/d/1-uDff_7J0KD5mKrp0Vvzr7lt3OU09vwQwhkpOPPYv2Y/edit?usp=sharing"",""งบพรบ!DY62"")"),0)</f>
        <v>0</v>
      </c>
      <c r="M308" s="77">
        <f ca="1">IFERROR(__xludf.DUMMYFUNCTION("IMPORTRANGE(""https://docs.google.com/spreadsheets/d/1-uDff_7J0KD5mKrp0Vvzr7lt3OU09vwQwhkpOPPYv2Y/edit?usp=sharing"",""งบพรบ!ED62"")"),0)</f>
        <v>0</v>
      </c>
      <c r="N308" s="77">
        <f ca="1">IFERROR(__xludf.DUMMYFUNCTION("IMPORTRANGE(""https://docs.google.com/spreadsheets/d/1-uDff_7J0KD5mKrp0Vvzr7lt3OU09vwQwhkpOPPYv2Y/edit?usp=sharing"",""งบพรบ!EF62"")"),0)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IFERROR(__xludf.DUMMYFUNCTION("IMPORTRANGE(""https://docs.google.com/spreadsheets/d/1ItG2mGa2ceCfYo0BwxsXqNm01IGEUdYcSSLTEv9YCik/edit?usp=sharing"",""เบิกจ่ายกองทุน!AP62"")"),228095.39)</f>
        <v>228095.39</v>
      </c>
      <c r="R308" s="77">
        <f ca="1">IFERROR(__xludf.DUMMYFUNCTION("IMPORTRANGE(""https://docs.google.com/spreadsheets/d/1ItG2mGa2ceCfYo0BwxsXqNm01IGEUdYcSSLTEv9YCik/edit?usp=sharing"",""เบิกจ่ายกองทุน!AQ62"")"),228095)</f>
        <v>228095</v>
      </c>
      <c r="S308" s="77">
        <f ca="1">IFERROR(__xludf.DUMMYFUNCTION("IMPORTRANGE(""https://docs.google.com/spreadsheets/d/1ItG2mGa2ceCfYo0BwxsXqNm01IGEUdYcSSLTEv9YCik/edit?usp=sharing"",""เบิกจ่ายกองทุน!AR62"")"),0)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IFERROR(__xludf.DUMMYFUNCTION("IMPORTRANGE(""https://docs.google.com/spreadsheets/d/1-uDff_7J0KD5mKrp0Vvzr7lt3OU09vwQwhkpOPPYv2Y/edit?usp=sharing"",""งบพรบ!EB62"")"),0)</f>
        <v>0</v>
      </c>
      <c r="M311" s="77">
        <f ca="1">IFERROR(__xludf.DUMMYFUNCTION("IMPORTRANGE(""https://docs.google.com/spreadsheets/d/1-uDff_7J0KD5mKrp0Vvzr7lt3OU09vwQwhkpOPPYv2Y/edit?usp=sharing"",""งบพรบ!EE62"")"),0)</f>
        <v>0</v>
      </c>
      <c r="N311" s="77">
        <f ca="1">IFERROR(__xludf.DUMMYFUNCTION("IMPORTRANGE(""https://docs.google.com/spreadsheets/d/1-uDff_7J0KD5mKrp0Vvzr7lt3OU09vwQwhkpOPPYv2Y/edit?usp=sharing"",""งบพรบ!EG62"")"),0)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37" t="s">
        <v>38</v>
      </c>
      <c r="E312" s="762"/>
      <c r="F312" s="762"/>
      <c r="G312" s="1112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9.5" hidden="1" x14ac:dyDescent="0.3">
      <c r="A313" s="1323"/>
      <c r="B313" s="1322"/>
      <c r="C313" s="1322"/>
      <c r="D313" s="1321"/>
      <c r="E313" s="1320"/>
      <c r="F313" s="1320"/>
      <c r="G313" s="1319"/>
      <c r="H313" s="1319"/>
      <c r="I313" s="1318"/>
      <c r="J313" s="1317"/>
      <c r="K313" s="1316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IFERROR(__xludf.DUMMYFUNCTION("IMPORTRANGE(""https://docs.google.com/spreadsheets/d/1eHaY18a8A9IcSdp1K8H6x8fbOy06t2VsZHhMHf-1x7Y/edit?usp=sharing"",""แผน!EF62"")"),25)</f>
        <v>25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27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27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1276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3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IFERROR(__xludf.DUMMYFUNCTION("IMPORTRANGE(""https://docs.google.com/spreadsheets/d/1-uDff_7J0KD5mKrp0Vvzr7lt3OU09vwQwhkpOPPYv2Y/edit?usp=sharing"",""งบพรบ!EI62"")"),0)</f>
        <v>0</v>
      </c>
      <c r="M325" s="77">
        <f ca="1">IFERROR(__xludf.DUMMYFUNCTION("IMPORTRANGE(""https://docs.google.com/spreadsheets/d/1-uDff_7J0KD5mKrp0Vvzr7lt3OU09vwQwhkpOPPYv2Y/edit?usp=sharing"",""งบพรบ!EN62"")"),0)</f>
        <v>0</v>
      </c>
      <c r="N325" s="77">
        <f ca="1">IFERROR(__xludf.DUMMYFUNCTION("IMPORTRANGE(""https://docs.google.com/spreadsheets/d/1-uDff_7J0KD5mKrp0Vvzr7lt3OU09vwQwhkpOPPYv2Y/edit?usp=sharing"",""งบพรบ!EP62"")"),0)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IFERROR(__xludf.DUMMYFUNCTION("IMPORTRANGE(""https://docs.google.com/spreadsheets/d/1-uDff_7J0KD5mKrp0Vvzr7lt3OU09vwQwhkpOPPYv2Y/edit?usp=sharing"",""งบพรบ!EL62"")"),0)</f>
        <v>0</v>
      </c>
      <c r="M328" s="77">
        <f ca="1">IFERROR(__xludf.DUMMYFUNCTION("IMPORTRANGE(""https://docs.google.com/spreadsheets/d/1-uDff_7J0KD5mKrp0Vvzr7lt3OU09vwQwhkpOPPYv2Y/edit?usp=sharing"",""งบพรบ!EO62"")"),0)</f>
        <v>0</v>
      </c>
      <c r="N328" s="77">
        <f ca="1">IFERROR(__xludf.DUMMYFUNCTION("IMPORTRANGE(""https://docs.google.com/spreadsheets/d/1-uDff_7J0KD5mKrp0Vvzr7lt3OU09vwQwhkpOPPYv2Y/edit?usp=sharing"",""งบพรบ!EQ62"")"),0)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IFERROR(__xludf.DUMMYFUNCTION("IMPORTRANGE(""https://docs.google.com/spreadsheets/d/1eHaY18a8A9IcSdp1K8H6x8fbOy06t2VsZHhMHf-1x7Y/edit?usp=sharing"",""แผน!EJ62"")"),0)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3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540</v>
      </c>
      <c r="J332" s="519">
        <f ca="1">J344+J347+J348+J349+J353+J354</f>
        <v>1225</v>
      </c>
      <c r="K332" s="520">
        <f ca="1">IF(I332&gt;0,J332*100/I332,0)</f>
        <v>226.85185185185185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218600</v>
      </c>
      <c r="M333" s="266">
        <f ca="1">M334+M335</f>
        <v>223600</v>
      </c>
      <c r="N333" s="266">
        <f ca="1">N334+N335</f>
        <v>162317.75</v>
      </c>
      <c r="O333" s="266">
        <f ca="1">IF(L333&gt;0,N333*100/L333,0)</f>
        <v>74.253316559926802</v>
      </c>
      <c r="P333" s="266">
        <f ca="1">IF(M333&gt;0,N333*100/M333,0)</f>
        <v>72.5929114490161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218600</v>
      </c>
      <c r="M335" s="77">
        <f ca="1">M338+M341</f>
        <v>223600</v>
      </c>
      <c r="N335" s="77">
        <f ca="1">N338+N341</f>
        <v>162317.75</v>
      </c>
      <c r="O335" s="77">
        <f ca="1">IF(L335&gt;0,N335*100/L335,0)</f>
        <v>74.253316559926802</v>
      </c>
      <c r="P335" s="77">
        <f ca="1">IF(M335&gt;0,N335*100/M335,0)</f>
        <v>72.5929114490161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218600</v>
      </c>
      <c r="M336" s="77">
        <f ca="1">M337+M338</f>
        <v>223600</v>
      </c>
      <c r="N336" s="77">
        <f ca="1">N337+N338</f>
        <v>162317.75</v>
      </c>
      <c r="O336" s="77">
        <f ca="1">IF(L336&gt;0,N336*100/L336,0)</f>
        <v>74.253316559926802</v>
      </c>
      <c r="P336" s="77">
        <f ca="1">IF(M336&gt;0,N336*100/M336,0)</f>
        <v>72.5929114490161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IFERROR(__xludf.DUMMYFUNCTION("IMPORTRANGE(""https://docs.google.com/spreadsheets/d/1-uDff_7J0KD5mKrp0Vvzr7lt3OU09vwQwhkpOPPYv2Y/edit?usp=sharing"",""งบพรบ!ES62"")"),218600)</f>
        <v>218600</v>
      </c>
      <c r="M338" s="77">
        <f ca="1">IFERROR(__xludf.DUMMYFUNCTION("IMPORTRANGE(""https://docs.google.com/spreadsheets/d/1-uDff_7J0KD5mKrp0Vvzr7lt3OU09vwQwhkpOPPYv2Y/edit?usp=sharing"",""งบพรบ!EX62"")"),223600)</f>
        <v>223600</v>
      </c>
      <c r="N338" s="77">
        <f ca="1">IFERROR(__xludf.DUMMYFUNCTION("IMPORTRANGE(""https://docs.google.com/spreadsheets/d/1-uDff_7J0KD5mKrp0Vvzr7lt3OU09vwQwhkpOPPYv2Y/edit?usp=sharing"",""งบพรบ!EZ62"")"),162317.75)</f>
        <v>162317.75</v>
      </c>
      <c r="O338" s="77">
        <f ca="1">IF(L338&gt;0,N338*100/L338,0)</f>
        <v>74.253316559926802</v>
      </c>
      <c r="P338" s="77">
        <f ca="1">IF(M338&gt;0,N338*100/M338,0)</f>
        <v>72.5929114490161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IFERROR(__xludf.DUMMYFUNCTION("IMPORTRANGE(""https://docs.google.com/spreadsheets/d/1-uDff_7J0KD5mKrp0Vvzr7lt3OU09vwQwhkpOPPYv2Y/edit?usp=sharing"",""งบพรบ!EV62"")"),0)</f>
        <v>0</v>
      </c>
      <c r="M341" s="77">
        <f ca="1">IFERROR(__xludf.DUMMYFUNCTION("IMPORTRANGE(""https://docs.google.com/spreadsheets/d/1-uDff_7J0KD5mKrp0Vvzr7lt3OU09vwQwhkpOPPYv2Y/edit?usp=sharing"",""งบพรบ!EY62"")"),0)</f>
        <v>0</v>
      </c>
      <c r="N341" s="77">
        <f ca="1">IFERROR(__xludf.DUMMYFUNCTION("IMPORTRANGE(""https://docs.google.com/spreadsheets/d/1-uDff_7J0KD5mKrp0Vvzr7lt3OU09vwQwhkpOPPYv2Y/edit?usp=sharing"",""งบพรบ!FA62"")"),0)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173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IFERROR(__xludf.DUMMYFUNCTION("IMPORTRANGE(""https://docs.google.com/spreadsheets/d/1eHaY18a8A9IcSdp1K8H6x8fbOy06t2VsZHhMHf-1x7Y/edit?usp=sharing"",""แผน!EK62"")"),540)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IFERROR(__xludf.DUMMYFUNCTION("IMPORTRANGE(""https://docs.google.com/spreadsheets/d/1awYsYK3VOup2i3Pq_Yjnu8DRu_mYwSBnCR2QPthd0rU/edit?usp=sharing"",""ศูนย์ยกเว้นโฉนด!D62"")"),170)</f>
        <v>170</v>
      </c>
      <c r="K344" s="77">
        <f ca="1">IF(I344&gt;0,J344*100/I344,0)</f>
        <v>31.481481481481481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IFERROR(__xludf.DUMMYFUNCTION("IMPORTRANGE(""https://docs.google.com/spreadsheets/d/1eHaY18a8A9IcSdp1K8H6x8fbOy06t2VsZHhMHf-1x7Y/edit?usp=sharing"",""แผน!EL62"")"),2)</f>
        <v>2</v>
      </c>
      <c r="J346" s="295">
        <f ca="1">IFERROR(__xludf.DUMMYFUNCTION("IMPORTRANGE(""https://docs.google.com/spreadsheets/d/1awYsYK3VOup2i3Pq_Yjnu8DRu_mYwSBnCR2QPthd0rU/edit?usp=sharing"",""ศูนย์รวม!E62"")"),0)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IFERROR(__xludf.DUMMYFUNCTION("IMPORTRANGE(""https://docs.google.com/spreadsheets/d/1awYsYK3VOup2i3Pq_Yjnu8DRu_mYwSBnCR2QPthd0rU/edit?usp=sharing"",""ศูนย์ยกเว้นโฉนด!F62"")"),0)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IFERROR(__xludf.DUMMYFUNCTION("IMPORTRANGE(""https://docs.google.com/spreadsheets/d/1awYsYK3VOup2i3Pq_Yjnu8DRu_mYwSBnCR2QPthd0rU/edit?usp=sharing"",""ศูนย์ยกเว้นโฉนด!G62"")"),3)</f>
        <v>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IFERROR(__xludf.DUMMYFUNCTION("IMPORTRANGE(""https://docs.google.com/spreadsheets/d/1awYsYK3VOup2i3Pq_Yjnu8DRu_mYwSBnCR2QPthd0rU/edit?usp=sharing"",""ศูนย์ยกเว้นโฉนด!H62"")"),0)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1100" t="s">
        <v>35</v>
      </c>
      <c r="I351" s="542">
        <v>0</v>
      </c>
      <c r="J351" s="542">
        <f ca="1">J352+J353+J354</f>
        <v>4552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IFERROR(__xludf.DUMMYFUNCTION("IMPORTRANGE(""https://docs.google.com/spreadsheets/d/1awYsYK3VOup2i3Pq_Yjnu8DRu_mYwSBnCR2QPthd0rU/edit?usp=sharing"",""โฉนดM3!G62"")"),3500)</f>
        <v>3500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IFERROR(__xludf.DUMMYFUNCTION("IMPORTRANGE(""https://docs.google.com/spreadsheets/d/1awYsYK3VOup2i3Pq_Yjnu8DRu_mYwSBnCR2QPthd0rU/edit?usp=sharing"",""โฉนดM3!H62"")"),1043)</f>
        <v>1043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IFERROR(__xludf.DUMMYFUNCTION("IMPORTRANGE(""https://docs.google.com/spreadsheets/d/1awYsYK3VOup2i3Pq_Yjnu8DRu_mYwSBnCR2QPthd0rU/edit?usp=sharing"",""โฉนดM3!I62"")"),9)</f>
        <v>9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7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266990</v>
      </c>
      <c r="M356" s="266">
        <f ca="1">M357+M358</f>
        <v>266990</v>
      </c>
      <c r="N356" s="266">
        <f ca="1">N357+N358</f>
        <v>151353.34</v>
      </c>
      <c r="O356" s="266">
        <f ca="1">IF(L356&gt;0,N356*100/L356,0)</f>
        <v>56.688767369564403</v>
      </c>
      <c r="P356" s="266">
        <f ca="1">IF(M356&gt;0,N356*100/M356,0)</f>
        <v>56.688767369564403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266990</v>
      </c>
      <c r="M358" s="77">
        <f ca="1">M361+M364</f>
        <v>266990</v>
      </c>
      <c r="N358" s="77">
        <f ca="1">N361+N364</f>
        <v>151353.34</v>
      </c>
      <c r="O358" s="77">
        <f ca="1">IF(L358&gt;0,N358*100/L358,0)</f>
        <v>56.688767369564403</v>
      </c>
      <c r="P358" s="77">
        <f ca="1">IF(M358&gt;0,N358*100/M358,0)</f>
        <v>56.688767369564403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266990</v>
      </c>
      <c r="M359" s="77">
        <f ca="1">M360+M361</f>
        <v>266990</v>
      </c>
      <c r="N359" s="77">
        <f ca="1">N360+N361</f>
        <v>151353.34</v>
      </c>
      <c r="O359" s="77">
        <f ca="1">IF(L359&gt;0,N359*100/L359,0)</f>
        <v>56.688767369564403</v>
      </c>
      <c r="P359" s="77">
        <f ca="1">IF(M359&gt;0,N359*100/M359,0)</f>
        <v>56.688767369564403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IFERROR(__xludf.DUMMYFUNCTION("IMPORTRANGE(""https://docs.google.com/spreadsheets/d/1-uDff_7J0KD5mKrp0Vvzr7lt3OU09vwQwhkpOPPYv2Y/edit?usp=sharing"",""งบพรบ!FC62"")"),266990)</f>
        <v>266990</v>
      </c>
      <c r="M361" s="77">
        <f ca="1">IFERROR(__xludf.DUMMYFUNCTION("IMPORTRANGE(""https://docs.google.com/spreadsheets/d/1-uDff_7J0KD5mKrp0Vvzr7lt3OU09vwQwhkpOPPYv2Y/edit?usp=sharing"",""งบพรบ!FH62"")"),266990)</f>
        <v>266990</v>
      </c>
      <c r="N361" s="77">
        <f ca="1">IFERROR(__xludf.DUMMYFUNCTION("IMPORTRANGE(""https://docs.google.com/spreadsheets/d/1-uDff_7J0KD5mKrp0Vvzr7lt3OU09vwQwhkpOPPYv2Y/edit?usp=sharing"",""งบพรบ!FJ62"")"),151353.34)</f>
        <v>151353.34</v>
      </c>
      <c r="O361" s="77">
        <f ca="1">IF(L361&gt;0,N361*100/L361,0)</f>
        <v>56.688767369564403</v>
      </c>
      <c r="P361" s="77">
        <f ca="1">IF(M361&gt;0,N361*100/M361,0)</f>
        <v>56.688767369564403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IFERROR(__xludf.DUMMYFUNCTION("IMPORTRANGE(""https://docs.google.com/spreadsheets/d/1-uDff_7J0KD5mKrp0Vvzr7lt3OU09vwQwhkpOPPYv2Y/edit?usp=sharing"",""งบพรบ!FF62"")"),0)</f>
        <v>0</v>
      </c>
      <c r="M364" s="77">
        <f ca="1">IFERROR(__xludf.DUMMYFUNCTION("IMPORTRANGE(""https://docs.google.com/spreadsheets/d/1-uDff_7J0KD5mKrp0Vvzr7lt3OU09vwQwhkpOPPYv2Y/edit?usp=sharing"",""งบพรบ!FI62"")"),0)</f>
        <v>0</v>
      </c>
      <c r="N364" s="77">
        <f ca="1">IFERROR(__xludf.DUMMYFUNCTION("IMPORTRANGE(""https://docs.google.com/spreadsheets/d/1-uDff_7J0KD5mKrp0Vvzr7lt3OU09vwQwhkpOPPYv2Y/edit?usp=sharing"",""งบพรบ!FK62"")"),0)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13" t="s">
        <v>150</v>
      </c>
      <c r="E365" s="537"/>
      <c r="F365" s="537"/>
      <c r="G365" s="540"/>
      <c r="H365" s="1097" t="s">
        <v>35</v>
      </c>
      <c r="I365" s="542">
        <f ca="1">I371</f>
        <v>88</v>
      </c>
      <c r="J365" s="542">
        <f ca="1">J371</f>
        <v>179</v>
      </c>
      <c r="K365" s="543">
        <f ca="1">IF(I365&gt;0,J365*100/I365,0)</f>
        <v>203.40909090909091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0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096" t="s">
        <v>151</v>
      </c>
      <c r="F367" s="279"/>
      <c r="G367" s="309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IFERROR(__xludf.DUMMYFUNCTION("IMPORTRANGE(""https://docs.google.com/spreadsheets/d/1tdoBKaGub7dwA3U6UFTqxio9LNnvDCQjHKmttSEBsFQ/edit?usp=sharing"",""จัดที่ดิน!AB62"")"),36)</f>
        <v>36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IFERROR(__xludf.DUMMYFUNCTION("IMPORTRANGE(""https://docs.google.com/spreadsheets/d/1eHaY18a8A9IcSdp1K8H6x8fbOy06t2VsZHhMHf-1x7Y/edit?usp=sharing"",""แผน!EW62"")"),315)</f>
        <v>315</v>
      </c>
      <c r="J368" s="1094">
        <f ca="1">IFERROR(__xludf.DUMMYFUNCTION("IMPORTRANGE(""https://docs.google.com/spreadsheets/d/1tdoBKaGub7dwA3U6UFTqxio9LNnvDCQjHKmttSEBsFQ/edit?usp=sharing"",""จัดที่ดิน!AC62"")"),232.36)</f>
        <v>232.36</v>
      </c>
      <c r="K368" s="77">
        <f ca="1">IF(I368&gt;0,J368*100/I368,0)</f>
        <v>73.765079365079359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IFERROR(__xludf.DUMMYFUNCTION("IMPORTRANGE(""https://docs.google.com/spreadsheets/d/1eHaY18a8A9IcSdp1K8H6x8fbOy06t2VsZHhMHf-1x7Y/edit?usp=sharing"",""แผน!EX62"")"),88)</f>
        <v>88</v>
      </c>
      <c r="J369" s="295">
        <f ca="1">IFERROR(__xludf.DUMMYFUNCTION("IMPORTRANGE(""https://docs.google.com/spreadsheets/d/1tdoBKaGub7dwA3U6UFTqxio9LNnvDCQjHKmttSEBsFQ/edit?usp=sharing"",""จัดที่ดิน!AD62"")"),191)</f>
        <v>191</v>
      </c>
      <c r="K369" s="77">
        <f ca="1">IF(I369&gt;0,J369*100/I369,0)</f>
        <v>217.04545454545453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IFERROR(__xludf.DUMMYFUNCTION("IMPORTRANGE(""https://docs.google.com/spreadsheets/d/1tdoBKaGub7dwA3U6UFTqxio9LNnvDCQjHKmttSEBsFQ/edit?usp=sharing"",""จัดที่ดิน!AE62"")"),2201.02)</f>
        <v>2201.02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IFERROR(__xludf.DUMMYFUNCTION("IMPORTRANGE(""https://docs.google.com/spreadsheets/d/1eHaY18a8A9IcSdp1K8H6x8fbOy06t2VsZHhMHf-1x7Y/edit?usp=sharing"",""แผน!EY62"")"),88)</f>
        <v>88</v>
      </c>
      <c r="J371" s="295">
        <f ca="1">IFERROR(__xludf.DUMMYFUNCTION("IMPORTRANGE(""https://docs.google.com/spreadsheets/d/1tdoBKaGub7dwA3U6UFTqxio9LNnvDCQjHKmttSEBsFQ/edit?usp=sharing"",""จัดที่ดิน!AF62"")"),179)</f>
        <v>179</v>
      </c>
      <c r="K371" s="77">
        <f ca="1">IF(I371&gt;0,J371*100/I371,0)</f>
        <v>203.40909090909091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IFERROR(__xludf.DUMMYFUNCTION("IMPORTRANGE(""https://docs.google.com/spreadsheets/d/1tdoBKaGub7dwA3U6UFTqxio9LNnvDCQjHKmttSEBsFQ/edit?usp=sharing"",""จัดที่ดิน!AG62"")"),2201.2)</f>
        <v>2201.1999999999998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0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300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18750</v>
      </c>
      <c r="R375" s="266">
        <f ca="1">R376+R377</f>
        <v>18750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18750</v>
      </c>
      <c r="R377" s="77">
        <f ca="1">R380+R383</f>
        <v>18750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18750</v>
      </c>
      <c r="R378" s="77">
        <f ca="1">R379+R380</f>
        <v>18750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IFERROR(__xludf.DUMMYFUNCTION("IMPORTRANGE(""https://docs.google.com/spreadsheets/d/1ItG2mGa2ceCfYo0BwxsXqNm01IGEUdYcSSLTEv9YCik/edit?usp=sharing"",""เบิกจ่ายกองทุน!AY62"")"),18750)</f>
        <v>18750</v>
      </c>
      <c r="R380" s="77">
        <f ca="1">IFERROR(__xludf.DUMMYFUNCTION("IMPORTRANGE(""https://docs.google.com/spreadsheets/d/1ItG2mGa2ceCfYo0BwxsXqNm01IGEUdYcSSLTEv9YCik/edit?usp=sharing"",""เบิกจ่ายกองทุน!AZ62"")"),18750)</f>
        <v>18750</v>
      </c>
      <c r="S380" s="77">
        <f ca="1">IFERROR(__xludf.DUMMYFUNCTION("IMPORTRANGE(""https://docs.google.com/spreadsheets/d/1ItG2mGa2ceCfYo0BwxsXqNm01IGEUdYcSSLTEv9YCik/edit?usp=sharing"",""เบิกจ่ายกองทุน!BA62"")"),0)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IFERROR(__xludf.DUMMYFUNCTION("IMPORTRANGE(""https://docs.google.com/spreadsheets/d/1w5rwWK1o49a35cNtocGL0gxDwhFSTZUQu90BiH9_zqM/edit?usp=sharing"",""RTK!H62"")"),0)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IFERROR(__xludf.DUMMYFUNCTION("IMPORTRANGE(""https://docs.google.com/spreadsheets/d/1w5rwWK1o49a35cNtocGL0gxDwhFSTZUQu90BiH9_zqM/edit?usp=sharing"",""RTK!G62"")"),300)</f>
        <v>300</v>
      </c>
      <c r="J386" s="295">
        <f ca="1">IFERROR(__xludf.DUMMYFUNCTION("IMPORTRANGE(""https://docs.google.com/spreadsheets/d/1w5rwWK1o49a35cNtocGL0gxDwhFSTZUQu90BiH9_zqM/edit?usp=sharing"",""RTK!I62"")"),0)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IFERROR(__xludf.DUMMYFUNCTION("IMPORTRANGE(""https://docs.google.com/spreadsheets/d/1w5rwWK1o49a35cNtocGL0gxDwhFSTZUQu90BiH9_zqM/edit?usp=sharing"",""RTK!L62"")"),0)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IFERROR(__xludf.DUMMYFUNCTION("IMPORTRANGE(""https://docs.google.com/spreadsheets/d/1w5rwWK1o49a35cNtocGL0gxDwhFSTZUQu90BiH9_zqM/edit?usp=sharing"",""RTK!K62"")"),0)</f>
        <v>0</v>
      </c>
      <c r="J388" s="241">
        <f ca="1">IFERROR(__xludf.DUMMYFUNCTION("IMPORTRANGE(""https://docs.google.com/spreadsheets/d/1w5rwWK1o49a35cNtocGL0gxDwhFSTZUQu90BiH9_zqM/edit?usp=sharing"",""RTK!M62"")"),0)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IFERROR(__xludf.DUMMYFUNCTION("IMPORTRANGE(""https://docs.google.com/spreadsheets/d/1ItG2mGa2ceCfYo0BwxsXqNm01IGEUdYcSSLTEv9YCik/edit?usp=sharing"",""เบิกจ่ายกองทุน!BH62"")"),0)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IFERROR(__xludf.DUMMYFUNCTION("IMPORTRANGE(""https://docs.google.com/spreadsheets/d/1ItG2mGa2ceCfYo0BwxsXqNm01IGEUdYcSSLTEv9YCik/edit?usp=sharing"",""เบิกจ่ายกองทุน!BI62"")"),0)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IFERROR(__xludf.DUMMYFUNCTION("IMPORTRANGE(""https://docs.google.com/spreadsheets/d/1ItG2mGa2ceCfYo0BwxsXqNm01IGEUdYcSSLTEv9YCik/edit?usp=sharing"",""เบิกจ่ายกองทุน!BJ62"")"),0)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IFERROR(__xludf.DUMMYFUNCTION("IMPORTRANGE(""https://docs.google.com/spreadsheets/d/1eHaY18a8A9IcSdp1K8H6x8fbOy06t2VsZHhMHf-1x7Y/edit?usp=sharing"",""แผน!HJ62"")"),0)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IFERROR(__xludf.DUMMYFUNCTION("IMPORTRANGE(""https://docs.google.com/spreadsheets/d/1eHaY18a8A9IcSdp1K8H6x8fbOy06t2VsZHhMHf-1x7Y/edit?usp=sharing"",""แผน!HK62"")"),0)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IFERROR(__xludf.DUMMYFUNCTION("IMPORTRANGE(""https://docs.google.com/spreadsheets/d/1eHaY18a8A9IcSdp1K8H6x8fbOy06t2VsZHhMHf-1x7Y/edit?usp=sharing"",""แผน!HJ62"")"),0)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IFERROR(__xludf.DUMMYFUNCTION("IMPORTRANGE(""https://docs.google.com/spreadsheets/d/1eHaY18a8A9IcSdp1K8H6x8fbOy06t2VsZHhMHf-1x7Y/edit?usp=sharing"",""แผน!HK62"")"),0)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IFERROR(__xludf.DUMMYFUNCTION("IMPORTRANGE(""https://docs.google.com/spreadsheets/d/1eHaY18a8A9IcSdp1K8H6x8fbOy06t2VsZHhMHf-1x7Y/edit?usp=sharing"",""แผน!HJ62"")"),0)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IFERROR(__xludf.DUMMYFUNCTION("IMPORTRANGE(""https://docs.google.com/spreadsheets/d/1eHaY18a8A9IcSdp1K8H6x8fbOy06t2VsZHhMHf-1x7Y/edit?usp=sharing"",""แผน!HK62"")"),0)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IFERROR(__xludf.DUMMYFUNCTION("IMPORTRANGE(""https://docs.google.com/spreadsheets/d/1eHaY18a8A9IcSdp1K8H6x8fbOy06t2VsZHhMHf-1x7Y/edit?usp=sharing"",""แผน!HL62"")"),0)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IFERROR(__xludf.DUMMYFUNCTION("IMPORTRANGE(""https://docs.google.com/spreadsheets/d/1eHaY18a8A9IcSdp1K8H6x8fbOy06t2VsZHhMHf-1x7Y/edit?usp=sharing"",""แผน!HM62"")"),0)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IFERROR(__xludf.DUMMYFUNCTION("IMPORTRANGE(""https://docs.google.com/spreadsheets/d/1eHaY18a8A9IcSdp1K8H6x8fbOy06t2VsZHhMHf-1x7Y/edit?usp=sharing"",""แผน!HN62"")"),0)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IFERROR(__xludf.DUMMYFUNCTION("IMPORTRANGE(""https://docs.google.com/spreadsheets/d/1eHaY18a8A9IcSdp1K8H6x8fbOy06t2VsZHhMHf-1x7Y/edit?usp=sharing"",""แผน!HO62"")"),0)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IFERROR(__xludf.DUMMYFUNCTION("IMPORTRANGE(""https://docs.google.com/spreadsheets/d/1ItG2mGa2ceCfYo0BwxsXqNm01IGEUdYcSSLTEv9YCik/edit?usp=sharing"",""เบิกจ่ายกองทุน!X62"")"),0)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IFERROR(__xludf.DUMMYFUNCTION("IMPORTRANGE(""https://docs.google.com/spreadsheets/d/1ItG2mGa2ceCfYo0BwxsXqNm01IGEUdYcSSLTEv9YCik/edit?usp=sharing"",""เบิกจ่ายกองทุน!Y62"")"),0)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IFERROR(__xludf.DUMMYFUNCTION("IMPORTRANGE(""https://docs.google.com/spreadsheets/d/1ItG2mGa2ceCfYo0BwxsXqNm01IGEUdYcSSLTEv9YCik/edit?usp=sharing"",""เบิกจ่ายกองทุน!Z62"")"),0)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IFERROR(__xludf.DUMMYFUNCTION("IMPORTRANGE(""https://docs.google.com/spreadsheets/d/1eHaY18a8A9IcSdp1K8H6x8fbOy06t2VsZHhMHf-1x7Y/edit?usp=sharing"",""แผน!GX62"")"),0)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IFERROR(__xludf.DUMMYFUNCTION("IMPORTRANGE(""https://docs.google.com/spreadsheets/d/1eHaY18a8A9IcSdp1K8H6x8fbOy06t2VsZHhMHf-1x7Y/edit?usp=sharing"",""แผน!GY62"")"),0)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IFERROR(__xludf.DUMMYFUNCTION("IMPORTRANGE(""https://docs.google.com/spreadsheets/d/1eHaY18a8A9IcSdp1K8H6x8fbOy06t2VsZHhMHf-1x7Y/edit?usp=sharing"",""แผน!GZ62"")"),0)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IFERROR(__xludf.DUMMYFUNCTION("IMPORTRANGE(""https://docs.google.com/spreadsheets/d/1eHaY18a8A9IcSdp1K8H6x8fbOy06t2VsZHhMHf-1x7Y/edit?usp=sharing"",""แผน!HA62"")"),0)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IFERROR(__xludf.DUMMYFUNCTION("IMPORTRANGE(""https://docs.google.com/spreadsheets/d/1eHaY18a8A9IcSdp1K8H6x8fbOy06t2VsZHhMHf-1x7Y/edit?usp=sharing"",""แผน!HB62"")"),0)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IFERROR(__xludf.DUMMYFUNCTION("IMPORTRANGE(""https://docs.google.com/spreadsheets/d/1eHaY18a8A9IcSdp1K8H6x8fbOy06t2VsZHhMHf-1x7Y/edit?usp=sharing"",""แผน!HC62"")"),0)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4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079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56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1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IFERROR(__xludf.DUMMYFUNCTION("IMPORTRANGE(""https://docs.google.com/spreadsheets/d/1-uDff_7J0KD5mKrp0Vvzr7lt3OU09vwQwhkpOPPYv2Y/edit?usp=sharing"",""งบพรบ!FM62"")"),0)</f>
        <v>0</v>
      </c>
      <c r="M518" s="77">
        <f ca="1">IFERROR(__xludf.DUMMYFUNCTION("IMPORTRANGE(""https://docs.google.com/spreadsheets/d/1-uDff_7J0KD5mKrp0Vvzr7lt3OU09vwQwhkpOPPYv2Y/edit?usp=sharing"",""งบพรบ!FR62"")"),0)</f>
        <v>0</v>
      </c>
      <c r="N518" s="77">
        <f ca="1">IFERROR(__xludf.DUMMYFUNCTION("IMPORTRANGE(""https://docs.google.com/spreadsheets/d/1-uDff_7J0KD5mKrp0Vvzr7lt3OU09vwQwhkpOPPYv2Y/edit?usp=sharing"",""งบพรบ!FT62"")"),0)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IFERROR(__xludf.DUMMYFUNCTION("IMPORTRANGE(""https://docs.google.com/spreadsheets/d/1-uDff_7J0KD5mKrp0Vvzr7lt3OU09vwQwhkpOPPYv2Y/edit?usp=sharing"",""งบพรบ!FP62"")"),0)</f>
        <v>0</v>
      </c>
      <c r="M521" s="77">
        <f ca="1">IFERROR(__xludf.DUMMYFUNCTION("IMPORTRANGE(""https://docs.google.com/spreadsheets/d/1-uDff_7J0KD5mKrp0Vvzr7lt3OU09vwQwhkpOPPYv2Y/edit?usp=sharing"",""งบพรบ!FS62"")"),0)</f>
        <v>0</v>
      </c>
      <c r="N521" s="77">
        <f ca="1">IFERROR(__xludf.DUMMYFUNCTION("IMPORTRANGE(""https://docs.google.com/spreadsheets/d/1-uDff_7J0KD5mKrp0Vvzr7lt3OU09vwQwhkpOPPYv2Y/edit?usp=sharing"",""งบพรบ!FU62"")"),0)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1259">
        <f ca="1">I626</f>
        <v>0</v>
      </c>
      <c r="J615" s="1259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1800</v>
      </c>
      <c r="R616" s="266">
        <f ca="1">R617+R618</f>
        <v>1800</v>
      </c>
      <c r="S616" s="266">
        <f ca="1">S617+S618</f>
        <v>1100</v>
      </c>
      <c r="T616" s="266">
        <f ca="1">IF(Q616&gt;0,S616*100/Q616,0)</f>
        <v>61.111111111111114</v>
      </c>
      <c r="U616" s="266">
        <f ca="1">IF(R616&gt;0,S616*100/R616,0)</f>
        <v>61.111111111111114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1800</v>
      </c>
      <c r="R618" s="77">
        <f ca="1">R621+R624</f>
        <v>1800</v>
      </c>
      <c r="S618" s="77">
        <f ca="1">S621+S624</f>
        <v>1100</v>
      </c>
      <c r="T618" s="77">
        <f ca="1">IF(Q618&gt;0,S618*100/Q618,0)</f>
        <v>61.111111111111114</v>
      </c>
      <c r="U618" s="77">
        <f ca="1">IF(R618&gt;0,S618*100/R618,0)</f>
        <v>61.111111111111114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1800</v>
      </c>
      <c r="R619" s="77">
        <f ca="1">R620+R621</f>
        <v>1800</v>
      </c>
      <c r="S619" s="77">
        <f ca="1">S620+S621</f>
        <v>1100</v>
      </c>
      <c r="T619" s="77">
        <f ca="1">IF(Q619&gt;0,S619*100/Q619,0)</f>
        <v>61.111111111111114</v>
      </c>
      <c r="U619" s="77">
        <f ca="1">IF(R619&gt;0,S619*100/R619,0)</f>
        <v>61.111111111111114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IFERROR(__xludf.DUMMYFUNCTION("IMPORTRANGE(""https://docs.google.com/spreadsheets/d/1ItG2mGa2ceCfYo0BwxsXqNm01IGEUdYcSSLTEv9YCik/edit?usp=sharing"",""เบิกจ่ายกองทุน!F62"")"),1800)</f>
        <v>1800</v>
      </c>
      <c r="R621" s="77">
        <f ca="1">IFERROR(__xludf.DUMMYFUNCTION("IMPORTRANGE(""https://docs.google.com/spreadsheets/d/1ItG2mGa2ceCfYo0BwxsXqNm01IGEUdYcSSLTEv9YCik/edit?usp=sharing"",""เบิกจ่ายกองทุน!G62"")"),1800)</f>
        <v>1800</v>
      </c>
      <c r="S621" s="77">
        <f ca="1">IFERROR(__xludf.DUMMYFUNCTION("IMPORTRANGE(""https://docs.google.com/spreadsheets/d/1ItG2mGa2ceCfYo0BwxsXqNm01IGEUdYcSSLTEv9YCik/edit?usp=sharing"",""เบิกจ่ายกองทุน!H62"")"),1100)</f>
        <v>1100</v>
      </c>
      <c r="T621" s="77">
        <f ca="1">IF(Q621&gt;0,S621*100/Q621,0)</f>
        <v>61.111111111111114</v>
      </c>
      <c r="U621" s="77">
        <f ca="1">IF(R621&gt;0,S621*100/R621,0)</f>
        <v>61.111111111111114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IFERROR(__xludf.DUMMYFUNCTION("IMPORTRANGE(""https://docs.google.com/spreadsheets/d/1eHaY18a8A9IcSdp1K8H6x8fbOy06t2VsZHhMHf-1x7Y/edit?usp=sharing"",""แผน!ID62"")"),0)</f>
        <v>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IFERROR(__xludf.DUMMYFUNCTION("IMPORTRANGE(""https://docs.google.com/spreadsheets/d/1eHaY18a8A9IcSdp1K8H6x8fbOy06t2VsZHhMHf-1x7Y/edit?usp=sharing"",""แผน!IC62"")"),1)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IFERROR(__xludf.DUMMYFUNCTION("IMPORTRANGE(""https://docs.google.com/spreadsheets/d/1eHaY18a8A9IcSdp1K8H6x8fbOy06t2VsZHhMHf-1x7Y/edit?usp=sharing"",""แผน!IC62"")"),1)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IFERROR(__xludf.DUMMYFUNCTION("IMPORTRANGE(""https://docs.google.com/spreadsheets/d/1eHaY18a8A9IcSdp1K8H6x8fbOy06t2VsZHhMHf-1x7Y/edit?usp=sharing"",""แผน!IE62"")"),0)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hidden="1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IFERROR(__xludf.DUMMYFUNCTION("IMPORTRANGE(""https://docs.google.com/spreadsheets/d/1ItG2mGa2ceCfYo0BwxsXqNm01IGEUdYcSSLTEv9YCik/edit?usp=sharing"",""เบิกจ่ายกองทุน!I62"")"),0)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IFERROR(__xludf.DUMMYFUNCTION("IMPORTRANGE(""https://docs.google.com/spreadsheets/d/1ItG2mGa2ceCfYo0BwxsXqNm01IGEUdYcSSLTEv9YCik/edit?usp=sharing"",""เบิกจ่ายกองทุน!J62"")"),0)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IFERROR(__xludf.DUMMYFUNCTION("IMPORTRANGE(""https://docs.google.com/spreadsheets/d/1ItG2mGa2ceCfYo0BwxsXqNm01IGEUdYcSSLTEv9YCik/edit?usp=sharing"",""เบิกจ่ายกองทุน!K62"")"),0)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IFERROR(__xludf.DUMMYFUNCTION("IMPORTRANGE(""https://docs.google.com/spreadsheets/d/1eHaY18a8A9IcSdp1K8H6x8fbOy06t2VsZHhMHf-1x7Y/edit?usp=sharing"",""แผน!IF62"")"),0)</f>
        <v>0</v>
      </c>
      <c r="J652" s="295">
        <f ca="1">IFERROR(__xludf.DUMMYFUNCTION("IMPORTRANGE(""https://docs.google.com/spreadsheets/d/1tdoBKaGub7dwA3U6UFTqxio9LNnvDCQjHKmttSEBsFQ/edit?usp=sharing"",""จัดที่ดิน!AU62"")"),0)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IFERROR(__xludf.DUMMYFUNCTION("IMPORTRANGE(""https://docs.google.com/spreadsheets/d/1eHaY18a8A9IcSdp1K8H6x8fbOy06t2VsZHhMHf-1x7Y/edit?usp=sharing"",""แผน!IG62"")"),0)</f>
        <v>0</v>
      </c>
      <c r="J653" s="295">
        <f ca="1">IFERROR(__xludf.DUMMYFUNCTION("IMPORTRANGE(""https://docs.google.com/spreadsheets/d/1tdoBKaGub7dwA3U6UFTqxio9LNnvDCQjHKmttSEBsFQ/edit?usp=sharing"",""จัดที่ดิน!AW62"")"),0)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IFERROR(__xludf.DUMMYFUNCTION("IMPORTRANGE(""https://docs.google.com/spreadsheets/d/1eHaY18a8A9IcSdp1K8H6x8fbOy06t2VsZHhMHf-1x7Y/edit?usp=sharing"",""แผน!IH62"")"),0)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IFERROR(__xludf.DUMMYFUNCTION("IMPORTRANGE(""https://docs.google.com/spreadsheets/d/1eHaY18a8A9IcSdp1K8H6x8fbOy06t2VsZHhMHf-1x7Y/edit?usp=sharing"",""แผน!II62"")"),0)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IFERROR(__xludf.DUMMYFUNCTION("IMPORTRANGE(""https://docs.google.com/spreadsheets/d/1eHaY18a8A9IcSdp1K8H6x8fbOy06t2VsZHhMHf-1x7Y/edit?usp=sharing"",""แผน!IJ62"")"),0)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IFERROR(__xludf.DUMMYFUNCTION("IMPORTRANGE(""https://docs.google.com/spreadsheets/d/1eHaY18a8A9IcSdp1K8H6x8fbOy06t2VsZHhMHf-1x7Y/edit?usp=sharing"",""แผน!IK62"")"),0)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IFERROR(__xludf.DUMMYFUNCTION("IMPORTRANGE(""https://docs.google.com/spreadsheets/d/1tdoBKaGub7dwA3U6UFTqxio9LNnvDCQjHKmttSEBsFQ/edit?usp=sharing"",""จัดที่ดิน!AY62"")"),0)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IFERROR(__xludf.DUMMYFUNCTION("IMPORTRANGE(""https://docs.google.com/spreadsheets/d/1tdoBKaGub7dwA3U6UFTqxio9LNnvDCQjHKmttSEBsFQ/edit?usp=sharing"",""จัดที่ดิน!AZ62"")"),0)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IFERROR(__xludf.DUMMYFUNCTION("IMPORTRANGE(""https://docs.google.com/spreadsheets/d/1eHaY18a8A9IcSdp1K8H6x8fbOy06t2VsZHhMHf-1x7Y/edit?usp=sharing"",""แผน!IL62"")"),0)</f>
        <v>0</v>
      </c>
      <c r="J673" s="295">
        <f ca="1">IFERROR(__xludf.DUMMYFUNCTION("IMPORTRANGE(""https://docs.google.com/spreadsheets/d/1tdoBKaGub7dwA3U6UFTqxio9LNnvDCQjHKmttSEBsFQ/edit?usp=sharing"",""จัดที่ดิน!BA62"")"),0)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IFERROR(__xludf.DUMMYFUNCTION("IMPORTRANGE(""https://docs.google.com/spreadsheets/d/1eHaY18a8A9IcSdp1K8H6x8fbOy06t2VsZHhMHf-1x7Y/edit?usp=sharing"",""แผน!IM62"")"),0)</f>
        <v>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IFERROR(__xludf.DUMMYFUNCTION("IMPORTRANGE(""https://docs.google.com/spreadsheets/d/1eHaY18a8A9IcSdp1K8H6x8fbOy06t2VsZHhMHf-1x7Y/edit?usp=sharing"",""แผน!IN62"")"),0)</f>
        <v>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IFERROR(__xludf.DUMMYFUNCTION("IMPORTRANGE(""https://docs.google.com/spreadsheets/d/1eHaY18a8A9IcSdp1K8H6x8fbOy06t2VsZHhMHf-1x7Y/edit?usp=sharing"",""แผน!IO62"")"),0)</f>
        <v>0</v>
      </c>
      <c r="J676" s="295">
        <f ca="1">IFERROR(__xludf.DUMMYFUNCTION("IMPORTRANGE(""https://docs.google.com/spreadsheets/d/1tdoBKaGub7dwA3U6UFTqxio9LNnvDCQjHKmttSEBsFQ/edit?usp=sharing"",""จัดที่ดิน!BF62"")"),0)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IFERROR(__xludf.DUMMYFUNCTION("IMPORTRANGE(""https://docs.google.com/spreadsheets/d/1tdoBKaGub7dwA3U6UFTqxio9LNnvDCQjHKmttSEBsFQ/edit?usp=sharing"",""จัดที่ดิน!BG62"")"),0)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IFERROR(__xludf.DUMMYFUNCTION("IMPORTRANGE(""https://docs.google.com/spreadsheets/d/1eHaY18a8A9IcSdp1K8H6x8fbOy06t2VsZHhMHf-1x7Y/edit?usp=sharing"",""แผน!IP62"")"),0)</f>
        <v>0</v>
      </c>
      <c r="J678" s="295">
        <f ca="1">IFERROR(__xludf.DUMMYFUNCTION("IMPORTRANGE(""https://docs.google.com/spreadsheets/d/1tdoBKaGub7dwA3U6UFTqxio9LNnvDCQjHKmttSEBsFQ/edit?usp=sharing"",""จัดที่ดิน!BH62"")"),0)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IFERROR(__xludf.DUMMYFUNCTION("IMPORTRANGE(""https://docs.google.com/spreadsheets/d/1eHaY18a8A9IcSdp1K8H6x8fbOy06t2VsZHhMHf-1x7Y/edit?usp=sharing"",""แผน!IQ62"")"),0)</f>
        <v>0</v>
      </c>
      <c r="J679" s="295">
        <f ca="1">IFERROR(__xludf.DUMMYFUNCTION("IMPORTRANGE(""https://docs.google.com/spreadsheets/d/1tdoBKaGub7dwA3U6UFTqxio9LNnvDCQjHKmttSEBsFQ/edit?usp=sharing"",""จัดที่ดิน!BK62"")"),0)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IFERROR(__xludf.DUMMYFUNCTION("IMPORTRANGE(""https://docs.google.com/spreadsheets/d/1tdoBKaGub7dwA3U6UFTqxio9LNnvDCQjHKmttSEBsFQ/edit?usp=sharing"",""จัดที่ดิน!BL62"")"),0)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IFERROR(__xludf.DUMMYFUNCTION("IMPORTRANGE(""https://docs.google.com/spreadsheets/d/1eHaY18a8A9IcSdp1K8H6x8fbOy06t2VsZHhMHf-1x7Y/edit?usp=sharing"",""แผน!IR62"")"),0)</f>
        <v>0</v>
      </c>
      <c r="J681" s="295">
        <f ca="1">IFERROR(__xludf.DUMMYFUNCTION("IMPORTRANGE(""https://docs.google.com/spreadsheets/d/1tdoBKaGub7dwA3U6UFTqxio9LNnvDCQjHKmttSEBsFQ/edit?usp=sharing"",""จัดที่ดิน!BM62"")"),0)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IFERROR(__xludf.DUMMYFUNCTION("IMPORTRANGE(""https://docs.google.com/spreadsheets/d/1eHaY18a8A9IcSdp1K8H6x8fbOy06t2VsZHhMHf-1x7Y/edit?usp=sharing"",""แผน!IS62"")"),0)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20</v>
      </c>
      <c r="J689" s="760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132160</v>
      </c>
      <c r="R690" s="266">
        <f ca="1">R691+R692</f>
        <v>132160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132160</v>
      </c>
      <c r="R692" s="77">
        <f ca="1">R695+R698</f>
        <v>132160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132160</v>
      </c>
      <c r="R693" s="77">
        <f ca="1">R694+R695</f>
        <v>132160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IFERROR(__xludf.DUMMYFUNCTION("IMPORTRANGE(""https://docs.google.com/spreadsheets/d/1ItG2mGa2ceCfYo0BwxsXqNm01IGEUdYcSSLTEv9YCik/edit?usp=sharing"",""เบิกจ่ายกองทุน!L62"")"),132160)</f>
        <v>132160</v>
      </c>
      <c r="R695" s="77">
        <f ca="1">IFERROR(__xludf.DUMMYFUNCTION("IMPORTRANGE(""https://docs.google.com/spreadsheets/d/1ItG2mGa2ceCfYo0BwxsXqNm01IGEUdYcSSLTEv9YCik/edit?usp=sharing"",""เบิกจ่ายกองทุน!M62"")"),132160)</f>
        <v>132160</v>
      </c>
      <c r="S695" s="77">
        <f ca="1">IFERROR(__xludf.DUMMYFUNCTION("IMPORTRANGE(""https://docs.google.com/spreadsheets/d/1ItG2mGa2ceCfYo0BwxsXqNm01IGEUdYcSSLTEv9YCik/edit?usp=sharing"",""เบิกจ่ายกองทุน!N62"")"),0)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IFERROR(__xludf.DUMMYFUNCTION("IMPORTRANGE(""https://docs.google.com/spreadsheets/d/1eHaY18a8A9IcSdp1K8H6x8fbOy06t2VsZHhMHf-1x7Y/edit?usp=sharing"",""แผน!LC62"")"),0)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21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IFERROR(__xludf.DUMMYFUNCTION("IMPORTRANGE(""https://docs.google.com/spreadsheets/d/1eHaY18a8A9IcSdp1K8H6x8fbOy06t2VsZHhMHf-1x7Y/edit?usp=sharing"",""แผน!LJ62"")"),20)</f>
        <v>20</v>
      </c>
      <c r="J703" s="295">
        <f ca="1">IFERROR(__xludf.DUMMYFUNCTION("IMPORTRANGE(""https://docs.google.com/spreadsheets/d/1tdoBKaGub7dwA3U6UFTqxio9LNnvDCQjHKmttSEBsFQ/edit?usp=sharing"",""จัดที่ดิน!AP62"")"),0)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IFERROR(__xludf.DUMMYFUNCTION("IMPORTRANGE(""https://docs.google.com/spreadsheets/d/1tdoBKaGub7dwA3U6UFTqxio9LNnvDCQjHKmttSEBsFQ/edit?usp=sharing"",""จัดที่ดิน!AQ62"")"),0)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IFERROR(__xludf.DUMMYFUNCTION("IMPORTRANGE(""https://docs.google.com/spreadsheets/d/1eHaY18a8A9IcSdp1K8H6x8fbOy06t2VsZHhMHf-1x7Y/edit?usp=sharing"",""แผน!LK62"")"),1)</f>
        <v>1</v>
      </c>
      <c r="J705" s="295">
        <f ca="1">IFERROR(__xludf.DUMMYFUNCTION("IMPORTRANGE(""https://docs.google.com/spreadsheets/d/1tdoBKaGub7dwA3U6UFTqxio9LNnvDCQjHKmttSEBsFQ/edit?usp=sharing"",""จัดที่ดิน!AR62"")"),0)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IFERROR(__xludf.DUMMYFUNCTION("IMPORTRANGE(""https://docs.google.com/spreadsheets/d/1tdoBKaGub7dwA3U6UFTqxio9LNnvDCQjHKmttSEBsFQ/edit?usp=sharing"",""จัดที่ดิน!AS62"")"),0)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IFERROR(__xludf.DUMMYFUNCTION("IMPORTRANGE(""https://docs.google.com/spreadsheets/d/1eHaY18a8A9IcSdp1K8H6x8fbOy06t2VsZHhMHf-1x7Y/edit?usp=sharing"",""แผน!LJ62"")"),20)</f>
        <v>20</v>
      </c>
      <c r="J707" s="295">
        <f ca="1">IFERROR(__xludf.DUMMYFUNCTION("IMPORTRANGE(""https://docs.google.com/spreadsheets/d/1tdoBKaGub7dwA3U6UFTqxio9LNnvDCQjHKmttSEBsFQ/edit?usp=sharing"",""จัดที่ดิน!BN62"")"),0)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IFERROR(__xludf.DUMMYFUNCTION("IMPORTRANGE(""https://docs.google.com/spreadsheets/d/1tdoBKaGub7dwA3U6UFTqxio9LNnvDCQjHKmttSEBsFQ/edit?usp=sharing"",""จัดที่ดิน!BO62"")"),0)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IFERROR(__xludf.DUMMYFUNCTION("IMPORTRANGE(""https://docs.google.com/spreadsheets/d/1eHaY18a8A9IcSdp1K8H6x8fbOy06t2VsZHhMHf-1x7Y/edit?usp=sharing"",""แผน!LK62"")"),1)</f>
        <v>1</v>
      </c>
      <c r="J709" s="295">
        <f ca="1">IFERROR(__xludf.DUMMYFUNCTION("IMPORTRANGE(""https://docs.google.com/spreadsheets/d/1tdoBKaGub7dwA3U6UFTqxio9LNnvDCQjHKmttSEBsFQ/edit?usp=sharing"",""จัดที่ดิน!BP62"")"),0)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IFERROR(__xludf.DUMMYFUNCTION("IMPORTRANGE(""https://docs.google.com/spreadsheets/d/1tdoBKaGub7dwA3U6UFTqxio9LNnvDCQjHKmttSEBsFQ/edit?usp=sharing"",""จัดที่ดิน!BQ62"")"),0)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IFERROR(__xludf.DUMMYFUNCTION("IMPORTRANGE(""https://docs.google.com/spreadsheets/d/1eHaY18a8A9IcSdp1K8H6x8fbOy06t2VsZHhMHf-1x7Y/edit?usp=sharing"",""แผน!GA62"")"),51)</f>
        <v>51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IFERROR(__xludf.DUMMYFUNCTION("IMPORTRANGE(""https://docs.google.com/spreadsheets/d/1eHaY18a8A9IcSdp1K8H6x8fbOy06t2VsZHhMHf-1x7Y/edit?usp=sharing"",""แผน!FZ62"")"),500)</f>
        <v>500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379090</v>
      </c>
      <c r="R728" s="266">
        <f ca="1">R729+R730</f>
        <v>379090</v>
      </c>
      <c r="S728" s="266">
        <f ca="1">S729+S730</f>
        <v>2340</v>
      </c>
      <c r="T728" s="266">
        <f ca="1">IF(Q728&gt;0,S728*100/Q728,0)</f>
        <v>0.61726766730855465</v>
      </c>
      <c r="U728" s="266">
        <f ca="1">IF(R728&gt;0,S728*100/R728,0)</f>
        <v>0.61726766730855465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379090</v>
      </c>
      <c r="R730" s="77">
        <f ca="1">R733+R736</f>
        <v>379090</v>
      </c>
      <c r="S730" s="77">
        <f ca="1">S733+S736</f>
        <v>2340</v>
      </c>
      <c r="T730" s="77">
        <f ca="1">IF(Q730&gt;0,S730*100/Q730,0)</f>
        <v>0.61726766730855465</v>
      </c>
      <c r="U730" s="77">
        <f ca="1">IF(R730&gt;0,S730*100/R730,0)</f>
        <v>0.61726766730855465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379090</v>
      </c>
      <c r="R731" s="77">
        <f ca="1">R732+R733</f>
        <v>379090</v>
      </c>
      <c r="S731" s="77">
        <f ca="1">S732+S733</f>
        <v>2340</v>
      </c>
      <c r="T731" s="77">
        <f ca="1">IF(Q731&gt;0,S731*100/Q731,0)</f>
        <v>0.61726766730855465</v>
      </c>
      <c r="U731" s="77">
        <f ca="1">IF(R731&gt;0,S731*100/R731,0)</f>
        <v>0.61726766730855465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IFERROR(__xludf.DUMMYFUNCTION("IMPORTRANGE(""https://docs.google.com/spreadsheets/d/1ItG2mGa2ceCfYo0BwxsXqNm01IGEUdYcSSLTEv9YCik/edit?usp=sharing"",""เบิกจ่ายกองทุน!O62"")"),379090)</f>
        <v>379090</v>
      </c>
      <c r="R733" s="77">
        <f ca="1">IFERROR(__xludf.DUMMYFUNCTION("IMPORTRANGE(""https://docs.google.com/spreadsheets/d/1ItG2mGa2ceCfYo0BwxsXqNm01IGEUdYcSSLTEv9YCik/edit?usp=sharing"",""เบิกจ่ายกองทุน!P62"")"),379090)</f>
        <v>379090</v>
      </c>
      <c r="S733" s="77">
        <f ca="1">IFERROR(__xludf.DUMMYFUNCTION("IMPORTRANGE(""https://docs.google.com/spreadsheets/d/1ItG2mGa2ceCfYo0BwxsXqNm01IGEUdYcSSLTEv9YCik/edit?usp=sharing"",""เบิกจ่ายกองทุน!Q62"")"),2340)</f>
        <v>2340</v>
      </c>
      <c r="T733" s="77">
        <f ca="1">IF(Q733&gt;0,S733*100/Q733,0)</f>
        <v>0.61726766730855465</v>
      </c>
      <c r="U733" s="77">
        <f ca="1">IF(R733&gt;0,S733*100/R733,0)</f>
        <v>0.61726766730855465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IFERROR(__xludf.DUMMYFUNCTION("IMPORTRANGE(""https://docs.google.com/spreadsheets/d/1eHaY18a8A9IcSdp1K8H6x8fbOy06t2VsZHhMHf-1x7Y/edit?usp=sharing"",""แผน!GB62"")"),400)</f>
        <v>400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IFERROR(__xludf.DUMMYFUNCTION("IMPORTRANGE(""https://docs.google.com/spreadsheets/d/1eHaY18a8A9IcSdp1K8H6x8fbOy06t2VsZHhMHf-1x7Y/edit?usp=sharing"",""แผน!GC62"")"),40)</f>
        <v>40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IFERROR(__xludf.DUMMYFUNCTION("IMPORTRANGE(""https://docs.google.com/spreadsheets/d/1eHaY18a8A9IcSdp1K8H6x8fbOy06t2VsZHhMHf-1x7Y/edit?usp=sharing"",""แผน!GD62"")"),100)</f>
        <v>100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IFERROR(__xludf.DUMMYFUNCTION("IMPORTRANGE(""https://docs.google.com/spreadsheets/d/1eHaY18a8A9IcSdp1K8H6x8fbOy06t2VsZHhMHf-1x7Y/edit?usp=sharing"",""แผน!GE62"")"),10)</f>
        <v>10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IFERROR(__xludf.DUMMYFUNCTION("IMPORTRANGE(""https://docs.google.com/spreadsheets/d/1eHaY18a8A9IcSdp1K8H6x8fbOy06t2VsZHhMHf-1x7Y/edit?usp=sharing"",""แผน!GF62"")"),1)</f>
        <v>1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IFERROR(__xludf.DUMMYFUNCTION("IMPORTRANGE(""https://docs.google.com/spreadsheets/d/1eHaY18a8A9IcSdp1K8H6x8fbOy06t2VsZHhMHf-1x7Y/edit?usp=sharing"",""แผน!GB62"")"),400)</f>
        <v>400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IFERROR(__xludf.DUMMYFUNCTION("IMPORTRANGE(""https://docs.google.com/spreadsheets/d/1eHaY18a8A9IcSdp1K8H6x8fbOy06t2VsZHhMHf-1x7Y/edit?usp=sharing"",""แผน!GD62"")"),100)</f>
        <v>100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IFERROR(__xludf.DUMMYFUNCTION("IMPORTRANGE(""https://docs.google.com/spreadsheets/d/1ItG2mGa2ceCfYo0BwxsXqNm01IGEUdYcSSLTEv9YCik/edit?usp=sharing"",""เบิกจ่ายกองทุน!U62"")"),0)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IFERROR(__xludf.DUMMYFUNCTION("IMPORTRANGE(""https://docs.google.com/spreadsheets/d/1ItG2mGa2ceCfYo0BwxsXqNm01IGEUdYcSSLTEv9YCik/edit?usp=sharing"",""เบิกจ่ายกองทุน!V62"")"),0)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IFERROR(__xludf.DUMMYFUNCTION("IMPORTRANGE(""https://docs.google.com/spreadsheets/d/1ItG2mGa2ceCfYo0BwxsXqNm01IGEUdYcSSLTEv9YCik/edit?usp=sharing"",""เบิกจ่ายกองทุน!W62"")"),0)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IFERROR(__xludf.DUMMYFUNCTION("IMPORTRANGE(""https://docs.google.com/spreadsheets/d/1eHaY18a8A9IcSdp1K8H6x8fbOy06t2VsZHhMHf-1x7Y/edit?usp=sharing"",""แผน!FI62"")"),0)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IFERROR(__xludf.DUMMYFUNCTION("IMPORTRANGE(""https://docs.google.com/spreadsheets/d/1eHaY18a8A9IcSdp1K8H6x8fbOy06t2VsZHhMHf-1x7Y/edit?usp=sharing"",""แผน!FQ62"")"),0)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IFERROR(__xludf.DUMMYFUNCTION("IMPORTRANGE(""https://docs.google.com/spreadsheets/d/1eHaY18a8A9IcSdp1K8H6x8fbOy06t2VsZHhMHf-1x7Y/edit?usp=sharing"",""แผน!FR62"")"),0)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IFERROR(__xludf.DUMMYFUNCTION("IMPORTRANGE(""https://docs.google.com/spreadsheets/d/1eHaY18a8A9IcSdp1K8H6x8fbOy06t2VsZHhMHf-1x7Y/edit?usp=sharing"",""แผน!FS62"")"),0)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IFERROR(__xludf.DUMMYFUNCTION("IMPORTRANGE(""https://docs.google.com/spreadsheets/d/1eHaY18a8A9IcSdp1K8H6x8fbOy06t2VsZHhMHf-1x7Y/edit?usp=sharing"",""แผน!FT62"")"),0)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IFERROR(__xludf.DUMMYFUNCTION("IMPORTRANGE(""https://docs.google.com/spreadsheets/d/10OvvATaaLtwErnr3qtWFcTmtbfpFEt5Bsqel9sXx0uE/edit?usp=sharing"",""งานกองทุน!D62"")"),2457317.87)</f>
        <v>2457317.87</v>
      </c>
      <c r="J778" s="295">
        <f ca="1">IFERROR(__xludf.DUMMYFUNCTION("IMPORTRANGE(""https://docs.google.com/spreadsheets/d/10OvvATaaLtwErnr3qtWFcTmtbfpFEt5Bsqel9sXx0uE/edit?usp=sharing"",""งานกองทุน!F62"")"),1355016.74)</f>
        <v>1355016.74</v>
      </c>
      <c r="K778" s="77">
        <f ca="1">IF(I778&gt;0,J778*100/I778,0)</f>
        <v>55.142102555905801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IFERROR(__xludf.DUMMYFUNCTION("IMPORTRANGE(""https://docs.google.com/spreadsheets/d/10OvvATaaLtwErnr3qtWFcTmtbfpFEt5Bsqel9sXx0uE/edit?usp=sharing"",""งานกองทุน!C62"")"),167)</f>
        <v>167</v>
      </c>
      <c r="J779" s="295">
        <f ca="1">IFERROR(__xludf.DUMMYFUNCTION("IMPORTRANGE(""https://docs.google.com/spreadsheets/d/10OvvATaaLtwErnr3qtWFcTmtbfpFEt5Bsqel9sXx0uE/edit?usp=sharing"",""งานกองทุน!E62"")"),85)</f>
        <v>85</v>
      </c>
      <c r="K779" s="77">
        <f ca="1">IF(I779&gt;0,J779*100/I779,0)</f>
        <v>50.898203592814369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IFERROR(__xludf.DUMMYFUNCTION("IMPORTRANGE(""https://docs.google.com/spreadsheets/d/10OvvATaaLtwErnr3qtWFcTmtbfpFEt5Bsqel9sXx0uE/edit?usp=sharing"",""งานกองทุน!I62"")"),247543.29)</f>
        <v>247543.29</v>
      </c>
      <c r="J780" s="295">
        <f ca="1">IFERROR(__xludf.DUMMYFUNCTION("IMPORTRANGE(""https://docs.google.com/spreadsheets/d/10OvvATaaLtwErnr3qtWFcTmtbfpFEt5Bsqel9sXx0uE/edit?usp=sharing"",""งานกองทุน!K62"")"),51095.49)</f>
        <v>51095.49</v>
      </c>
      <c r="K780" s="77">
        <f ca="1">IF(I780&gt;0,J780*100/I780,0)</f>
        <v>20.641032120078876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IFERROR(__xludf.DUMMYFUNCTION("IMPORTRANGE(""https://docs.google.com/spreadsheets/d/10OvvATaaLtwErnr3qtWFcTmtbfpFEt5Bsqel9sXx0uE/edit?usp=sharing"",""งานกองทุน!H62"")"),16)</f>
        <v>16</v>
      </c>
      <c r="J781" s="295">
        <f ca="1">IFERROR(__xludf.DUMMYFUNCTION("IMPORTRANGE(""https://docs.google.com/spreadsheets/d/10OvvATaaLtwErnr3qtWFcTmtbfpFEt5Bsqel9sXx0uE/edit?usp=sharing"",""งานกองทุน!J62"")"),13)</f>
        <v>13</v>
      </c>
      <c r="K781" s="77">
        <f ca="1">IF(I781&gt;0,J781*100/I781,0)</f>
        <v>81.25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IFERROR(__xludf.DUMMYFUNCTION("IMPORTRANGE(""https://docs.google.com/spreadsheets/d/10OvvATaaLtwErnr3qtWFcTmtbfpFEt5Bsqel9sXx0uE/edit?usp=sharing"",""งานกองทุน!N62"")"),231.96)</f>
        <v>231.96</v>
      </c>
      <c r="J782" s="295">
        <f ca="1">IFERROR(__xludf.DUMMYFUNCTION("IMPORTRANGE(""https://docs.google.com/spreadsheets/d/10OvvATaaLtwErnr3qtWFcTmtbfpFEt5Bsqel9sXx0uE/edit?usp=sharing"",""งานกองทุน!P62"")"),231.96)</f>
        <v>231.96</v>
      </c>
      <c r="K782" s="77">
        <f ca="1">IF(I782&gt;0,J782*100/I782,0)</f>
        <v>100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IFERROR(__xludf.DUMMYFUNCTION("IMPORTRANGE(""https://docs.google.com/spreadsheets/d/10OvvATaaLtwErnr3qtWFcTmtbfpFEt5Bsqel9sXx0uE/edit?usp=sharing"",""งานกองทุน!M62"")"),1)</f>
        <v>1</v>
      </c>
      <c r="J783" s="295">
        <f ca="1">IFERROR(__xludf.DUMMYFUNCTION("IMPORTRANGE(""https://docs.google.com/spreadsheets/d/10OvvATaaLtwErnr3qtWFcTmtbfpFEt5Bsqel9sXx0uE/edit?usp=sharing"",""งานกองทุน!O62"")"),1)</f>
        <v>1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IFERROR(__xludf.DUMMYFUNCTION("IMPORTRANGE(""https://docs.google.com/spreadsheets/d/10OvvATaaLtwErnr3qtWFcTmtbfpFEt5Bsqel9sXx0uE/edit?usp=sharing"",""งานกองทุน!S62"")"),2940000)</f>
        <v>2940000</v>
      </c>
      <c r="J784" s="295">
        <f ca="1">IFERROR(__xludf.DUMMYFUNCTION("IMPORTRANGE(""https://docs.google.com/spreadsheets/d/10OvvATaaLtwErnr3qtWFcTmtbfpFEt5Bsqel9sXx0uE/edit?usp=sharing"",""งานกองทุน!U62"")"),0)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IFERROR(__xludf.DUMMYFUNCTION("IMPORTRANGE(""https://docs.google.com/spreadsheets/d/10OvvATaaLtwErnr3qtWFcTmtbfpFEt5Bsqel9sXx0uE/edit?usp=sharing"",""งานกองทุน!R62"")"),105)</f>
        <v>105</v>
      </c>
      <c r="J785" s="773">
        <f ca="1">IFERROR(__xludf.DUMMYFUNCTION("IMPORTRANGE(""https://docs.google.com/spreadsheets/d/10OvvATaaLtwErnr3qtWFcTmtbfpFEt5Bsqel9sXx0uE/edit?usp=sharing"",""งานกองทุน!T62"")"),0)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7021-2F3B-41C1-A96A-560EA121749C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349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1602665</v>
      </c>
      <c r="M18" s="62">
        <f ca="1">M19+M20</f>
        <v>1612015</v>
      </c>
      <c r="N18" s="62">
        <f ca="1">N19+N20</f>
        <v>1268841.8</v>
      </c>
      <c r="O18" s="62">
        <f ca="1">IF(L18&gt;0,N18*100/L18,0)</f>
        <v>79.17074372997476</v>
      </c>
      <c r="P18" s="62">
        <f ca="1">IF(M18&gt;0,N18*100/M18,0)</f>
        <v>78.711538044000832</v>
      </c>
      <c r="Q18" s="62">
        <f ca="1">Q19+Q20</f>
        <v>1414040.24</v>
      </c>
      <c r="R18" s="62">
        <f ca="1">R19+R20</f>
        <v>1428040</v>
      </c>
      <c r="S18" s="62">
        <f ca="1">S19+S20</f>
        <v>444262</v>
      </c>
      <c r="T18" s="62">
        <f ca="1">IF(Q18&gt;0,S18*100/Q18,0)</f>
        <v>31.417917781462855</v>
      </c>
      <c r="U18" s="62">
        <f ca="1">IF(R18&gt;0,S18*100/R18,0)</f>
        <v>31.109912887594184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1602665</v>
      </c>
      <c r="M20" s="68">
        <f ca="1">M23+M26</f>
        <v>1612015</v>
      </c>
      <c r="N20" s="68">
        <f ca="1">N23+N26</f>
        <v>1268841.8</v>
      </c>
      <c r="O20" s="68">
        <f ca="1">IF(L20&gt;0,N20*100/L20,0)</f>
        <v>79.17074372997476</v>
      </c>
      <c r="P20" s="68">
        <f ca="1">IF(M20&gt;0,N20*100/M20,0)</f>
        <v>78.711538044000832</v>
      </c>
      <c r="Q20" s="68">
        <f ca="1">Q23+Q26</f>
        <v>1414040.24</v>
      </c>
      <c r="R20" s="68">
        <f ca="1">R23+R26</f>
        <v>1428040</v>
      </c>
      <c r="S20" s="68">
        <f ca="1">S23+S26</f>
        <v>444262</v>
      </c>
      <c r="T20" s="68">
        <f ca="1">IF(Q20&gt;0,S20*100/Q20,0)</f>
        <v>31.417917781462855</v>
      </c>
      <c r="U20" s="68">
        <f ca="1">IF(R20&gt;0,S20*100/R20,0)</f>
        <v>31.109912887594184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1602665</v>
      </c>
      <c r="M21" s="77">
        <f ca="1">M22+M23</f>
        <v>1612015</v>
      </c>
      <c r="N21" s="77">
        <f ca="1">N22+N23</f>
        <v>1268841.8</v>
      </c>
      <c r="O21" s="77">
        <f ca="1">IF(L21&gt;0,N21*100/L21,0)</f>
        <v>79.17074372997476</v>
      </c>
      <c r="P21" s="77">
        <f ca="1">IF(M21&gt;0,N21*100/M21,0)</f>
        <v>78.711538044000832</v>
      </c>
      <c r="Q21" s="77">
        <f ca="1">Q22+Q23</f>
        <v>1414040.24</v>
      </c>
      <c r="R21" s="77">
        <f ca="1">R22+R23</f>
        <v>1428040</v>
      </c>
      <c r="S21" s="77">
        <f ca="1">S22+S23</f>
        <v>444262</v>
      </c>
      <c r="T21" s="77">
        <f ca="1">IF(Q21&gt;0,S21*100/Q21,0)</f>
        <v>31.417917781462855</v>
      </c>
      <c r="U21" s="77">
        <f ca="1">IF(R21&gt;0,S21*100/R21,0)</f>
        <v>31.109912887594184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1602665</v>
      </c>
      <c r="M23" s="77">
        <f ca="1">M49+M64+M77+M99+M130+M144+M162+M191+M178+M271+M287+M308+M325+M338+M361+M518</f>
        <v>1612015</v>
      </c>
      <c r="N23" s="77">
        <f ca="1">N49+N64+N77+N99+N130+N144+N162+N191+N178+N271+N287+N308+N325+N338+N361+N518</f>
        <v>1268841.8</v>
      </c>
      <c r="O23" s="77">
        <f ca="1">IF(L23&gt;0,N23*100/L23,0)</f>
        <v>79.17074372997476</v>
      </c>
      <c r="P23" s="77">
        <f ca="1">IF(M23&gt;0,N23*100/M23,0)</f>
        <v>78.711538044000832</v>
      </c>
      <c r="Q23" s="77">
        <f ca="1">Q77+Q99+Q122+Q144+Q162+Q178+Q191+Q271+Q287+Q308+Q338+Q380+Q397+Q418+Q498+Q604+Q621+Q647+Q695+Q719+Q733+Q765</f>
        <v>1414040.24</v>
      </c>
      <c r="R23" s="77">
        <f ca="1">R77+R99+R122+R144+R162+R178+R191+R271+R287+R308+R338+R380+R397+R418+R498+R604+R621+R647+R695+R719+R733+R765</f>
        <v>1428040</v>
      </c>
      <c r="S23" s="77">
        <f ca="1">S77+S99+S122+S144+S162+S178+S191+S271+S287+S308+S338+S380+S397+S418+S498+S604+S621+S647+S695+S719+S733+S765</f>
        <v>444262</v>
      </c>
      <c r="T23" s="77">
        <f ca="1">IF(Q23&gt;0,S23*100/Q23,0)</f>
        <v>31.417917781462855</v>
      </c>
      <c r="U23" s="77">
        <f ca="1">IF(R23&gt;0,S23*100/R23,0)</f>
        <v>31.109912887594184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1602665</v>
      </c>
      <c r="M40" s="1308">
        <f ca="1">M44+M59+M72+M94+M125+M139+M157+M173+M186+M266+M282+M303+M320+M333+M356</f>
        <v>1612015</v>
      </c>
      <c r="N40" s="1308">
        <f ca="1">N44+N59+N72+N94+N125+N139+N157+N173+N186+N266+N282+N303+N320+N333+N356</f>
        <v>1268841.8</v>
      </c>
      <c r="O40" s="1308">
        <f ca="1">IF(L40&gt;0,N40*100/L40,0)</f>
        <v>79.17074372997476</v>
      </c>
      <c r="P40" s="1308">
        <f ca="1">IF(M40&gt;0,N40*100/M40,0)</f>
        <v>78.711538044000832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210650</v>
      </c>
      <c r="M44" s="1304">
        <f ca="1">M45+M46</f>
        <v>250780</v>
      </c>
      <c r="N44" s="1304">
        <f ca="1">N45+N46</f>
        <v>217252</v>
      </c>
      <c r="O44" s="1304">
        <f ca="1">IF(L44&gt;0,N44*100/L44,0)</f>
        <v>103.13410871113221</v>
      </c>
      <c r="P44" s="1304">
        <f ca="1">IF(M44&gt;0,N44*100/M44,0)</f>
        <v>86.630512800063798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210650</v>
      </c>
      <c r="M46" s="1300">
        <f ca="1">M49+M52</f>
        <v>250780</v>
      </c>
      <c r="N46" s="1300">
        <f ca="1">N49+N52</f>
        <v>217252</v>
      </c>
      <c r="O46" s="1300">
        <f ca="1">IF(L46&gt;0,N46*100/L46,0)</f>
        <v>103.13410871113221</v>
      </c>
      <c r="P46" s="1300">
        <f ca="1">IF(M46&gt;0,N46*100/M46,0)</f>
        <v>86.630512800063798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210650</v>
      </c>
      <c r="M47" s="77">
        <f ca="1">M48+M49</f>
        <v>250780</v>
      </c>
      <c r="N47" s="77">
        <f ca="1">N48+N49</f>
        <v>217252</v>
      </c>
      <c r="O47" s="77">
        <f ca="1">IF(L47&gt;0,N47*100/L47,0)</f>
        <v>103.13410871113221</v>
      </c>
      <c r="P47" s="77">
        <f ca="1">IF(M47&gt;0,N47*100/M47,0)</f>
        <v>86.630512800063798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IFERROR(__xludf.DUMMYFUNCTION("IMPORTRANGE(""https://docs.google.com/spreadsheets/d/1-uDff_7J0KD5mKrp0Vvzr7lt3OU09vwQwhkpOPPYv2Y/edit?usp=sharing"",""งบพรบ!P63"")"),210650)</f>
        <v>210650</v>
      </c>
      <c r="M49" s="77">
        <f ca="1">IFERROR(__xludf.DUMMYFUNCTION("IMPORTRANGE(""https://docs.google.com/spreadsheets/d/1-uDff_7J0KD5mKrp0Vvzr7lt3OU09vwQwhkpOPPYv2Y/edit?usp=sharing"",""งบพรบ!V63"")"),250780)</f>
        <v>250780</v>
      </c>
      <c r="N49" s="77">
        <f ca="1">IFERROR(__xludf.DUMMYFUNCTION("IMPORTRANGE(""https://docs.google.com/spreadsheets/d/1-uDff_7J0KD5mKrp0Vvzr7lt3OU09vwQwhkpOPPYv2Y/edit?usp=sharing"",""งบพรบ!Y63"")"),217252)</f>
        <v>217252</v>
      </c>
      <c r="O49" s="77">
        <f ca="1">IF(L49&gt;0,N49*100/L49,0)</f>
        <v>103.13410871113221</v>
      </c>
      <c r="P49" s="77">
        <f ca="1">IF(M49&gt;0,N49*100/M49,0)</f>
        <v>86.630512800063798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IFERROR(__xludf.DUMMYFUNCTION("IMPORTRANGE(""https://docs.google.com/spreadsheets/d/1-uDff_7J0KD5mKrp0Vvzr7lt3OU09vwQwhkpOPPYv2Y/edit?usp=sharing"",""งบพรบ!S63"")"),0)</f>
        <v>0</v>
      </c>
      <c r="M52" s="77">
        <f ca="1">IFERROR(__xludf.DUMMYFUNCTION("IMPORTRANGE(""https://docs.google.com/spreadsheets/d/1-uDff_7J0KD5mKrp0Vvzr7lt3OU09vwQwhkpOPPYv2Y/edit?usp=sharing"",""งบพรบ!W63"")"),0)</f>
        <v>0</v>
      </c>
      <c r="N52" s="77">
        <f ca="1">IFERROR(__xludf.DUMMYFUNCTION("IMPORTRANGE(""https://docs.google.com/spreadsheets/d/1-uDff_7J0KD5mKrp0Vvzr7lt3OU09vwQwhkpOPPYv2Y/edit?usp=sharing"",""งบพรบ!Z63"")"),0)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230300</v>
      </c>
      <c r="M59" s="1297">
        <f ca="1">M60+M61</f>
        <v>230300</v>
      </c>
      <c r="N59" s="1297">
        <f ca="1">N60+N61</f>
        <v>178472.1</v>
      </c>
      <c r="O59" s="1297">
        <f ca="1">IF(L59&gt;0,N59*100/L59,0)</f>
        <v>77.495484151107249</v>
      </c>
      <c r="P59" s="1297">
        <f ca="1">IF(M59&gt;0,N59*100/M59,0)</f>
        <v>77.495484151107249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230300</v>
      </c>
      <c r="M61" s="1293">
        <f ca="1">M64+M67</f>
        <v>230300</v>
      </c>
      <c r="N61" s="1293">
        <f ca="1">N64+N67</f>
        <v>178472.1</v>
      </c>
      <c r="O61" s="1293">
        <f ca="1">IF(L61&gt;0,N61*100/L61,0)</f>
        <v>77.495484151107249</v>
      </c>
      <c r="P61" s="1293">
        <f ca="1">IF(M61&gt;0,N61*100/M61,0)</f>
        <v>77.495484151107249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230300</v>
      </c>
      <c r="M62" s="77">
        <f ca="1">M63+M64</f>
        <v>230300</v>
      </c>
      <c r="N62" s="77">
        <f ca="1">N63+N64</f>
        <v>178472.1</v>
      </c>
      <c r="O62" s="77">
        <f ca="1">IF(L62&gt;0,N62*100/L62,0)</f>
        <v>77.495484151107249</v>
      </c>
      <c r="P62" s="77">
        <f ca="1">IF(M62&gt;0,N62*100/M62,0)</f>
        <v>77.495484151107249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IFERROR(__xludf.DUMMYFUNCTION("IMPORTRANGE(""https://docs.google.com/spreadsheets/d/1-uDff_7J0KD5mKrp0Vvzr7lt3OU09vwQwhkpOPPYv2Y/edit?usp=sharing"",""งบพรบ!AC63"")"),230300)</f>
        <v>230300</v>
      </c>
      <c r="M64" s="77">
        <f ca="1">IFERROR(__xludf.DUMMYFUNCTION("IMPORTRANGE(""https://docs.google.com/spreadsheets/d/1-uDff_7J0KD5mKrp0Vvzr7lt3OU09vwQwhkpOPPYv2Y/edit?usp=sharing"",""งบพรบ!AH63"")"),230300)</f>
        <v>230300</v>
      </c>
      <c r="N64" s="77">
        <f ca="1">IFERROR(__xludf.DUMMYFUNCTION("IMPORTRANGE(""https://docs.google.com/spreadsheets/d/1-uDff_7J0KD5mKrp0Vvzr7lt3OU09vwQwhkpOPPYv2Y/edit?usp=sharing"",""งบพรบ!AJ63"")"),178472.1)</f>
        <v>178472.1</v>
      </c>
      <c r="O64" s="77">
        <f ca="1">IF(L64&gt;0,N64*100/L64,0)</f>
        <v>77.495484151107249</v>
      </c>
      <c r="P64" s="77">
        <f ca="1">IF(M64&gt;0,N64*100/M64,0)</f>
        <v>77.495484151107249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IFERROR(__xludf.DUMMYFUNCTION("IMPORTRANGE(""https://docs.google.com/spreadsheets/d/1-uDff_7J0KD5mKrp0Vvzr7lt3OU09vwQwhkpOPPYv2Y/edit?usp=sharing"",""งบพรบ!AF63"")"),0)</f>
        <v>0</v>
      </c>
      <c r="M67" s="185">
        <f ca="1">IFERROR(__xludf.DUMMYFUNCTION("IMPORTRANGE(""https://docs.google.com/spreadsheets/d/1-uDff_7J0KD5mKrp0Vvzr7lt3OU09vwQwhkpOPPYv2Y/edit?usp=sharing"",""งบพรบ!AI63"")"),0)</f>
        <v>0</v>
      </c>
      <c r="N67" s="185">
        <f ca="1">IFERROR(__xludf.DUMMYFUNCTION("IMPORTRANGE(""https://docs.google.com/spreadsheets/d/1-uDff_7J0KD5mKrp0Vvzr7lt3OU09vwQwhkpOPPYv2Y/edit?usp=sharing"",""งบพรบ!AK63"")"),0)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hidden="1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IFERROR(__xludf.DUMMYFUNCTION("IMPORTRANGE(""https://docs.google.com/spreadsheets/d/1-uDff_7J0KD5mKrp0Vvzr7lt3OU09vwQwhkpOPPYv2Y/edit?usp=sharing"",""งบพรบ!AM63"")"),0)</f>
        <v>0</v>
      </c>
      <c r="M77" s="77">
        <f ca="1">IFERROR(__xludf.DUMMYFUNCTION("IMPORTRANGE(""https://docs.google.com/spreadsheets/d/1-uDff_7J0KD5mKrp0Vvzr7lt3OU09vwQwhkpOPPYv2Y/edit?usp=sharing"",""งบพรบ!AR63"")"),0)</f>
        <v>0</v>
      </c>
      <c r="N77" s="77">
        <f ca="1">IFERROR(__xludf.DUMMYFUNCTION("IMPORTRANGE(""https://docs.google.com/spreadsheets/d/1-uDff_7J0KD5mKrp0Vvzr7lt3OU09vwQwhkpOPPYv2Y/edit?usp=sharing"",""งบพรบ!AT63"")"),0)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IFERROR(__xludf.DUMMYFUNCTION("IMPORTRANGE(""https://docs.google.com/spreadsheets/d/1ItG2mGa2ceCfYo0BwxsXqNm01IGEUdYcSSLTEv9YCik/edit?usp=sharing"",""เบิกจ่ายกองทุน!AS63"")"),0)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IFERROR(__xludf.DUMMYFUNCTION("IMPORTRANGE(""https://docs.google.com/spreadsheets/d/1ItG2mGa2ceCfYo0BwxsXqNm01IGEUdYcSSLTEv9YCik/edit?usp=sharing"",""เบิกจ่ายกองทุน!AT63"")"),0)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IFERROR(__xludf.DUMMYFUNCTION("IMPORTRANGE(""https://docs.google.com/spreadsheets/d/1ItG2mGa2ceCfYo0BwxsXqNm01IGEUdYcSSLTEv9YCik/edit?usp=sharing"",""เบิกจ่ายกองทุน!AU63"")"),0)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IFERROR(__xludf.DUMMYFUNCTION("IMPORTRANGE(""https://docs.google.com/spreadsheets/d/1-uDff_7J0KD5mKrp0Vvzr7lt3OU09vwQwhkpOPPYv2Y/edit?usp=sharing"",""งบพรบ!AP63"")"),0)</f>
        <v>0</v>
      </c>
      <c r="M80" s="77">
        <f ca="1">IFERROR(__xludf.DUMMYFUNCTION("IMPORTRANGE(""https://docs.google.com/spreadsheets/d/1-uDff_7J0KD5mKrp0Vvzr7lt3OU09vwQwhkpOPPYv2Y/edit?usp=sharing"",""งบพรบ!AS63"")"),0)</f>
        <v>0</v>
      </c>
      <c r="N80" s="77">
        <f ca="1">IFERROR(__xludf.DUMMYFUNCTION("IMPORTRANGE(""https://docs.google.com/spreadsheets/d/1-uDff_7J0KD5mKrp0Vvzr7lt3OU09vwQwhkpOPPYv2Y/edit?usp=sharing"",""งบพรบ!AU63"")"),0)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IFERROR(__xludf.DUMMYFUNCTION("IMPORTRANGE(""https://docs.google.com/spreadsheets/d/1eHaY18a8A9IcSdp1K8H6x8fbOy06t2VsZHhMHf-1x7Y/edit?usp=sharing"",""แผน!H63"")"),0)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IFERROR(__xludf.DUMMYFUNCTION("IMPORTRANGE(""https://docs.google.com/spreadsheets/d/1eHaY18a8A9IcSdp1K8H6x8fbOy06t2VsZHhMHf-1x7Y/edit?usp=sharing"",""แผน!I63"")"),0)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IFERROR(__xludf.DUMMYFUNCTION("IMPORTRANGE(""https://docs.google.com/spreadsheets/d/1eHaY18a8A9IcSdp1K8H6x8fbOy06t2VsZHhMHf-1x7Y/edit?usp=sharing"",""แผน!F63"")"),0)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IFERROR(__xludf.DUMMYFUNCTION("IMPORTRANGE(""https://docs.google.com/spreadsheets/d/1eHaY18a8A9IcSdp1K8H6x8fbOy06t2VsZHhMHf-1x7Y/edit?usp=sharing"",""แผน!G63"")"),0)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IFERROR(__xludf.DUMMYFUNCTION("IMPORTRANGE(""https://docs.google.com/spreadsheets/d/1eHaY18a8A9IcSdp1K8H6x8fbOy06t2VsZHhMHf-1x7Y/edit?usp=sharing"",""แผน!D63"")"),0)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IFERROR(__xludf.DUMMYFUNCTION("IMPORTRANGE(""https://docs.google.com/spreadsheets/d/1eHaY18a8A9IcSdp1K8H6x8fbOy06t2VsZHhMHf-1x7Y/edit?usp=sharing"",""แผน!E63"")"),0)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IFERROR(__xludf.DUMMYFUNCTION("IMPORTRANGE(""https://docs.google.com/spreadsheets/d/1eHaY18a8A9IcSdp1K8H6x8fbOy06t2VsZHhMHf-1x7Y/edit?usp=sharing"",""แผน!J63"")"),0)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93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31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205600</v>
      </c>
      <c r="M94" s="266">
        <f ca="1">M95+M96</f>
        <v>144420</v>
      </c>
      <c r="N94" s="266">
        <f ca="1">N95+N96</f>
        <v>137174.5</v>
      </c>
      <c r="O94" s="266">
        <f ca="1">IF(L94&gt;0,N94*100/L94,0)</f>
        <v>66.719114785992218</v>
      </c>
      <c r="P94" s="266">
        <f ca="1">IF(M94&gt;0,N94*100/M94,0)</f>
        <v>94.983035590638423</v>
      </c>
      <c r="Q94" s="266">
        <f ca="1">Q95+Q96</f>
        <v>175522</v>
      </c>
      <c r="R94" s="266">
        <f ca="1">R95+R96</f>
        <v>175522</v>
      </c>
      <c r="S94" s="266">
        <f ca="1">S95+S96</f>
        <v>39290</v>
      </c>
      <c r="T94" s="266">
        <f ca="1">IF(Q94&gt;0,S94*100/Q94,0)</f>
        <v>22.384658333428288</v>
      </c>
      <c r="U94" s="266">
        <f ca="1">IF(R94&gt;0,S94*100/R94,0)</f>
        <v>22.384658333428288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205600</v>
      </c>
      <c r="M96" s="77">
        <f ca="1">M99+M102</f>
        <v>144420</v>
      </c>
      <c r="N96" s="77">
        <f ca="1">N99+N102</f>
        <v>137174.5</v>
      </c>
      <c r="O96" s="77">
        <f ca="1">IF(L96&gt;0,N96*100/L96,0)</f>
        <v>66.719114785992218</v>
      </c>
      <c r="P96" s="77">
        <f ca="1">IF(M96&gt;0,N96*100/M96,0)</f>
        <v>94.983035590638423</v>
      </c>
      <c r="Q96" s="77">
        <f ca="1">Q99+Q102</f>
        <v>175522</v>
      </c>
      <c r="R96" s="77">
        <f ca="1">R99+R102</f>
        <v>175522</v>
      </c>
      <c r="S96" s="77">
        <f ca="1">S99+S102</f>
        <v>39290</v>
      </c>
      <c r="T96" s="77">
        <f ca="1">IF(Q96&gt;0,S96*100/Q96,0)</f>
        <v>22.384658333428288</v>
      </c>
      <c r="U96" s="77">
        <f ca="1">IF(R96&gt;0,S96*100/R96,0)</f>
        <v>22.384658333428288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205600</v>
      </c>
      <c r="M97" s="77">
        <f ca="1">M98+M99</f>
        <v>144420</v>
      </c>
      <c r="N97" s="77">
        <f ca="1">N98+N99</f>
        <v>137174.5</v>
      </c>
      <c r="O97" s="77">
        <f ca="1">IF(L97&gt;0,N97*100/L97,0)</f>
        <v>66.719114785992218</v>
      </c>
      <c r="P97" s="77">
        <f ca="1">IF(M97&gt;0,N97*100/M97,0)</f>
        <v>94.983035590638423</v>
      </c>
      <c r="Q97" s="77">
        <f ca="1">Q98+Q99</f>
        <v>175522</v>
      </c>
      <c r="R97" s="77">
        <f ca="1">R98+R99</f>
        <v>175522</v>
      </c>
      <c r="S97" s="77">
        <f ca="1">S98+S99</f>
        <v>39290</v>
      </c>
      <c r="T97" s="77">
        <f ca="1">IF(Q97&gt;0,S97*100/Q97,0)</f>
        <v>22.384658333428288</v>
      </c>
      <c r="U97" s="77">
        <f ca="1">IF(R97&gt;0,S97*100/R97,0)</f>
        <v>22.384658333428288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IFERROR(__xludf.DUMMYFUNCTION("IMPORTRANGE(""https://docs.google.com/spreadsheets/d/1-uDff_7J0KD5mKrp0Vvzr7lt3OU09vwQwhkpOPPYv2Y/edit?usp=sharing"",""งบพรบ!AW63"")"),205600)</f>
        <v>205600</v>
      </c>
      <c r="M99" s="77">
        <f ca="1">IFERROR(__xludf.DUMMYFUNCTION("IMPORTRANGE(""https://docs.google.com/spreadsheets/d/1-uDff_7J0KD5mKrp0Vvzr7lt3OU09vwQwhkpOPPYv2Y/edit?usp=sharing"",""งบพรบ!BB63"")"),144420)</f>
        <v>144420</v>
      </c>
      <c r="N99" s="77">
        <f ca="1">IFERROR(__xludf.DUMMYFUNCTION("IMPORTRANGE(""https://docs.google.com/spreadsheets/d/1-uDff_7J0KD5mKrp0Vvzr7lt3OU09vwQwhkpOPPYv2Y/edit?usp=sharing"",""งบพรบ!BD63"")"),137174.5)</f>
        <v>137174.5</v>
      </c>
      <c r="O99" s="77">
        <f ca="1">IF(L99&gt;0,N99*100/L99,0)</f>
        <v>66.719114785992218</v>
      </c>
      <c r="P99" s="77">
        <f ca="1">IF(M99&gt;0,N99*100/M99,0)</f>
        <v>94.983035590638423</v>
      </c>
      <c r="Q99" s="77">
        <f ca="1">IFERROR(__xludf.DUMMYFUNCTION("IMPORTRANGE(""https://docs.google.com/spreadsheets/d/1ItG2mGa2ceCfYo0BwxsXqNm01IGEUdYcSSLTEv9YCik/edit?usp=sharing"",""เบิกจ่ายกองทุน!AD63"")"),175522)</f>
        <v>175522</v>
      </c>
      <c r="R99" s="77">
        <f ca="1">IFERROR(__xludf.DUMMYFUNCTION("IMPORTRANGE(""https://docs.google.com/spreadsheets/d/1ItG2mGa2ceCfYo0BwxsXqNm01IGEUdYcSSLTEv9YCik/edit?usp=sharing"",""เบิกจ่ายกองทุน!AE63"")"),175522)</f>
        <v>175522</v>
      </c>
      <c r="S99" s="77">
        <f ca="1">IFERROR(__xludf.DUMMYFUNCTION("IMPORTRANGE(""https://docs.google.com/spreadsheets/d/1ItG2mGa2ceCfYo0BwxsXqNm01IGEUdYcSSLTEv9YCik/edit?usp=sharing"",""เบิกจ่ายกองทุน!AF63"")"),39290)</f>
        <v>39290</v>
      </c>
      <c r="T99" s="77">
        <f ca="1">IF(Q99&gt;0,S99*100/Q99,0)</f>
        <v>22.384658333428288</v>
      </c>
      <c r="U99" s="77">
        <f ca="1">IF(R99&gt;0,S99*100/R99,0)</f>
        <v>22.384658333428288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IFERROR(__xludf.DUMMYFUNCTION("IMPORTRANGE(""https://docs.google.com/spreadsheets/d/1-uDff_7J0KD5mKrp0Vvzr7lt3OU09vwQwhkpOPPYv2Y/edit?usp=sharing"",""งบพรบ!AZ63"")"),0)</f>
        <v>0</v>
      </c>
      <c r="M102" s="77">
        <f ca="1">IFERROR(__xludf.DUMMYFUNCTION("IMPORTRANGE(""https://docs.google.com/spreadsheets/d/1-uDff_7J0KD5mKrp0Vvzr7lt3OU09vwQwhkpOPPYv2Y/edit?usp=sharing"",""งบพรบ!BC63"")"),0)</f>
        <v>0</v>
      </c>
      <c r="N102" s="77">
        <f ca="1">IFERROR(__xludf.DUMMYFUNCTION("IMPORTRANGE(""https://docs.google.com/spreadsheets/d/1-uDff_7J0KD5mKrp0Vvzr7lt3OU09vwQwhkpOPPYv2Y/edit?usp=sharing"",""งบพรบ!BE63"")"),0)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IFERROR(__xludf.DUMMYFUNCTION("IMPORTRANGE(""https://docs.google.com/spreadsheets/d/1eHaY18a8A9IcSdp1K8H6x8fbOy06t2VsZHhMHf-1x7Y/edit?usp=sharing"",""แผน!N63"")"),93)</f>
        <v>93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IFERROR(__xludf.DUMMYFUNCTION("IMPORTRANGE(""https://docs.google.com/spreadsheets/d/1eHaY18a8A9IcSdp1K8H6x8fbOy06t2VsZHhMHf-1x7Y/edit?usp=sharing"",""แผน!O63"")"),31)</f>
        <v>31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544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IFERROR(__xludf.DUMMYFUNCTION("IMPORTRANGE(""https://docs.google.com/spreadsheets/d/1eHaY18a8A9IcSdp1K8H6x8fbOy06t2VsZHhMHf-1x7Y/edit?usp=sharing"",""แผน!N63"")"),93)</f>
        <v>93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IFERROR(__xludf.DUMMYFUNCTION("IMPORTRANGE(""https://docs.google.com/spreadsheets/d/1eHaY18a8A9IcSdp1K8H6x8fbOy06t2VsZHhMHf-1x7Y/edit?usp=sharing"",""แผน!O63"")"),31)</f>
        <v>31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2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1339"/>
      <c r="B116" s="253" t="s">
        <v>52</v>
      </c>
      <c r="C116" s="1338"/>
      <c r="D116" s="1337"/>
      <c r="E116" s="1336"/>
      <c r="F116" s="1336"/>
      <c r="G116" s="1335"/>
      <c r="H116" s="1335"/>
      <c r="I116" s="258">
        <f ca="1">I127</f>
        <v>15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191460</v>
      </c>
      <c r="R117" s="266">
        <f ca="1">R118+R119</f>
        <v>191460</v>
      </c>
      <c r="S117" s="266">
        <f ca="1">S118+S119</f>
        <v>65470</v>
      </c>
      <c r="T117" s="266">
        <f ca="1">IF(Q117&gt;0,S117*100/Q117,0)</f>
        <v>34.19513214248407</v>
      </c>
      <c r="U117" s="266">
        <f ca="1">IF(R117&gt;0,S117*100/R117,0)</f>
        <v>34.19513214248407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191460</v>
      </c>
      <c r="R119" s="77">
        <f ca="1">R122+R125</f>
        <v>191460</v>
      </c>
      <c r="S119" s="77">
        <f ca="1">S122+S125</f>
        <v>65470</v>
      </c>
      <c r="T119" s="77">
        <f ca="1">IF(Q119&gt;0,S119*100/Q119,0)</f>
        <v>34.19513214248407</v>
      </c>
      <c r="U119" s="77">
        <f ca="1">IF(R119&gt;0,S119*100/R119,0)</f>
        <v>34.19513214248407</v>
      </c>
    </row>
    <row r="120" spans="1:21" ht="18.75" x14ac:dyDescent="0.25">
      <c r="A120" s="259"/>
      <c r="B120" s="260"/>
      <c r="C120" s="260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191460</v>
      </c>
      <c r="R120" s="77">
        <f ca="1">R121+R122</f>
        <v>191460</v>
      </c>
      <c r="S120" s="77">
        <f ca="1">S121+S122</f>
        <v>65470</v>
      </c>
      <c r="T120" s="77">
        <f ca="1">IF(Q120&gt;0,S120*100/Q120,0)</f>
        <v>34.19513214248407</v>
      </c>
      <c r="U120" s="77">
        <f ca="1">IF(R120&gt;0,S120*100/R120,0)</f>
        <v>34.19513214248407</v>
      </c>
    </row>
    <row r="121" spans="1:21" ht="18.75" hidden="1" x14ac:dyDescent="0.25">
      <c r="A121" s="259"/>
      <c r="B121" s="260"/>
      <c r="C121" s="260"/>
      <c r="D121" s="260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260"/>
      <c r="D122" s="260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IFERROR(__xludf.DUMMYFUNCTION("IMPORTRANGE(""https://docs.google.com/spreadsheets/d/1-uDff_7J0KD5mKrp0Vvzr7lt3OU09vwQwhkpOPPYv2Y/edit?usp=sharing"",""งบพรบ!BG63"")"),0)</f>
        <v>0</v>
      </c>
      <c r="M122" s="77">
        <f ca="1">IFERROR(__xludf.DUMMYFUNCTION("IMPORTRANGE(""https://docs.google.com/spreadsheets/d/1-uDff_7J0KD5mKrp0Vvzr7lt3OU09vwQwhkpOPPYv2Y/edit?usp=sharing"",""งบพรบ!BL63"")"),0)</f>
        <v>0</v>
      </c>
      <c r="N122" s="77">
        <f ca="1">IFERROR(__xludf.DUMMYFUNCTION("IMPORTRANGE(""https://docs.google.com/spreadsheets/d/1-uDff_7J0KD5mKrp0Vvzr7lt3OU09vwQwhkpOPPYv2Y/edit?usp=sharing"",""งบพรบ!BN63"")"),0)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IFERROR(__xludf.DUMMYFUNCTION("IMPORTRANGE(""https://docs.google.com/spreadsheets/d/1ItG2mGa2ceCfYo0BwxsXqNm01IGEUdYcSSLTEv9YCik/edit?usp=sharing"",""เบิกจ่ายกองทุน!R63"")"),191460)</f>
        <v>191460</v>
      </c>
      <c r="R122" s="77">
        <f ca="1">IFERROR(__xludf.DUMMYFUNCTION("IMPORTRANGE(""https://docs.google.com/spreadsheets/d/1ItG2mGa2ceCfYo0BwxsXqNm01IGEUdYcSSLTEv9YCik/edit?usp=sharing"",""เบิกจ่ายกองทุน!S63"")"),191460)</f>
        <v>191460</v>
      </c>
      <c r="S122" s="77">
        <f ca="1">IFERROR(__xludf.DUMMYFUNCTION("IMPORTRANGE(""https://docs.google.com/spreadsheets/d/1ItG2mGa2ceCfYo0BwxsXqNm01IGEUdYcSSLTEv9YCik/edit?usp=sharing"",""เบิกจ่ายกองทุน!T63"")"),65470)</f>
        <v>65470</v>
      </c>
      <c r="T122" s="77">
        <f ca="1">IF(Q122&gt;0,S122*100/Q122,0)</f>
        <v>34.19513214248407</v>
      </c>
      <c r="U122" s="77">
        <f ca="1">IF(R122&gt;0,S122*100/R122,0)</f>
        <v>34.19513214248407</v>
      </c>
    </row>
    <row r="123" spans="1:21" ht="18.75" x14ac:dyDescent="0.25">
      <c r="A123" s="259"/>
      <c r="B123" s="260"/>
      <c r="C123" s="260"/>
      <c r="D123" s="272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260"/>
      <c r="D124" s="260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IFERROR(__xludf.DUMMYFUNCTION("IMPORTRANGE(""https://docs.google.com/spreadsheets/d/1-uDff_7J0KD5mKrp0Vvzr7lt3OU09vwQwhkpOPPYv2Y/edit?usp=sharing"",""งบพรบ!BJ63"")"),0)</f>
        <v>0</v>
      </c>
      <c r="M125" s="77">
        <f ca="1">IFERROR(__xludf.DUMMYFUNCTION("IMPORTRANGE(""https://docs.google.com/spreadsheets/d/1-uDff_7J0KD5mKrp0Vvzr7lt3OU09vwQwhkpOPPYv2Y/edit?usp=sharing"",""งบพรบ!BM63"")"),0)</f>
        <v>0</v>
      </c>
      <c r="N125" s="77">
        <f ca="1">IFERROR(__xludf.DUMMYFUNCTION("IMPORTRANGE(""https://docs.google.com/spreadsheets/d/1-uDff_7J0KD5mKrp0Vvzr7lt3OU09vwQwhkpOPPYv2Y/edit?usp=sharing"",""งบพรบ!BO63"")"),0)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IFERROR(__xludf.DUMMYFUNCTION("IMPORTRANGE(""https://docs.google.com/spreadsheets/d/1eHaY18a8A9IcSdp1K8H6x8fbOy06t2VsZHhMHf-1x7Y/edit?usp=sharing"",""แผน!FF63"")"),15)</f>
        <v>15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IFERROR(__xludf.DUMMYFUNCTION("IMPORTRANGE(""https://docs.google.com/spreadsheets/d/1eHaY18a8A9IcSdp1K8H6x8fbOy06t2VsZHhMHf-1x7Y/edit?usp=sharing"",""แผน!FG63"")"),0)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IFERROR(__xludf.DUMMYFUNCTION("IMPORTRANGE(""https://docs.google.com/spreadsheets/d/1eHaY18a8A9IcSdp1K8H6x8fbOy06t2VsZHhMHf-1x7Y/edit?usp=sharing"",""แผน!FH63"")"),15)</f>
        <v>15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IFERROR(__xludf.DUMMYFUNCTION("IMPORTRANGE(""https://docs.google.com/spreadsheets/d/1eHaY18a8A9IcSdp1K8H6x8fbOy06t2VsZHhMHf-1x7Y/edit?usp=sharing"",""แผน!FI63"")"),0)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50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5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56500</v>
      </c>
      <c r="M139" s="266">
        <f ca="1">M140+M141</f>
        <v>51500</v>
      </c>
      <c r="N139" s="266">
        <f ca="1">N140+N141</f>
        <v>51500</v>
      </c>
      <c r="O139" s="266">
        <f ca="1">IF(L139&gt;0,N139*100/L139,0)</f>
        <v>91.150442477876112</v>
      </c>
      <c r="P139" s="266">
        <f ca="1">IF(M139&gt;0,N139*100/M139,0)</f>
        <v>100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56500</v>
      </c>
      <c r="M141" s="77">
        <f ca="1">M144+M147</f>
        <v>51500</v>
      </c>
      <c r="N141" s="77">
        <f ca="1">N144+N147</f>
        <v>51500</v>
      </c>
      <c r="O141" s="77">
        <f ca="1">IF(L141&gt;0,N141*100/L141,0)</f>
        <v>91.150442477876112</v>
      </c>
      <c r="P141" s="77">
        <f ca="1">IF(M141&gt;0,N141*100/M141,0)</f>
        <v>100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56500</v>
      </c>
      <c r="M142" s="77">
        <f ca="1">M143+M144</f>
        <v>51500</v>
      </c>
      <c r="N142" s="77">
        <f ca="1">N143+N144</f>
        <v>51500</v>
      </c>
      <c r="O142" s="77">
        <f ca="1">IF(L142&gt;0,N142*100/L142,0)</f>
        <v>91.150442477876112</v>
      </c>
      <c r="P142" s="77">
        <f ca="1">IF(M142&gt;0,N142*100/M142,0)</f>
        <v>100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IFERROR(__xludf.DUMMYFUNCTION("IMPORTRANGE(""https://docs.google.com/spreadsheets/d/1-uDff_7J0KD5mKrp0Vvzr7lt3OU09vwQwhkpOPPYv2Y/edit?usp=sharing"",""งบพรบ!BQ63"")"),56500)</f>
        <v>56500</v>
      </c>
      <c r="M144" s="77">
        <f ca="1">IFERROR(__xludf.DUMMYFUNCTION("IMPORTRANGE(""https://docs.google.com/spreadsheets/d/1-uDff_7J0KD5mKrp0Vvzr7lt3OU09vwQwhkpOPPYv2Y/edit?usp=sharing"",""งบพรบ!BV63"")"),51500)</f>
        <v>51500</v>
      </c>
      <c r="N144" s="77">
        <f ca="1">IFERROR(__xludf.DUMMYFUNCTION("IMPORTRANGE(""https://docs.google.com/spreadsheets/d/1-uDff_7J0KD5mKrp0Vvzr7lt3OU09vwQwhkpOPPYv2Y/edit?usp=sharing"",""งบพรบ!BX63"")"),51500)</f>
        <v>51500</v>
      </c>
      <c r="O144" s="77">
        <f ca="1">IF(L144&gt;0,N144*100/L144,0)</f>
        <v>91.150442477876112</v>
      </c>
      <c r="P144" s="77">
        <f ca="1">IF(M144&gt;0,N144*100/M144,0)</f>
        <v>100</v>
      </c>
      <c r="Q144" s="77">
        <f ca="1">IFERROR(__xludf.DUMMYFUNCTION("IMPORTRANGE(""https://docs.google.com/spreadsheets/d/1ItG2mGa2ceCfYo0BwxsXqNm01IGEUdYcSSLTEv9YCik/edit?usp=sharing"",""เบิกจ่ายกองทุน!BB63"")"),0)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IFERROR(__xludf.DUMMYFUNCTION("IMPORTRANGE(""https://docs.google.com/spreadsheets/d/1ItG2mGa2ceCfYo0BwxsXqNm01IGEUdYcSSLTEv9YCik/edit?usp=sharing"",""เบิกจ่ายกองทุน!BC63"")"),0)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IFERROR(__xludf.DUMMYFUNCTION("IMPORTRANGE(""https://docs.google.com/spreadsheets/d/1ItG2mGa2ceCfYo0BwxsXqNm01IGEUdYcSSLTEv9YCik/edit?usp=sharing"",""เบิกจ่ายกองทุน!BD63"")"),0)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IFERROR(__xludf.DUMMYFUNCTION("IMPORTRANGE(""https://docs.google.com/spreadsheets/d/1-uDff_7J0KD5mKrp0Vvzr7lt3OU09vwQwhkpOPPYv2Y/edit?usp=sharing"",""งบพรบ!BT63"")"),0)</f>
        <v>0</v>
      </c>
      <c r="M147" s="77">
        <f ca="1">IFERROR(__xludf.DUMMYFUNCTION("IMPORTRANGE(""https://docs.google.com/spreadsheets/d/1-uDff_7J0KD5mKrp0Vvzr7lt3OU09vwQwhkpOPPYv2Y/edit?usp=sharing"",""งบพรบ!BW63"")"),0)</f>
        <v>0</v>
      </c>
      <c r="N147" s="77">
        <f ca="1">IFERROR(__xludf.DUMMYFUNCTION("IMPORTRANGE(""https://docs.google.com/spreadsheets/d/1-uDff_7J0KD5mKrp0Vvzr7lt3OU09vwQwhkpOPPYv2Y/edit?usp=sharing"",""งบพรบ!BY63"")"),0)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IFERROR(__xludf.DUMMYFUNCTION("IMPORTRANGE(""https://docs.google.com/spreadsheets/d/1eHaY18a8A9IcSdp1K8H6x8fbOy06t2VsZHhMHf-1x7Y/edit?usp=sharing"",""แผน!U63"")"),0)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IFERROR(__xludf.DUMMYFUNCTION("IMPORTRANGE(""https://docs.google.com/spreadsheets/d/1eHaY18a8A9IcSdp1K8H6x8fbOy06t2VsZHhMHf-1x7Y/edit?usp=sharing"",""แผน!V63"")"),0)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IFERROR(__xludf.DUMMYFUNCTION("IMPORTRANGE(""https://docs.google.com/spreadsheets/d/1eHaY18a8A9IcSdp1K8H6x8fbOy06t2VsZHhMHf-1x7Y/edit?usp=sharing"",""แผน!W63"")"),50)</f>
        <v>50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IFERROR(__xludf.DUMMYFUNCTION("IMPORTRANGE(""https://docs.google.com/spreadsheets/d/1eHaY18a8A9IcSdp1K8H6x8fbOy06t2VsZHhMHf-1x7Y/edit?usp=sharing"",""แผน!X63"")"),5)</f>
        <v>5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IFERROR(__xludf.DUMMYFUNCTION("IMPORTRANGE(""https://docs.google.com/spreadsheets/d/1eHaY18a8A9IcSdp1K8H6x8fbOy06t2VsZHhMHf-1x7Y/edit?usp=sharing"",""แผน!Y63"")"),0)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IFERROR(__xludf.DUMMYFUNCTION("IMPORTRANGE(""https://docs.google.com/spreadsheets/d/1-uDff_7J0KD5mKrp0Vvzr7lt3OU09vwQwhkpOPPYv2Y/edit?usp=sharing"",""งบพรบ!CA63"")"),0)</f>
        <v>0</v>
      </c>
      <c r="M162" s="77">
        <f ca="1">IFERROR(__xludf.DUMMYFUNCTION("IMPORTRANGE(""https://docs.google.com/spreadsheets/d/1-uDff_7J0KD5mKrp0Vvzr7lt3OU09vwQwhkpOPPYv2Y/edit?usp=sharing"",""งบพรบ!CF63"")"),0)</f>
        <v>0</v>
      </c>
      <c r="N162" s="77">
        <f ca="1">IFERROR(__xludf.DUMMYFUNCTION("IMPORTRANGE(""https://docs.google.com/spreadsheets/d/1-uDff_7J0KD5mKrp0Vvzr7lt3OU09vwQwhkpOPPYv2Y/edit?usp=sharing"",""งบพรบ!CH63"")"),0)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IFERROR(__xludf.DUMMYFUNCTION("IMPORTRANGE(""https://docs.google.com/spreadsheets/d/1ItG2mGa2ceCfYo0BwxsXqNm01IGEUdYcSSLTEv9YCik/edit?usp=sharing"",""เบิกจ่ายกองทุน!AG63"")"),0)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IFERROR(__xludf.DUMMYFUNCTION("IMPORTRANGE(""https://docs.google.com/spreadsheets/d/1ItG2mGa2ceCfYo0BwxsXqNm01IGEUdYcSSLTEv9YCik/edit?usp=sharing"",""เบิกจ่ายกองทุน!AH63"")"),0)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IFERROR(__xludf.DUMMYFUNCTION("IMPORTRANGE(""https://docs.google.com/spreadsheets/d/1ItG2mGa2ceCfYo0BwxsXqNm01IGEUdYcSSLTEv9YCik/edit?usp=sharing"",""เบิกจ่ายกองทุน!AI63"")"),0)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IFERROR(__xludf.DUMMYFUNCTION("IMPORTRANGE(""https://docs.google.com/spreadsheets/d/1-uDff_7J0KD5mKrp0Vvzr7lt3OU09vwQwhkpOPPYv2Y/edit?usp=sharing"",""งบพรบ!CD63"")"),0)</f>
        <v>0</v>
      </c>
      <c r="M165" s="77">
        <f ca="1">IFERROR(__xludf.DUMMYFUNCTION("IMPORTRANGE(""https://docs.google.com/spreadsheets/d/1-uDff_7J0KD5mKrp0Vvzr7lt3OU09vwQwhkpOPPYv2Y/edit?usp=sharing"",""งบพรบ!CG63"")"),0)</f>
        <v>0</v>
      </c>
      <c r="N165" s="77">
        <f ca="1">IFERROR(__xludf.DUMMYFUNCTION("IMPORTRANGE(""https://docs.google.com/spreadsheets/d/1-uDff_7J0KD5mKrp0Vvzr7lt3OU09vwQwhkpOPPYv2Y/edit?usp=sharing"",""งบพรบ!CI63"")"),0)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IFERROR(__xludf.DUMMYFUNCTION("IMPORTRANGE(""https://docs.google.com/spreadsheets/d/1eHaY18a8A9IcSdp1K8H6x8fbOy06t2VsZHhMHf-1x7Y/edit?usp=sharing"",""แผน!Z63"")"),0)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IFERROR(__xludf.DUMMYFUNCTION("IMPORTRANGE(""https://docs.google.com/spreadsheets/d/1eHaY18a8A9IcSdp1K8H6x8fbOy06t2VsZHhMHf-1x7Y/edit?usp=sharing"",""แผน!Z63"")"),0)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IFERROR(__xludf.DUMMYFUNCTION("IMPORTRANGE(""https://docs.google.com/spreadsheets/d/1eHaY18a8A9IcSdp1K8H6x8fbOy06t2VsZHhMHf-1x7Y/edit?usp=sharing"",""แผน!Z63"")"),0)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36130</v>
      </c>
      <c r="N173" s="266">
        <f ca="1">N174+N175</f>
        <v>34980</v>
      </c>
      <c r="O173" s="266">
        <f ca="1">IF(L173&gt;0,N173*100/L173,0)</f>
        <v>178.5604900459418</v>
      </c>
      <c r="P173" s="266">
        <f ca="1">IF(M173&gt;0,N173*100/M173,0)</f>
        <v>96.817049543315804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36130</v>
      </c>
      <c r="N175" s="77">
        <f ca="1">N178+N181</f>
        <v>34980</v>
      </c>
      <c r="O175" s="77">
        <f ca="1">IF(L175&gt;0,N175*100/L175,0)</f>
        <v>178.5604900459418</v>
      </c>
      <c r="P175" s="77">
        <f ca="1">IF(M175&gt;0,N175*100/M175,0)</f>
        <v>96.817049543315804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36130</v>
      </c>
      <c r="N176" s="77">
        <f ca="1">N177+N178</f>
        <v>34980</v>
      </c>
      <c r="O176" s="77">
        <f ca="1">IF(L176&gt;0,N176*100/L176,0)</f>
        <v>178.5604900459418</v>
      </c>
      <c r="P176" s="77">
        <f ca="1">IF(M176&gt;0,N176*100/M176,0)</f>
        <v>96.817049543315804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IFERROR(__xludf.DUMMYFUNCTION("IMPORTRANGE(""https://docs.google.com/spreadsheets/d/1-uDff_7J0KD5mKrp0Vvzr7lt3OU09vwQwhkpOPPYv2Y/edit?usp=sharing"",""งบพรบ!CK63"")"),19590)</f>
        <v>19590</v>
      </c>
      <c r="M178" s="77">
        <f ca="1">IFERROR(__xludf.DUMMYFUNCTION("IMPORTRANGE(""https://docs.google.com/spreadsheets/d/1-uDff_7J0KD5mKrp0Vvzr7lt3OU09vwQwhkpOPPYv2Y/edit?usp=sharing"",""งบพรบ!CP63"")"),36130)</f>
        <v>36130</v>
      </c>
      <c r="N178" s="77">
        <f ca="1">IFERROR(__xludf.DUMMYFUNCTION("IMPORTRANGE(""https://docs.google.com/spreadsheets/d/1-uDff_7J0KD5mKrp0Vvzr7lt3OU09vwQwhkpOPPYv2Y/edit?usp=sharing"",""งบพรบ!CR63"")"),34980)</f>
        <v>34980</v>
      </c>
      <c r="O178" s="77">
        <f ca="1">IF(L178&gt;0,N178*100/L178,0)</f>
        <v>178.5604900459418</v>
      </c>
      <c r="P178" s="77">
        <f ca="1">IF(M178&gt;0,N178*100/M178,0)</f>
        <v>96.817049543315804</v>
      </c>
      <c r="Q178" s="77">
        <f ca="1">IFERROR(__xludf.DUMMYFUNCTION("IMPORTRANGE(""https://docs.google.com/spreadsheets/d/1ItG2mGa2ceCfYo0BwxsXqNm01IGEUdYcSSLTEv9YCik/edit?usp=sharing"",""เบิกจ่ายกองทุน!BE63"")"),0)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IFERROR(__xludf.DUMMYFUNCTION("IMPORTRANGE(""https://docs.google.com/spreadsheets/d/1ItG2mGa2ceCfYo0BwxsXqNm01IGEUdYcSSLTEv9YCik/edit?usp=sharing"",""เบิกจ่ายกองทุน!BF63"")"),0)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IFERROR(__xludf.DUMMYFUNCTION("IMPORTRANGE(""https://docs.google.com/spreadsheets/d/1ItG2mGa2ceCfYo0BwxsXqNm01IGEUdYcSSLTEv9YCik/edit?usp=sharing"",""เบิกจ่ายกองทุน!BG63"")"),0)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IFERROR(__xludf.DUMMYFUNCTION("IMPORTRANGE(""https://docs.google.com/spreadsheets/d/1-uDff_7J0KD5mKrp0Vvzr7lt3OU09vwQwhkpOPPYv2Y/edit?usp=sharing"",""งบพรบ!CN63"")"),0)</f>
        <v>0</v>
      </c>
      <c r="M181" s="77">
        <f ca="1">IFERROR(__xludf.DUMMYFUNCTION("IMPORTRANGE(""https://docs.google.com/spreadsheets/d/1-uDff_7J0KD5mKrp0Vvzr7lt3OU09vwQwhkpOPPYv2Y/edit?usp=sharing"",""งบพรบ!CQ63"")"),0)</f>
        <v>0</v>
      </c>
      <c r="N181" s="77">
        <f ca="1">IFERROR(__xludf.DUMMYFUNCTION("IMPORTRANGE(""https://docs.google.com/spreadsheets/d/1-uDff_7J0KD5mKrp0Vvzr7lt3OU09vwQwhkpOPPYv2Y/edit?usp=sharing"",""งบพรบ!CS63"")"),0)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IFERROR(__xludf.DUMMYFUNCTION("IMPORTRANGE(""https://docs.google.com/spreadsheets/d/1eHaY18a8A9IcSdp1K8H6x8fbOy06t2VsZHhMHf-1x7Y/edit?usp=sharing"",""แผน!AA63"")"),7)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20</v>
      </c>
      <c r="J185" s="1165">
        <f>J230+J231</f>
        <v>20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78100</v>
      </c>
      <c r="M186" s="266">
        <f ca="1">M187+M188</f>
        <v>65260</v>
      </c>
      <c r="N186" s="266">
        <f ca="1">N187+N188</f>
        <v>23044</v>
      </c>
      <c r="O186" s="266">
        <f ca="1">IF(L186&gt;0,N186*100/L186,0)</f>
        <v>29.505761843790012</v>
      </c>
      <c r="P186" s="266">
        <f ca="1">IF(M186&gt;0,N186*100/M186,0)</f>
        <v>35.311063438553475</v>
      </c>
      <c r="Q186" s="266">
        <f ca="1">Q187+Q188</f>
        <v>28000</v>
      </c>
      <c r="R186" s="266">
        <f ca="1">R187+R188</f>
        <v>42000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78100</v>
      </c>
      <c r="M188" s="77">
        <f ca="1">M191+M194</f>
        <v>65260</v>
      </c>
      <c r="N188" s="77">
        <f ca="1">N191+N194</f>
        <v>23044</v>
      </c>
      <c r="O188" s="77">
        <f ca="1">IF(L188&gt;0,N188*100/L188,0)</f>
        <v>29.505761843790012</v>
      </c>
      <c r="P188" s="77">
        <f ca="1">IF(M188&gt;0,N188*100/M188,0)</f>
        <v>35.311063438553475</v>
      </c>
      <c r="Q188" s="77">
        <f ca="1">Q191+Q194</f>
        <v>28000</v>
      </c>
      <c r="R188" s="77">
        <f ca="1">R191+R194</f>
        <v>42000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78100</v>
      </c>
      <c r="M189" s="77">
        <f ca="1">M190+M191</f>
        <v>65260</v>
      </c>
      <c r="N189" s="77">
        <f ca="1">N190+N191</f>
        <v>23044</v>
      </c>
      <c r="O189" s="77">
        <f ca="1">IF(L189&gt;0,N189*100/L189,0)</f>
        <v>29.505761843790012</v>
      </c>
      <c r="P189" s="77">
        <f ca="1">IF(M189&gt;0,N189*100/M189,0)</f>
        <v>35.311063438553475</v>
      </c>
      <c r="Q189" s="77">
        <f ca="1">Q190+Q191</f>
        <v>28000</v>
      </c>
      <c r="R189" s="77">
        <f ca="1">R190+R191</f>
        <v>42000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IFERROR(__xludf.DUMMYFUNCTION("IMPORTRANGE(""https://docs.google.com/spreadsheets/d/1-uDff_7J0KD5mKrp0Vvzr7lt3OU09vwQwhkpOPPYv2Y/edit?usp=sharing"",""งบพรบ!CU63"")"),78100)</f>
        <v>78100</v>
      </c>
      <c r="M191" s="77">
        <f ca="1">IFERROR(__xludf.DUMMYFUNCTION("IMPORTRANGE(""https://docs.google.com/spreadsheets/d/1-uDff_7J0KD5mKrp0Vvzr7lt3OU09vwQwhkpOPPYv2Y/edit?usp=sharing"",""งบพรบ!CZ63"")"),65260)</f>
        <v>65260</v>
      </c>
      <c r="N191" s="77">
        <f ca="1">IFERROR(__xludf.DUMMYFUNCTION("IMPORTRANGE(""https://docs.google.com/spreadsheets/d/1-uDff_7J0KD5mKrp0Vvzr7lt3OU09vwQwhkpOPPYv2Y/edit?usp=sharing"",""งบพรบ!DB63"")"),23044)</f>
        <v>23044</v>
      </c>
      <c r="O191" s="77">
        <f ca="1">IF(L191&gt;0,N191*100/L191,0)</f>
        <v>29.505761843790012</v>
      </c>
      <c r="P191" s="77">
        <f ca="1">IF(M191&gt;0,N191*100/M191,0)</f>
        <v>35.311063438553475</v>
      </c>
      <c r="Q191" s="77">
        <f ca="1">IFERROR(__xludf.DUMMYFUNCTION("IMPORTRANGE(""https://docs.google.com/spreadsheets/d/1ItG2mGa2ceCfYo0BwxsXqNm01IGEUdYcSSLTEv9YCik/edit?usp=sharing"",""เบิกจ่ายกองทุน!AV63"")"),28000)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IFERROR(__xludf.DUMMYFUNCTION("IMPORTRANGE(""https://docs.google.com/spreadsheets/d/1ItG2mGa2ceCfYo0BwxsXqNm01IGEUdYcSSLTEv9YCik/edit?usp=sharing"",""เบิกจ่ายกองทุน!AW63"")"),42000)</f>
        <v>42000</v>
      </c>
      <c r="S191" s="77">
        <f ca="1">IFERROR(__xludf.DUMMYFUNCTION("IMPORTRANGE(""https://docs.google.com/spreadsheets/d/1ItG2mGa2ceCfYo0BwxsXqNm01IGEUdYcSSLTEv9YCik/edit?usp=sharing"",""เบิกจ่ายกองทุน!AX63"")"),0)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IFERROR(__xludf.DUMMYFUNCTION("IMPORTRANGE(""https://docs.google.com/spreadsheets/d/1-uDff_7J0KD5mKrp0Vvzr7lt3OU09vwQwhkpOPPYv2Y/edit?usp=sharing"",""งบพรบ!CX63"")"),0)</f>
        <v>0</v>
      </c>
      <c r="M194" s="77">
        <f ca="1">IFERROR(__xludf.DUMMYFUNCTION("IMPORTRANGE(""https://docs.google.com/spreadsheets/d/1-uDff_7J0KD5mKrp0Vvzr7lt3OU09vwQwhkpOPPYv2Y/edit?usp=sharing"",""งบพรบ!DA63"")"),0)</f>
        <v>0</v>
      </c>
      <c r="N194" s="77">
        <f ca="1">IFERROR(__xludf.DUMMYFUNCTION("IMPORTRANGE(""https://docs.google.com/spreadsheets/d/1-uDff_7J0KD5mKrp0Vvzr7lt3OU09vwQwhkpOPPYv2Y/edit?usp=sharing"",""งบพรบ!DC63"")"),0)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IFERROR(__xludf.DUMMYFUNCTION("IMPORTRANGE(""https://docs.google.com/spreadsheets/d/1eHaY18a8A9IcSdp1K8H6x8fbOy06t2VsZHhMHf-1x7Y/edit?usp=sharing"",""แผน!AB63"")"),6000)</f>
        <v>6000</v>
      </c>
      <c r="M196" s="90"/>
      <c r="N196" s="959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IFERROR(__xludf.DUMMYFUNCTION("IMPORTRANGE(""https://docs.google.com/spreadsheets/d/1eHaY18a8A9IcSdp1K8H6x8fbOy06t2VsZHhMHf-1x7Y/edit?usp=sharing"",""แผน!AE63"")"),4)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10000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IFERROR(__xludf.DUMMYFUNCTION("IMPORTRANGE(""https://docs.google.com/spreadsheets/d/1eHaY18a8A9IcSdp1K8H6x8fbOy06t2VsZHhMHf-1x7Y/edit?usp=sharing"",""แผน!AG63"")"),2000)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IFERROR(__xludf.DUMMYFUNCTION("IMPORTRANGE(""https://docs.google.com/spreadsheets/d/1eHaY18a8A9IcSdp1K8H6x8fbOy06t2VsZHhMHf-1x7Y/edit?usp=sharing"",""แผน!AI63"")"),0)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IFERROR(__xludf.DUMMYFUNCTION("IMPORTRANGE(""https://docs.google.com/spreadsheets/d/1eHaY18a8A9IcSdp1K8H6x8fbOy06t2VsZHhMHf-1x7Y/edit?usp=sharing"",""แผน!LV63"")"),28000)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IFERROR(__xludf.DUMMYFUNCTION("IMPORTRANGE(""https://docs.google.com/spreadsheets/d/1eHaY18a8A9IcSdp1K8H6x8fbOy06t2VsZHhMHf-1x7Y/edit?usp=sharing"",""แผน!AJ63"")"),8000)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IFERROR(__xludf.DUMMYFUNCTION("IMPORTRANGE(""https://docs.google.com/spreadsheets/d/1eHaY18a8A9IcSdp1K8H6x8fbOy06t2VsZHhMHf-1x7Y/edit?usp=sharing"",""แผน!AK63"")"),2)</f>
        <v>2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IFERROR(__xludf.DUMMYFUNCTION("IMPORTRANGE(""https://docs.google.com/spreadsheets/d/1eHaY18a8A9IcSdp1K8H6x8fbOy06t2VsZHhMHf-1x7Y/edit?usp=sharing"",""แผน!JX63"")"),2)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IFERROR(__xludf.DUMMYFUNCTION("IMPORTRANGE(""https://docs.google.com/spreadsheets/d/1eHaY18a8A9IcSdp1K8H6x8fbOy06t2VsZHhMHf-1x7Y/edit?usp=sharing"",""แผน!JY63"")"),0)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IFERROR(__xludf.DUMMYFUNCTION("IMPORTRANGE(""https://docs.google.com/spreadsheets/d/1eHaY18a8A9IcSdp1K8H6x8fbOy06t2VsZHhMHf-1x7Y/edit?usp=sharing"",""แผน!AM63"")"),0)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IFERROR(__xludf.DUMMYFUNCTION("IMPORTRANGE(""https://docs.google.com/spreadsheets/d/1eHaY18a8A9IcSdp1K8H6x8fbOy06t2VsZHhMHf-1x7Y/edit?usp=sharing"",""แผน!AN63"")"),0)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IFERROR(__xludf.DUMMYFUNCTION("IMPORTRANGE(""https://docs.google.com/spreadsheets/d/1eHaY18a8A9IcSdp1K8H6x8fbOy06t2VsZHhMHf-1x7Y/edit?usp=sharing"",""แผน!LY63"")"),0)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IFERROR(__xludf.DUMMYFUNCTION("IMPORTRANGE(""https://docs.google.com/spreadsheets/d/1eHaY18a8A9IcSdp1K8H6x8fbOy06t2VsZHhMHf-1x7Y/edit?usp=sharing"",""แผน!AP63"")"),0)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IFERROR(__xludf.DUMMYFUNCTION("IMPORTRANGE(""https://docs.google.com/spreadsheets/d/1eHaY18a8A9IcSdp1K8H6x8fbOy06t2VsZHhMHf-1x7Y/edit?usp=sharing"",""แผน!AP63"")"),0)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IFERROR(__xludf.DUMMYFUNCTION("IMPORTRANGE(""https://docs.google.com/spreadsheets/d/1eHaY18a8A9IcSdp1K8H6x8fbOy06t2VsZHhMHf-1x7Y/edit?usp=sharing"",""แผน!AR63"")"),2500)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IFERROR(__xludf.DUMMYFUNCTION("IMPORTRANGE(""https://docs.google.com/spreadsheets/d/1eHaY18a8A9IcSdp1K8H6x8fbOy06t2VsZHhMHf-1x7Y/edit?usp=sharing"",""แผน!AS63"")"),2000)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IFERROR(__xludf.DUMMYFUNCTION("IMPORTRANGE(""https://docs.google.com/spreadsheets/d/1eHaY18a8A9IcSdp1K8H6x8fbOy06t2VsZHhMHf-1x7Y/edit?usp=sharing"",""แผน!AV63"")"),20000)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IFERROR(__xludf.DUMMYFUNCTION("IMPORTRANGE(""https://docs.google.com/spreadsheets/d/1eHaY18a8A9IcSdp1K8H6x8fbOy06t2VsZHhMHf-1x7Y/edit?usp=sharing"",""แผน!AV63"")"),20000)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IFERROR(__xludf.DUMMYFUNCTION("IMPORTRANGE(""https://docs.google.com/spreadsheets/d/1eHaY18a8A9IcSdp1K8H6x8fbOy06t2VsZHhMHf-1x7Y/edit?usp=sharing"",""แผน!AU63"")"),0)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947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20</v>
      </c>
      <c r="J231" s="943">
        <f>J242+J253</f>
        <v>20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0"/>
      <c r="C232" s="853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41600</v>
      </c>
      <c r="M232" s="90"/>
      <c r="N232" s="1287">
        <f>N243+N254</f>
        <v>20360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0"/>
      <c r="D233" s="1286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7000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3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3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15600</v>
      </c>
      <c r="M235" s="90"/>
      <c r="N235" s="80">
        <f>N246+N257</f>
        <v>20360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7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19000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87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936" t="s">
        <v>35</v>
      </c>
      <c r="I238" s="574">
        <f ca="1">I249+I260</f>
        <v>20</v>
      </c>
      <c r="J238" s="574">
        <f>J249+J260</f>
        <v>20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87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936" t="s">
        <v>35</v>
      </c>
      <c r="I240" s="574">
        <f ca="1">I251+I262</f>
        <v>20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936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536"/>
      <c r="B242" s="538"/>
      <c r="C242" s="1163" t="s">
        <v>348</v>
      </c>
      <c r="D242" s="537"/>
      <c r="E242" s="537"/>
      <c r="F242" s="537"/>
      <c r="G242" s="540"/>
      <c r="H242" s="541" t="s">
        <v>35</v>
      </c>
      <c r="I242" s="542">
        <f ca="1">I249</f>
        <v>20</v>
      </c>
      <c r="J242" s="542">
        <f>J249</f>
        <v>20</v>
      </c>
      <c r="K242" s="543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59"/>
      <c r="B243" s="260"/>
      <c r="C243" s="261" t="s">
        <v>18</v>
      </c>
      <c r="D243" s="262" t="s">
        <v>19</v>
      </c>
      <c r="E243" s="260"/>
      <c r="F243" s="260"/>
      <c r="G243" s="263"/>
      <c r="H243" s="614" t="s">
        <v>14</v>
      </c>
      <c r="I243" s="274"/>
      <c r="J243" s="274"/>
      <c r="K243" s="231"/>
      <c r="L243" s="393">
        <f ca="1">L244+L245+L246+L247</f>
        <v>41600</v>
      </c>
      <c r="M243" s="90"/>
      <c r="N243" s="266">
        <f>N244+N245+N246+N247</f>
        <v>20360</v>
      </c>
      <c r="O243" s="266">
        <f ca="1">IF(L243&gt;0,N243*100/L243,0)</f>
        <v>48.942307692307693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59"/>
      <c r="B244" s="271"/>
      <c r="C244" s="260"/>
      <c r="D244" s="1154" t="s">
        <v>316</v>
      </c>
      <c r="E244" s="260"/>
      <c r="F244" s="260"/>
      <c r="G244" s="263"/>
      <c r="H244" s="273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IFERROR(__xludf.DUMMYFUNCTION("IMPORTRANGE(""https://docs.google.com/spreadsheets/d/1eHaY18a8A9IcSdp1K8H6x8fbOy06t2VsZHhMHf-1x7Y/edit?usp=sharing"",""แผน!AX63"")"),7000)</f>
        <v>7000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533"/>
      <c r="B245" s="271"/>
      <c r="C245" s="271"/>
      <c r="D245" s="571" t="s">
        <v>317</v>
      </c>
      <c r="E245" s="260"/>
      <c r="F245" s="260"/>
      <c r="G245" s="263"/>
      <c r="H245" s="273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IFERROR(__xludf.DUMMYFUNCTION("IMPORTRANGE(""https://docs.google.com/spreadsheets/d/1eHaY18a8A9IcSdp1K8H6x8fbOy06t2VsZHhMHf-1x7Y/edit?usp=sharing"",""แผน!AY63"")"),0)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533"/>
      <c r="B246" s="271"/>
      <c r="C246" s="271"/>
      <c r="D246" s="571" t="s">
        <v>88</v>
      </c>
      <c r="E246" s="260"/>
      <c r="F246" s="260"/>
      <c r="G246" s="263"/>
      <c r="H246" s="273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IFERROR(__xludf.DUMMYFUNCTION("IMPORTRANGE(""https://docs.google.com/spreadsheets/d/1eHaY18a8A9IcSdp1K8H6x8fbOy06t2VsZHhMHf-1x7Y/edit?usp=sharing"",""แผน!AZ63"")"),15600)</f>
        <v>15600</v>
      </c>
      <c r="M246" s="90"/>
      <c r="N246" s="391">
        <v>20360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533"/>
      <c r="B247" s="271"/>
      <c r="C247" s="271"/>
      <c r="D247" s="269" t="s">
        <v>89</v>
      </c>
      <c r="E247" s="260"/>
      <c r="F247" s="260"/>
      <c r="G247" s="263"/>
      <c r="H247" s="273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IFERROR(__xludf.DUMMYFUNCTION("IMPORTRANGE(""https://docs.google.com/spreadsheets/d/1eHaY18a8A9IcSdp1K8H6x8fbOy06t2VsZHhMHf-1x7Y/edit?usp=sharing"",""แผน!BA63"")"),19000)</f>
        <v>19000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78"/>
      <c r="B248" s="279"/>
      <c r="C248" s="280" t="s">
        <v>18</v>
      </c>
      <c r="D248" s="837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78"/>
      <c r="B249" s="279"/>
      <c r="C249" s="279"/>
      <c r="D249" s="293" t="s">
        <v>108</v>
      </c>
      <c r="E249" s="292"/>
      <c r="F249" s="292"/>
      <c r="G249" s="284"/>
      <c r="H249" s="297" t="s">
        <v>35</v>
      </c>
      <c r="I249" s="295">
        <f ca="1">IFERROR(__xludf.DUMMYFUNCTION("IMPORTRANGE(""https://docs.google.com/spreadsheets/d/1eHaY18a8A9IcSdp1K8H6x8fbOy06t2VsZHhMHf-1x7Y/edit?usp=sharing"",""แผน!BG63"")"),20)</f>
        <v>20</v>
      </c>
      <c r="J249" s="296">
        <v>20</v>
      </c>
      <c r="K249" s="77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78"/>
      <c r="B250" s="279"/>
      <c r="C250" s="279"/>
      <c r="D250" s="1096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78"/>
      <c r="B251" s="279"/>
      <c r="C251" s="279"/>
      <c r="D251" s="279"/>
      <c r="E251" s="747" t="s">
        <v>109</v>
      </c>
      <c r="F251" s="292"/>
      <c r="G251" s="284"/>
      <c r="H251" s="297" t="s">
        <v>35</v>
      </c>
      <c r="I251" s="295">
        <f ca="1">IFERROR(__xludf.DUMMYFUNCTION("IMPORTRANGE(""https://docs.google.com/spreadsheets/d/1eHaY18a8A9IcSdp1K8H6x8fbOy06t2VsZHhMHf-1x7Y/edit?usp=sharing"",""แผน!KF63"")"),20)</f>
        <v>20</v>
      </c>
      <c r="J251" s="296">
        <v>0</v>
      </c>
      <c r="K251" s="77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78"/>
      <c r="B252" s="279"/>
      <c r="C252" s="279"/>
      <c r="D252" s="279"/>
      <c r="E252" s="747" t="s">
        <v>110</v>
      </c>
      <c r="F252" s="292"/>
      <c r="G252" s="284"/>
      <c r="H252" s="297" t="s">
        <v>61</v>
      </c>
      <c r="I252" s="295">
        <f ca="1">IFERROR(__xludf.DUMMYFUNCTION("IMPORTRANGE(""https://docs.google.com/spreadsheets/d/1eHaY18a8A9IcSdp1K8H6x8fbOy06t2VsZHhMHf-1x7Y/edit?usp=sharing"",""แผน!KG63"")"),1)</f>
        <v>1</v>
      </c>
      <c r="J252" s="296">
        <v>0</v>
      </c>
      <c r="K252" s="77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IFERROR(__xludf.DUMMYFUNCTION("IMPORTRANGE(""https://docs.google.com/spreadsheets/d/1eHaY18a8A9IcSdp1K8H6x8fbOy06t2VsZHhMHf-1x7Y/edit?usp=sharing"",""แผน!BB63"")"),0)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IFERROR(__xludf.DUMMYFUNCTION("IMPORTRANGE(""https://docs.google.com/spreadsheets/d/1eHaY18a8A9IcSdp1K8H6x8fbOy06t2VsZHhMHf-1x7Y/edit?usp=sharing"",""แผน!BC63"")"),0)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IFERROR(__xludf.DUMMYFUNCTION("IMPORTRANGE(""https://docs.google.com/spreadsheets/d/1eHaY18a8A9IcSdp1K8H6x8fbOy06t2VsZHhMHf-1x7Y/edit?usp=sharing"",""แผน!BD63"")"),0)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IFERROR(__xludf.DUMMYFUNCTION("IMPORTRANGE(""https://docs.google.com/spreadsheets/d/1eHaY18a8A9IcSdp1K8H6x8fbOy06t2VsZHhMHf-1x7Y/edit?usp=sharing"",""แผน!BE63"")"),0)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IFERROR(__xludf.DUMMYFUNCTION("IMPORTRANGE(""https://docs.google.com/spreadsheets/d/1eHaY18a8A9IcSdp1K8H6x8fbOy06t2VsZHhMHf-1x7Y/edit?usp=sharing"",""แผน!BH63"")"),0)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IFERROR(__xludf.DUMMYFUNCTION("IMPORTRANGE(""https://docs.google.com/spreadsheets/d/1-uDff_7J0KD5mKrp0Vvzr7lt3OU09vwQwhkpOPPYv2Y/edit?usp=sharing"",""งบพรบ!DE63"")"),0)</f>
        <v>0</v>
      </c>
      <c r="M271" s="91">
        <f ca="1">IFERROR(__xludf.DUMMYFUNCTION("IMPORTRANGE(""https://docs.google.com/spreadsheets/d/1-uDff_7J0KD5mKrp0Vvzr7lt3OU09vwQwhkpOPPYv2Y/edit?usp=sharing"",""งบพรบ!DJ63"")"),5000)</f>
        <v>5000</v>
      </c>
      <c r="N271" s="91">
        <f ca="1">IFERROR(__xludf.DUMMYFUNCTION("IMPORTRANGE(""https://docs.google.com/spreadsheets/d/1-uDff_7J0KD5mKrp0Vvzr7lt3OU09vwQwhkpOPPYv2Y/edit?usp=sharing"",""งบพรบ!DL63"")"),0)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IFERROR(__xludf.DUMMYFUNCTION("IMPORTRANGE(""https://docs.google.com/spreadsheets/d/1ItG2mGa2ceCfYo0BwxsXqNm01IGEUdYcSSLTEv9YCik/edit?usp=sharing"",""เบิกจ่ายกองทุน!AJ63"")"),50660)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IFERROR(__xludf.DUMMYFUNCTION("IMPORTRANGE(""https://docs.google.com/spreadsheets/d/1ItG2mGa2ceCfYo0BwxsXqNm01IGEUdYcSSLTEv9YCik/edit?usp=sharing"",""เบิกจ่ายกองทุน!AK63"")"),50660)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IFERROR(__xludf.DUMMYFUNCTION("IMPORTRANGE(""https://docs.google.com/spreadsheets/d/1ItG2mGa2ceCfYo0BwxsXqNm01IGEUdYcSSLTEv9YCik/edit?usp=sharing"",""เบิกจ่ายกองทุน!AL63"")"),0)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IFERROR(__xludf.DUMMYFUNCTION("IMPORTRANGE(""https://docs.google.com/spreadsheets/d/1-uDff_7J0KD5mKrp0Vvzr7lt3OU09vwQwhkpOPPYv2Y/edit?usp=sharing"",""งบพรบ!DH63"")"),0)</f>
        <v>0</v>
      </c>
      <c r="M274" s="91">
        <f ca="1">IFERROR(__xludf.DUMMYFUNCTION("IMPORTRANGE(""https://docs.google.com/spreadsheets/d/1-uDff_7J0KD5mKrp0Vvzr7lt3OU09vwQwhkpOPPYv2Y/edit?usp=sharing"",""งบพรบ!DK63"")"),0)</f>
        <v>0</v>
      </c>
      <c r="N274" s="91">
        <f ca="1">IFERROR(__xludf.DUMMYFUNCTION("IMPORTRANGE(""https://docs.google.com/spreadsheets/d/1-uDff_7J0KD5mKrp0Vvzr7lt3OU09vwQwhkpOPPYv2Y/edit?usp=sharing"",""งบพรบ!DM63"")"),0)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IFERROR(__xludf.DUMMYFUNCTION("IMPORTRANGE(""https://docs.google.com/spreadsheets/d/1eHaY18a8A9IcSdp1K8H6x8fbOy06t2VsZHhMHf-1x7Y/edit?usp=sharing"",""แผน!EC63"")"),22)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IFERROR(__xludf.DUMMYFUNCTION("IMPORTRANGE(""https://docs.google.com/spreadsheets/d/1-uDff_7J0KD5mKrp0Vvzr7lt3OU09vwQwhkpOPPYv2Y/edit?usp=sharing"",""งบพรบ!DO63"")"),0)</f>
        <v>0</v>
      </c>
      <c r="M287" s="77">
        <f ca="1">IFERROR(__xludf.DUMMYFUNCTION("IMPORTRANGE(""https://docs.google.com/spreadsheets/d/1-uDff_7J0KD5mKrp0Vvzr7lt3OU09vwQwhkpOPPYv2Y/edit?usp=sharing"",""งบพรบ!DT63"")"),0)</f>
        <v>0</v>
      </c>
      <c r="N287" s="77">
        <f ca="1">IFERROR(__xludf.DUMMYFUNCTION("IMPORTRANGE(""https://docs.google.com/spreadsheets/d/1-uDff_7J0KD5mKrp0Vvzr7lt3OU09vwQwhkpOPPYv2Y/edit?usp=sharing"",""งบพรบ!DV63"")"),0)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IFERROR(__xludf.DUMMYFUNCTION("IMPORTRANGE(""https://docs.google.com/spreadsheets/d/1-uDff_7J0KD5mKrp0Vvzr7lt3OU09vwQwhkpOPPYv2Y/edit?usp=sharing"",""งบพรบ!DR63"")"),0)</f>
        <v>0</v>
      </c>
      <c r="M290" s="77">
        <f ca="1">IFERROR(__xludf.DUMMYFUNCTION("IMPORTRANGE(""https://docs.google.com/spreadsheets/d/1-uDff_7J0KD5mKrp0Vvzr7lt3OU09vwQwhkpOPPYv2Y/edit?usp=sharing"",""งบพรบ!DU63"")"),0)</f>
        <v>0</v>
      </c>
      <c r="N290" s="77">
        <f ca="1">IFERROR(__xludf.DUMMYFUNCTION("IMPORTRANGE(""https://docs.google.com/spreadsheets/d/1-uDff_7J0KD5mKrp0Vvzr7lt3OU09vwQwhkpOPPYv2Y/edit?usp=sharing"",""งบพรบ!DW63"")"),0)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IFERROR(__xludf.DUMMYFUNCTION("IMPORTRANGE(""https://docs.google.com/spreadsheets/d/1eHaY18a8A9IcSdp1K8H6x8fbOy06t2VsZHhMHf-1x7Y/edit?usp=sharing"",""แผน!EE63"")"),0)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IFERROR(__xludf.DUMMYFUNCTION("IMPORTRANGE(""https://docs.google.com/spreadsheets/d/1eHaY18a8A9IcSdp1K8H6x8fbOy06t2VsZHhMHf-1x7Y/edit?usp=sharing"",""แผน!ED63"")"),0)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IFERROR(__xludf.DUMMYFUNCTION("IMPORTRANGE(""https://docs.google.com/spreadsheets/d/1eHaY18a8A9IcSdp1K8H6x8fbOy06t2VsZHhMHf-1x7Y/edit?usp=sharing"",""แผน!ED63"")"),0)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IFERROR(__xludf.DUMMYFUNCTION("IMPORTRANGE(""https://docs.google.com/spreadsheets/d/1eHaY18a8A9IcSdp1K8H6x8fbOy06t2VsZHhMHf-1x7Y/edit?usp=sharing"",""แผน!ED63"")"),0)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20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82400</v>
      </c>
      <c r="M303" s="266">
        <f ca="1">M304+M305</f>
        <v>82400</v>
      </c>
      <c r="N303" s="266">
        <f ca="1">N304+N305</f>
        <v>61330</v>
      </c>
      <c r="O303" s="266">
        <f ca="1">IF(L303&gt;0,N303*100/L303,0)</f>
        <v>74.429611650485441</v>
      </c>
      <c r="P303" s="266">
        <f ca="1">IF(M303&gt;0,N303*100/M303,0)</f>
        <v>74.429611650485441</v>
      </c>
      <c r="Q303" s="266">
        <f ca="1">Q304+Q305</f>
        <v>144609.24</v>
      </c>
      <c r="R303" s="266">
        <f ca="1">R304+R305</f>
        <v>144609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82400</v>
      </c>
      <c r="M305" s="77">
        <f ca="1">M308+M311</f>
        <v>82400</v>
      </c>
      <c r="N305" s="77">
        <f ca="1">N308+N311</f>
        <v>61330</v>
      </c>
      <c r="O305" s="77">
        <f ca="1">IF(L305&gt;0,N305*100/L305,0)</f>
        <v>74.429611650485441</v>
      </c>
      <c r="P305" s="77">
        <f ca="1">IF(M305&gt;0,N305*100/M305,0)</f>
        <v>74.429611650485441</v>
      </c>
      <c r="Q305" s="77">
        <f ca="1">Q308+Q311</f>
        <v>144609.24</v>
      </c>
      <c r="R305" s="77">
        <f ca="1">R308+R311</f>
        <v>144609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82400</v>
      </c>
      <c r="M306" s="77">
        <f ca="1">M307+M308</f>
        <v>82400</v>
      </c>
      <c r="N306" s="77">
        <f ca="1">N307+N308</f>
        <v>61330</v>
      </c>
      <c r="O306" s="77">
        <f ca="1">IF(L306&gt;0,N306*100/L306,0)</f>
        <v>74.429611650485441</v>
      </c>
      <c r="P306" s="77">
        <f ca="1">IF(M306&gt;0,N306*100/M306,0)</f>
        <v>74.429611650485441</v>
      </c>
      <c r="Q306" s="77">
        <f ca="1">Q307+Q308</f>
        <v>144609.24</v>
      </c>
      <c r="R306" s="77">
        <f ca="1">R307+R308</f>
        <v>144609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IFERROR(__xludf.DUMMYFUNCTION("IMPORTRANGE(""https://docs.google.com/spreadsheets/d/1-uDff_7J0KD5mKrp0Vvzr7lt3OU09vwQwhkpOPPYv2Y/edit?usp=sharing"",""งบพรบ!DY63"")"),82400)</f>
        <v>82400</v>
      </c>
      <c r="M308" s="77">
        <f ca="1">IFERROR(__xludf.DUMMYFUNCTION("IMPORTRANGE(""https://docs.google.com/spreadsheets/d/1-uDff_7J0KD5mKrp0Vvzr7lt3OU09vwQwhkpOPPYv2Y/edit?usp=sharing"",""งบพรบ!ED63"")"),82400)</f>
        <v>82400</v>
      </c>
      <c r="N308" s="77">
        <f ca="1">IFERROR(__xludf.DUMMYFUNCTION("IMPORTRANGE(""https://docs.google.com/spreadsheets/d/1-uDff_7J0KD5mKrp0Vvzr7lt3OU09vwQwhkpOPPYv2Y/edit?usp=sharing"",""งบพรบ!EF63"")"),61330)</f>
        <v>61330</v>
      </c>
      <c r="O308" s="77">
        <f ca="1">IF(L308&gt;0,N308*100/L308,0)</f>
        <v>74.429611650485441</v>
      </c>
      <c r="P308" s="77">
        <f ca="1">IF(M308&gt;0,N308*100/M308,0)</f>
        <v>74.429611650485441</v>
      </c>
      <c r="Q308" s="77">
        <f ca="1">IFERROR(__xludf.DUMMYFUNCTION("IMPORTRANGE(""https://docs.google.com/spreadsheets/d/1ItG2mGa2ceCfYo0BwxsXqNm01IGEUdYcSSLTEv9YCik/edit?usp=sharing"",""เบิกจ่ายกองทุน!AP63"")"),144609.24)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IFERROR(__xludf.DUMMYFUNCTION("IMPORTRANGE(""https://docs.google.com/spreadsheets/d/1ItG2mGa2ceCfYo0BwxsXqNm01IGEUdYcSSLTEv9YCik/edit?usp=sharing"",""เบิกจ่ายกองทุน!AQ63"")"),144609)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IFERROR(__xludf.DUMMYFUNCTION("IMPORTRANGE(""https://docs.google.com/spreadsheets/d/1ItG2mGa2ceCfYo0BwxsXqNm01IGEUdYcSSLTEv9YCik/edit?usp=sharing"",""เบิกจ่ายกองทุน!AR63"")"),0)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IFERROR(__xludf.DUMMYFUNCTION("IMPORTRANGE(""https://docs.google.com/spreadsheets/d/1-uDff_7J0KD5mKrp0Vvzr7lt3OU09vwQwhkpOPPYv2Y/edit?usp=sharing"",""งบพรบ!EB63"")"),0)</f>
        <v>0</v>
      </c>
      <c r="M311" s="77">
        <f ca="1">IFERROR(__xludf.DUMMYFUNCTION("IMPORTRANGE(""https://docs.google.com/spreadsheets/d/1-uDff_7J0KD5mKrp0Vvzr7lt3OU09vwQwhkpOPPYv2Y/edit?usp=sharing"",""งบพรบ!EE63"")"),0)</f>
        <v>0</v>
      </c>
      <c r="N311" s="77">
        <f ca="1">IFERROR(__xludf.DUMMYFUNCTION("IMPORTRANGE(""https://docs.google.com/spreadsheets/d/1-uDff_7J0KD5mKrp0Vvzr7lt3OU09vwQwhkpOPPYv2Y/edit?usp=sharing"",""งบพรบ!EG63"")"),0)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IFERROR(__xludf.DUMMYFUNCTION("IMPORTRANGE(""https://docs.google.com/spreadsheets/d/1eHaY18a8A9IcSdp1K8H6x8fbOy06t2VsZHhMHf-1x7Y/edit?usp=sharing"",""แผน!EF63"")"),20)</f>
        <v>20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IFERROR(__xludf.DUMMYFUNCTION("IMPORTRANGE(""https://docs.google.com/spreadsheets/d/1-uDff_7J0KD5mKrp0Vvzr7lt3OU09vwQwhkpOPPYv2Y/edit?usp=sharing"",""งบพรบ!EI63"")"),0)</f>
        <v>0</v>
      </c>
      <c r="M325" s="77">
        <f ca="1">IFERROR(__xludf.DUMMYFUNCTION("IMPORTRANGE(""https://docs.google.com/spreadsheets/d/1-uDff_7J0KD5mKrp0Vvzr7lt3OU09vwQwhkpOPPYv2Y/edit?usp=sharing"",""งบพรบ!EN63"")"),0)</f>
        <v>0</v>
      </c>
      <c r="N325" s="77">
        <f ca="1">IFERROR(__xludf.DUMMYFUNCTION("IMPORTRANGE(""https://docs.google.com/spreadsheets/d/1-uDff_7J0KD5mKrp0Vvzr7lt3OU09vwQwhkpOPPYv2Y/edit?usp=sharing"",""งบพรบ!EP63"")"),0)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IFERROR(__xludf.DUMMYFUNCTION("IMPORTRANGE(""https://docs.google.com/spreadsheets/d/1-uDff_7J0KD5mKrp0Vvzr7lt3OU09vwQwhkpOPPYv2Y/edit?usp=sharing"",""งบพรบ!EL63"")"),0)</f>
        <v>0</v>
      </c>
      <c r="M328" s="77">
        <f ca="1">IFERROR(__xludf.DUMMYFUNCTION("IMPORTRANGE(""https://docs.google.com/spreadsheets/d/1-uDff_7J0KD5mKrp0Vvzr7lt3OU09vwQwhkpOPPYv2Y/edit?usp=sharing"",""งบพรบ!EO63"")"),0)</f>
        <v>0</v>
      </c>
      <c r="N328" s="77">
        <f ca="1">IFERROR(__xludf.DUMMYFUNCTION("IMPORTRANGE(""https://docs.google.com/spreadsheets/d/1-uDff_7J0KD5mKrp0Vvzr7lt3OU09vwQwhkpOPPYv2Y/edit?usp=sharing"",""งบพรบ!EQ63"")"),0)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IFERROR(__xludf.DUMMYFUNCTION("IMPORTRANGE(""https://docs.google.com/spreadsheets/d/1eHaY18a8A9IcSdp1K8H6x8fbOy06t2VsZHhMHf-1x7Y/edit?usp=sharing"",""แผน!EJ63"")"),0)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660</v>
      </c>
      <c r="J332" s="519">
        <f ca="1">J344+J347+J348+J349+J353+J354</f>
        <v>2467</v>
      </c>
      <c r="K332" s="520">
        <f ca="1">IF(I332&gt;0,J332*100/I332,0)</f>
        <v>373.78787878787881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101000</v>
      </c>
      <c r="M333" s="266">
        <f ca="1">M334+M335</f>
        <v>106000</v>
      </c>
      <c r="N333" s="266">
        <f ca="1">N334+N335</f>
        <v>81157</v>
      </c>
      <c r="O333" s="266">
        <f ca="1">IF(L333&gt;0,N333*100/L333,0)</f>
        <v>80.353465346534648</v>
      </c>
      <c r="P333" s="266">
        <f ca="1">IF(M333&gt;0,N333*100/M333,0)</f>
        <v>76.56320754716981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101000</v>
      </c>
      <c r="M335" s="77">
        <f ca="1">M338+M341</f>
        <v>106000</v>
      </c>
      <c r="N335" s="77">
        <f ca="1">N338+N341</f>
        <v>81157</v>
      </c>
      <c r="O335" s="77">
        <f ca="1">IF(L335&gt;0,N335*100/L335,0)</f>
        <v>80.353465346534648</v>
      </c>
      <c r="P335" s="77">
        <f ca="1">IF(M335&gt;0,N335*100/M335,0)</f>
        <v>76.56320754716981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101000</v>
      </c>
      <c r="M336" s="77">
        <f ca="1">M337+M338</f>
        <v>106000</v>
      </c>
      <c r="N336" s="77">
        <f ca="1">N337+N338</f>
        <v>81157</v>
      </c>
      <c r="O336" s="77">
        <f ca="1">IF(L336&gt;0,N336*100/L336,0)</f>
        <v>80.353465346534648</v>
      </c>
      <c r="P336" s="77">
        <f ca="1">IF(M336&gt;0,N336*100/M336,0)</f>
        <v>76.56320754716981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IFERROR(__xludf.DUMMYFUNCTION("IMPORTRANGE(""https://docs.google.com/spreadsheets/d/1-uDff_7J0KD5mKrp0Vvzr7lt3OU09vwQwhkpOPPYv2Y/edit?usp=sharing"",""งบพรบ!ES63"")"),101000)</f>
        <v>101000</v>
      </c>
      <c r="M338" s="77">
        <f ca="1">IFERROR(__xludf.DUMMYFUNCTION("IMPORTRANGE(""https://docs.google.com/spreadsheets/d/1-uDff_7J0KD5mKrp0Vvzr7lt3OU09vwQwhkpOPPYv2Y/edit?usp=sharing"",""งบพรบ!EX63"")"),106000)</f>
        <v>106000</v>
      </c>
      <c r="N338" s="77">
        <f ca="1">IFERROR(__xludf.DUMMYFUNCTION("IMPORTRANGE(""https://docs.google.com/spreadsheets/d/1-uDff_7J0KD5mKrp0Vvzr7lt3OU09vwQwhkpOPPYv2Y/edit?usp=sharing"",""งบพรบ!EZ63"")"),81157)</f>
        <v>81157</v>
      </c>
      <c r="O338" s="77">
        <f ca="1">IF(L338&gt;0,N338*100/L338,0)</f>
        <v>80.353465346534648</v>
      </c>
      <c r="P338" s="77">
        <f ca="1">IF(M338&gt;0,N338*100/M338,0)</f>
        <v>76.56320754716981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IFERROR(__xludf.DUMMYFUNCTION("IMPORTRANGE(""https://docs.google.com/spreadsheets/d/1-uDff_7J0KD5mKrp0Vvzr7lt3OU09vwQwhkpOPPYv2Y/edit?usp=sharing"",""งบพรบ!EV63"")"),0)</f>
        <v>0</v>
      </c>
      <c r="M341" s="77">
        <f ca="1">IFERROR(__xludf.DUMMYFUNCTION("IMPORTRANGE(""https://docs.google.com/spreadsheets/d/1-uDff_7J0KD5mKrp0Vvzr7lt3OU09vwQwhkpOPPYv2Y/edit?usp=sharing"",""งบพรบ!EY63"")"),0)</f>
        <v>0</v>
      </c>
      <c r="N341" s="77">
        <f ca="1">IFERROR(__xludf.DUMMYFUNCTION("IMPORTRANGE(""https://docs.google.com/spreadsheets/d/1-uDff_7J0KD5mKrp0Vvzr7lt3OU09vwQwhkpOPPYv2Y/edit?usp=sharing"",""งบพรบ!FA63"")"),0)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824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IFERROR(__xludf.DUMMYFUNCTION("IMPORTRANGE(""https://docs.google.com/spreadsheets/d/1eHaY18a8A9IcSdp1K8H6x8fbOy06t2VsZHhMHf-1x7Y/edit?usp=sharing"",""แผน!EK63"")"),660)</f>
        <v>660</v>
      </c>
      <c r="J344" s="295">
        <f ca="1">IFERROR(__xludf.DUMMYFUNCTION("IMPORTRANGE(""https://docs.google.com/spreadsheets/d/1awYsYK3VOup2i3Pq_Yjnu8DRu_mYwSBnCR2QPthd0rU/edit?usp=sharing"",""ศูนย์ยกเว้นโฉนด!D63"")"),822)</f>
        <v>822</v>
      </c>
      <c r="K344" s="77">
        <f ca="1">IF(I344&gt;0,J344*100/I344,0)</f>
        <v>124.54545454545455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IFERROR(__xludf.DUMMYFUNCTION("IMPORTRANGE(""https://docs.google.com/spreadsheets/d/1eHaY18a8A9IcSdp1K8H6x8fbOy06t2VsZHhMHf-1x7Y/edit?usp=sharing"",""แผน!EL63"")"),2)</f>
        <v>2</v>
      </c>
      <c r="J346" s="295">
        <f ca="1">IFERROR(__xludf.DUMMYFUNCTION("IMPORTRANGE(""https://docs.google.com/spreadsheets/d/1awYsYK3VOup2i3Pq_Yjnu8DRu_mYwSBnCR2QPthd0rU/edit?usp=sharing"",""ศูนย์รวม!E63"")"),1)</f>
        <v>1</v>
      </c>
      <c r="K346" s="77">
        <f ca="1">IF(I346&gt;0,J346*100/I346,0)</f>
        <v>50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IFERROR(__xludf.DUMMYFUNCTION("IMPORTRANGE(""https://docs.google.com/spreadsheets/d/1awYsYK3VOup2i3Pq_Yjnu8DRu_mYwSBnCR2QPthd0rU/edit?usp=sharing"",""ศูนย์ยกเว้นโฉนด!F63"")"),0)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IFERROR(__xludf.DUMMYFUNCTION("IMPORTRANGE(""https://docs.google.com/spreadsheets/d/1awYsYK3VOup2i3Pq_Yjnu8DRu_mYwSBnCR2QPthd0rU/edit?usp=sharing"",""ศูนย์ยกเว้นโฉนด!G63"")"),2)</f>
        <v>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IFERROR(__xludf.DUMMYFUNCTION("IMPORTRANGE(""https://docs.google.com/spreadsheets/d/1awYsYK3VOup2i3Pq_Yjnu8DRu_mYwSBnCR2QPthd0rU/edit?usp=sharing"",""ศูนย์ยกเว้นโฉนด!H63"")"),0)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1664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IFERROR(__xludf.DUMMYFUNCTION("IMPORTRANGE(""https://docs.google.com/spreadsheets/d/1awYsYK3VOup2i3Pq_Yjnu8DRu_mYwSBnCR2QPthd0rU/edit?usp=sharing"",""โฉนดM3!G63"")"),21)</f>
        <v>21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IFERROR(__xludf.DUMMYFUNCTION("IMPORTRANGE(""https://docs.google.com/spreadsheets/d/1awYsYK3VOup2i3Pq_Yjnu8DRu_mYwSBnCR2QPthd0rU/edit?usp=sharing"",""โฉนดM3!H63"")"),1643)</f>
        <v>1643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IFERROR(__xludf.DUMMYFUNCTION("IMPORTRANGE(""https://docs.google.com/spreadsheets/d/1awYsYK3VOup2i3Pq_Yjnu8DRu_mYwSBnCR2QPthd0rU/edit?usp=sharing"",""โฉนดM3!I63"")"),0)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618525</v>
      </c>
      <c r="M356" s="266">
        <f ca="1">M357+M358</f>
        <v>640225</v>
      </c>
      <c r="N356" s="266">
        <f ca="1">N357+N358</f>
        <v>483932.2</v>
      </c>
      <c r="O356" s="266">
        <f ca="1">IF(L356&gt;0,N356*100/L356,0)</f>
        <v>78.239715452083587</v>
      </c>
      <c r="P356" s="266">
        <f ca="1">IF(M356&gt;0,N356*100/M356,0)</f>
        <v>75.587832402670941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618525</v>
      </c>
      <c r="M358" s="77">
        <f ca="1">M361+M364</f>
        <v>640225</v>
      </c>
      <c r="N358" s="77">
        <f ca="1">N361+N364</f>
        <v>483932.2</v>
      </c>
      <c r="O358" s="77">
        <f ca="1">IF(L358&gt;0,N358*100/L358,0)</f>
        <v>78.239715452083587</v>
      </c>
      <c r="P358" s="77">
        <f ca="1">IF(M358&gt;0,N358*100/M358,0)</f>
        <v>75.587832402670941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618525</v>
      </c>
      <c r="M359" s="77">
        <f ca="1">M360+M361</f>
        <v>640225</v>
      </c>
      <c r="N359" s="77">
        <f ca="1">N360+N361</f>
        <v>483932.2</v>
      </c>
      <c r="O359" s="77">
        <f ca="1">IF(L359&gt;0,N359*100/L359,0)</f>
        <v>78.239715452083587</v>
      </c>
      <c r="P359" s="77">
        <f ca="1">IF(M359&gt;0,N359*100/M359,0)</f>
        <v>75.587832402670941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IFERROR(__xludf.DUMMYFUNCTION("IMPORTRANGE(""https://docs.google.com/spreadsheets/d/1-uDff_7J0KD5mKrp0Vvzr7lt3OU09vwQwhkpOPPYv2Y/edit?usp=sharing"",""งบพรบ!FC63"")"),618525)</f>
        <v>618525</v>
      </c>
      <c r="M361" s="77">
        <f ca="1">IFERROR(__xludf.DUMMYFUNCTION("IMPORTRANGE(""https://docs.google.com/spreadsheets/d/1-uDff_7J0KD5mKrp0Vvzr7lt3OU09vwQwhkpOPPYv2Y/edit?usp=sharing"",""งบพรบ!FH63"")"),640225)</f>
        <v>640225</v>
      </c>
      <c r="N361" s="77">
        <f ca="1">IFERROR(__xludf.DUMMYFUNCTION("IMPORTRANGE(""https://docs.google.com/spreadsheets/d/1-uDff_7J0KD5mKrp0Vvzr7lt3OU09vwQwhkpOPPYv2Y/edit?usp=sharing"",""งบพรบ!FJ63"")"),483932.2)</f>
        <v>483932.2</v>
      </c>
      <c r="O361" s="77">
        <f ca="1">IF(L361&gt;0,N361*100/L361,0)</f>
        <v>78.239715452083587</v>
      </c>
      <c r="P361" s="77">
        <f ca="1">IF(M361&gt;0,N361*100/M361,0)</f>
        <v>75.587832402670941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IFERROR(__xludf.DUMMYFUNCTION("IMPORTRANGE(""https://docs.google.com/spreadsheets/d/1-uDff_7J0KD5mKrp0Vvzr7lt3OU09vwQwhkpOPPYv2Y/edit?usp=sharing"",""งบพรบ!FF63"")"),0)</f>
        <v>0</v>
      </c>
      <c r="M364" s="77">
        <f ca="1">IFERROR(__xludf.DUMMYFUNCTION("IMPORTRANGE(""https://docs.google.com/spreadsheets/d/1-uDff_7J0KD5mKrp0Vvzr7lt3OU09vwQwhkpOPPYv2Y/edit?usp=sharing"",""งบพรบ!FI63"")"),0)</f>
        <v>0</v>
      </c>
      <c r="N364" s="77">
        <f ca="1">IFERROR(__xludf.DUMMYFUNCTION("IMPORTRANGE(""https://docs.google.com/spreadsheets/d/1-uDff_7J0KD5mKrp0Vvzr7lt3OU09vwQwhkpOPPYv2Y/edit?usp=sharing"",""งบพรบ!FK63"")"),0)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90</v>
      </c>
      <c r="J365" s="542">
        <f ca="1">J371</f>
        <v>34</v>
      </c>
      <c r="K365" s="543">
        <f ca="1">IF(I365&gt;0,J365*100/I365,0)</f>
        <v>37.777777777777779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IFERROR(__xludf.DUMMYFUNCTION("IMPORTRANGE(""https://docs.google.com/spreadsheets/d/1tdoBKaGub7dwA3U6UFTqxio9LNnvDCQjHKmttSEBsFQ/edit?usp=sharing"",""จัดที่ดิน!AB63"")"),21)</f>
        <v>21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IFERROR(__xludf.DUMMYFUNCTION("IMPORTRANGE(""https://docs.google.com/spreadsheets/d/1eHaY18a8A9IcSdp1K8H6x8fbOy06t2VsZHhMHf-1x7Y/edit?usp=sharing"",""แผน!EW63"")"),340)</f>
        <v>340</v>
      </c>
      <c r="J368" s="1094">
        <f ca="1">IFERROR(__xludf.DUMMYFUNCTION("IMPORTRANGE(""https://docs.google.com/spreadsheets/d/1tdoBKaGub7dwA3U6UFTqxio9LNnvDCQjHKmttSEBsFQ/edit?usp=sharing"",""จัดที่ดิน!AC63"")"),269.95)</f>
        <v>269.95</v>
      </c>
      <c r="K368" s="77">
        <f ca="1">IF(I368&gt;0,J368*100/I368,0)</f>
        <v>79.397058823529406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IFERROR(__xludf.DUMMYFUNCTION("IMPORTRANGE(""https://docs.google.com/spreadsheets/d/1eHaY18a8A9IcSdp1K8H6x8fbOy06t2VsZHhMHf-1x7Y/edit?usp=sharing"",""แผน!EX63"")"),90)</f>
        <v>90</v>
      </c>
      <c r="J369" s="295">
        <f ca="1">IFERROR(__xludf.DUMMYFUNCTION("IMPORTRANGE(""https://docs.google.com/spreadsheets/d/1tdoBKaGub7dwA3U6UFTqxio9LNnvDCQjHKmttSEBsFQ/edit?usp=sharing"",""จัดที่ดิน!AD63"")"),36)</f>
        <v>36</v>
      </c>
      <c r="K369" s="77">
        <f ca="1">IF(I369&gt;0,J369*100/I369,0)</f>
        <v>40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IFERROR(__xludf.DUMMYFUNCTION("IMPORTRANGE(""https://docs.google.com/spreadsheets/d/1tdoBKaGub7dwA3U6UFTqxio9LNnvDCQjHKmttSEBsFQ/edit?usp=sharing"",""จัดที่ดิน!AE63"")"),564.37)</f>
        <v>564.37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IFERROR(__xludf.DUMMYFUNCTION("IMPORTRANGE(""https://docs.google.com/spreadsheets/d/1eHaY18a8A9IcSdp1K8H6x8fbOy06t2VsZHhMHf-1x7Y/edit?usp=sharing"",""แผน!EY63"")"),90)</f>
        <v>90</v>
      </c>
      <c r="J371" s="295">
        <f ca="1">IFERROR(__xludf.DUMMYFUNCTION("IMPORTRANGE(""https://docs.google.com/spreadsheets/d/1tdoBKaGub7dwA3U6UFTqxio9LNnvDCQjHKmttSEBsFQ/edit?usp=sharing"",""จัดที่ดิน!AF63"")"),34)</f>
        <v>34</v>
      </c>
      <c r="K371" s="77">
        <f ca="1">IF(I371&gt;0,J371*100/I371,0)</f>
        <v>37.777777777777779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IFERROR(__xludf.DUMMYFUNCTION("IMPORTRANGE(""https://docs.google.com/spreadsheets/d/1tdoBKaGub7dwA3U6UFTqxio9LNnvDCQjHKmttSEBsFQ/edit?usp=sharing"",""จัดที่ดิน!AG63"")"),491.15)</f>
        <v>491.15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2000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125000</v>
      </c>
      <c r="R375" s="266">
        <f ca="1">R376+R377</f>
        <v>125000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125000</v>
      </c>
      <c r="R377" s="77">
        <f ca="1">R380+R383</f>
        <v>125000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125000</v>
      </c>
      <c r="R378" s="77">
        <f ca="1">R379+R380</f>
        <v>125000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IFERROR(__xludf.DUMMYFUNCTION("IMPORTRANGE(""https://docs.google.com/spreadsheets/d/1ItG2mGa2ceCfYo0BwxsXqNm01IGEUdYcSSLTEv9YCik/edit?usp=sharing"",""เบิกจ่ายกองทุน!AY63"")"),125000)</f>
        <v>125000</v>
      </c>
      <c r="R380" s="77">
        <f ca="1">IFERROR(__xludf.DUMMYFUNCTION("IMPORTRANGE(""https://docs.google.com/spreadsheets/d/1ItG2mGa2ceCfYo0BwxsXqNm01IGEUdYcSSLTEv9YCik/edit?usp=sharing"",""เบิกจ่ายกองทุน!AZ63"")"),125000)</f>
        <v>125000</v>
      </c>
      <c r="S380" s="77">
        <f ca="1">IFERROR(__xludf.DUMMYFUNCTION("IMPORTRANGE(""https://docs.google.com/spreadsheets/d/1ItG2mGa2ceCfYo0BwxsXqNm01IGEUdYcSSLTEv9YCik/edit?usp=sharing"",""เบิกจ่ายกองทุน!BA63"")"),0)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IFERROR(__xludf.DUMMYFUNCTION("IMPORTRANGE(""https://docs.google.com/spreadsheets/d/1w5rwWK1o49a35cNtocGL0gxDwhFSTZUQu90BiH9_zqM/edit?usp=sharing"",""RTK!H63"")"),0)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IFERROR(__xludf.DUMMYFUNCTION("IMPORTRANGE(""https://docs.google.com/spreadsheets/d/1w5rwWK1o49a35cNtocGL0gxDwhFSTZUQu90BiH9_zqM/edit?usp=sharing"",""RTK!G63"")"),2000)</f>
        <v>2000</v>
      </c>
      <c r="J386" s="295">
        <f ca="1">IFERROR(__xludf.DUMMYFUNCTION("IMPORTRANGE(""https://docs.google.com/spreadsheets/d/1w5rwWK1o49a35cNtocGL0gxDwhFSTZUQu90BiH9_zqM/edit?usp=sharing"",""RTK!I63"")"),0)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IFERROR(__xludf.DUMMYFUNCTION("IMPORTRANGE(""https://docs.google.com/spreadsheets/d/1w5rwWK1o49a35cNtocGL0gxDwhFSTZUQu90BiH9_zqM/edit?usp=sharing"",""RTK!L63"")"),0)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IFERROR(__xludf.DUMMYFUNCTION("IMPORTRANGE(""https://docs.google.com/spreadsheets/d/1w5rwWK1o49a35cNtocGL0gxDwhFSTZUQu90BiH9_zqM/edit?usp=sharing"",""RTK!K63"")"),0)</f>
        <v>0</v>
      </c>
      <c r="J388" s="241">
        <f ca="1">IFERROR(__xludf.DUMMYFUNCTION("IMPORTRANGE(""https://docs.google.com/spreadsheets/d/1w5rwWK1o49a35cNtocGL0gxDwhFSTZUQu90BiH9_zqM/edit?usp=sharing"",""RTK!M63"")"),0)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IFERROR(__xludf.DUMMYFUNCTION("IMPORTRANGE(""https://docs.google.com/spreadsheets/d/1ItG2mGa2ceCfYo0BwxsXqNm01IGEUdYcSSLTEv9YCik/edit?usp=sharing"",""เบิกจ่ายกองทุน!BH63"")"),0)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IFERROR(__xludf.DUMMYFUNCTION("IMPORTRANGE(""https://docs.google.com/spreadsheets/d/1ItG2mGa2ceCfYo0BwxsXqNm01IGEUdYcSSLTEv9YCik/edit?usp=sharing"",""เบิกจ่ายกองทุน!BI63"")"),0)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IFERROR(__xludf.DUMMYFUNCTION("IMPORTRANGE(""https://docs.google.com/spreadsheets/d/1ItG2mGa2ceCfYo0BwxsXqNm01IGEUdYcSSLTEv9YCik/edit?usp=sharing"",""เบิกจ่ายกองทุน!BJ63"")"),0)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IFERROR(__xludf.DUMMYFUNCTION("IMPORTRANGE(""https://docs.google.com/spreadsheets/d/1eHaY18a8A9IcSdp1K8H6x8fbOy06t2VsZHhMHf-1x7Y/edit?usp=sharing"",""แผน!HJ63"")"),0)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IFERROR(__xludf.DUMMYFUNCTION("IMPORTRANGE(""https://docs.google.com/spreadsheets/d/1eHaY18a8A9IcSdp1K8H6x8fbOy06t2VsZHhMHf-1x7Y/edit?usp=sharing"",""แผน!HK63"")"),0)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IFERROR(__xludf.DUMMYFUNCTION("IMPORTRANGE(""https://docs.google.com/spreadsheets/d/1eHaY18a8A9IcSdp1K8H6x8fbOy06t2VsZHhMHf-1x7Y/edit?usp=sharing"",""แผน!HJ63"")"),0)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IFERROR(__xludf.DUMMYFUNCTION("IMPORTRANGE(""https://docs.google.com/spreadsheets/d/1eHaY18a8A9IcSdp1K8H6x8fbOy06t2VsZHhMHf-1x7Y/edit?usp=sharing"",""แผน!HK63"")"),0)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IFERROR(__xludf.DUMMYFUNCTION("IMPORTRANGE(""https://docs.google.com/spreadsheets/d/1eHaY18a8A9IcSdp1K8H6x8fbOy06t2VsZHhMHf-1x7Y/edit?usp=sharing"",""แผน!HJ63"")"),0)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IFERROR(__xludf.DUMMYFUNCTION("IMPORTRANGE(""https://docs.google.com/spreadsheets/d/1eHaY18a8A9IcSdp1K8H6x8fbOy06t2VsZHhMHf-1x7Y/edit?usp=sharing"",""แผน!HK63"")"),0)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IFERROR(__xludf.DUMMYFUNCTION("IMPORTRANGE(""https://docs.google.com/spreadsheets/d/1eHaY18a8A9IcSdp1K8H6x8fbOy06t2VsZHhMHf-1x7Y/edit?usp=sharing"",""แผน!HL63"")"),0)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IFERROR(__xludf.DUMMYFUNCTION("IMPORTRANGE(""https://docs.google.com/spreadsheets/d/1eHaY18a8A9IcSdp1K8H6x8fbOy06t2VsZHhMHf-1x7Y/edit?usp=sharing"",""แผน!HM63"")"),0)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IFERROR(__xludf.DUMMYFUNCTION("IMPORTRANGE(""https://docs.google.com/spreadsheets/d/1ItG2mGa2ceCfYo0BwxsXqNm01IGEUdYcSSLTEv9YCik/edit?usp=sharing"",""เบิกจ่ายกองทุน!X63"")"),0)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IFERROR(__xludf.DUMMYFUNCTION("IMPORTRANGE(""https://docs.google.com/spreadsheets/d/1ItG2mGa2ceCfYo0BwxsXqNm01IGEUdYcSSLTEv9YCik/edit?usp=sharing"",""เบิกจ่ายกองทุน!Y63"")"),0)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IFERROR(__xludf.DUMMYFUNCTION("IMPORTRANGE(""https://docs.google.com/spreadsheets/d/1ItG2mGa2ceCfYo0BwxsXqNm01IGEUdYcSSLTEv9YCik/edit?usp=sharing"",""เบิกจ่ายกองทุน!Z63"")"),0)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IFERROR(__xludf.DUMMYFUNCTION("IMPORTRANGE(""https://docs.google.com/spreadsheets/d/1eHaY18a8A9IcSdp1K8H6x8fbOy06t2VsZHhMHf-1x7Y/edit?usp=sharing"",""แผน!GX63"")"),0)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IFERROR(__xludf.DUMMYFUNCTION("IMPORTRANGE(""https://docs.google.com/spreadsheets/d/1eHaY18a8A9IcSdp1K8H6x8fbOy06t2VsZHhMHf-1x7Y/edit?usp=sharing"",""แผน!GY63"")"),0)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IFERROR(__xludf.DUMMYFUNCTION("IMPORTRANGE(""https://docs.google.com/spreadsheets/d/1eHaY18a8A9IcSdp1K8H6x8fbOy06t2VsZHhMHf-1x7Y/edit?usp=sharing"",""แผน!GZ63"")"),0)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IFERROR(__xludf.DUMMYFUNCTION("IMPORTRANGE(""https://docs.google.com/spreadsheets/d/1eHaY18a8A9IcSdp1K8H6x8fbOy06t2VsZHhMHf-1x7Y/edit?usp=sharing"",""แผน!HA63"")"),0)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IFERROR(__xludf.DUMMYFUNCTION("IMPORTRANGE(""https://docs.google.com/spreadsheets/d/1eHaY18a8A9IcSdp1K8H6x8fbOy06t2VsZHhMHf-1x7Y/edit?usp=sharing"",""แผน!HB63"")"),0)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IFERROR(__xludf.DUMMYFUNCTION("IMPORTRANGE(""https://docs.google.com/spreadsheets/d/1eHaY18a8A9IcSdp1K8H6x8fbOy06t2VsZHhMHf-1x7Y/edit?usp=sharing"",""แผน!HC63"")"),0)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IFERROR(__xludf.DUMMYFUNCTION("IMPORTRANGE(""https://docs.google.com/spreadsheets/d/1-uDff_7J0KD5mKrp0Vvzr7lt3OU09vwQwhkpOPPYv2Y/edit?usp=sharing"",""งบพรบ!FM63"")"),0)</f>
        <v>0</v>
      </c>
      <c r="M518" s="77">
        <f ca="1">IFERROR(__xludf.DUMMYFUNCTION("IMPORTRANGE(""https://docs.google.com/spreadsheets/d/1-uDff_7J0KD5mKrp0Vvzr7lt3OU09vwQwhkpOPPYv2Y/edit?usp=sharing"",""งบพรบ!FR63"")"),0)</f>
        <v>0</v>
      </c>
      <c r="N518" s="77">
        <f ca="1">IFERROR(__xludf.DUMMYFUNCTION("IMPORTRANGE(""https://docs.google.com/spreadsheets/d/1-uDff_7J0KD5mKrp0Vvzr7lt3OU09vwQwhkpOPPYv2Y/edit?usp=sharing"",""งบพรบ!FT63"")"),0)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IFERROR(__xludf.DUMMYFUNCTION("IMPORTRANGE(""https://docs.google.com/spreadsheets/d/1-uDff_7J0KD5mKrp0Vvzr7lt3OU09vwQwhkpOPPYv2Y/edit?usp=sharing"",""งบพรบ!FP63"")"),0)</f>
        <v>0</v>
      </c>
      <c r="M521" s="77">
        <f ca="1">IFERROR(__xludf.DUMMYFUNCTION("IMPORTRANGE(""https://docs.google.com/spreadsheets/d/1-uDff_7J0KD5mKrp0Vvzr7lt3OU09vwQwhkpOPPYv2Y/edit?usp=sharing"",""งบพรบ!FS63"")"),0)</f>
        <v>0</v>
      </c>
      <c r="N521" s="77">
        <f ca="1">IFERROR(__xludf.DUMMYFUNCTION("IMPORTRANGE(""https://docs.google.com/spreadsheets/d/1-uDff_7J0KD5mKrp0Vvzr7lt3OU09vwQwhkpOPPYv2Y/edit?usp=sharing"",""งบพรบ!FU63"")"),0)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6675</v>
      </c>
      <c r="R616" s="266">
        <f ca="1">R617+R618</f>
        <v>6675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6675</v>
      </c>
      <c r="R618" s="77">
        <f ca="1">R621+R624</f>
        <v>6675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6675</v>
      </c>
      <c r="R619" s="77">
        <f ca="1">R620+R621</f>
        <v>6675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IFERROR(__xludf.DUMMYFUNCTION("IMPORTRANGE(""https://docs.google.com/spreadsheets/d/1ItG2mGa2ceCfYo0BwxsXqNm01IGEUdYcSSLTEv9YCik/edit?usp=sharing"",""เบิกจ่ายกองทุน!F63"")"),6675)</f>
        <v>6675</v>
      </c>
      <c r="R621" s="77">
        <f ca="1">IFERROR(__xludf.DUMMYFUNCTION("IMPORTRANGE(""https://docs.google.com/spreadsheets/d/1ItG2mGa2ceCfYo0BwxsXqNm01IGEUdYcSSLTEv9YCik/edit?usp=sharing"",""เบิกจ่ายกองทุน!G63"")"),6675)</f>
        <v>6675</v>
      </c>
      <c r="S621" s="77">
        <f ca="1">IFERROR(__xludf.DUMMYFUNCTION("IMPORTRANGE(""https://docs.google.com/spreadsheets/d/1ItG2mGa2ceCfYo0BwxsXqNm01IGEUdYcSSLTEv9YCik/edit?usp=sharing"",""เบิกจ่ายกองทุน!H63"")"),0)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IFERROR(__xludf.DUMMYFUNCTION("IMPORTRANGE(""https://docs.google.com/spreadsheets/d/1eHaY18a8A9IcSdp1K8H6x8fbOy06t2VsZHhMHf-1x7Y/edit?usp=sharing"",""แผน!ID63"")"),50)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IFERROR(__xludf.DUMMYFUNCTION("IMPORTRANGE(""https://docs.google.com/spreadsheets/d/1eHaY18a8A9IcSdp1K8H6x8fbOy06t2VsZHhMHf-1x7Y/edit?usp=sharing"",""แผน!IC63"")"),0)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IFERROR(__xludf.DUMMYFUNCTION("IMPORTRANGE(""https://docs.google.com/spreadsheets/d/1eHaY18a8A9IcSdp1K8H6x8fbOy06t2VsZHhMHf-1x7Y/edit?usp=sharing"",""แผน!IE63"")"),0)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15680</v>
      </c>
      <c r="R642" s="266">
        <f ca="1">R643+R644</f>
        <v>15680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15680</v>
      </c>
      <c r="R644" s="77">
        <f ca="1">R647+R650</f>
        <v>15680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15680</v>
      </c>
      <c r="R645" s="77">
        <f ca="1">R646+R647</f>
        <v>15680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IFERROR(__xludf.DUMMYFUNCTION("IMPORTRANGE(""https://docs.google.com/spreadsheets/d/1ItG2mGa2ceCfYo0BwxsXqNm01IGEUdYcSSLTEv9YCik/edit?usp=sharing"",""เบิกจ่ายกองทุน!I63"")"),15680)</f>
        <v>15680</v>
      </c>
      <c r="R647" s="77">
        <f ca="1">IFERROR(__xludf.DUMMYFUNCTION("IMPORTRANGE(""https://docs.google.com/spreadsheets/d/1ItG2mGa2ceCfYo0BwxsXqNm01IGEUdYcSSLTEv9YCik/edit?usp=sharing"",""เบิกจ่ายกองทุน!J63"")"),15680)</f>
        <v>15680</v>
      </c>
      <c r="S647" s="77">
        <f ca="1">IFERROR(__xludf.DUMMYFUNCTION("IMPORTRANGE(""https://docs.google.com/spreadsheets/d/1ItG2mGa2ceCfYo0BwxsXqNm01IGEUdYcSSLTEv9YCik/edit?usp=sharing"",""เบิกจ่ายกองทุน!K63"")"),0)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IFERROR(__xludf.DUMMYFUNCTION("IMPORTRANGE(""https://docs.google.com/spreadsheets/d/1eHaY18a8A9IcSdp1K8H6x8fbOy06t2VsZHhMHf-1x7Y/edit?usp=sharing"",""แผน!IF63"")"),0)</f>
        <v>0</v>
      </c>
      <c r="J652" s="295">
        <f ca="1">IFERROR(__xludf.DUMMYFUNCTION("IMPORTRANGE(""https://docs.google.com/spreadsheets/d/1tdoBKaGub7dwA3U6UFTqxio9LNnvDCQjHKmttSEBsFQ/edit?usp=sharing"",""จัดที่ดิน!AU63"")"),0)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IFERROR(__xludf.DUMMYFUNCTION("IMPORTRANGE(""https://docs.google.com/spreadsheets/d/1eHaY18a8A9IcSdp1K8H6x8fbOy06t2VsZHhMHf-1x7Y/edit?usp=sharing"",""แผน!IG63"")"),0)</f>
        <v>0</v>
      </c>
      <c r="J653" s="295">
        <f ca="1">IFERROR(__xludf.DUMMYFUNCTION("IMPORTRANGE(""https://docs.google.com/spreadsheets/d/1tdoBKaGub7dwA3U6UFTqxio9LNnvDCQjHKmttSEBsFQ/edit?usp=sharing"",""จัดที่ดิน!AW63"")"),0)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IFERROR(__xludf.DUMMYFUNCTION("IMPORTRANGE(""https://docs.google.com/spreadsheets/d/1eHaY18a8A9IcSdp1K8H6x8fbOy06t2VsZHhMHf-1x7Y/edit?usp=sharing"",""แผน!IH63"")"),0)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IFERROR(__xludf.DUMMYFUNCTION("IMPORTRANGE(""https://docs.google.com/spreadsheets/d/1eHaY18a8A9IcSdp1K8H6x8fbOy06t2VsZHhMHf-1x7Y/edit?usp=sharing"",""แผน!II63"")"),0)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IFERROR(__xludf.DUMMYFUNCTION("IMPORTRANGE(""https://docs.google.com/spreadsheets/d/1eHaY18a8A9IcSdp1K8H6x8fbOy06t2VsZHhMHf-1x7Y/edit?usp=sharing"",""แผน!IJ63"")"),0)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IFERROR(__xludf.DUMMYFUNCTION("IMPORTRANGE(""https://docs.google.com/spreadsheets/d/1eHaY18a8A9IcSdp1K8H6x8fbOy06t2VsZHhMHf-1x7Y/edit?usp=sharing"",""แผน!IK63"")"),137)</f>
        <v>137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IFERROR(__xludf.DUMMYFUNCTION("IMPORTRANGE(""https://docs.google.com/spreadsheets/d/1tdoBKaGub7dwA3U6UFTqxio9LNnvDCQjHKmttSEBsFQ/edit?usp=sharing"",""จัดที่ดิน!AY63"")"),0)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IFERROR(__xludf.DUMMYFUNCTION("IMPORTRANGE(""https://docs.google.com/spreadsheets/d/1tdoBKaGub7dwA3U6UFTqxio9LNnvDCQjHKmttSEBsFQ/edit?usp=sharing"",""จัดที่ดิน!AZ63"")"),0)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IFERROR(__xludf.DUMMYFUNCTION("IMPORTRANGE(""https://docs.google.com/spreadsheets/d/1eHaY18a8A9IcSdp1K8H6x8fbOy06t2VsZHhMHf-1x7Y/edit?usp=sharing"",""แผน!IL63"")"),50)</f>
        <v>50</v>
      </c>
      <c r="J673" s="295">
        <f ca="1">IFERROR(__xludf.DUMMYFUNCTION("IMPORTRANGE(""https://docs.google.com/spreadsheets/d/1tdoBKaGub7dwA3U6UFTqxio9LNnvDCQjHKmttSEBsFQ/edit?usp=sharing"",""จัดที่ดิน!BA63"")"),0)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IFERROR(__xludf.DUMMYFUNCTION("IMPORTRANGE(""https://docs.google.com/spreadsheets/d/1eHaY18a8A9IcSdp1K8H6x8fbOy06t2VsZHhMHf-1x7Y/edit?usp=sharing"",""แผน!IM63"")"),10)</f>
        <v>10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IFERROR(__xludf.DUMMYFUNCTION("IMPORTRANGE(""https://docs.google.com/spreadsheets/d/1eHaY18a8A9IcSdp1K8H6x8fbOy06t2VsZHhMHf-1x7Y/edit?usp=sharing"",""แผน!IN63"")"),100)</f>
        <v>100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IFERROR(__xludf.DUMMYFUNCTION("IMPORTRANGE(""https://docs.google.com/spreadsheets/d/1eHaY18a8A9IcSdp1K8H6x8fbOy06t2VsZHhMHf-1x7Y/edit?usp=sharing"",""แผน!IO63"")"),5)</f>
        <v>5</v>
      </c>
      <c r="J676" s="295">
        <f ca="1">IFERROR(__xludf.DUMMYFUNCTION("IMPORTRANGE(""https://docs.google.com/spreadsheets/d/1tdoBKaGub7dwA3U6UFTqxio9LNnvDCQjHKmttSEBsFQ/edit?usp=sharing"",""จัดที่ดิน!BF63"")"),0)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IFERROR(__xludf.DUMMYFUNCTION("IMPORTRANGE(""https://docs.google.com/spreadsheets/d/1tdoBKaGub7dwA3U6UFTqxio9LNnvDCQjHKmttSEBsFQ/edit?usp=sharing"",""จัดที่ดิน!BG63"")"),0)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IFERROR(__xludf.DUMMYFUNCTION("IMPORTRANGE(""https://docs.google.com/spreadsheets/d/1eHaY18a8A9IcSdp1K8H6x8fbOy06t2VsZHhMHf-1x7Y/edit?usp=sharing"",""แผน!IP63"")"),50)</f>
        <v>50</v>
      </c>
      <c r="J678" s="295">
        <f ca="1">IFERROR(__xludf.DUMMYFUNCTION("IMPORTRANGE(""https://docs.google.com/spreadsheets/d/1tdoBKaGub7dwA3U6UFTqxio9LNnvDCQjHKmttSEBsFQ/edit?usp=sharing"",""จัดที่ดิน!BH63"")"),0)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IFERROR(__xludf.DUMMYFUNCTION("IMPORTRANGE(""https://docs.google.com/spreadsheets/d/1eHaY18a8A9IcSdp1K8H6x8fbOy06t2VsZHhMHf-1x7Y/edit?usp=sharing"",""แผน!IQ63"")"),5)</f>
        <v>5</v>
      </c>
      <c r="J679" s="295">
        <f ca="1">IFERROR(__xludf.DUMMYFUNCTION("IMPORTRANGE(""https://docs.google.com/spreadsheets/d/1tdoBKaGub7dwA3U6UFTqxio9LNnvDCQjHKmttSEBsFQ/edit?usp=sharing"",""จัดที่ดิน!BK63"")"),0)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IFERROR(__xludf.DUMMYFUNCTION("IMPORTRANGE(""https://docs.google.com/spreadsheets/d/1tdoBKaGub7dwA3U6UFTqxio9LNnvDCQjHKmttSEBsFQ/edit?usp=sharing"",""จัดที่ดิน!BL63"")"),0)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IFERROR(__xludf.DUMMYFUNCTION("IMPORTRANGE(""https://docs.google.com/spreadsheets/d/1eHaY18a8A9IcSdp1K8H6x8fbOy06t2VsZHhMHf-1x7Y/edit?usp=sharing"",""แผน!IR63"")"),50)</f>
        <v>50</v>
      </c>
      <c r="J681" s="295">
        <f ca="1">IFERROR(__xludf.DUMMYFUNCTION("IMPORTRANGE(""https://docs.google.com/spreadsheets/d/1tdoBKaGub7dwA3U6UFTqxio9LNnvDCQjHKmttSEBsFQ/edit?usp=sharing"",""จัดที่ดิน!BM63"")"),0)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IFERROR(__xludf.DUMMYFUNCTION("IMPORTRANGE(""https://docs.google.com/spreadsheets/d/1eHaY18a8A9IcSdp1K8H6x8fbOy06t2VsZHhMHf-1x7Y/edit?usp=sharing"",""แผน!IS63"")"),0)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2</v>
      </c>
      <c r="J689" s="760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61640</v>
      </c>
      <c r="R690" s="266">
        <f ca="1">R691+R692</f>
        <v>61640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61640</v>
      </c>
      <c r="R692" s="77">
        <f ca="1">R695+R698</f>
        <v>61640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61640</v>
      </c>
      <c r="R693" s="77">
        <f ca="1">R694+R695</f>
        <v>61640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IFERROR(__xludf.DUMMYFUNCTION("IMPORTRANGE(""https://docs.google.com/spreadsheets/d/1ItG2mGa2ceCfYo0BwxsXqNm01IGEUdYcSSLTEv9YCik/edit?usp=sharing"",""เบิกจ่ายกองทุน!L63"")"),61640)</f>
        <v>61640</v>
      </c>
      <c r="R695" s="77">
        <f ca="1">IFERROR(__xludf.DUMMYFUNCTION("IMPORTRANGE(""https://docs.google.com/spreadsheets/d/1ItG2mGa2ceCfYo0BwxsXqNm01IGEUdYcSSLTEv9YCik/edit?usp=sharing"",""เบิกจ่ายกองทุน!M63"")"),61640)</f>
        <v>61640</v>
      </c>
      <c r="S695" s="77">
        <f ca="1">IFERROR(__xludf.DUMMYFUNCTION("IMPORTRANGE(""https://docs.google.com/spreadsheets/d/1ItG2mGa2ceCfYo0BwxsXqNm01IGEUdYcSSLTEv9YCik/edit?usp=sharing"",""เบิกจ่ายกองทุน!N63"")"),0)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IFERROR(__xludf.DUMMYFUNCTION("IMPORTRANGE(""https://docs.google.com/spreadsheets/d/1eHaY18a8A9IcSdp1K8H6x8fbOy06t2VsZHhMHf-1x7Y/edit?usp=sharing"",""แผน!LC63"")"),0)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4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IFERROR(__xludf.DUMMYFUNCTION("IMPORTRANGE(""https://docs.google.com/spreadsheets/d/1eHaY18a8A9IcSdp1K8H6x8fbOy06t2VsZHhMHf-1x7Y/edit?usp=sharing"",""แผน!LJ63"")"),2)</f>
        <v>2</v>
      </c>
      <c r="J703" s="295">
        <f ca="1">IFERROR(__xludf.DUMMYFUNCTION("IMPORTRANGE(""https://docs.google.com/spreadsheets/d/1tdoBKaGub7dwA3U6UFTqxio9LNnvDCQjHKmttSEBsFQ/edit?usp=sharing"",""จัดที่ดิน!AP63"")"),0)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IFERROR(__xludf.DUMMYFUNCTION("IMPORTRANGE(""https://docs.google.com/spreadsheets/d/1tdoBKaGub7dwA3U6UFTqxio9LNnvDCQjHKmttSEBsFQ/edit?usp=sharing"",""จัดที่ดิน!AQ63"")"),0)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IFERROR(__xludf.DUMMYFUNCTION("IMPORTRANGE(""https://docs.google.com/spreadsheets/d/1eHaY18a8A9IcSdp1K8H6x8fbOy06t2VsZHhMHf-1x7Y/edit?usp=sharing"",""แผน!LK63"")"),2)</f>
        <v>2</v>
      </c>
      <c r="J705" s="295">
        <f ca="1">IFERROR(__xludf.DUMMYFUNCTION("IMPORTRANGE(""https://docs.google.com/spreadsheets/d/1tdoBKaGub7dwA3U6UFTqxio9LNnvDCQjHKmttSEBsFQ/edit?usp=sharing"",""จัดที่ดิน!AR63"")"),0)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IFERROR(__xludf.DUMMYFUNCTION("IMPORTRANGE(""https://docs.google.com/spreadsheets/d/1tdoBKaGub7dwA3U6UFTqxio9LNnvDCQjHKmttSEBsFQ/edit?usp=sharing"",""จัดที่ดิน!AS63"")"),0)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IFERROR(__xludf.DUMMYFUNCTION("IMPORTRANGE(""https://docs.google.com/spreadsheets/d/1eHaY18a8A9IcSdp1K8H6x8fbOy06t2VsZHhMHf-1x7Y/edit?usp=sharing"",""แผน!LJ63"")"),2)</f>
        <v>2</v>
      </c>
      <c r="J707" s="295">
        <f ca="1">IFERROR(__xludf.DUMMYFUNCTION("IMPORTRANGE(""https://docs.google.com/spreadsheets/d/1tdoBKaGub7dwA3U6UFTqxio9LNnvDCQjHKmttSEBsFQ/edit?usp=sharing"",""จัดที่ดิน!BN63"")"),0)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IFERROR(__xludf.DUMMYFUNCTION("IMPORTRANGE(""https://docs.google.com/spreadsheets/d/1tdoBKaGub7dwA3U6UFTqxio9LNnvDCQjHKmttSEBsFQ/edit?usp=sharing"",""จัดที่ดิน!BO63"")"),0)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IFERROR(__xludf.DUMMYFUNCTION("IMPORTRANGE(""https://docs.google.com/spreadsheets/d/1eHaY18a8A9IcSdp1K8H6x8fbOy06t2VsZHhMHf-1x7Y/edit?usp=sharing"",""แผน!LK63"")"),2)</f>
        <v>2</v>
      </c>
      <c r="J709" s="295">
        <f ca="1">IFERROR(__xludf.DUMMYFUNCTION("IMPORTRANGE(""https://docs.google.com/spreadsheets/d/1tdoBKaGub7dwA3U6UFTqxio9LNnvDCQjHKmttSEBsFQ/edit?usp=sharing"",""จัดที่ดิน!BP63"")"),0)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IFERROR(__xludf.DUMMYFUNCTION("IMPORTRANGE(""https://docs.google.com/spreadsheets/d/1tdoBKaGub7dwA3U6UFTqxio9LNnvDCQjHKmttSEBsFQ/edit?usp=sharing"",""จัดที่ดิน!BQ63"")"),0)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IFERROR(__xludf.DUMMYFUNCTION("IMPORTRANGE(""https://docs.google.com/spreadsheets/d/1eHaY18a8A9IcSdp1K8H6x8fbOy06t2VsZHhMHf-1x7Y/edit?usp=sharing"",""แผน!GA63"")"),21)</f>
        <v>21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IFERROR(__xludf.DUMMYFUNCTION("IMPORTRANGE(""https://docs.google.com/spreadsheets/d/1eHaY18a8A9IcSdp1K8H6x8fbOy06t2VsZHhMHf-1x7Y/edit?usp=sharing"",""แผน!FZ63"")"),200)</f>
        <v>200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175994</v>
      </c>
      <c r="R728" s="266">
        <f ca="1">R729+R730</f>
        <v>175994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175994</v>
      </c>
      <c r="R730" s="77">
        <f ca="1">R733+R736</f>
        <v>175994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175994</v>
      </c>
      <c r="R731" s="77">
        <f ca="1">R732+R733</f>
        <v>175994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IFERROR(__xludf.DUMMYFUNCTION("IMPORTRANGE(""https://docs.google.com/spreadsheets/d/1ItG2mGa2ceCfYo0BwxsXqNm01IGEUdYcSSLTEv9YCik/edit?usp=sharing"",""เบิกจ่ายกองทุน!O63"")"),175994)</f>
        <v>175994</v>
      </c>
      <c r="R733" s="77">
        <f ca="1">IFERROR(__xludf.DUMMYFUNCTION("IMPORTRANGE(""https://docs.google.com/spreadsheets/d/1ItG2mGa2ceCfYo0BwxsXqNm01IGEUdYcSSLTEv9YCik/edit?usp=sharing"",""เบิกจ่ายกองทุน!P63"")"),175994)</f>
        <v>175994</v>
      </c>
      <c r="S733" s="77">
        <f ca="1">IFERROR(__xludf.DUMMYFUNCTION("IMPORTRANGE(""https://docs.google.com/spreadsheets/d/1ItG2mGa2ceCfYo0BwxsXqNm01IGEUdYcSSLTEv9YCik/edit?usp=sharing"",""เบิกจ่ายกองทุน!Q63"")"),0)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IFERROR(__xludf.DUMMYFUNCTION("IMPORTRANGE(""https://docs.google.com/spreadsheets/d/1eHaY18a8A9IcSdp1K8H6x8fbOy06t2VsZHhMHf-1x7Y/edit?usp=sharing"",""แผน!GB63"")"),160)</f>
        <v>160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IFERROR(__xludf.DUMMYFUNCTION("IMPORTRANGE(""https://docs.google.com/spreadsheets/d/1eHaY18a8A9IcSdp1K8H6x8fbOy06t2VsZHhMHf-1x7Y/edit?usp=sharing"",""แผน!GC63"")"),16)</f>
        <v>16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IFERROR(__xludf.DUMMYFUNCTION("IMPORTRANGE(""https://docs.google.com/spreadsheets/d/1eHaY18a8A9IcSdp1K8H6x8fbOy06t2VsZHhMHf-1x7Y/edit?usp=sharing"",""แผน!GD63"")"),40)</f>
        <v>40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IFERROR(__xludf.DUMMYFUNCTION("IMPORTRANGE(""https://docs.google.com/spreadsheets/d/1eHaY18a8A9IcSdp1K8H6x8fbOy06t2VsZHhMHf-1x7Y/edit?usp=sharing"",""แผน!GE63"")"),4)</f>
        <v>4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IFERROR(__xludf.DUMMYFUNCTION("IMPORTRANGE(""https://docs.google.com/spreadsheets/d/1eHaY18a8A9IcSdp1K8H6x8fbOy06t2VsZHhMHf-1x7Y/edit?usp=sharing"",""แผน!GF63"")"),1)</f>
        <v>1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IFERROR(__xludf.DUMMYFUNCTION("IMPORTRANGE(""https://docs.google.com/spreadsheets/d/1eHaY18a8A9IcSdp1K8H6x8fbOy06t2VsZHhMHf-1x7Y/edit?usp=sharing"",""แผน!GB63"")"),160)</f>
        <v>160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IFERROR(__xludf.DUMMYFUNCTION("IMPORTRANGE(""https://docs.google.com/spreadsheets/d/1eHaY18a8A9IcSdp1K8H6x8fbOy06t2VsZHhMHf-1x7Y/edit?usp=sharing"",""แผน!GD63"")"),40)</f>
        <v>40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50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150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438800</v>
      </c>
      <c r="R760" s="266">
        <f ca="1">R761+R762</f>
        <v>438800</v>
      </c>
      <c r="S760" s="266">
        <f ca="1">S761+S762</f>
        <v>339502</v>
      </c>
      <c r="T760" s="266">
        <f ca="1">IF(Q760&gt;0,S760*100/Q760,0)</f>
        <v>77.370556061987244</v>
      </c>
      <c r="U760" s="266">
        <f ca="1">IF(R760&gt;0,S760*100/R760,0)</f>
        <v>77.370556061987244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438800</v>
      </c>
      <c r="R762" s="77">
        <f ca="1">R765+R768</f>
        <v>438800</v>
      </c>
      <c r="S762" s="77">
        <f ca="1">S765+S768</f>
        <v>339502</v>
      </c>
      <c r="T762" s="77">
        <f ca="1">IF(Q762&gt;0,S762*100/Q762,0)</f>
        <v>77.370556061987244</v>
      </c>
      <c r="U762" s="77">
        <f ca="1">IF(R762&gt;0,S762*100/R762,0)</f>
        <v>77.370556061987244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438800</v>
      </c>
      <c r="R763" s="77">
        <f ca="1">R764+R765</f>
        <v>438800</v>
      </c>
      <c r="S763" s="77">
        <f ca="1">S764+S765</f>
        <v>339502</v>
      </c>
      <c r="T763" s="77">
        <f ca="1">IF(Q763&gt;0,S763*100/Q763,0)</f>
        <v>77.370556061987244</v>
      </c>
      <c r="U763" s="77">
        <f ca="1">IF(R763&gt;0,S763*100/R763,0)</f>
        <v>77.370556061987244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IFERROR(__xludf.DUMMYFUNCTION("IMPORTRANGE(""https://docs.google.com/spreadsheets/d/1ItG2mGa2ceCfYo0BwxsXqNm01IGEUdYcSSLTEv9YCik/edit?usp=sharing"",""เบิกจ่ายกองทุน!U63"")"),438800)</f>
        <v>438800</v>
      </c>
      <c r="R765" s="77">
        <f ca="1">IFERROR(__xludf.DUMMYFUNCTION("IMPORTRANGE(""https://docs.google.com/spreadsheets/d/1ItG2mGa2ceCfYo0BwxsXqNm01IGEUdYcSSLTEv9YCik/edit?usp=sharing"",""เบิกจ่ายกองทุน!V63"")"),438800)</f>
        <v>438800</v>
      </c>
      <c r="S765" s="77">
        <f ca="1">IFERROR(__xludf.DUMMYFUNCTION("IMPORTRANGE(""https://docs.google.com/spreadsheets/d/1ItG2mGa2ceCfYo0BwxsXqNm01IGEUdYcSSLTEv9YCik/edit?usp=sharing"",""เบิกจ่ายกองทุน!W63"")"),339502)</f>
        <v>339502</v>
      </c>
      <c r="T765" s="77">
        <f ca="1">IF(Q765&gt;0,S765*100/Q765,0)</f>
        <v>77.370556061987244</v>
      </c>
      <c r="U765" s="77">
        <f ca="1">IF(R765&gt;0,S765*100/R765,0)</f>
        <v>77.370556061987244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IFERROR(__xludf.DUMMYFUNCTION("IMPORTRANGE(""https://docs.google.com/spreadsheets/d/1eHaY18a8A9IcSdp1K8H6x8fbOy06t2VsZHhMHf-1x7Y/edit?usp=sharing"",""แผน!FQ63"")"),50)</f>
        <v>50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IFERROR(__xludf.DUMMYFUNCTION("IMPORTRANGE(""https://docs.google.com/spreadsheets/d/1eHaY18a8A9IcSdp1K8H6x8fbOy06t2VsZHhMHf-1x7Y/edit?usp=sharing"",""แผน!FR63"")"),150)</f>
        <v>150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IFERROR(__xludf.DUMMYFUNCTION("IMPORTRANGE(""https://docs.google.com/spreadsheets/d/1eHaY18a8A9IcSdp1K8H6x8fbOy06t2VsZHhMHf-1x7Y/edit?usp=sharing"",""แผน!FS63"")"),150)</f>
        <v>150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IFERROR(__xludf.DUMMYFUNCTION("IMPORTRANGE(""https://docs.google.com/spreadsheets/d/1eHaY18a8A9IcSdp1K8H6x8fbOy06t2VsZHhMHf-1x7Y/edit?usp=sharing"",""แผน!FT63"")"),50)</f>
        <v>50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IFERROR(__xludf.DUMMYFUNCTION("IMPORTRANGE(""https://docs.google.com/spreadsheets/d/10OvvATaaLtwErnr3qtWFcTmtbfpFEt5Bsqel9sXx0uE/edit?usp=sharing"",""งานกองทุน!D63"")"),7634499)</f>
        <v>7634499</v>
      </c>
      <c r="J778" s="295">
        <f ca="1">IFERROR(__xludf.DUMMYFUNCTION("IMPORTRANGE(""https://docs.google.com/spreadsheets/d/10OvvATaaLtwErnr3qtWFcTmtbfpFEt5Bsqel9sXx0uE/edit?usp=sharing"",""งานกองทุน!F63"")"),1350893.15)</f>
        <v>1350893.15</v>
      </c>
      <c r="K778" s="77">
        <f ca="1">IF(I778&gt;0,J778*100/I778,0)</f>
        <v>17.694588079715512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IFERROR(__xludf.DUMMYFUNCTION("IMPORTRANGE(""https://docs.google.com/spreadsheets/d/10OvvATaaLtwErnr3qtWFcTmtbfpFEt5Bsqel9sXx0uE/edit?usp=sharing"",""งานกองทุน!C63"")"),165)</f>
        <v>165</v>
      </c>
      <c r="J779" s="295">
        <f ca="1">IFERROR(__xludf.DUMMYFUNCTION("IMPORTRANGE(""https://docs.google.com/spreadsheets/d/10OvvATaaLtwErnr3qtWFcTmtbfpFEt5Bsqel9sXx0uE/edit?usp=sharing"",""งานกองทุน!E63"")"),32)</f>
        <v>32</v>
      </c>
      <c r="K779" s="77">
        <f ca="1">IF(I779&gt;0,J779*100/I779,0)</f>
        <v>19.393939393939394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IFERROR(__xludf.DUMMYFUNCTION("IMPORTRANGE(""https://docs.google.com/spreadsheets/d/10OvvATaaLtwErnr3qtWFcTmtbfpFEt5Bsqel9sXx0uE/edit?usp=sharing"",""งานกองทุน!I63"")"),5629096.37)</f>
        <v>5629096.3700000001</v>
      </c>
      <c r="J780" s="295">
        <f ca="1">IFERROR(__xludf.DUMMYFUNCTION("IMPORTRANGE(""https://docs.google.com/spreadsheets/d/10OvvATaaLtwErnr3qtWFcTmtbfpFEt5Bsqel9sXx0uE/edit?usp=sharing"",""งานกองทุน!K63"")"),296990.54)</f>
        <v>296990.53999999998</v>
      </c>
      <c r="K780" s="77">
        <f ca="1">IF(I780&gt;0,J780*100/I780,0)</f>
        <v>5.2759896167846199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IFERROR(__xludf.DUMMYFUNCTION("IMPORTRANGE(""https://docs.google.com/spreadsheets/d/10OvvATaaLtwErnr3qtWFcTmtbfpFEt5Bsqel9sXx0uE/edit?usp=sharing"",""งานกองทุน!H63"")"),141)</f>
        <v>141</v>
      </c>
      <c r="J781" s="295">
        <f ca="1">IFERROR(__xludf.DUMMYFUNCTION("IMPORTRANGE(""https://docs.google.com/spreadsheets/d/10OvvATaaLtwErnr3qtWFcTmtbfpFEt5Bsqel9sXx0uE/edit?usp=sharing"",""งานกองทุน!J63"")"),78)</f>
        <v>78</v>
      </c>
      <c r="K781" s="77">
        <f ca="1">IF(I781&gt;0,J781*100/I781,0)</f>
        <v>55.319148936170215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IFERROR(__xludf.DUMMYFUNCTION("IMPORTRANGE(""https://docs.google.com/spreadsheets/d/10OvvATaaLtwErnr3qtWFcTmtbfpFEt5Bsqel9sXx0uE/edit?usp=sharing"",""งานกองทุน!N63"")"),817573.05)</f>
        <v>817573.05</v>
      </c>
      <c r="J782" s="295">
        <f ca="1">IFERROR(__xludf.DUMMYFUNCTION("IMPORTRANGE(""https://docs.google.com/spreadsheets/d/10OvvATaaLtwErnr3qtWFcTmtbfpFEt5Bsqel9sXx0uE/edit?usp=sharing"",""งานกองทุน!P63"")"),247779.15)</f>
        <v>247779.15</v>
      </c>
      <c r="K782" s="77">
        <f ca="1">IF(I782&gt;0,J782*100/I782,0)</f>
        <v>30.306668009665923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IFERROR(__xludf.DUMMYFUNCTION("IMPORTRANGE(""https://docs.google.com/spreadsheets/d/10OvvATaaLtwErnr3qtWFcTmtbfpFEt5Bsqel9sXx0uE/edit?usp=sharing"",""งานกองทุน!M63"")"),463)</f>
        <v>463</v>
      </c>
      <c r="J783" s="295">
        <f ca="1">IFERROR(__xludf.DUMMYFUNCTION("IMPORTRANGE(""https://docs.google.com/spreadsheets/d/10OvvATaaLtwErnr3qtWFcTmtbfpFEt5Bsqel9sXx0uE/edit?usp=sharing"",""งานกองทุน!O63"")"),288)</f>
        <v>288</v>
      </c>
      <c r="K783" s="77">
        <f ca="1">IF(I783&gt;0,J783*100/I783,0)</f>
        <v>62.203023758099349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IFERROR(__xludf.DUMMYFUNCTION("IMPORTRANGE(""https://docs.google.com/spreadsheets/d/10OvvATaaLtwErnr3qtWFcTmtbfpFEt5Bsqel9sXx0uE/edit?usp=sharing"",""งานกองทุน!S63"")"),1820000)</f>
        <v>1820000</v>
      </c>
      <c r="J784" s="295">
        <f ca="1">IFERROR(__xludf.DUMMYFUNCTION("IMPORTRANGE(""https://docs.google.com/spreadsheets/d/10OvvATaaLtwErnr3qtWFcTmtbfpFEt5Bsqel9sXx0uE/edit?usp=sharing"",""งานกองทุน!U63"")"),1280000)</f>
        <v>1280000</v>
      </c>
      <c r="K784" s="77">
        <f ca="1">IF(I784&gt;0,J784*100/I784,0)</f>
        <v>70.329670329670336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IFERROR(__xludf.DUMMYFUNCTION("IMPORTRANGE(""https://docs.google.com/spreadsheets/d/10OvvATaaLtwErnr3qtWFcTmtbfpFEt5Bsqel9sXx0uE/edit?usp=sharing"",""งานกองทุน!R63"")"),65)</f>
        <v>65</v>
      </c>
      <c r="J785" s="773">
        <f ca="1">IFERROR(__xludf.DUMMYFUNCTION("IMPORTRANGE(""https://docs.google.com/spreadsheets/d/10OvvATaaLtwErnr3qtWFcTmtbfpFEt5Bsqel9sXx0uE/edit?usp=sharing"",""งานกองทุน!T63"")"),27)</f>
        <v>27</v>
      </c>
      <c r="K785" s="185">
        <f ca="1">IF(I785&gt;0,J785*100/I785,0)</f>
        <v>41.53846153846154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5DF8-68C6-49E4-AAF3-60668F25B9D0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350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1632645</v>
      </c>
      <c r="M18" s="62">
        <f ca="1">M19+M20</f>
        <v>1888979.35</v>
      </c>
      <c r="N18" s="62">
        <f ca="1">N19+N20</f>
        <v>1603102.42</v>
      </c>
      <c r="O18" s="62">
        <f ca="1">IF(L18&gt;0,N18*100/L18,0)</f>
        <v>98.190508040633446</v>
      </c>
      <c r="P18" s="62">
        <f ca="1">IF(M18&gt;0,N18*100/M18,0)</f>
        <v>84.866063782010102</v>
      </c>
      <c r="Q18" s="62">
        <f ca="1">Q19+Q20</f>
        <v>1243239.24</v>
      </c>
      <c r="R18" s="62">
        <f ca="1">R19+R20</f>
        <v>1243239</v>
      </c>
      <c r="S18" s="62">
        <f ca="1">S19+S20</f>
        <v>205082.58</v>
      </c>
      <c r="T18" s="62">
        <f ca="1">IF(Q18&gt;0,S18*100/Q18,0)</f>
        <v>16.495825855689692</v>
      </c>
      <c r="U18" s="62">
        <f ca="1">IF(R18&gt;0,S18*100/R18,0)</f>
        <v>16.495829040112159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1632645</v>
      </c>
      <c r="M20" s="68">
        <f ca="1">M23+M26</f>
        <v>1888979.35</v>
      </c>
      <c r="N20" s="68">
        <f ca="1">N23+N26</f>
        <v>1603102.42</v>
      </c>
      <c r="O20" s="68">
        <f ca="1">IF(L20&gt;0,N20*100/L20,0)</f>
        <v>98.190508040633446</v>
      </c>
      <c r="P20" s="68">
        <f ca="1">IF(M20&gt;0,N20*100/M20,0)</f>
        <v>84.866063782010102</v>
      </c>
      <c r="Q20" s="68">
        <f ca="1">Q23+Q26</f>
        <v>1243239.24</v>
      </c>
      <c r="R20" s="68">
        <f ca="1">R23+R26</f>
        <v>1243239</v>
      </c>
      <c r="S20" s="68">
        <f ca="1">S23+S26</f>
        <v>205082.58</v>
      </c>
      <c r="T20" s="68">
        <f ca="1">IF(Q20&gt;0,S20*100/Q20,0)</f>
        <v>16.495825855689692</v>
      </c>
      <c r="U20" s="68">
        <f ca="1">IF(R20&gt;0,S20*100/R20,0)</f>
        <v>16.495829040112159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1632645</v>
      </c>
      <c r="M21" s="77">
        <f ca="1">M22+M23</f>
        <v>1888979.35</v>
      </c>
      <c r="N21" s="77">
        <f ca="1">N22+N23</f>
        <v>1603102.42</v>
      </c>
      <c r="O21" s="77">
        <f ca="1">IF(L21&gt;0,N21*100/L21,0)</f>
        <v>98.190508040633446</v>
      </c>
      <c r="P21" s="77">
        <f ca="1">IF(M21&gt;0,N21*100/M21,0)</f>
        <v>84.866063782010102</v>
      </c>
      <c r="Q21" s="77">
        <f ca="1">Q22+Q23</f>
        <v>1243239.24</v>
      </c>
      <c r="R21" s="77">
        <f ca="1">R22+R23</f>
        <v>1243239</v>
      </c>
      <c r="S21" s="77">
        <f ca="1">S22+S23</f>
        <v>205082.58</v>
      </c>
      <c r="T21" s="77">
        <f ca="1">IF(Q21&gt;0,S21*100/Q21,0)</f>
        <v>16.495825855689692</v>
      </c>
      <c r="U21" s="77">
        <f ca="1">IF(R21&gt;0,S21*100/R21,0)</f>
        <v>16.495829040112159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1632645</v>
      </c>
      <c r="M23" s="77">
        <f ca="1">M49+M64+M77+M99+M130+M144+M162+M191+M178+M271+M287+M308+M325+M338+M361+M518</f>
        <v>1888979.35</v>
      </c>
      <c r="N23" s="77">
        <f ca="1">N49+N64+N77+N99+N130+N144+N162+N191+N178+N271+N287+N308+N325+N338+N361+N518</f>
        <v>1603102.42</v>
      </c>
      <c r="O23" s="77">
        <f ca="1">IF(L23&gt;0,N23*100/L23,0)</f>
        <v>98.190508040633446</v>
      </c>
      <c r="P23" s="77">
        <f ca="1">IF(M23&gt;0,N23*100/M23,0)</f>
        <v>84.866063782010102</v>
      </c>
      <c r="Q23" s="77">
        <f ca="1">Q77+Q99+Q122+Q144+Q162+Q178+Q191+Q271+Q287+Q308+Q338+Q380+Q397+Q418+Q498+Q604+Q621+Q647+Q695+Q719+Q733+Q765</f>
        <v>1243239.24</v>
      </c>
      <c r="R23" s="77">
        <f ca="1">R77+R99+R122+R144+R162+R178+R191+R271+R287+R308+R338+R380+R397+R418+R498+R604+R621+R647+R695+R719+R733+R765</f>
        <v>1243239</v>
      </c>
      <c r="S23" s="77">
        <f ca="1">S77+S99+S122+S144+S162+S178+S191+S271+S287+S308+S338+S380+S397+S418+S498+S604+S621+S647+S695+S719+S733+S765</f>
        <v>205082.58</v>
      </c>
      <c r="T23" s="77">
        <f ca="1">IF(Q23&gt;0,S23*100/Q23,0)</f>
        <v>16.495825855689692</v>
      </c>
      <c r="U23" s="77">
        <f ca="1">IF(R23&gt;0,S23*100/R23,0)</f>
        <v>16.495829040112159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1632645</v>
      </c>
      <c r="M40" s="1308">
        <f ca="1">M44+M59+M72+M94+M125+M139+M157+M173+M186+M266+M282+M303+M320+M333+M356</f>
        <v>1888979.35</v>
      </c>
      <c r="N40" s="1308">
        <f ca="1">N44+N59+N72+N94+N125+N139+N157+N173+N186+N266+N282+N303+N320+N333+N356</f>
        <v>1603102.42</v>
      </c>
      <c r="O40" s="1308">
        <f ca="1">IF(L40&gt;0,N40*100/L40,0)</f>
        <v>98.190508040633446</v>
      </c>
      <c r="P40" s="1308">
        <f ca="1">IF(M40&gt;0,N40*100/M40,0)</f>
        <v>84.866063782010102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211100</v>
      </c>
      <c r="M44" s="1304">
        <f ca="1">M45+M46</f>
        <v>309859.34999999998</v>
      </c>
      <c r="N44" s="1304">
        <f ca="1">N45+N46</f>
        <v>268318.49</v>
      </c>
      <c r="O44" s="1304">
        <f ca="1">IF(L44&gt;0,N44*100/L44,0)</f>
        <v>127.10492183799147</v>
      </c>
      <c r="P44" s="1304">
        <f ca="1">IF(M44&gt;0,N44*100/M44,0)</f>
        <v>86.59363998536756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211100</v>
      </c>
      <c r="M46" s="1300">
        <f ca="1">M49+M52</f>
        <v>309859.34999999998</v>
      </c>
      <c r="N46" s="1300">
        <f ca="1">N49+N52</f>
        <v>268318.49</v>
      </c>
      <c r="O46" s="1300">
        <f ca="1">IF(L46&gt;0,N46*100/L46,0)</f>
        <v>127.10492183799147</v>
      </c>
      <c r="P46" s="1300">
        <f ca="1">IF(M46&gt;0,N46*100/M46,0)</f>
        <v>86.59363998536756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211100</v>
      </c>
      <c r="M47" s="77">
        <f ca="1">M48+M49</f>
        <v>309859.34999999998</v>
      </c>
      <c r="N47" s="77">
        <f ca="1">N48+N49</f>
        <v>268318.49</v>
      </c>
      <c r="O47" s="77">
        <f ca="1">IF(L47&gt;0,N47*100/L47,0)</f>
        <v>127.10492183799147</v>
      </c>
      <c r="P47" s="77">
        <f ca="1">IF(M47&gt;0,N47*100/M47,0)</f>
        <v>86.59363998536756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IFERROR(__xludf.DUMMYFUNCTION("IMPORTRANGE(""https://docs.google.com/spreadsheets/d/1-uDff_7J0KD5mKrp0Vvzr7lt3OU09vwQwhkpOPPYv2Y/edit?usp=sharing"",""งบพรบ!P64"")"),211100)</f>
        <v>211100</v>
      </c>
      <c r="M49" s="77">
        <f ca="1">IFERROR(__xludf.DUMMYFUNCTION("IMPORTRANGE(""https://docs.google.com/spreadsheets/d/1-uDff_7J0KD5mKrp0Vvzr7lt3OU09vwQwhkpOPPYv2Y/edit?usp=sharing"",""งบพรบ!V64"")"),309859.35)</f>
        <v>309859.34999999998</v>
      </c>
      <c r="N49" s="77">
        <f ca="1">IFERROR(__xludf.DUMMYFUNCTION("IMPORTRANGE(""https://docs.google.com/spreadsheets/d/1-uDff_7J0KD5mKrp0Vvzr7lt3OU09vwQwhkpOPPYv2Y/edit?usp=sharing"",""งบพรบ!Y64"")"),268318.49)</f>
        <v>268318.49</v>
      </c>
      <c r="O49" s="77">
        <f ca="1">IF(L49&gt;0,N49*100/L49,0)</f>
        <v>127.10492183799147</v>
      </c>
      <c r="P49" s="77">
        <f ca="1">IF(M49&gt;0,N49*100/M49,0)</f>
        <v>86.59363998536756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IFERROR(__xludf.DUMMYFUNCTION("IMPORTRANGE(""https://docs.google.com/spreadsheets/d/1-uDff_7J0KD5mKrp0Vvzr7lt3OU09vwQwhkpOPPYv2Y/edit?usp=sharing"",""งบพรบ!S64"")"),0)</f>
        <v>0</v>
      </c>
      <c r="M52" s="77">
        <f ca="1">IFERROR(__xludf.DUMMYFUNCTION("IMPORTRANGE(""https://docs.google.com/spreadsheets/d/1-uDff_7J0KD5mKrp0Vvzr7lt3OU09vwQwhkpOPPYv2Y/edit?usp=sharing"",""งบพรบ!W64"")"),0)</f>
        <v>0</v>
      </c>
      <c r="N52" s="77">
        <f ca="1">IFERROR(__xludf.DUMMYFUNCTION("IMPORTRANGE(""https://docs.google.com/spreadsheets/d/1-uDff_7J0KD5mKrp0Vvzr7lt3OU09vwQwhkpOPPYv2Y/edit?usp=sharing"",""งบพรบ!Z64"")"),0)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246200</v>
      </c>
      <c r="M59" s="1297">
        <f ca="1">M60+M61</f>
        <v>246200</v>
      </c>
      <c r="N59" s="1297">
        <f ca="1">N60+N61</f>
        <v>205781.86</v>
      </c>
      <c r="O59" s="1297">
        <f ca="1">IF(L59&gt;0,N59*100/L59,0)</f>
        <v>83.583208773354997</v>
      </c>
      <c r="P59" s="1297">
        <f ca="1">IF(M59&gt;0,N59*100/M59,0)</f>
        <v>83.583208773354997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246200</v>
      </c>
      <c r="M61" s="1293">
        <f ca="1">M64+M67</f>
        <v>246200</v>
      </c>
      <c r="N61" s="1293">
        <f ca="1">N64+N67</f>
        <v>205781.86</v>
      </c>
      <c r="O61" s="1293">
        <f ca="1">IF(L61&gt;0,N61*100/L61,0)</f>
        <v>83.583208773354997</v>
      </c>
      <c r="P61" s="1293">
        <f ca="1">IF(M61&gt;0,N61*100/M61,0)</f>
        <v>83.583208773354997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246200</v>
      </c>
      <c r="M62" s="77">
        <f ca="1">M63+M64</f>
        <v>246200</v>
      </c>
      <c r="N62" s="77">
        <f ca="1">N63+N64</f>
        <v>205781.86</v>
      </c>
      <c r="O62" s="77">
        <f ca="1">IF(L62&gt;0,N62*100/L62,0)</f>
        <v>83.583208773354997</v>
      </c>
      <c r="P62" s="77">
        <f ca="1">IF(M62&gt;0,N62*100/M62,0)</f>
        <v>83.583208773354997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IFERROR(__xludf.DUMMYFUNCTION("IMPORTRANGE(""https://docs.google.com/spreadsheets/d/1-uDff_7J0KD5mKrp0Vvzr7lt3OU09vwQwhkpOPPYv2Y/edit?usp=sharing"",""งบพรบ!AC64"")"),246200)</f>
        <v>246200</v>
      </c>
      <c r="M64" s="77">
        <f ca="1">IFERROR(__xludf.DUMMYFUNCTION("IMPORTRANGE(""https://docs.google.com/spreadsheets/d/1-uDff_7J0KD5mKrp0Vvzr7lt3OU09vwQwhkpOPPYv2Y/edit?usp=sharing"",""งบพรบ!AH64"")"),246200)</f>
        <v>246200</v>
      </c>
      <c r="N64" s="77">
        <f ca="1">IFERROR(__xludf.DUMMYFUNCTION("IMPORTRANGE(""https://docs.google.com/spreadsheets/d/1-uDff_7J0KD5mKrp0Vvzr7lt3OU09vwQwhkpOPPYv2Y/edit?usp=sharing"",""งบพรบ!AJ64"")"),205781.86)</f>
        <v>205781.86</v>
      </c>
      <c r="O64" s="77">
        <f ca="1">IF(L64&gt;0,N64*100/L64,0)</f>
        <v>83.583208773354997</v>
      </c>
      <c r="P64" s="77">
        <f ca="1">IF(M64&gt;0,N64*100/M64,0)</f>
        <v>83.583208773354997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IFERROR(__xludf.DUMMYFUNCTION("IMPORTRANGE(""https://docs.google.com/spreadsheets/d/1-uDff_7J0KD5mKrp0Vvzr7lt3OU09vwQwhkpOPPYv2Y/edit?usp=sharing"",""งบพรบ!AF64"")"),0)</f>
        <v>0</v>
      </c>
      <c r="M67" s="185">
        <f ca="1">IFERROR(__xludf.DUMMYFUNCTION("IMPORTRANGE(""https://docs.google.com/spreadsheets/d/1-uDff_7J0KD5mKrp0Vvzr7lt3OU09vwQwhkpOPPYv2Y/edit?usp=sharing"",""งบพรบ!AI64"")"),0)</f>
        <v>0</v>
      </c>
      <c r="N67" s="185">
        <f ca="1">IFERROR(__xludf.DUMMYFUNCTION("IMPORTRANGE(""https://docs.google.com/spreadsheets/d/1-uDff_7J0KD5mKrp0Vvzr7lt3OU09vwQwhkpOPPYv2Y/edit?usp=sharing"",""งบพรบ!AK64"")"),0)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1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42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90000</v>
      </c>
      <c r="M72" s="266">
        <f ca="1">M73+M74</f>
        <v>90000</v>
      </c>
      <c r="N72" s="266">
        <f ca="1">N73+N74</f>
        <v>64000</v>
      </c>
      <c r="O72" s="266">
        <f ca="1">IF(L72&gt;0,N72*100/L72,0)</f>
        <v>71.111111111111114</v>
      </c>
      <c r="P72" s="266">
        <f ca="1">IF(M72&gt;0,N72*100/M72,0)</f>
        <v>71.111111111111114</v>
      </c>
      <c r="Q72" s="266">
        <f ca="1">Q73+Q74</f>
        <v>459740</v>
      </c>
      <c r="R72" s="266">
        <f ca="1">R73+R74</f>
        <v>459740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90000</v>
      </c>
      <c r="M74" s="77">
        <f ca="1">M77+M80</f>
        <v>90000</v>
      </c>
      <c r="N74" s="77">
        <f ca="1">N77+N80</f>
        <v>64000</v>
      </c>
      <c r="O74" s="77">
        <f ca="1">IF(L74&gt;0,N74*100/L74,0)</f>
        <v>71.111111111111114</v>
      </c>
      <c r="P74" s="77">
        <f ca="1">IF(M74&gt;0,N74*100/M74,0)</f>
        <v>71.111111111111114</v>
      </c>
      <c r="Q74" s="77">
        <f ca="1">Q77+Q80</f>
        <v>459740</v>
      </c>
      <c r="R74" s="77">
        <f ca="1">R77+R80</f>
        <v>459740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90000</v>
      </c>
      <c r="M75" s="77">
        <f ca="1">M76+M77</f>
        <v>90000</v>
      </c>
      <c r="N75" s="77">
        <f ca="1">N76+N77</f>
        <v>64000</v>
      </c>
      <c r="O75" s="77">
        <f ca="1">IF(L75&gt;0,N75*100/L75,0)</f>
        <v>71.111111111111114</v>
      </c>
      <c r="P75" s="77">
        <f ca="1">IF(M75&gt;0,N75*100/M75,0)</f>
        <v>71.111111111111114</v>
      </c>
      <c r="Q75" s="77">
        <f ca="1">Q76+Q77</f>
        <v>459740</v>
      </c>
      <c r="R75" s="77">
        <f ca="1">R76+R77</f>
        <v>459740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IFERROR(__xludf.DUMMYFUNCTION("IMPORTRANGE(""https://docs.google.com/spreadsheets/d/1-uDff_7J0KD5mKrp0Vvzr7lt3OU09vwQwhkpOPPYv2Y/edit?usp=sharing"",""งบพรบ!AM64"")"),90000)</f>
        <v>90000</v>
      </c>
      <c r="M77" s="77">
        <f ca="1">IFERROR(__xludf.DUMMYFUNCTION("IMPORTRANGE(""https://docs.google.com/spreadsheets/d/1-uDff_7J0KD5mKrp0Vvzr7lt3OU09vwQwhkpOPPYv2Y/edit?usp=sharing"",""งบพรบ!AR64"")"),90000)</f>
        <v>90000</v>
      </c>
      <c r="N77" s="77">
        <f ca="1">IFERROR(__xludf.DUMMYFUNCTION("IMPORTRANGE(""https://docs.google.com/spreadsheets/d/1-uDff_7J0KD5mKrp0Vvzr7lt3OU09vwQwhkpOPPYv2Y/edit?usp=sharing"",""งบพรบ!AT64"")"),64000)</f>
        <v>64000</v>
      </c>
      <c r="O77" s="77">
        <f ca="1">IF(L77&gt;0,N77*100/L77,0)</f>
        <v>71.111111111111114</v>
      </c>
      <c r="P77" s="77">
        <f ca="1">IF(M77&gt;0,N77*100/M77,0)</f>
        <v>71.111111111111114</v>
      </c>
      <c r="Q77" s="77">
        <f ca="1">IFERROR(__xludf.DUMMYFUNCTION("IMPORTRANGE(""https://docs.google.com/spreadsheets/d/1ItG2mGa2ceCfYo0BwxsXqNm01IGEUdYcSSLTEv9YCik/edit?usp=sharing"",""เบิกจ่ายกองทุน!AS64"")"),459740)</f>
        <v>459740</v>
      </c>
      <c r="R77" s="77">
        <f ca="1">IFERROR(__xludf.DUMMYFUNCTION("IMPORTRANGE(""https://docs.google.com/spreadsheets/d/1ItG2mGa2ceCfYo0BwxsXqNm01IGEUdYcSSLTEv9YCik/edit?usp=sharing"",""เบิกจ่ายกองทุน!AT64"")"),459740)</f>
        <v>459740</v>
      </c>
      <c r="S77" s="77">
        <f ca="1">IFERROR(__xludf.DUMMYFUNCTION("IMPORTRANGE(""https://docs.google.com/spreadsheets/d/1ItG2mGa2ceCfYo0BwxsXqNm01IGEUdYcSSLTEv9YCik/edit?usp=sharing"",""เบิกจ่ายกองทุน!AU64"")"),0)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IFERROR(__xludf.DUMMYFUNCTION("IMPORTRANGE(""https://docs.google.com/spreadsheets/d/1-uDff_7J0KD5mKrp0Vvzr7lt3OU09vwQwhkpOPPYv2Y/edit?usp=sharing"",""งบพรบ!AP64"")"),0)</f>
        <v>0</v>
      </c>
      <c r="M80" s="77">
        <f ca="1">IFERROR(__xludf.DUMMYFUNCTION("IMPORTRANGE(""https://docs.google.com/spreadsheets/d/1-uDff_7J0KD5mKrp0Vvzr7lt3OU09vwQwhkpOPPYv2Y/edit?usp=sharing"",""งบพรบ!AS64"")"),0)</f>
        <v>0</v>
      </c>
      <c r="N80" s="77">
        <f ca="1">IFERROR(__xludf.DUMMYFUNCTION("IMPORTRANGE(""https://docs.google.com/spreadsheets/d/1-uDff_7J0KD5mKrp0Vvzr7lt3OU09vwQwhkpOPPYv2Y/edit?usp=sharing"",""งบพรบ!AU64"")"),0)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1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42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IFERROR(__xludf.DUMMYFUNCTION("IMPORTRANGE(""https://docs.google.com/spreadsheets/d/1eHaY18a8A9IcSdp1K8H6x8fbOy06t2VsZHhMHf-1x7Y/edit?usp=sharing"",""แผน!H64"")"),0)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IFERROR(__xludf.DUMMYFUNCTION("IMPORTRANGE(""https://docs.google.com/spreadsheets/d/1eHaY18a8A9IcSdp1K8H6x8fbOy06t2VsZHhMHf-1x7Y/edit?usp=sharing"",""แผน!I64"")"),0)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IFERROR(__xludf.DUMMYFUNCTION("IMPORTRANGE(""https://docs.google.com/spreadsheets/d/1eHaY18a8A9IcSdp1K8H6x8fbOy06t2VsZHhMHf-1x7Y/edit?usp=sharing"",""แผน!F64"")"),1)</f>
        <v>1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IFERROR(__xludf.DUMMYFUNCTION("IMPORTRANGE(""https://docs.google.com/spreadsheets/d/1eHaY18a8A9IcSdp1K8H6x8fbOy06t2VsZHhMHf-1x7Y/edit?usp=sharing"",""แผน!G64"")"),42)</f>
        <v>42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IFERROR(__xludf.DUMMYFUNCTION("IMPORTRANGE(""https://docs.google.com/spreadsheets/d/1eHaY18a8A9IcSdp1K8H6x8fbOy06t2VsZHhMHf-1x7Y/edit?usp=sharing"",""แผน!D64"")"),0)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IFERROR(__xludf.DUMMYFUNCTION("IMPORTRANGE(""https://docs.google.com/spreadsheets/d/1eHaY18a8A9IcSdp1K8H6x8fbOy06t2VsZHhMHf-1x7Y/edit?usp=sharing"",""แผน!E64"")"),0)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IFERROR(__xludf.DUMMYFUNCTION("IMPORTRANGE(""https://docs.google.com/spreadsheets/d/1eHaY18a8A9IcSdp1K8H6x8fbOy06t2VsZHhMHf-1x7Y/edit?usp=sharing"",""แผน!J64"")"),1)</f>
        <v>1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IFERROR(__xludf.DUMMYFUNCTION("IMPORTRANGE(""https://docs.google.com/spreadsheets/d/1-uDff_7J0KD5mKrp0Vvzr7lt3OU09vwQwhkpOPPYv2Y/edit?usp=sharing"",""งบพรบ!AW64"")"),0)</f>
        <v>0</v>
      </c>
      <c r="M99" s="77">
        <f ca="1">IFERROR(__xludf.DUMMYFUNCTION("IMPORTRANGE(""https://docs.google.com/spreadsheets/d/1-uDff_7J0KD5mKrp0Vvzr7lt3OU09vwQwhkpOPPYv2Y/edit?usp=sharing"",""งบพรบ!BB64"")"),0)</f>
        <v>0</v>
      </c>
      <c r="N99" s="77">
        <f ca="1">IFERROR(__xludf.DUMMYFUNCTION("IMPORTRANGE(""https://docs.google.com/spreadsheets/d/1-uDff_7J0KD5mKrp0Vvzr7lt3OU09vwQwhkpOPPYv2Y/edit?usp=sharing"",""งบพรบ!BD64"")"),0)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IFERROR(__xludf.DUMMYFUNCTION("IMPORTRANGE(""https://docs.google.com/spreadsheets/d/1ItG2mGa2ceCfYo0BwxsXqNm01IGEUdYcSSLTEv9YCik/edit?usp=sharing"",""เบิกจ่ายกองทุน!AD64"")"),0)</f>
        <v>0</v>
      </c>
      <c r="R99" s="77">
        <f ca="1">IFERROR(__xludf.DUMMYFUNCTION("IMPORTRANGE(""https://docs.google.com/spreadsheets/d/1ItG2mGa2ceCfYo0BwxsXqNm01IGEUdYcSSLTEv9YCik/edit?usp=sharing"",""เบิกจ่ายกองทุน!AE64"")"),0)</f>
        <v>0</v>
      </c>
      <c r="S99" s="77">
        <f ca="1">IFERROR(__xludf.DUMMYFUNCTION("IMPORTRANGE(""https://docs.google.com/spreadsheets/d/1ItG2mGa2ceCfYo0BwxsXqNm01IGEUdYcSSLTEv9YCik/edit?usp=sharing"",""เบิกจ่ายกองทุน!AF64"")"),0)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IFERROR(__xludf.DUMMYFUNCTION("IMPORTRANGE(""https://docs.google.com/spreadsheets/d/1-uDff_7J0KD5mKrp0Vvzr7lt3OU09vwQwhkpOPPYv2Y/edit?usp=sharing"",""งบพรบ!AZ64"")"),0)</f>
        <v>0</v>
      </c>
      <c r="M102" s="77">
        <f ca="1">IFERROR(__xludf.DUMMYFUNCTION("IMPORTRANGE(""https://docs.google.com/spreadsheets/d/1-uDff_7J0KD5mKrp0Vvzr7lt3OU09vwQwhkpOPPYv2Y/edit?usp=sharing"",""งบพรบ!BC64"")"),0)</f>
        <v>0</v>
      </c>
      <c r="N102" s="77">
        <f ca="1">IFERROR(__xludf.DUMMYFUNCTION("IMPORTRANGE(""https://docs.google.com/spreadsheets/d/1-uDff_7J0KD5mKrp0Vvzr7lt3OU09vwQwhkpOPPYv2Y/edit?usp=sharing"",""งบพรบ!BE64"")"),0)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IFERROR(__xludf.DUMMYFUNCTION("IMPORTRANGE(""https://docs.google.com/spreadsheets/d/1eHaY18a8A9IcSdp1K8H6x8fbOy06t2VsZHhMHf-1x7Y/edit?usp=sharing"",""แผน!N64"")"),0)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IFERROR(__xludf.DUMMYFUNCTION("IMPORTRANGE(""https://docs.google.com/spreadsheets/d/1eHaY18a8A9IcSdp1K8H6x8fbOy06t2VsZHhMHf-1x7Y/edit?usp=sharing"",""แผน!O64"")"),0)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IFERROR(__xludf.DUMMYFUNCTION("IMPORTRANGE(""https://docs.google.com/spreadsheets/d/1eHaY18a8A9IcSdp1K8H6x8fbOy06t2VsZHhMHf-1x7Y/edit?usp=sharing"",""แผน!R64"")"),0)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179" t="s">
        <v>51</v>
      </c>
      <c r="B115" s="672"/>
      <c r="C115" s="673"/>
      <c r="D115" s="672"/>
      <c r="E115" s="672"/>
      <c r="F115" s="672"/>
      <c r="G115" s="672"/>
      <c r="H115" s="672"/>
      <c r="I115" s="675"/>
      <c r="J115" s="675"/>
      <c r="K115" s="676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6"/>
      <c r="H116" s="256"/>
      <c r="I116" s="258">
        <f ca="1">I127</f>
        <v>70</v>
      </c>
      <c r="J116" s="258">
        <f>J127</f>
        <v>70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346680</v>
      </c>
      <c r="R117" s="266">
        <f ca="1">R118+R119</f>
        <v>346680</v>
      </c>
      <c r="S117" s="266">
        <f ca="1">S118+S119</f>
        <v>191412.58</v>
      </c>
      <c r="T117" s="266">
        <f ca="1">IF(Q117&gt;0,S117*100/Q117,0)</f>
        <v>55.213043729087346</v>
      </c>
      <c r="U117" s="266">
        <f ca="1">IF(R117&gt;0,S117*100/R117,0)</f>
        <v>55.213043729087346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346680</v>
      </c>
      <c r="R119" s="77">
        <f ca="1">R122+R125</f>
        <v>346680</v>
      </c>
      <c r="S119" s="77">
        <f ca="1">S122+S125</f>
        <v>191412.58</v>
      </c>
      <c r="T119" s="77">
        <f ca="1">IF(Q119&gt;0,S119*100/Q119,0)</f>
        <v>55.213043729087346</v>
      </c>
      <c r="U119" s="77">
        <f ca="1">IF(R119&gt;0,S119*100/R119,0)</f>
        <v>55.213043729087346</v>
      </c>
    </row>
    <row r="120" spans="1:21" ht="18.75" x14ac:dyDescent="0.25">
      <c r="A120" s="259"/>
      <c r="B120" s="260"/>
      <c r="C120" s="260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346680</v>
      </c>
      <c r="R120" s="77">
        <f ca="1">R121+R122</f>
        <v>346680</v>
      </c>
      <c r="S120" s="77">
        <f ca="1">S121+S122</f>
        <v>191412.58</v>
      </c>
      <c r="T120" s="77">
        <f ca="1">IF(Q120&gt;0,S120*100/Q120,0)</f>
        <v>55.213043729087346</v>
      </c>
      <c r="U120" s="77">
        <f ca="1">IF(R120&gt;0,S120*100/R120,0)</f>
        <v>55.213043729087346</v>
      </c>
    </row>
    <row r="121" spans="1:21" ht="18.75" hidden="1" x14ac:dyDescent="0.25">
      <c r="A121" s="259"/>
      <c r="B121" s="260"/>
      <c r="C121" s="260"/>
      <c r="D121" s="260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260"/>
      <c r="D122" s="260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IFERROR(__xludf.DUMMYFUNCTION("IMPORTRANGE(""https://docs.google.com/spreadsheets/d/1-uDff_7J0KD5mKrp0Vvzr7lt3OU09vwQwhkpOPPYv2Y/edit?usp=sharing"",""งบพรบ!BG64"")"),0)</f>
        <v>0</v>
      </c>
      <c r="M122" s="77">
        <f ca="1">IFERROR(__xludf.DUMMYFUNCTION("IMPORTRANGE(""https://docs.google.com/spreadsheets/d/1-uDff_7J0KD5mKrp0Vvzr7lt3OU09vwQwhkpOPPYv2Y/edit?usp=sharing"",""งบพรบ!BL64"")"),0)</f>
        <v>0</v>
      </c>
      <c r="N122" s="77">
        <f ca="1">IFERROR(__xludf.DUMMYFUNCTION("IMPORTRANGE(""https://docs.google.com/spreadsheets/d/1-uDff_7J0KD5mKrp0Vvzr7lt3OU09vwQwhkpOPPYv2Y/edit?usp=sharing"",""งบพรบ!BN64"")"),0)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IFERROR(__xludf.DUMMYFUNCTION("IMPORTRANGE(""https://docs.google.com/spreadsheets/d/1ItG2mGa2ceCfYo0BwxsXqNm01IGEUdYcSSLTEv9YCik/edit?usp=sharing"",""เบิกจ่ายกองทุน!R64"")"),346680)</f>
        <v>346680</v>
      </c>
      <c r="R122" s="77">
        <f ca="1">IFERROR(__xludf.DUMMYFUNCTION("IMPORTRANGE(""https://docs.google.com/spreadsheets/d/1ItG2mGa2ceCfYo0BwxsXqNm01IGEUdYcSSLTEv9YCik/edit?usp=sharing"",""เบิกจ่ายกองทุน!S64"")"),346680)</f>
        <v>346680</v>
      </c>
      <c r="S122" s="77">
        <f ca="1">IFERROR(__xludf.DUMMYFUNCTION("IMPORTRANGE(""https://docs.google.com/spreadsheets/d/1ItG2mGa2ceCfYo0BwxsXqNm01IGEUdYcSSLTEv9YCik/edit?usp=sharing"",""เบิกจ่ายกองทุน!T64"")"),191412.58)</f>
        <v>191412.58</v>
      </c>
      <c r="T122" s="77">
        <f ca="1">IF(Q122&gt;0,S122*100/Q122,0)</f>
        <v>55.213043729087346</v>
      </c>
      <c r="U122" s="77">
        <f ca="1">IF(R122&gt;0,S122*100/R122,0)</f>
        <v>55.213043729087346</v>
      </c>
    </row>
    <row r="123" spans="1:21" ht="18.75" x14ac:dyDescent="0.25">
      <c r="A123" s="259"/>
      <c r="B123" s="260"/>
      <c r="C123" s="260"/>
      <c r="D123" s="272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260"/>
      <c r="D124" s="260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IFERROR(__xludf.DUMMYFUNCTION("IMPORTRANGE(""https://docs.google.com/spreadsheets/d/1-uDff_7J0KD5mKrp0Vvzr7lt3OU09vwQwhkpOPPYv2Y/edit?usp=sharing"",""งบพรบ!BJ64"")"),0)</f>
        <v>0</v>
      </c>
      <c r="M125" s="77">
        <f ca="1">IFERROR(__xludf.DUMMYFUNCTION("IMPORTRANGE(""https://docs.google.com/spreadsheets/d/1-uDff_7J0KD5mKrp0Vvzr7lt3OU09vwQwhkpOPPYv2Y/edit?usp=sharing"",""งบพรบ!BM64"")"),0)</f>
        <v>0</v>
      </c>
      <c r="N125" s="77">
        <f ca="1">IFERROR(__xludf.DUMMYFUNCTION("IMPORTRANGE(""https://docs.google.com/spreadsheets/d/1-uDff_7J0KD5mKrp0Vvzr7lt3OU09vwQwhkpOPPYv2Y/edit?usp=sharing"",""งบพรบ!BO64"")"),0)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980"/>
      <c r="B126" s="764"/>
      <c r="C126" s="971" t="s">
        <v>18</v>
      </c>
      <c r="D126" s="1184" t="s">
        <v>38</v>
      </c>
      <c r="E126" s="1183"/>
      <c r="F126" s="1183"/>
      <c r="G126" s="1182"/>
      <c r="H126" s="1181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IFERROR(__xludf.DUMMYFUNCTION("IMPORTRANGE(""https://docs.google.com/spreadsheets/d/1eHaY18a8A9IcSdp1K8H6x8fbOy06t2VsZHhMHf-1x7Y/edit?usp=sharing"",""แผน!FF64"")"),70)</f>
        <v>70</v>
      </c>
      <c r="J127" s="296">
        <v>70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IFERROR(__xludf.DUMMYFUNCTION("IMPORTRANGE(""https://docs.google.com/spreadsheets/d/1eHaY18a8A9IcSdp1K8H6x8fbOy06t2VsZHhMHf-1x7Y/edit?usp=sharing"",""แผน!FG64"")"),0)</f>
        <v>0</v>
      </c>
      <c r="J128" s="296">
        <v>3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IFERROR(__xludf.DUMMYFUNCTION("IMPORTRANGE(""https://docs.google.com/spreadsheets/d/1eHaY18a8A9IcSdp1K8H6x8fbOy06t2VsZHhMHf-1x7Y/edit?usp=sharing"",""แผน!FH64"")"),30)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IFERROR(__xludf.DUMMYFUNCTION("IMPORTRANGE(""https://docs.google.com/spreadsheets/d/1eHaY18a8A9IcSdp1K8H6x8fbOy06t2VsZHhMHf-1x7Y/edit?usp=sharing"",""แผน!FI64"")"),0)</f>
        <v>0</v>
      </c>
      <c r="J130" s="296">
        <v>3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IFERROR(__xludf.DUMMYFUNCTION("IMPORTRANGE(""https://docs.google.com/spreadsheets/d/1-uDff_7J0KD5mKrp0Vvzr7lt3OU09vwQwhkpOPPYv2Y/edit?usp=sharing"",""งบพรบ!BQ64"")"),0)</f>
        <v>0</v>
      </c>
      <c r="M144" s="77">
        <f ca="1">IFERROR(__xludf.DUMMYFUNCTION("IMPORTRANGE(""https://docs.google.com/spreadsheets/d/1-uDff_7J0KD5mKrp0Vvzr7lt3OU09vwQwhkpOPPYv2Y/edit?usp=sharing"",""งบพรบ!BV64"")"),0)</f>
        <v>0</v>
      </c>
      <c r="N144" s="77">
        <f ca="1">IFERROR(__xludf.DUMMYFUNCTION("IMPORTRANGE(""https://docs.google.com/spreadsheets/d/1-uDff_7J0KD5mKrp0Vvzr7lt3OU09vwQwhkpOPPYv2Y/edit?usp=sharing"",""งบพรบ!BX64"")"),0)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IFERROR(__xludf.DUMMYFUNCTION("IMPORTRANGE(""https://docs.google.com/spreadsheets/d/1ItG2mGa2ceCfYo0BwxsXqNm01IGEUdYcSSLTEv9YCik/edit?usp=sharing"",""เบิกจ่ายกองทุน!BB64"")"),0)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IFERROR(__xludf.DUMMYFUNCTION("IMPORTRANGE(""https://docs.google.com/spreadsheets/d/1ItG2mGa2ceCfYo0BwxsXqNm01IGEUdYcSSLTEv9YCik/edit?usp=sharing"",""เบิกจ่ายกองทุน!BC64"")"),0)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IFERROR(__xludf.DUMMYFUNCTION("IMPORTRANGE(""https://docs.google.com/spreadsheets/d/1ItG2mGa2ceCfYo0BwxsXqNm01IGEUdYcSSLTEv9YCik/edit?usp=sharing"",""เบิกจ่ายกองทุน!BD64"")"),0)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IFERROR(__xludf.DUMMYFUNCTION("IMPORTRANGE(""https://docs.google.com/spreadsheets/d/1-uDff_7J0KD5mKrp0Vvzr7lt3OU09vwQwhkpOPPYv2Y/edit?usp=sharing"",""งบพรบ!BT64"")"),0)</f>
        <v>0</v>
      </c>
      <c r="M147" s="77">
        <f ca="1">IFERROR(__xludf.DUMMYFUNCTION("IMPORTRANGE(""https://docs.google.com/spreadsheets/d/1-uDff_7J0KD5mKrp0Vvzr7lt3OU09vwQwhkpOPPYv2Y/edit?usp=sharing"",""งบพรบ!BW64"")"),0)</f>
        <v>0</v>
      </c>
      <c r="N147" s="77">
        <f ca="1">IFERROR(__xludf.DUMMYFUNCTION("IMPORTRANGE(""https://docs.google.com/spreadsheets/d/1-uDff_7J0KD5mKrp0Vvzr7lt3OU09vwQwhkpOPPYv2Y/edit?usp=sharing"",""งบพรบ!BY64"")"),0)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IFERROR(__xludf.DUMMYFUNCTION("IMPORTRANGE(""https://docs.google.com/spreadsheets/d/1eHaY18a8A9IcSdp1K8H6x8fbOy06t2VsZHhMHf-1x7Y/edit?usp=sharing"",""แผน!U64"")"),0)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IFERROR(__xludf.DUMMYFUNCTION("IMPORTRANGE(""https://docs.google.com/spreadsheets/d/1eHaY18a8A9IcSdp1K8H6x8fbOy06t2VsZHhMHf-1x7Y/edit?usp=sharing"",""แผน!V64"")"),0)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IFERROR(__xludf.DUMMYFUNCTION("IMPORTRANGE(""https://docs.google.com/spreadsheets/d/1eHaY18a8A9IcSdp1K8H6x8fbOy06t2VsZHhMHf-1x7Y/edit?usp=sharing"",""แผน!W64"")"),0)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IFERROR(__xludf.DUMMYFUNCTION("IMPORTRANGE(""https://docs.google.com/spreadsheets/d/1eHaY18a8A9IcSdp1K8H6x8fbOy06t2VsZHhMHf-1x7Y/edit?usp=sharing"",""แผน!X64"")"),0)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IFERROR(__xludf.DUMMYFUNCTION("IMPORTRANGE(""https://docs.google.com/spreadsheets/d/1eHaY18a8A9IcSdp1K8H6x8fbOy06t2VsZHhMHf-1x7Y/edit?usp=sharing"",""แผน!Y64"")"),0)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8490</v>
      </c>
      <c r="N157" s="266">
        <f ca="1">N158+N159</f>
        <v>120</v>
      </c>
      <c r="O157" s="266">
        <f ca="1">IF(L157&gt;0,N157*100/L157,0)</f>
        <v>4</v>
      </c>
      <c r="P157" s="266">
        <f ca="1">IF(M157&gt;0,N157*100/M157,0)</f>
        <v>1.4134275618374559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8490</v>
      </c>
      <c r="N159" s="77">
        <f ca="1">N162+N165</f>
        <v>120</v>
      </c>
      <c r="O159" s="77">
        <f ca="1">IF(L159&gt;0,N159*100/L159,0)</f>
        <v>4</v>
      </c>
      <c r="P159" s="77">
        <f ca="1">IF(M159&gt;0,N159*100/M159,0)</f>
        <v>1.4134275618374559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8490</v>
      </c>
      <c r="N160" s="77">
        <f ca="1">N161+N162</f>
        <v>120</v>
      </c>
      <c r="O160" s="77">
        <f ca="1">IF(L160&gt;0,N160*100/L160,0)</f>
        <v>4</v>
      </c>
      <c r="P160" s="77">
        <f ca="1">IF(M160&gt;0,N160*100/M160,0)</f>
        <v>1.4134275618374559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IFERROR(__xludf.DUMMYFUNCTION("IMPORTRANGE(""https://docs.google.com/spreadsheets/d/1-uDff_7J0KD5mKrp0Vvzr7lt3OU09vwQwhkpOPPYv2Y/edit?usp=sharing"",""งบพรบ!CA64"")"),3000)</f>
        <v>3000</v>
      </c>
      <c r="M162" s="77">
        <f ca="1">IFERROR(__xludf.DUMMYFUNCTION("IMPORTRANGE(""https://docs.google.com/spreadsheets/d/1-uDff_7J0KD5mKrp0Vvzr7lt3OU09vwQwhkpOPPYv2Y/edit?usp=sharing"",""งบพรบ!CF64"")"),8490)</f>
        <v>8490</v>
      </c>
      <c r="N162" s="77">
        <f ca="1">IFERROR(__xludf.DUMMYFUNCTION("IMPORTRANGE(""https://docs.google.com/spreadsheets/d/1-uDff_7J0KD5mKrp0Vvzr7lt3OU09vwQwhkpOPPYv2Y/edit?usp=sharing"",""งบพรบ!CH64"")"),120)</f>
        <v>120</v>
      </c>
      <c r="O162" s="77">
        <f ca="1">IF(L162&gt;0,N162*100/L162,0)</f>
        <v>4</v>
      </c>
      <c r="P162" s="77">
        <f ca="1">IF(M162&gt;0,N162*100/M162,0)</f>
        <v>1.4134275618374559</v>
      </c>
      <c r="Q162" s="77">
        <f ca="1">IFERROR(__xludf.DUMMYFUNCTION("IMPORTRANGE(""https://docs.google.com/spreadsheets/d/1ItG2mGa2ceCfYo0BwxsXqNm01IGEUdYcSSLTEv9YCik/edit?usp=sharing"",""เบิกจ่ายกองทุน!AG64"")"),0)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IFERROR(__xludf.DUMMYFUNCTION("IMPORTRANGE(""https://docs.google.com/spreadsheets/d/1ItG2mGa2ceCfYo0BwxsXqNm01IGEUdYcSSLTEv9YCik/edit?usp=sharing"",""เบิกจ่ายกองทุน!AH64"")"),0)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IFERROR(__xludf.DUMMYFUNCTION("IMPORTRANGE(""https://docs.google.com/spreadsheets/d/1ItG2mGa2ceCfYo0BwxsXqNm01IGEUdYcSSLTEv9YCik/edit?usp=sharing"",""เบิกจ่ายกองทุน!AI64"")"),0)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IFERROR(__xludf.DUMMYFUNCTION("IMPORTRANGE(""https://docs.google.com/spreadsheets/d/1-uDff_7J0KD5mKrp0Vvzr7lt3OU09vwQwhkpOPPYv2Y/edit?usp=sharing"",""งบพรบ!CD64"")"),0)</f>
        <v>0</v>
      </c>
      <c r="M165" s="77">
        <f ca="1">IFERROR(__xludf.DUMMYFUNCTION("IMPORTRANGE(""https://docs.google.com/spreadsheets/d/1-uDff_7J0KD5mKrp0Vvzr7lt3OU09vwQwhkpOPPYv2Y/edit?usp=sharing"",""งบพรบ!CG64"")"),0)</f>
        <v>0</v>
      </c>
      <c r="N165" s="77">
        <f ca="1">IFERROR(__xludf.DUMMYFUNCTION("IMPORTRANGE(""https://docs.google.com/spreadsheets/d/1-uDff_7J0KD5mKrp0Vvzr7lt3OU09vwQwhkpOPPYv2Y/edit?usp=sharing"",""งบพรบ!CI64"")"),0)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IFERROR(__xludf.DUMMYFUNCTION("IMPORTRANGE(""https://docs.google.com/spreadsheets/d/1eHaY18a8A9IcSdp1K8H6x8fbOy06t2VsZHhMHf-1x7Y/edit?usp=sharing"",""แผน!Z64"")"),15)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29430</v>
      </c>
      <c r="N173" s="266">
        <f ca="1">N174+N175</f>
        <v>28240</v>
      </c>
      <c r="O173" s="266">
        <f ca="1">IF(L173&gt;0,N173*100/L173,0)</f>
        <v>144.15518121490555</v>
      </c>
      <c r="P173" s="266">
        <f ca="1">IF(M173&gt;0,N173*100/M173,0)</f>
        <v>95.956506965681271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29430</v>
      </c>
      <c r="N175" s="77">
        <f ca="1">N178+N181</f>
        <v>28240</v>
      </c>
      <c r="O175" s="77">
        <f ca="1">IF(L175&gt;0,N175*100/L175,0)</f>
        <v>144.15518121490555</v>
      </c>
      <c r="P175" s="77">
        <f ca="1">IF(M175&gt;0,N175*100/M175,0)</f>
        <v>95.956506965681271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29430</v>
      </c>
      <c r="N176" s="77">
        <f ca="1">N177+N178</f>
        <v>28240</v>
      </c>
      <c r="O176" s="77">
        <f ca="1">IF(L176&gt;0,N176*100/L176,0)</f>
        <v>144.15518121490555</v>
      </c>
      <c r="P176" s="77">
        <f ca="1">IF(M176&gt;0,N176*100/M176,0)</f>
        <v>95.956506965681271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IFERROR(__xludf.DUMMYFUNCTION("IMPORTRANGE(""https://docs.google.com/spreadsheets/d/1-uDff_7J0KD5mKrp0Vvzr7lt3OU09vwQwhkpOPPYv2Y/edit?usp=sharing"",""งบพรบ!CK64"")"),19590)</f>
        <v>19590</v>
      </c>
      <c r="M178" s="77">
        <f ca="1">IFERROR(__xludf.DUMMYFUNCTION("IMPORTRANGE(""https://docs.google.com/spreadsheets/d/1-uDff_7J0KD5mKrp0Vvzr7lt3OU09vwQwhkpOPPYv2Y/edit?usp=sharing"",""งบพรบ!CP64"")"),29430)</f>
        <v>29430</v>
      </c>
      <c r="N178" s="77">
        <f ca="1">IFERROR(__xludf.DUMMYFUNCTION("IMPORTRANGE(""https://docs.google.com/spreadsheets/d/1-uDff_7J0KD5mKrp0Vvzr7lt3OU09vwQwhkpOPPYv2Y/edit?usp=sharing"",""งบพรบ!CR64"")"),28240)</f>
        <v>28240</v>
      </c>
      <c r="O178" s="77">
        <f ca="1">IF(L178&gt;0,N178*100/L178,0)</f>
        <v>144.15518121490555</v>
      </c>
      <c r="P178" s="77">
        <f ca="1">IF(M178&gt;0,N178*100/M178,0)</f>
        <v>95.956506965681271</v>
      </c>
      <c r="Q178" s="77">
        <f ca="1">IFERROR(__xludf.DUMMYFUNCTION("IMPORTRANGE(""https://docs.google.com/spreadsheets/d/1ItG2mGa2ceCfYo0BwxsXqNm01IGEUdYcSSLTEv9YCik/edit?usp=sharing"",""เบิกจ่ายกองทุน!BE64"")"),0)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IFERROR(__xludf.DUMMYFUNCTION("IMPORTRANGE(""https://docs.google.com/spreadsheets/d/1ItG2mGa2ceCfYo0BwxsXqNm01IGEUdYcSSLTEv9YCik/edit?usp=sharing"",""เบิกจ่ายกองทุน!BF64"")"),0)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IFERROR(__xludf.DUMMYFUNCTION("IMPORTRANGE(""https://docs.google.com/spreadsheets/d/1ItG2mGa2ceCfYo0BwxsXqNm01IGEUdYcSSLTEv9YCik/edit?usp=sharing"",""เบิกจ่ายกองทุน!BG64"")"),0)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IFERROR(__xludf.DUMMYFUNCTION("IMPORTRANGE(""https://docs.google.com/spreadsheets/d/1-uDff_7J0KD5mKrp0Vvzr7lt3OU09vwQwhkpOPPYv2Y/edit?usp=sharing"",""งบพรบ!CN64"")"),0)</f>
        <v>0</v>
      </c>
      <c r="M181" s="77">
        <f ca="1">IFERROR(__xludf.DUMMYFUNCTION("IMPORTRANGE(""https://docs.google.com/spreadsheets/d/1-uDff_7J0KD5mKrp0Vvzr7lt3OU09vwQwhkpOPPYv2Y/edit?usp=sharing"",""งบพรบ!CQ64"")"),0)</f>
        <v>0</v>
      </c>
      <c r="N181" s="77">
        <f ca="1">IFERROR(__xludf.DUMMYFUNCTION("IMPORTRANGE(""https://docs.google.com/spreadsheets/d/1-uDff_7J0KD5mKrp0Vvzr7lt3OU09vwQwhkpOPPYv2Y/edit?usp=sharing"",""งบพรบ!CS64"")"),0)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IFERROR(__xludf.DUMMYFUNCTION("IMPORTRANGE(""https://docs.google.com/spreadsheets/d/1eHaY18a8A9IcSdp1K8H6x8fbOy06t2VsZHhMHf-1x7Y/edit?usp=sharing"",""แผน!AA64"")"),7)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40</v>
      </c>
      <c r="J185" s="1165">
        <f>J230+J231</f>
        <v>40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513700</v>
      </c>
      <c r="M186" s="266">
        <f ca="1">M187+M188</f>
        <v>650945</v>
      </c>
      <c r="N186" s="266">
        <f ca="1">N187+N188</f>
        <v>564497.71</v>
      </c>
      <c r="O186" s="266">
        <f ca="1">IF(L186&gt;0,N186*100/L186,0)</f>
        <v>109.88859451041463</v>
      </c>
      <c r="P186" s="266">
        <f ca="1">IF(M186&gt;0,N186*100/M186,0)</f>
        <v>86.719724400679013</v>
      </c>
      <c r="Q186" s="266">
        <f ca="1">Q187+Q188</f>
        <v>84000</v>
      </c>
      <c r="R186" s="266">
        <f ca="1">R187+R188</f>
        <v>84000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513700</v>
      </c>
      <c r="M188" s="77">
        <f ca="1">M191+M194</f>
        <v>650945</v>
      </c>
      <c r="N188" s="77">
        <f ca="1">N191+N194</f>
        <v>564497.71</v>
      </c>
      <c r="O188" s="77">
        <f ca="1">IF(L188&gt;0,N188*100/L188,0)</f>
        <v>109.88859451041463</v>
      </c>
      <c r="P188" s="77">
        <f ca="1">IF(M188&gt;0,N188*100/M188,0)</f>
        <v>86.719724400679013</v>
      </c>
      <c r="Q188" s="77">
        <f ca="1">Q191+Q194</f>
        <v>84000</v>
      </c>
      <c r="R188" s="77">
        <f ca="1">R191+R194</f>
        <v>84000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513700</v>
      </c>
      <c r="M189" s="77">
        <f ca="1">M190+M191</f>
        <v>650945</v>
      </c>
      <c r="N189" s="77">
        <f ca="1">N190+N191</f>
        <v>564497.71</v>
      </c>
      <c r="O189" s="77">
        <f ca="1">IF(L189&gt;0,N189*100/L189,0)</f>
        <v>109.88859451041463</v>
      </c>
      <c r="P189" s="77">
        <f ca="1">IF(M189&gt;0,N189*100/M189,0)</f>
        <v>86.719724400679013</v>
      </c>
      <c r="Q189" s="77">
        <f ca="1">Q190+Q191</f>
        <v>84000</v>
      </c>
      <c r="R189" s="77">
        <f ca="1">R190+R191</f>
        <v>84000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IFERROR(__xludf.DUMMYFUNCTION("IMPORTRANGE(""https://docs.google.com/spreadsheets/d/1-uDff_7J0KD5mKrp0Vvzr7lt3OU09vwQwhkpOPPYv2Y/edit?usp=sharing"",""งบพรบ!CU64"")"),513700)</f>
        <v>513700</v>
      </c>
      <c r="M191" s="77">
        <f ca="1">IFERROR(__xludf.DUMMYFUNCTION("IMPORTRANGE(""https://docs.google.com/spreadsheets/d/1-uDff_7J0KD5mKrp0Vvzr7lt3OU09vwQwhkpOPPYv2Y/edit?usp=sharing"",""งบพรบ!CZ64"")"),650945)</f>
        <v>650945</v>
      </c>
      <c r="N191" s="77">
        <f ca="1">IFERROR(__xludf.DUMMYFUNCTION("IMPORTRANGE(""https://docs.google.com/spreadsheets/d/1-uDff_7J0KD5mKrp0Vvzr7lt3OU09vwQwhkpOPPYv2Y/edit?usp=sharing"",""งบพรบ!DB64"")"),564497.71)</f>
        <v>564497.71</v>
      </c>
      <c r="O191" s="77">
        <f ca="1">IF(L191&gt;0,N191*100/L191,0)</f>
        <v>109.88859451041463</v>
      </c>
      <c r="P191" s="77">
        <f ca="1">IF(M191&gt;0,N191*100/M191,0)</f>
        <v>86.719724400679013</v>
      </c>
      <c r="Q191" s="77">
        <f ca="1">IFERROR(__xludf.DUMMYFUNCTION("IMPORTRANGE(""https://docs.google.com/spreadsheets/d/1ItG2mGa2ceCfYo0BwxsXqNm01IGEUdYcSSLTEv9YCik/edit?usp=sharing"",""เบิกจ่ายกองทุน!AV64"")"),84000)</f>
        <v>84000</v>
      </c>
      <c r="R191" s="77">
        <f ca="1">IFERROR(__xludf.DUMMYFUNCTION("IMPORTRANGE(""https://docs.google.com/spreadsheets/d/1ItG2mGa2ceCfYo0BwxsXqNm01IGEUdYcSSLTEv9YCik/edit?usp=sharing"",""เบิกจ่ายกองทุน!AW64"")"),84000)</f>
        <v>84000</v>
      </c>
      <c r="S191" s="77">
        <f ca="1">IFERROR(__xludf.DUMMYFUNCTION("IMPORTRANGE(""https://docs.google.com/spreadsheets/d/1ItG2mGa2ceCfYo0BwxsXqNm01IGEUdYcSSLTEv9YCik/edit?usp=sharing"",""เบิกจ่ายกองทุน!AX64"")"),0)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IFERROR(__xludf.DUMMYFUNCTION("IMPORTRANGE(""https://docs.google.com/spreadsheets/d/1-uDff_7J0KD5mKrp0Vvzr7lt3OU09vwQwhkpOPPYv2Y/edit?usp=sharing"",""งบพรบ!CX64"")"),0)</f>
        <v>0</v>
      </c>
      <c r="M194" s="77">
        <f ca="1">IFERROR(__xludf.DUMMYFUNCTION("IMPORTRANGE(""https://docs.google.com/spreadsheets/d/1-uDff_7J0KD5mKrp0Vvzr7lt3OU09vwQwhkpOPPYv2Y/edit?usp=sharing"",""งบพรบ!DA64"")"),0)</f>
        <v>0</v>
      </c>
      <c r="N194" s="77">
        <f ca="1">IFERROR(__xludf.DUMMYFUNCTION("IMPORTRANGE(""https://docs.google.com/spreadsheets/d/1-uDff_7J0KD5mKrp0Vvzr7lt3OU09vwQwhkpOPPYv2Y/edit?usp=sharing"",""งบพรบ!DC64"")"),0)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IFERROR(__xludf.DUMMYFUNCTION("IMPORTRANGE(""https://docs.google.com/spreadsheets/d/1eHaY18a8A9IcSdp1K8H6x8fbOy06t2VsZHhMHf-1x7Y/edit?usp=sharing"",""แผน!AB64"")"),6000)</f>
        <v>6000</v>
      </c>
      <c r="M196" s="90"/>
      <c r="N196" s="959">
        <v>1360</v>
      </c>
      <c r="O196" s="266">
        <f ca="1">IF(L196&gt;0,N196*100/L196,0)</f>
        <v>22.666666666666668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IFERROR(__xludf.DUMMYFUNCTION("IMPORTRANGE(""https://docs.google.com/spreadsheets/d/1eHaY18a8A9IcSdp1K8H6x8fbOy06t2VsZHhMHf-1x7Y/edit?usp=sharing"",""แผน!AE64"")"),4)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56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56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10000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IFERROR(__xludf.DUMMYFUNCTION("IMPORTRANGE(""https://docs.google.com/spreadsheets/d/1eHaY18a8A9IcSdp1K8H6x8fbOy06t2VsZHhMHf-1x7Y/edit?usp=sharing"",""แผน!AG64"")"),2000)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IFERROR(__xludf.DUMMYFUNCTION("IMPORTRANGE(""https://docs.google.com/spreadsheets/d/1eHaY18a8A9IcSdp1K8H6x8fbOy06t2VsZHhMHf-1x7Y/edit?usp=sharing"",""แผน!AH64"")"),0)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IFERROR(__xludf.DUMMYFUNCTION("IMPORTRANGE(""https://docs.google.com/spreadsheets/d/1eHaY18a8A9IcSdp1K8H6x8fbOy06t2VsZHhMHf-1x7Y/edit?usp=sharing"",""แผน!AI64"")"),0)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IFERROR(__xludf.DUMMYFUNCTION("IMPORTRANGE(""https://docs.google.com/spreadsheets/d/1eHaY18a8A9IcSdp1K8H6x8fbOy06t2VsZHhMHf-1x7Y/edit?usp=sharing"",""แผน!LV64"")"),0)</f>
        <v>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IFERROR(__xludf.DUMMYFUNCTION("IMPORTRANGE(""https://docs.google.com/spreadsheets/d/1eHaY18a8A9IcSdp1K8H6x8fbOy06t2VsZHhMHf-1x7Y/edit?usp=sharing"",""แผน!AJ64"")"),8000)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IFERROR(__xludf.DUMMYFUNCTION("IMPORTRANGE(""https://docs.google.com/spreadsheets/d/1eHaY18a8A9IcSdp1K8H6x8fbOy06t2VsZHhMHf-1x7Y/edit?usp=sharing"",""แผน!AK64"")"),0)</f>
        <v>0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IFERROR(__xludf.DUMMYFUNCTION("IMPORTRANGE(""https://docs.google.com/spreadsheets/d/1eHaY18a8A9IcSdp1K8H6x8fbOy06t2VsZHhMHf-1x7Y/edit?usp=sharing"",""แผน!JX64"")"),2)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IFERROR(__xludf.DUMMYFUNCTION("IMPORTRANGE(""https://docs.google.com/spreadsheets/d/1eHaY18a8A9IcSdp1K8H6x8fbOy06t2VsZHhMHf-1x7Y/edit?usp=sharing"",""แผน!JY64"")"),0)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IFERROR(__xludf.DUMMYFUNCTION("IMPORTRANGE(""https://docs.google.com/spreadsheets/d/1eHaY18a8A9IcSdp1K8H6x8fbOy06t2VsZHhMHf-1x7Y/edit?usp=sharing"",""แผน!AM64"")"),0)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IFERROR(__xludf.DUMMYFUNCTION("IMPORTRANGE(""https://docs.google.com/spreadsheets/d/1eHaY18a8A9IcSdp1K8H6x8fbOy06t2VsZHhMHf-1x7Y/edit?usp=sharing"",""แผน!AN64"")"),0)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IFERROR(__xludf.DUMMYFUNCTION("IMPORTRANGE(""https://docs.google.com/spreadsheets/d/1eHaY18a8A9IcSdp1K8H6x8fbOy06t2VsZHhMHf-1x7Y/edit?usp=sharing"",""แผน!AO64"")"),0)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IFERROR(__xludf.DUMMYFUNCTION("IMPORTRANGE(""https://docs.google.com/spreadsheets/d/1eHaY18a8A9IcSdp1K8H6x8fbOy06t2VsZHhMHf-1x7Y/edit?usp=sharing"",""แผน!LY64"")"),0)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IFERROR(__xludf.DUMMYFUNCTION("IMPORTRANGE(""https://docs.google.com/spreadsheets/d/1eHaY18a8A9IcSdp1K8H6x8fbOy06t2VsZHhMHf-1x7Y/edit?usp=sharing"",""แผน!AP64"")"),0)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IFERROR(__xludf.DUMMYFUNCTION("IMPORTRANGE(""https://docs.google.com/spreadsheets/d/1eHaY18a8A9IcSdp1K8H6x8fbOy06t2VsZHhMHf-1x7Y/edit?usp=sharing"",""แผน!AP64"")"),0)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IFERROR(__xludf.DUMMYFUNCTION("IMPORTRANGE(""https://docs.google.com/spreadsheets/d/1eHaY18a8A9IcSdp1K8H6x8fbOy06t2VsZHhMHf-1x7Y/edit?usp=sharing"",""แผน!AR64"")"),2500)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IFERROR(__xludf.DUMMYFUNCTION("IMPORTRANGE(""https://docs.google.com/spreadsheets/d/1eHaY18a8A9IcSdp1K8H6x8fbOy06t2VsZHhMHf-1x7Y/edit?usp=sharing"",""แผน!AS64"")"),2000)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IFERROR(__xludf.DUMMYFUNCTION("IMPORTRANGE(""https://docs.google.com/spreadsheets/d/1eHaY18a8A9IcSdp1K8H6x8fbOy06t2VsZHhMHf-1x7Y/edit?usp=sharing"",""แผน!AT64"")"),0)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IFERROR(__xludf.DUMMYFUNCTION("IMPORTRANGE(""https://docs.google.com/spreadsheets/d/1eHaY18a8A9IcSdp1K8H6x8fbOy06t2VsZHhMHf-1x7Y/edit?usp=sharing"",""แผน!AV64"")"),20000)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IFERROR(__xludf.DUMMYFUNCTION("IMPORTRANGE(""https://docs.google.com/spreadsheets/d/1eHaY18a8A9IcSdp1K8H6x8fbOy06t2VsZHhMHf-1x7Y/edit?usp=sharing"",""แผน!AV64"")"),20000)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IFERROR(__xludf.DUMMYFUNCTION("IMPORTRANGE(""https://docs.google.com/spreadsheets/d/1eHaY18a8A9IcSdp1K8H6x8fbOy06t2VsZHhMHf-1x7Y/edit?usp=sharing"",""แผน!AU64"")"),0)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947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40</v>
      </c>
      <c r="J231" s="943">
        <f>J242+J253</f>
        <v>40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0"/>
      <c r="C232" s="853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213600</v>
      </c>
      <c r="M232" s="90"/>
      <c r="N232" s="1287">
        <f>N243+N254</f>
        <v>196715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0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11000</v>
      </c>
      <c r="M233" s="90"/>
      <c r="N233" s="80">
        <f>N244+N255</f>
        <v>7115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91000</v>
      </c>
      <c r="M234" s="90"/>
      <c r="N234" s="80">
        <f>N245+N256</f>
        <v>78000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78600</v>
      </c>
      <c r="M235" s="90"/>
      <c r="N235" s="80">
        <f>N246+N257</f>
        <v>78600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33000</v>
      </c>
      <c r="M236" s="90"/>
      <c r="N236" s="80">
        <f>N247+N258</f>
        <v>33000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87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936" t="s">
        <v>35</v>
      </c>
      <c r="I238" s="574">
        <f ca="1">I249+I260</f>
        <v>40</v>
      </c>
      <c r="J238" s="574">
        <f>J249+J260</f>
        <v>40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87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936" t="s">
        <v>35</v>
      </c>
      <c r="I240" s="574">
        <f ca="1">I251+I262</f>
        <v>40</v>
      </c>
      <c r="J240" s="574">
        <f>J251+J262</f>
        <v>40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936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338</v>
      </c>
      <c r="D242" s="375"/>
      <c r="E242" s="375"/>
      <c r="F242" s="375"/>
      <c r="G242" s="376"/>
      <c r="H242" s="377" t="s">
        <v>35</v>
      </c>
      <c r="I242" s="378">
        <f ca="1">I249</f>
        <v>40</v>
      </c>
      <c r="J242" s="378">
        <f>J249</f>
        <v>40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213600</v>
      </c>
      <c r="M243" s="90"/>
      <c r="N243" s="266">
        <f>N244+N245+N246+N247</f>
        <v>196715</v>
      </c>
      <c r="O243" s="266">
        <f ca="1">IF(L243&gt;0,N243*100/L243,0)</f>
        <v>92.095037453183522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IFERROR(__xludf.DUMMYFUNCTION("IMPORTRANGE(""https://docs.google.com/spreadsheets/d/1eHaY18a8A9IcSdp1K8H6x8fbOy06t2VsZHhMHf-1x7Y/edit?usp=sharing"",""แผน!AX64"")"),11000)</f>
        <v>11000</v>
      </c>
      <c r="M244" s="90"/>
      <c r="N244" s="391">
        <v>7115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IFERROR(__xludf.DUMMYFUNCTION("IMPORTRANGE(""https://docs.google.com/spreadsheets/d/1eHaY18a8A9IcSdp1K8H6x8fbOy06t2VsZHhMHf-1x7Y/edit?usp=sharing"",""แผน!AY64"")"),91000)</f>
        <v>91000</v>
      </c>
      <c r="M245" s="90"/>
      <c r="N245" s="391">
        <v>78000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IFERROR(__xludf.DUMMYFUNCTION("IMPORTRANGE(""https://docs.google.com/spreadsheets/d/1eHaY18a8A9IcSdp1K8H6x8fbOy06t2VsZHhMHf-1x7Y/edit?usp=sharing"",""แผน!AZ64"")"),78600)</f>
        <v>78600</v>
      </c>
      <c r="M246" s="90"/>
      <c r="N246" s="391">
        <v>78600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IFERROR(__xludf.DUMMYFUNCTION("IMPORTRANGE(""https://docs.google.com/spreadsheets/d/1eHaY18a8A9IcSdp1K8H6x8fbOy06t2VsZHhMHf-1x7Y/edit?usp=sharing"",""แผน!BA64"")"),33000)</f>
        <v>33000</v>
      </c>
      <c r="M247" s="90"/>
      <c r="N247" s="391">
        <v>33000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IFERROR(__xludf.DUMMYFUNCTION("IMPORTRANGE(""https://docs.google.com/spreadsheets/d/1eHaY18a8A9IcSdp1K8H6x8fbOy06t2VsZHhMHf-1x7Y/edit?usp=sharing"",""แผน!BG64"")"),40)</f>
        <v>40</v>
      </c>
      <c r="J249" s="816">
        <v>40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275" t="s">
        <v>337</v>
      </c>
      <c r="F251" s="765"/>
      <c r="G251" s="767"/>
      <c r="H251" s="768" t="s">
        <v>35</v>
      </c>
      <c r="I251" s="241">
        <f ca="1">IFERROR(__xludf.DUMMYFUNCTION("IMPORTRANGE(""https://docs.google.com/spreadsheets/d/1eHaY18a8A9IcSdp1K8H6x8fbOy06t2VsZHhMHf-1x7Y/edit?usp=sharing"",""แผน!KB64"")"),40)</f>
        <v>40</v>
      </c>
      <c r="J251" s="816">
        <v>40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7" t="s">
        <v>336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IFERROR(__xludf.DUMMYFUNCTION("IMPORTRANGE(""https://docs.google.com/spreadsheets/d/1eHaY18a8A9IcSdp1K8H6x8fbOy06t2VsZHhMHf-1x7Y/edit?usp=sharing"",""แผน!KC64"")"),1)</f>
        <v>1</v>
      </c>
      <c r="J252" s="816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IFERROR(__xludf.DUMMYFUNCTION("IMPORTRANGE(""https://docs.google.com/spreadsheets/d/1eHaY18a8A9IcSdp1K8H6x8fbOy06t2VsZHhMHf-1x7Y/edit?usp=sharing"",""แผน!BB64"")"),0)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IFERROR(__xludf.DUMMYFUNCTION("IMPORTRANGE(""https://docs.google.com/spreadsheets/d/1eHaY18a8A9IcSdp1K8H6x8fbOy06t2VsZHhMHf-1x7Y/edit?usp=sharing"",""แผน!BC64"")"),0)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IFERROR(__xludf.DUMMYFUNCTION("IMPORTRANGE(""https://docs.google.com/spreadsheets/d/1eHaY18a8A9IcSdp1K8H6x8fbOy06t2VsZHhMHf-1x7Y/edit?usp=sharing"",""แผน!BD64"")"),0)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IFERROR(__xludf.DUMMYFUNCTION("IMPORTRANGE(""https://docs.google.com/spreadsheets/d/1eHaY18a8A9IcSdp1K8H6x8fbOy06t2VsZHhMHf-1x7Y/edit?usp=sharing"",""แผน!BE64"")"),0)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IFERROR(__xludf.DUMMYFUNCTION("IMPORTRANGE(""https://docs.google.com/spreadsheets/d/1eHaY18a8A9IcSdp1K8H6x8fbOy06t2VsZHhMHf-1x7Y/edit?usp=sharing"",""แผน!BH64"")"),0)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IFERROR(__xludf.DUMMYFUNCTION("IMPORTRANGE(""https://docs.google.com/spreadsheets/d/1-uDff_7J0KD5mKrp0Vvzr7lt3OU09vwQwhkpOPPYv2Y/edit?usp=sharing"",""งบพรบ!DE64"")"),0)</f>
        <v>0</v>
      </c>
      <c r="M271" s="91">
        <f ca="1">IFERROR(__xludf.DUMMYFUNCTION("IMPORTRANGE(""https://docs.google.com/spreadsheets/d/1-uDff_7J0KD5mKrp0Vvzr7lt3OU09vwQwhkpOPPYv2Y/edit?usp=sharing"",""งบพรบ!DJ64"")"),5000)</f>
        <v>5000</v>
      </c>
      <c r="N271" s="91">
        <f ca="1">IFERROR(__xludf.DUMMYFUNCTION("IMPORTRANGE(""https://docs.google.com/spreadsheets/d/1-uDff_7J0KD5mKrp0Vvzr7lt3OU09vwQwhkpOPPYv2Y/edit?usp=sharing"",""งบพรบ!DL64"")"),5000)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IFERROR(__xludf.DUMMYFUNCTION("IMPORTRANGE(""https://docs.google.com/spreadsheets/d/1ItG2mGa2ceCfYo0BwxsXqNm01IGEUdYcSSLTEv9YCik/edit?usp=sharing"",""เบิกจ่ายกองทุน!AJ64"")"),50660)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IFERROR(__xludf.DUMMYFUNCTION("IMPORTRANGE(""https://docs.google.com/spreadsheets/d/1ItG2mGa2ceCfYo0BwxsXqNm01IGEUdYcSSLTEv9YCik/edit?usp=sharing"",""เบิกจ่ายกองทุน!AK64"")"),50660)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IFERROR(__xludf.DUMMYFUNCTION("IMPORTRANGE(""https://docs.google.com/spreadsheets/d/1ItG2mGa2ceCfYo0BwxsXqNm01IGEUdYcSSLTEv9YCik/edit?usp=sharing"",""เบิกจ่ายกองทุน!AL64"")"),0)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IFERROR(__xludf.DUMMYFUNCTION("IMPORTRANGE(""https://docs.google.com/spreadsheets/d/1-uDff_7J0KD5mKrp0Vvzr7lt3OU09vwQwhkpOPPYv2Y/edit?usp=sharing"",""งบพรบ!DH64"")"),0)</f>
        <v>0</v>
      </c>
      <c r="M274" s="91">
        <f ca="1">IFERROR(__xludf.DUMMYFUNCTION("IMPORTRANGE(""https://docs.google.com/spreadsheets/d/1-uDff_7J0KD5mKrp0Vvzr7lt3OU09vwQwhkpOPPYv2Y/edit?usp=sharing"",""งบพรบ!DK64"")"),0)</f>
        <v>0</v>
      </c>
      <c r="N274" s="91">
        <f ca="1">IFERROR(__xludf.DUMMYFUNCTION("IMPORTRANGE(""https://docs.google.com/spreadsheets/d/1-uDff_7J0KD5mKrp0Vvzr7lt3OU09vwQwhkpOPPYv2Y/edit?usp=sharing"",""งบพรบ!DM64"")"),0)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IFERROR(__xludf.DUMMYFUNCTION("IMPORTRANGE(""https://docs.google.com/spreadsheets/d/1eHaY18a8A9IcSdp1K8H6x8fbOy06t2VsZHhMHf-1x7Y/edit?usp=sharing"",""แผน!EC64"")"),22)</f>
        <v>22</v>
      </c>
      <c r="J276" s="323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x14ac:dyDescent="0.25">
      <c r="A277" s="1347"/>
      <c r="B277" s="649"/>
      <c r="C277" s="649"/>
      <c r="D277" s="1346" t="s">
        <v>116</v>
      </c>
      <c r="E277" s="1345"/>
      <c r="F277" s="1345"/>
      <c r="G277" s="1344"/>
      <c r="H277" s="96" t="s">
        <v>35</v>
      </c>
      <c r="I277" s="651">
        <v>0</v>
      </c>
      <c r="J277" s="651">
        <v>0</v>
      </c>
      <c r="K277" s="1343">
        <v>0</v>
      </c>
      <c r="L277" s="1342"/>
      <c r="M277" s="1341"/>
      <c r="N277" s="1341"/>
      <c r="O277" s="1341"/>
      <c r="P277" s="1341"/>
      <c r="Q277" s="1341"/>
      <c r="R277" s="1341"/>
      <c r="S277" s="1341"/>
      <c r="T277" s="1341"/>
      <c r="U277" s="1341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IFERROR(__xludf.DUMMYFUNCTION("IMPORTRANGE(""https://docs.google.com/spreadsheets/d/1-uDff_7J0KD5mKrp0Vvzr7lt3OU09vwQwhkpOPPYv2Y/edit?usp=sharing"",""งบพรบ!DO64"")"),0)</f>
        <v>0</v>
      </c>
      <c r="M287" s="77">
        <f ca="1">IFERROR(__xludf.DUMMYFUNCTION("IMPORTRANGE(""https://docs.google.com/spreadsheets/d/1-uDff_7J0KD5mKrp0Vvzr7lt3OU09vwQwhkpOPPYv2Y/edit?usp=sharing"",""งบพรบ!DT64"")"),0)</f>
        <v>0</v>
      </c>
      <c r="N287" s="77">
        <f ca="1">IFERROR(__xludf.DUMMYFUNCTION("IMPORTRANGE(""https://docs.google.com/spreadsheets/d/1-uDff_7J0KD5mKrp0Vvzr7lt3OU09vwQwhkpOPPYv2Y/edit?usp=sharing"",""งบพรบ!DV64"")"),0)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IFERROR(__xludf.DUMMYFUNCTION("IMPORTRANGE(""https://docs.google.com/spreadsheets/d/1-uDff_7J0KD5mKrp0Vvzr7lt3OU09vwQwhkpOPPYv2Y/edit?usp=sharing"",""งบพรบ!DR64"")"),0)</f>
        <v>0</v>
      </c>
      <c r="M290" s="77">
        <f ca="1">IFERROR(__xludf.DUMMYFUNCTION("IMPORTRANGE(""https://docs.google.com/spreadsheets/d/1-uDff_7J0KD5mKrp0Vvzr7lt3OU09vwQwhkpOPPYv2Y/edit?usp=sharing"",""งบพรบ!DU64"")"),0)</f>
        <v>0</v>
      </c>
      <c r="N290" s="77">
        <f ca="1">IFERROR(__xludf.DUMMYFUNCTION("IMPORTRANGE(""https://docs.google.com/spreadsheets/d/1-uDff_7J0KD5mKrp0Vvzr7lt3OU09vwQwhkpOPPYv2Y/edit?usp=sharing"",""งบพรบ!DW64"")"),0)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IFERROR(__xludf.DUMMYFUNCTION("IMPORTRANGE(""https://docs.google.com/spreadsheets/d/1eHaY18a8A9IcSdp1K8H6x8fbOy06t2VsZHhMHf-1x7Y/edit?usp=sharing"",""แผน!EE64"")"),0)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IFERROR(__xludf.DUMMYFUNCTION("IMPORTRANGE(""https://docs.google.com/spreadsheets/d/1eHaY18a8A9IcSdp1K8H6x8fbOy06t2VsZHhMHf-1x7Y/edit?usp=sharing"",""แผน!ED64"")"),0)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IFERROR(__xludf.DUMMYFUNCTION("IMPORTRANGE(""https://docs.google.com/spreadsheets/d/1eHaY18a8A9IcSdp1K8H6x8fbOy06t2VsZHhMHf-1x7Y/edit?usp=sharing"",""แผน!ED64"")"),0)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IFERROR(__xludf.DUMMYFUNCTION("IMPORTRANGE(""https://docs.google.com/spreadsheets/d/1eHaY18a8A9IcSdp1K8H6x8fbOy06t2VsZHhMHf-1x7Y/edit?usp=sharing"",""แผน!ED64"")"),0)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82400</v>
      </c>
      <c r="M303" s="266">
        <f ca="1">M304+M305</f>
        <v>82400</v>
      </c>
      <c r="N303" s="266">
        <f ca="1">N304+N305</f>
        <v>80430</v>
      </c>
      <c r="O303" s="266">
        <f ca="1">IF(L303&gt;0,N303*100/L303,0)</f>
        <v>97.609223300970868</v>
      </c>
      <c r="P303" s="266">
        <f ca="1">IF(M303&gt;0,N303*100/M303,0)</f>
        <v>97.609223300970868</v>
      </c>
      <c r="Q303" s="266">
        <f ca="1">Q304+Q305</f>
        <v>144609.24</v>
      </c>
      <c r="R303" s="266">
        <f ca="1">R304+R305</f>
        <v>144609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82400</v>
      </c>
      <c r="M305" s="77">
        <f ca="1">M308+M311</f>
        <v>82400</v>
      </c>
      <c r="N305" s="77">
        <f ca="1">N308+N311</f>
        <v>80430</v>
      </c>
      <c r="O305" s="77">
        <f ca="1">IF(L305&gt;0,N305*100/L305,0)</f>
        <v>97.609223300970868</v>
      </c>
      <c r="P305" s="77">
        <f ca="1">IF(M305&gt;0,N305*100/M305,0)</f>
        <v>97.609223300970868</v>
      </c>
      <c r="Q305" s="77">
        <f ca="1">Q308+Q311</f>
        <v>144609.24</v>
      </c>
      <c r="R305" s="77">
        <f ca="1">R308+R311</f>
        <v>144609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82400</v>
      </c>
      <c r="M306" s="77">
        <f ca="1">M307+M308</f>
        <v>82400</v>
      </c>
      <c r="N306" s="77">
        <f ca="1">N307+N308</f>
        <v>80430</v>
      </c>
      <c r="O306" s="77">
        <f ca="1">IF(L306&gt;0,N306*100/L306,0)</f>
        <v>97.609223300970868</v>
      </c>
      <c r="P306" s="77">
        <f ca="1">IF(M306&gt;0,N306*100/M306,0)</f>
        <v>97.609223300970868</v>
      </c>
      <c r="Q306" s="77">
        <f ca="1">Q307+Q308</f>
        <v>144609.24</v>
      </c>
      <c r="R306" s="77">
        <f ca="1">R307+R308</f>
        <v>144609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IFERROR(__xludf.DUMMYFUNCTION("IMPORTRANGE(""https://docs.google.com/spreadsheets/d/1-uDff_7J0KD5mKrp0Vvzr7lt3OU09vwQwhkpOPPYv2Y/edit?usp=sharing"",""งบพรบ!DY64"")"),82400)</f>
        <v>82400</v>
      </c>
      <c r="M308" s="77">
        <f ca="1">IFERROR(__xludf.DUMMYFUNCTION("IMPORTRANGE(""https://docs.google.com/spreadsheets/d/1-uDff_7J0KD5mKrp0Vvzr7lt3OU09vwQwhkpOPPYv2Y/edit?usp=sharing"",""งบพรบ!ED64"")"),82400)</f>
        <v>82400</v>
      </c>
      <c r="N308" s="77">
        <f ca="1">IFERROR(__xludf.DUMMYFUNCTION("IMPORTRANGE(""https://docs.google.com/spreadsheets/d/1-uDff_7J0KD5mKrp0Vvzr7lt3OU09vwQwhkpOPPYv2Y/edit?usp=sharing"",""งบพรบ!EF64"")"),80430)</f>
        <v>80430</v>
      </c>
      <c r="O308" s="77">
        <f ca="1">IF(L308&gt;0,N308*100/L308,0)</f>
        <v>97.609223300970868</v>
      </c>
      <c r="P308" s="77">
        <f ca="1">IF(M308&gt;0,N308*100/M308,0)</f>
        <v>97.609223300970868</v>
      </c>
      <c r="Q308" s="77">
        <f ca="1">IFERROR(__xludf.DUMMYFUNCTION("IMPORTRANGE(""https://docs.google.com/spreadsheets/d/1ItG2mGa2ceCfYo0BwxsXqNm01IGEUdYcSSLTEv9YCik/edit?usp=sharing"",""เบิกจ่ายกองทุน!AP64"")"),144609.24)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IFERROR(__xludf.DUMMYFUNCTION("IMPORTRANGE(""https://docs.google.com/spreadsheets/d/1ItG2mGa2ceCfYo0BwxsXqNm01IGEUdYcSSLTEv9YCik/edit?usp=sharing"",""เบิกจ่ายกองทุน!AQ64"")"),144609)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IFERROR(__xludf.DUMMYFUNCTION("IMPORTRANGE(""https://docs.google.com/spreadsheets/d/1ItG2mGa2ceCfYo0BwxsXqNm01IGEUdYcSSLTEv9YCik/edit?usp=sharing"",""เบิกจ่ายกองทุน!AR64"")"),0)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IFERROR(__xludf.DUMMYFUNCTION("IMPORTRANGE(""https://docs.google.com/spreadsheets/d/1-uDff_7J0KD5mKrp0Vvzr7lt3OU09vwQwhkpOPPYv2Y/edit?usp=sharing"",""งบพรบ!EB64"")"),0)</f>
        <v>0</v>
      </c>
      <c r="M311" s="77">
        <f ca="1">IFERROR(__xludf.DUMMYFUNCTION("IMPORTRANGE(""https://docs.google.com/spreadsheets/d/1-uDff_7J0KD5mKrp0Vvzr7lt3OU09vwQwhkpOPPYv2Y/edit?usp=sharing"",""งบพรบ!EE64"")"),0)</f>
        <v>0</v>
      </c>
      <c r="N311" s="77">
        <f ca="1">IFERROR(__xludf.DUMMYFUNCTION("IMPORTRANGE(""https://docs.google.com/spreadsheets/d/1-uDff_7J0KD5mKrp0Vvzr7lt3OU09vwQwhkpOPPYv2Y/edit?usp=sharing"",""งบพรบ!EG64"")"),0)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IFERROR(__xludf.DUMMYFUNCTION("IMPORTRANGE(""https://docs.google.com/spreadsheets/d/1eHaY18a8A9IcSdp1K8H6x8fbOy06t2VsZHhMHf-1x7Y/edit?usp=sharing"",""แผน!EF64"")"),20)</f>
        <v>20</v>
      </c>
      <c r="J314" s="296">
        <v>20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IFERROR(__xludf.DUMMYFUNCTION("IMPORTRANGE(""https://docs.google.com/spreadsheets/d/1-uDff_7J0KD5mKrp0Vvzr7lt3OU09vwQwhkpOPPYv2Y/edit?usp=sharing"",""งบพรบ!EI64"")"),0)</f>
        <v>0</v>
      </c>
      <c r="M325" s="77">
        <f ca="1">IFERROR(__xludf.DUMMYFUNCTION("IMPORTRANGE(""https://docs.google.com/spreadsheets/d/1-uDff_7J0KD5mKrp0Vvzr7lt3OU09vwQwhkpOPPYv2Y/edit?usp=sharing"",""งบพรบ!EN64"")"),0)</f>
        <v>0</v>
      </c>
      <c r="N325" s="77">
        <f ca="1">IFERROR(__xludf.DUMMYFUNCTION("IMPORTRANGE(""https://docs.google.com/spreadsheets/d/1-uDff_7J0KD5mKrp0Vvzr7lt3OU09vwQwhkpOPPYv2Y/edit?usp=sharing"",""งบพรบ!EP64"")"),0)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IFERROR(__xludf.DUMMYFUNCTION("IMPORTRANGE(""https://docs.google.com/spreadsheets/d/1-uDff_7J0KD5mKrp0Vvzr7lt3OU09vwQwhkpOPPYv2Y/edit?usp=sharing"",""งบพรบ!EL64"")"),0)</f>
        <v>0</v>
      </c>
      <c r="M328" s="77">
        <f ca="1">IFERROR(__xludf.DUMMYFUNCTION("IMPORTRANGE(""https://docs.google.com/spreadsheets/d/1-uDff_7J0KD5mKrp0Vvzr7lt3OU09vwQwhkpOPPYv2Y/edit?usp=sharing"",""งบพรบ!EO64"")"),0)</f>
        <v>0</v>
      </c>
      <c r="N328" s="77">
        <f ca="1">IFERROR(__xludf.DUMMYFUNCTION("IMPORTRANGE(""https://docs.google.com/spreadsheets/d/1-uDff_7J0KD5mKrp0Vvzr7lt3OU09vwQwhkpOPPYv2Y/edit?usp=sharing"",""งบพรบ!EQ64"")"),0)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IFERROR(__xludf.DUMMYFUNCTION("IMPORTRANGE(""https://docs.google.com/spreadsheets/d/1eHaY18a8A9IcSdp1K8H6x8fbOy06t2VsZHhMHf-1x7Y/edit?usp=sharing"",""แผน!EJ64"")"),0)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540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351600</v>
      </c>
      <c r="M333" s="266">
        <f ca="1">M334+M335</f>
        <v>351600</v>
      </c>
      <c r="N333" s="266">
        <f ca="1">N334+N335</f>
        <v>310419.74</v>
      </c>
      <c r="O333" s="266">
        <f ca="1">IF(L333&gt;0,N333*100/L333,0)</f>
        <v>88.287753128555181</v>
      </c>
      <c r="P333" s="266">
        <f ca="1">IF(M333&gt;0,N333*100/M333,0)</f>
        <v>88.287753128555181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351600</v>
      </c>
      <c r="M335" s="77">
        <f ca="1">M338+M341</f>
        <v>351600</v>
      </c>
      <c r="N335" s="77">
        <f ca="1">N338+N341</f>
        <v>310419.74</v>
      </c>
      <c r="O335" s="77">
        <f ca="1">IF(L335&gt;0,N335*100/L335,0)</f>
        <v>88.287753128555181</v>
      </c>
      <c r="P335" s="77">
        <f ca="1">IF(M335&gt;0,N335*100/M335,0)</f>
        <v>88.287753128555181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351600</v>
      </c>
      <c r="M336" s="77">
        <f ca="1">M337+M338</f>
        <v>351600</v>
      </c>
      <c r="N336" s="77">
        <f ca="1">N337+N338</f>
        <v>310419.74</v>
      </c>
      <c r="O336" s="77">
        <f ca="1">IF(L336&gt;0,N336*100/L336,0)</f>
        <v>88.287753128555181</v>
      </c>
      <c r="P336" s="77">
        <f ca="1">IF(M336&gt;0,N336*100/M336,0)</f>
        <v>88.287753128555181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IFERROR(__xludf.DUMMYFUNCTION("IMPORTRANGE(""https://docs.google.com/spreadsheets/d/1-uDff_7J0KD5mKrp0Vvzr7lt3OU09vwQwhkpOPPYv2Y/edit?usp=sharing"",""งบพรบ!ES64"")"),351600)</f>
        <v>351600</v>
      </c>
      <c r="M338" s="77">
        <f ca="1">IFERROR(__xludf.DUMMYFUNCTION("IMPORTRANGE(""https://docs.google.com/spreadsheets/d/1-uDff_7J0KD5mKrp0Vvzr7lt3OU09vwQwhkpOPPYv2Y/edit?usp=sharing"",""งบพรบ!EX64"")"),351600)</f>
        <v>351600</v>
      </c>
      <c r="N338" s="77">
        <f ca="1">IFERROR(__xludf.DUMMYFUNCTION("IMPORTRANGE(""https://docs.google.com/spreadsheets/d/1-uDff_7J0KD5mKrp0Vvzr7lt3OU09vwQwhkpOPPYv2Y/edit?usp=sharing"",""งบพรบ!EZ64"")"),310419.74)</f>
        <v>310419.74</v>
      </c>
      <c r="O338" s="77">
        <f ca="1">IF(L338&gt;0,N338*100/L338,0)</f>
        <v>88.287753128555181</v>
      </c>
      <c r="P338" s="77">
        <f ca="1">IF(M338&gt;0,N338*100/M338,0)</f>
        <v>88.287753128555181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IFERROR(__xludf.DUMMYFUNCTION("IMPORTRANGE(""https://docs.google.com/spreadsheets/d/1-uDff_7J0KD5mKrp0Vvzr7lt3OU09vwQwhkpOPPYv2Y/edit?usp=sharing"",""งบพรบ!EV64"")"),0)</f>
        <v>0</v>
      </c>
      <c r="M341" s="77">
        <f ca="1">IFERROR(__xludf.DUMMYFUNCTION("IMPORTRANGE(""https://docs.google.com/spreadsheets/d/1-uDff_7J0KD5mKrp0Vvzr7lt3OU09vwQwhkpOPPYv2Y/edit?usp=sharing"",""งบพรบ!EY64"")"),0)</f>
        <v>0</v>
      </c>
      <c r="N341" s="77">
        <f ca="1">IFERROR(__xludf.DUMMYFUNCTION("IMPORTRANGE(""https://docs.google.com/spreadsheets/d/1-uDff_7J0KD5mKrp0Vvzr7lt3OU09vwQwhkpOPPYv2Y/edit?usp=sharing"",""งบพรบ!FA64"")"),0)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1225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IFERROR(__xludf.DUMMYFUNCTION("IMPORTRANGE(""https://docs.google.com/spreadsheets/d/1eHaY18a8A9IcSdp1K8H6x8fbOy06t2VsZHhMHf-1x7Y/edit?usp=sharing"",""แผน!EK64"")"),540)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IFERROR(__xludf.DUMMYFUNCTION("IMPORTRANGE(""https://docs.google.com/spreadsheets/d/1awYsYK3VOup2i3Pq_Yjnu8DRu_mYwSBnCR2QPthd0rU/edit?usp=sharing"",""ศูนย์ยกเว้นโฉนด!D64"")"),834)</f>
        <v>834</v>
      </c>
      <c r="K344" s="77">
        <f ca="1">IF(I344&gt;0,J344*100/I344,0)</f>
        <v>154.44444444444446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IFERROR(__xludf.DUMMYFUNCTION("IMPORTRANGE(""https://docs.google.com/spreadsheets/d/1eHaY18a8A9IcSdp1K8H6x8fbOy06t2VsZHhMHf-1x7Y/edit?usp=sharing"",""แผน!EL64"")"),2)</f>
        <v>2</v>
      </c>
      <c r="J346" s="295">
        <f ca="1">IFERROR(__xludf.DUMMYFUNCTION("IMPORTRANGE(""https://docs.google.com/spreadsheets/d/1awYsYK3VOup2i3Pq_Yjnu8DRu_mYwSBnCR2QPthd0rU/edit?usp=sharing"",""ศูนย์รวม!E64"")"),6)</f>
        <v>6</v>
      </c>
      <c r="K346" s="77">
        <f ca="1">IF(I346&gt;0,J346*100/I346,0)</f>
        <v>300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IFERROR(__xludf.DUMMYFUNCTION("IMPORTRANGE(""https://docs.google.com/spreadsheets/d/1awYsYK3VOup2i3Pq_Yjnu8DRu_mYwSBnCR2QPthd0rU/edit?usp=sharing"",""ศูนย์ยกเว้นโฉนด!F64"")"),379)</f>
        <v>379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IFERROR(__xludf.DUMMYFUNCTION("IMPORTRANGE(""https://docs.google.com/spreadsheets/d/1awYsYK3VOup2i3Pq_Yjnu8DRu_mYwSBnCR2QPthd0rU/edit?usp=sharing"",""ศูนย์ยกเว้นโฉนด!G64"")"),12)</f>
        <v>12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IFERROR(__xludf.DUMMYFUNCTION("IMPORTRANGE(""https://docs.google.com/spreadsheets/d/1awYsYK3VOup2i3Pq_Yjnu8DRu_mYwSBnCR2QPthd0rU/edit?usp=sharing"",""ศูนย์ยกเว้นโฉนด!H64"")"),0)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IFERROR(__xludf.DUMMYFUNCTION("IMPORTRANGE(""https://docs.google.com/spreadsheets/d/1awYsYK3VOup2i3Pq_Yjnu8DRu_mYwSBnCR2QPthd0rU/edit?usp=sharing"",""โฉนดM3!G64"")"),"")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IFERROR(__xludf.DUMMYFUNCTION("IMPORTRANGE(""https://docs.google.com/spreadsheets/d/1awYsYK3VOup2i3Pq_Yjnu8DRu_mYwSBnCR2QPthd0rU/edit?usp=sharing"",""โฉนดM3!H64"")"),"")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IFERROR(__xludf.DUMMYFUNCTION("IMPORTRANGE(""https://docs.google.com/spreadsheets/d/1awYsYK3VOup2i3Pq_Yjnu8DRu_mYwSBnCR2QPthd0rU/edit?usp=sharing"",""โฉนดM3!I64"")"),"")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115055</v>
      </c>
      <c r="M356" s="266">
        <f ca="1">M357+M358</f>
        <v>115055</v>
      </c>
      <c r="N356" s="266">
        <f ca="1">N357+N358</f>
        <v>76294.62</v>
      </c>
      <c r="O356" s="266">
        <f ca="1">IF(L356&gt;0,N356*100/L356,0)</f>
        <v>66.311433662161576</v>
      </c>
      <c r="P356" s="266">
        <f ca="1">IF(M356&gt;0,N356*100/M356,0)</f>
        <v>66.311433662161576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115055</v>
      </c>
      <c r="M358" s="77">
        <f ca="1">M361+M364</f>
        <v>115055</v>
      </c>
      <c r="N358" s="77">
        <f ca="1">N361+N364</f>
        <v>76294.62</v>
      </c>
      <c r="O358" s="77">
        <f ca="1">IF(L358&gt;0,N358*100/L358,0)</f>
        <v>66.311433662161576</v>
      </c>
      <c r="P358" s="77">
        <f ca="1">IF(M358&gt;0,N358*100/M358,0)</f>
        <v>66.311433662161576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115055</v>
      </c>
      <c r="M359" s="77">
        <f ca="1">M360+M361</f>
        <v>115055</v>
      </c>
      <c r="N359" s="77">
        <f ca="1">N360+N361</f>
        <v>76294.62</v>
      </c>
      <c r="O359" s="77">
        <f ca="1">IF(L359&gt;0,N359*100/L359,0)</f>
        <v>66.311433662161576</v>
      </c>
      <c r="P359" s="77">
        <f ca="1">IF(M359&gt;0,N359*100/M359,0)</f>
        <v>66.311433662161576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IFERROR(__xludf.DUMMYFUNCTION("IMPORTRANGE(""https://docs.google.com/spreadsheets/d/1-uDff_7J0KD5mKrp0Vvzr7lt3OU09vwQwhkpOPPYv2Y/edit?usp=sharing"",""งบพรบ!FC64"")"),115055)</f>
        <v>115055</v>
      </c>
      <c r="M361" s="77">
        <f ca="1">IFERROR(__xludf.DUMMYFUNCTION("IMPORTRANGE(""https://docs.google.com/spreadsheets/d/1-uDff_7J0KD5mKrp0Vvzr7lt3OU09vwQwhkpOPPYv2Y/edit?usp=sharing"",""งบพรบ!FH64"")"),115055)</f>
        <v>115055</v>
      </c>
      <c r="N361" s="77">
        <f ca="1">IFERROR(__xludf.DUMMYFUNCTION("IMPORTRANGE(""https://docs.google.com/spreadsheets/d/1-uDff_7J0KD5mKrp0Vvzr7lt3OU09vwQwhkpOPPYv2Y/edit?usp=sharing"",""งบพรบ!FJ64"")"),76294.62)</f>
        <v>76294.62</v>
      </c>
      <c r="O361" s="77">
        <f ca="1">IF(L361&gt;0,N361*100/L361,0)</f>
        <v>66.311433662161576</v>
      </c>
      <c r="P361" s="77">
        <f ca="1">IF(M361&gt;0,N361*100/M361,0)</f>
        <v>66.311433662161576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IFERROR(__xludf.DUMMYFUNCTION("IMPORTRANGE(""https://docs.google.com/spreadsheets/d/1-uDff_7J0KD5mKrp0Vvzr7lt3OU09vwQwhkpOPPYv2Y/edit?usp=sharing"",""งบพรบ!FF64"")"),0)</f>
        <v>0</v>
      </c>
      <c r="M364" s="77">
        <f ca="1">IFERROR(__xludf.DUMMYFUNCTION("IMPORTRANGE(""https://docs.google.com/spreadsheets/d/1-uDff_7J0KD5mKrp0Vvzr7lt3OU09vwQwhkpOPPYv2Y/edit?usp=sharing"",""งบพรบ!FI64"")"),0)</f>
        <v>0</v>
      </c>
      <c r="N364" s="77">
        <f ca="1">IFERROR(__xludf.DUMMYFUNCTION("IMPORTRANGE(""https://docs.google.com/spreadsheets/d/1-uDff_7J0KD5mKrp0Vvzr7lt3OU09vwQwhkpOPPYv2Y/edit?usp=sharing"",""งบพรบ!FK64"")"),0)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IFERROR(__xludf.DUMMYFUNCTION("IMPORTRANGE(""https://docs.google.com/spreadsheets/d/1tdoBKaGub7dwA3U6UFTqxio9LNnvDCQjHKmttSEBsFQ/edit?usp=sharing"",""จัดที่ดิน!AB64"")"),0)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IFERROR(__xludf.DUMMYFUNCTION("IMPORTRANGE(""https://docs.google.com/spreadsheets/d/1eHaY18a8A9IcSdp1K8H6x8fbOy06t2VsZHhMHf-1x7Y/edit?usp=sharing"",""แผน!EW64"")"),0)</f>
        <v>0</v>
      </c>
      <c r="J368" s="1094">
        <f ca="1">IFERROR(__xludf.DUMMYFUNCTION("IMPORTRANGE(""https://docs.google.com/spreadsheets/d/1tdoBKaGub7dwA3U6UFTqxio9LNnvDCQjHKmttSEBsFQ/edit?usp=sharing"",""จัดที่ดิน!AC64"")"),0)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IFERROR(__xludf.DUMMYFUNCTION("IMPORTRANGE(""https://docs.google.com/spreadsheets/d/1eHaY18a8A9IcSdp1K8H6x8fbOy06t2VsZHhMHf-1x7Y/edit?usp=sharing"",""แผน!EX64"")"),0)</f>
        <v>0</v>
      </c>
      <c r="J369" s="295">
        <f ca="1">IFERROR(__xludf.DUMMYFUNCTION("IMPORTRANGE(""https://docs.google.com/spreadsheets/d/1tdoBKaGub7dwA3U6UFTqxio9LNnvDCQjHKmttSEBsFQ/edit?usp=sharing"",""จัดที่ดิน!AD64"")"),0)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IFERROR(__xludf.DUMMYFUNCTION("IMPORTRANGE(""https://docs.google.com/spreadsheets/d/1tdoBKaGub7dwA3U6UFTqxio9LNnvDCQjHKmttSEBsFQ/edit?usp=sharing"",""จัดที่ดิน!AE64"")"),0)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IFERROR(__xludf.DUMMYFUNCTION("IMPORTRANGE(""https://docs.google.com/spreadsheets/d/1eHaY18a8A9IcSdp1K8H6x8fbOy06t2VsZHhMHf-1x7Y/edit?usp=sharing"",""แผน!EY64"")"),0)</f>
        <v>0</v>
      </c>
      <c r="J371" s="295">
        <f ca="1">IFERROR(__xludf.DUMMYFUNCTION("IMPORTRANGE(""https://docs.google.com/spreadsheets/d/1tdoBKaGub7dwA3U6UFTqxio9LNnvDCQjHKmttSEBsFQ/edit?usp=sharing"",""จัดที่ดิน!AF64"")"),0)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IFERROR(__xludf.DUMMYFUNCTION("IMPORTRANGE(""https://docs.google.com/spreadsheets/d/1tdoBKaGub7dwA3U6UFTqxio9LNnvDCQjHKmttSEBsFQ/edit?usp=sharing"",""จัดที่ดิน!AG64"")"),0)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IFERROR(__xludf.DUMMYFUNCTION("IMPORTRANGE(""https://docs.google.com/spreadsheets/d/1ItG2mGa2ceCfYo0BwxsXqNm01IGEUdYcSSLTEv9YCik/edit?usp=sharing"",""เบิกจ่ายกองทุน!AY64"")"),0)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IFERROR(__xludf.DUMMYFUNCTION("IMPORTRANGE(""https://docs.google.com/spreadsheets/d/1ItG2mGa2ceCfYo0BwxsXqNm01IGEUdYcSSLTEv9YCik/edit?usp=sharing"",""เบิกจ่ายกองทุน!AZ64"")"),0)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IFERROR(__xludf.DUMMYFUNCTION("IMPORTRANGE(""https://docs.google.com/spreadsheets/d/1ItG2mGa2ceCfYo0BwxsXqNm01IGEUdYcSSLTEv9YCik/edit?usp=sharing"",""เบิกจ่ายกองทุน!BA64"")"),0)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IFERROR(__xludf.DUMMYFUNCTION("IMPORTRANGE(""https://docs.google.com/spreadsheets/d/1eHaY18a8A9IcSdp1K8H6x8fbOy06t2VsZHhMHf-1x7Y/edit?usp=sharing"",""แผน!JQ64"")"),0)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IFERROR(__xludf.DUMMYFUNCTION("IMPORTRANGE(""https://docs.google.com/spreadsheets/d/1eHaY18a8A9IcSdp1K8H6x8fbOy06t2VsZHhMHf-1x7Y/edit?usp=sharing"",""แผน!JQ64"")"),0)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IFERROR(__xludf.DUMMYFUNCTION("IMPORTRANGE(""https://docs.google.com/spreadsheets/d/1ItG2mGa2ceCfYo0BwxsXqNm01IGEUdYcSSLTEv9YCik/edit?usp=sharing"",""เบิกจ่ายกองทุน!BH64"")"),0)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IFERROR(__xludf.DUMMYFUNCTION("IMPORTRANGE(""https://docs.google.com/spreadsheets/d/1ItG2mGa2ceCfYo0BwxsXqNm01IGEUdYcSSLTEv9YCik/edit?usp=sharing"",""เบิกจ่ายกองทุน!BI64"")"),0)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IFERROR(__xludf.DUMMYFUNCTION("IMPORTRANGE(""https://docs.google.com/spreadsheets/d/1ItG2mGa2ceCfYo0BwxsXqNm01IGEUdYcSSLTEv9YCik/edit?usp=sharing"",""เบิกจ่ายกองทุน!BJ64"")"),0)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IFERROR(__xludf.DUMMYFUNCTION("IMPORTRANGE(""https://docs.google.com/spreadsheets/d/1eHaY18a8A9IcSdp1K8H6x8fbOy06t2VsZHhMHf-1x7Y/edit?usp=sharing"",""แผน!HJ64"")"),0)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IFERROR(__xludf.DUMMYFUNCTION("IMPORTRANGE(""https://docs.google.com/spreadsheets/d/1eHaY18a8A9IcSdp1K8H6x8fbOy06t2VsZHhMHf-1x7Y/edit?usp=sharing"",""แผน!HK64"")"),0)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IFERROR(__xludf.DUMMYFUNCTION("IMPORTRANGE(""https://docs.google.com/spreadsheets/d/1eHaY18a8A9IcSdp1K8H6x8fbOy06t2VsZHhMHf-1x7Y/edit?usp=sharing"",""แผน!HJ64"")"),0)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IFERROR(__xludf.DUMMYFUNCTION("IMPORTRANGE(""https://docs.google.com/spreadsheets/d/1eHaY18a8A9IcSdp1K8H6x8fbOy06t2VsZHhMHf-1x7Y/edit?usp=sharing"",""แผน!HK64"")"),0)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IFERROR(__xludf.DUMMYFUNCTION("IMPORTRANGE(""https://docs.google.com/spreadsheets/d/1eHaY18a8A9IcSdp1K8H6x8fbOy06t2VsZHhMHf-1x7Y/edit?usp=sharing"",""แผน!HJ64"")"),0)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IFERROR(__xludf.DUMMYFUNCTION("IMPORTRANGE(""https://docs.google.com/spreadsheets/d/1eHaY18a8A9IcSdp1K8H6x8fbOy06t2VsZHhMHf-1x7Y/edit?usp=sharing"",""แผน!HK64"")"),0)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IFERROR(__xludf.DUMMYFUNCTION("IMPORTRANGE(""https://docs.google.com/spreadsheets/d/1eHaY18a8A9IcSdp1K8H6x8fbOy06t2VsZHhMHf-1x7Y/edit?usp=sharing"",""แผน!HL64"")"),0)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IFERROR(__xludf.DUMMYFUNCTION("IMPORTRANGE(""https://docs.google.com/spreadsheets/d/1eHaY18a8A9IcSdp1K8H6x8fbOy06t2VsZHhMHf-1x7Y/edit?usp=sharing"",""แผน!HM64"")"),0)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IFERROR(__xludf.DUMMYFUNCTION("IMPORTRANGE(""https://docs.google.com/spreadsheets/d/1eHaY18a8A9IcSdp1K8H6x8fbOy06t2VsZHhMHf-1x7Y/edit?usp=sharing"",""แผน!HN64"")"),0)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IFERROR(__xludf.DUMMYFUNCTION("IMPORTRANGE(""https://docs.google.com/spreadsheets/d/1eHaY18a8A9IcSdp1K8H6x8fbOy06t2VsZHhMHf-1x7Y/edit?usp=sharing"",""แผน!HO64"")"),0)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IFERROR(__xludf.DUMMYFUNCTION("IMPORTRANGE(""https://docs.google.com/spreadsheets/d/1ItG2mGa2ceCfYo0BwxsXqNm01IGEUdYcSSLTEv9YCik/edit?usp=sharing"",""เบิกจ่ายกองทุน!X64"")"),0)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IFERROR(__xludf.DUMMYFUNCTION("IMPORTRANGE(""https://docs.google.com/spreadsheets/d/1ItG2mGa2ceCfYo0BwxsXqNm01IGEUdYcSSLTEv9YCik/edit?usp=sharing"",""เบิกจ่ายกองทุน!Y64"")"),0)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IFERROR(__xludf.DUMMYFUNCTION("IMPORTRANGE(""https://docs.google.com/spreadsheets/d/1ItG2mGa2ceCfYo0BwxsXqNm01IGEUdYcSSLTEv9YCik/edit?usp=sharing"",""เบิกจ่ายกองทุน!Z64"")"),0)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IFERROR(__xludf.DUMMYFUNCTION("IMPORTRANGE(""https://docs.google.com/spreadsheets/d/1eHaY18a8A9IcSdp1K8H6x8fbOy06t2VsZHhMHf-1x7Y/edit?usp=sharing"",""แผน!GX64"")"),0)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IFERROR(__xludf.DUMMYFUNCTION("IMPORTRANGE(""https://docs.google.com/spreadsheets/d/1eHaY18a8A9IcSdp1K8H6x8fbOy06t2VsZHhMHf-1x7Y/edit?usp=sharing"",""แผน!GY64"")"),0)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IFERROR(__xludf.DUMMYFUNCTION("IMPORTRANGE(""https://docs.google.com/spreadsheets/d/1eHaY18a8A9IcSdp1K8H6x8fbOy06t2VsZHhMHf-1x7Y/edit?usp=sharing"",""แผน!GZ64"")"),0)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IFERROR(__xludf.DUMMYFUNCTION("IMPORTRANGE(""https://docs.google.com/spreadsheets/d/1eHaY18a8A9IcSdp1K8H6x8fbOy06t2VsZHhMHf-1x7Y/edit?usp=sharing"",""แผน!HA64"")"),0)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IFERROR(__xludf.DUMMYFUNCTION("IMPORTRANGE(""https://docs.google.com/spreadsheets/d/1eHaY18a8A9IcSdp1K8H6x8fbOy06t2VsZHhMHf-1x7Y/edit?usp=sharing"",""แผน!HB64"")"),0)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IFERROR(__xludf.DUMMYFUNCTION("IMPORTRANGE(""https://docs.google.com/spreadsheets/d/1eHaY18a8A9IcSdp1K8H6x8fbOy06t2VsZHhMHf-1x7Y/edit?usp=sharing"",""แผน!HC64"")"),0)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IFERROR(__xludf.DUMMYFUNCTION("IMPORTRANGE(""https://docs.google.com/spreadsheets/d/1-uDff_7J0KD5mKrp0Vvzr7lt3OU09vwQwhkpOPPYv2Y/edit?usp=sharing"",""งบพรบ!FM64"")"),0)</f>
        <v>0</v>
      </c>
      <c r="M518" s="77">
        <f ca="1">IFERROR(__xludf.DUMMYFUNCTION("IMPORTRANGE(""https://docs.google.com/spreadsheets/d/1-uDff_7J0KD5mKrp0Vvzr7lt3OU09vwQwhkpOPPYv2Y/edit?usp=sharing"",""งบพรบ!FR64"")"),0)</f>
        <v>0</v>
      </c>
      <c r="N518" s="77">
        <f ca="1">IFERROR(__xludf.DUMMYFUNCTION("IMPORTRANGE(""https://docs.google.com/spreadsheets/d/1-uDff_7J0KD5mKrp0Vvzr7lt3OU09vwQwhkpOPPYv2Y/edit?usp=sharing"",""งบพรบ!FT64"")"),0)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IFERROR(__xludf.DUMMYFUNCTION("IMPORTRANGE(""https://docs.google.com/spreadsheets/d/1-uDff_7J0KD5mKrp0Vvzr7lt3OU09vwQwhkpOPPYv2Y/edit?usp=sharing"",""งบพรบ!FP64"")"),0)</f>
        <v>0</v>
      </c>
      <c r="M521" s="77">
        <f ca="1">IFERROR(__xludf.DUMMYFUNCTION("IMPORTRANGE(""https://docs.google.com/spreadsheets/d/1-uDff_7J0KD5mKrp0Vvzr7lt3OU09vwQwhkpOPPYv2Y/edit?usp=sharing"",""งบพรบ!FS64"")"),0)</f>
        <v>0</v>
      </c>
      <c r="N521" s="77">
        <f ca="1">IFERROR(__xludf.DUMMYFUNCTION("IMPORTRANGE(""https://docs.google.com/spreadsheets/d/1-uDff_7J0KD5mKrp0Vvzr7lt3OU09vwQwhkpOPPYv2Y/edit?usp=sharing"",""งบพรบ!FU64"")"),0)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200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21900</v>
      </c>
      <c r="R616" s="266">
        <f ca="1">R617+R618</f>
        <v>21900</v>
      </c>
      <c r="S616" s="266">
        <f ca="1">S617+S618</f>
        <v>5371</v>
      </c>
      <c r="T616" s="266">
        <f ca="1">IF(Q616&gt;0,S616*100/Q616,0)</f>
        <v>24.525114155251142</v>
      </c>
      <c r="U616" s="266">
        <f ca="1">IF(R616&gt;0,S616*100/R616,0)</f>
        <v>24.525114155251142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21900</v>
      </c>
      <c r="R618" s="77">
        <f ca="1">R621+R624</f>
        <v>21900</v>
      </c>
      <c r="S618" s="77">
        <f ca="1">S621+S624</f>
        <v>5371</v>
      </c>
      <c r="T618" s="77">
        <f ca="1">IF(Q618&gt;0,S618*100/Q618,0)</f>
        <v>24.525114155251142</v>
      </c>
      <c r="U618" s="77">
        <f ca="1">IF(R618&gt;0,S618*100/R618,0)</f>
        <v>24.525114155251142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21900</v>
      </c>
      <c r="R619" s="77">
        <f ca="1">R620+R621</f>
        <v>21900</v>
      </c>
      <c r="S619" s="77">
        <f ca="1">S620+S621</f>
        <v>5371</v>
      </c>
      <c r="T619" s="77">
        <f ca="1">IF(Q619&gt;0,S619*100/Q619,0)</f>
        <v>24.525114155251142</v>
      </c>
      <c r="U619" s="77">
        <f ca="1">IF(R619&gt;0,S619*100/R619,0)</f>
        <v>24.525114155251142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IFERROR(__xludf.DUMMYFUNCTION("IMPORTRANGE(""https://docs.google.com/spreadsheets/d/1ItG2mGa2ceCfYo0BwxsXqNm01IGEUdYcSSLTEv9YCik/edit?usp=sharing"",""เบิกจ่ายกองทุน!F64"")"),21900)</f>
        <v>21900</v>
      </c>
      <c r="R621" s="77">
        <f ca="1">IFERROR(__xludf.DUMMYFUNCTION("IMPORTRANGE(""https://docs.google.com/spreadsheets/d/1ItG2mGa2ceCfYo0BwxsXqNm01IGEUdYcSSLTEv9YCik/edit?usp=sharing"",""เบิกจ่ายกองทุน!G64"")"),21900)</f>
        <v>21900</v>
      </c>
      <c r="S621" s="77">
        <f ca="1">IFERROR(__xludf.DUMMYFUNCTION("IMPORTRANGE(""https://docs.google.com/spreadsheets/d/1ItG2mGa2ceCfYo0BwxsXqNm01IGEUdYcSSLTEv9YCik/edit?usp=sharing"",""เบิกจ่ายกองทุน!H64"")"),5371)</f>
        <v>5371</v>
      </c>
      <c r="T621" s="77">
        <f ca="1">IF(Q621&gt;0,S621*100/Q621,0)</f>
        <v>24.525114155251142</v>
      </c>
      <c r="U621" s="77">
        <f ca="1">IF(R621&gt;0,S621*100/R621,0)</f>
        <v>24.525114155251142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IFERROR(__xludf.DUMMYFUNCTION("IMPORTRANGE(""https://docs.google.com/spreadsheets/d/1eHaY18a8A9IcSdp1K8H6x8fbOy06t2VsZHhMHf-1x7Y/edit?usp=sharing"",""แผน!ID64"")"),200)</f>
        <v>200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IFERROR(__xludf.DUMMYFUNCTION("IMPORTRANGE(""https://docs.google.com/spreadsheets/d/1eHaY18a8A9IcSdp1K8H6x8fbOy06t2VsZHhMHf-1x7Y/edit?usp=sharing"",""แผน!IC64"")"),0)</f>
        <v>0</v>
      </c>
      <c r="J627" s="296">
        <v>16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IFERROR(__xludf.DUMMYFUNCTION("IMPORTRANGE(""https://docs.google.com/spreadsheets/d/1eHaY18a8A9IcSdp1K8H6x8fbOy06t2VsZHhMHf-1x7Y/edit?usp=sharing"",""แผน!IC64"")"),0)</f>
        <v>0</v>
      </c>
      <c r="J628" s="296">
        <v>16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1340">
        <v>198</v>
      </c>
      <c r="K629" s="77">
        <f ca="1">IF(I$626&gt;0,J629*100/I$626,0)</f>
        <v>99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IFERROR(__xludf.DUMMYFUNCTION("IMPORTRANGE(""https://docs.google.com/spreadsheets/d/1eHaY18a8A9IcSdp1K8H6x8fbOy06t2VsZHhMHf-1x7Y/edit?usp=sharing"",""แผน!IE64"")"),0)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76220</v>
      </c>
      <c r="R642" s="266">
        <f ca="1">R643+R644</f>
        <v>76220</v>
      </c>
      <c r="S642" s="266">
        <f ca="1">S643+S644</f>
        <v>6480</v>
      </c>
      <c r="T642" s="266">
        <f ca="1">IF(Q642&gt;0,S642*100/Q642,0)</f>
        <v>8.5017055890842297</v>
      </c>
      <c r="U642" s="266">
        <f ca="1">IF(R642&gt;0,S642*100/R642,0)</f>
        <v>8.5017055890842297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76220</v>
      </c>
      <c r="R644" s="77">
        <f ca="1">R647+R650</f>
        <v>76220</v>
      </c>
      <c r="S644" s="77">
        <f ca="1">S647+S650</f>
        <v>6480</v>
      </c>
      <c r="T644" s="77">
        <f ca="1">IF(Q644&gt;0,S644*100/Q644,0)</f>
        <v>8.5017055890842297</v>
      </c>
      <c r="U644" s="77">
        <f ca="1">IF(R644&gt;0,S644*100/R644,0)</f>
        <v>8.5017055890842297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76220</v>
      </c>
      <c r="R645" s="77">
        <f ca="1">R646+R647</f>
        <v>76220</v>
      </c>
      <c r="S645" s="77">
        <f ca="1">S646+S647</f>
        <v>6480</v>
      </c>
      <c r="T645" s="77">
        <f ca="1">IF(Q645&gt;0,S645*100/Q645,0)</f>
        <v>8.5017055890842297</v>
      </c>
      <c r="U645" s="77">
        <f ca="1">IF(R645&gt;0,S645*100/R645,0)</f>
        <v>8.5017055890842297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IFERROR(__xludf.DUMMYFUNCTION("IMPORTRANGE(""https://docs.google.com/spreadsheets/d/1ItG2mGa2ceCfYo0BwxsXqNm01IGEUdYcSSLTEv9YCik/edit?usp=sharing"",""เบิกจ่ายกองทุน!I64"")"),76220)</f>
        <v>76220</v>
      </c>
      <c r="R647" s="77">
        <f ca="1">IFERROR(__xludf.DUMMYFUNCTION("IMPORTRANGE(""https://docs.google.com/spreadsheets/d/1ItG2mGa2ceCfYo0BwxsXqNm01IGEUdYcSSLTEv9YCik/edit?usp=sharing"",""เบิกจ่ายกองทุน!J64"")"),76220)</f>
        <v>76220</v>
      </c>
      <c r="S647" s="77">
        <f ca="1">IFERROR(__xludf.DUMMYFUNCTION("IMPORTRANGE(""https://docs.google.com/spreadsheets/d/1ItG2mGa2ceCfYo0BwxsXqNm01IGEUdYcSSLTEv9YCik/edit?usp=sharing"",""เบิกจ่ายกองทุน!K64"")"),6480)</f>
        <v>6480</v>
      </c>
      <c r="T647" s="77">
        <f ca="1">IF(Q647&gt;0,S647*100/Q647,0)</f>
        <v>8.5017055890842297</v>
      </c>
      <c r="U647" s="77">
        <f ca="1">IF(R647&gt;0,S647*100/R647,0)</f>
        <v>8.5017055890842297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IFERROR(__xludf.DUMMYFUNCTION("IMPORTRANGE(""https://docs.google.com/spreadsheets/d/1eHaY18a8A9IcSdp1K8H6x8fbOy06t2VsZHhMHf-1x7Y/edit?usp=sharing"",""แผน!IF64"")"),0)</f>
        <v>0</v>
      </c>
      <c r="J652" s="295">
        <f ca="1">IFERROR(__xludf.DUMMYFUNCTION("IMPORTRANGE(""https://docs.google.com/spreadsheets/d/1tdoBKaGub7dwA3U6UFTqxio9LNnvDCQjHKmttSEBsFQ/edit?usp=sharing"",""จัดที่ดิน!AU64"")"),0)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IFERROR(__xludf.DUMMYFUNCTION("IMPORTRANGE(""https://docs.google.com/spreadsheets/d/1eHaY18a8A9IcSdp1K8H6x8fbOy06t2VsZHhMHf-1x7Y/edit?usp=sharing"",""แผน!IG64"")"),63)</f>
        <v>63</v>
      </c>
      <c r="J653" s="295">
        <f ca="1">IFERROR(__xludf.DUMMYFUNCTION("IMPORTRANGE(""https://docs.google.com/spreadsheets/d/1tdoBKaGub7dwA3U6UFTqxio9LNnvDCQjHKmttSEBsFQ/edit?usp=sharing"",""จัดที่ดิน!AW64"")"),35)</f>
        <v>35</v>
      </c>
      <c r="K653" s="77">
        <f ca="1">IF(I653&gt;0,J653*100/I653,0)</f>
        <v>55.555555555555557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IFERROR(__xludf.DUMMYFUNCTION("IMPORTRANGE(""https://docs.google.com/spreadsheets/d/1eHaY18a8A9IcSdp1K8H6x8fbOy06t2VsZHhMHf-1x7Y/edit?usp=sharing"",""แผน!IH64"")"),0)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IFERROR(__xludf.DUMMYFUNCTION("IMPORTRANGE(""https://docs.google.com/spreadsheets/d/1eHaY18a8A9IcSdp1K8H6x8fbOy06t2VsZHhMHf-1x7Y/edit?usp=sharing"",""แผน!II64"")"),0)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IFERROR(__xludf.DUMMYFUNCTION("IMPORTRANGE(""https://docs.google.com/spreadsheets/d/1eHaY18a8A9IcSdp1K8H6x8fbOy06t2VsZHhMHf-1x7Y/edit?usp=sharing"",""แผน!IJ64"")"),0)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IFERROR(__xludf.DUMMYFUNCTION("IMPORTRANGE(""https://docs.google.com/spreadsheets/d/1eHaY18a8A9IcSdp1K8H6x8fbOy06t2VsZHhMHf-1x7Y/edit?usp=sharing"",""แผน!IK64"")"),20)</f>
        <v>20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IFERROR(__xludf.DUMMYFUNCTION("IMPORTRANGE(""https://docs.google.com/spreadsheets/d/1tdoBKaGub7dwA3U6UFTqxio9LNnvDCQjHKmttSEBsFQ/edit?usp=sharing"",""จัดที่ดิน!AY64"")"),55)</f>
        <v>55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IFERROR(__xludf.DUMMYFUNCTION("IMPORTRANGE(""https://docs.google.com/spreadsheets/d/1tdoBKaGub7dwA3U6UFTqxio9LNnvDCQjHKmttSEBsFQ/edit?usp=sharing"",""จัดที่ดิน!AZ64"")"),59)</f>
        <v>59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IFERROR(__xludf.DUMMYFUNCTION("IMPORTRANGE(""https://docs.google.com/spreadsheets/d/1eHaY18a8A9IcSdp1K8H6x8fbOy06t2VsZHhMHf-1x7Y/edit?usp=sharing"",""แผน!IL64"")"),450)</f>
        <v>450</v>
      </c>
      <c r="J673" s="295">
        <f ca="1">IFERROR(__xludf.DUMMYFUNCTION("IMPORTRANGE(""https://docs.google.com/spreadsheets/d/1tdoBKaGub7dwA3U6UFTqxio9LNnvDCQjHKmttSEBsFQ/edit?usp=sharing"",""จัดที่ดิน!BA64"")"),473.76)</f>
        <v>473.76</v>
      </c>
      <c r="K673" s="77">
        <f ca="1">IF(I673&gt;0,J673*100/I673,0)</f>
        <v>105.28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IFERROR(__xludf.DUMMYFUNCTION("IMPORTRANGE(""https://docs.google.com/spreadsheets/d/1eHaY18a8A9IcSdp1K8H6x8fbOy06t2VsZHhMHf-1x7Y/edit?usp=sharing"",""แผน!IM64"")"),43)</f>
        <v>43</v>
      </c>
      <c r="J674" s="603">
        <f ca="1">J676+J679</f>
        <v>1</v>
      </c>
      <c r="K674" s="266">
        <f ca="1">IF(I674&gt;0,J674*100/I674,0)</f>
        <v>2.3255813953488373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IFERROR(__xludf.DUMMYFUNCTION("IMPORTRANGE(""https://docs.google.com/spreadsheets/d/1eHaY18a8A9IcSdp1K8H6x8fbOy06t2VsZHhMHf-1x7Y/edit?usp=sharing"",""แผน!IN64"")"),330)</f>
        <v>330</v>
      </c>
      <c r="J675" s="603">
        <f ca="1">J678+J681</f>
        <v>11.89</v>
      </c>
      <c r="K675" s="266">
        <f ca="1">IF(I675&gt;0,J675*100/I675,0)</f>
        <v>3.603030303030303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IFERROR(__xludf.DUMMYFUNCTION("IMPORTRANGE(""https://docs.google.com/spreadsheets/d/1eHaY18a8A9IcSdp1K8H6x8fbOy06t2VsZHhMHf-1x7Y/edit?usp=sharing"",""แผน!IO64"")"),40)</f>
        <v>40</v>
      </c>
      <c r="J676" s="295">
        <f ca="1">IFERROR(__xludf.DUMMYFUNCTION("IMPORTRANGE(""https://docs.google.com/spreadsheets/d/1tdoBKaGub7dwA3U6UFTqxio9LNnvDCQjHKmttSEBsFQ/edit?usp=sharing"",""จัดที่ดิน!BF64"")"),1)</f>
        <v>1</v>
      </c>
      <c r="K676" s="77">
        <f ca="1">IF(I676&gt;0,J676*100/I676,0)</f>
        <v>2.5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IFERROR(__xludf.DUMMYFUNCTION("IMPORTRANGE(""https://docs.google.com/spreadsheets/d/1tdoBKaGub7dwA3U6UFTqxio9LNnvDCQjHKmttSEBsFQ/edit?usp=sharing"",""จัดที่ดิน!BG64"")"),1)</f>
        <v>1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IFERROR(__xludf.DUMMYFUNCTION("IMPORTRANGE(""https://docs.google.com/spreadsheets/d/1eHaY18a8A9IcSdp1K8H6x8fbOy06t2VsZHhMHf-1x7Y/edit?usp=sharing"",""แผน!IP64"")"),300)</f>
        <v>300</v>
      </c>
      <c r="J678" s="295">
        <f ca="1">IFERROR(__xludf.DUMMYFUNCTION("IMPORTRANGE(""https://docs.google.com/spreadsheets/d/1tdoBKaGub7dwA3U6UFTqxio9LNnvDCQjHKmttSEBsFQ/edit?usp=sharing"",""จัดที่ดิน!BH64"")"),11.89)</f>
        <v>11.89</v>
      </c>
      <c r="K678" s="77">
        <f ca="1">IF(I678&gt;0,J678*100/I678,0)</f>
        <v>3.9633333333333334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IFERROR(__xludf.DUMMYFUNCTION("IMPORTRANGE(""https://docs.google.com/spreadsheets/d/1eHaY18a8A9IcSdp1K8H6x8fbOy06t2VsZHhMHf-1x7Y/edit?usp=sharing"",""แผน!IQ64"")"),3)</f>
        <v>3</v>
      </c>
      <c r="J679" s="295">
        <f ca="1">IFERROR(__xludf.DUMMYFUNCTION("IMPORTRANGE(""https://docs.google.com/spreadsheets/d/1tdoBKaGub7dwA3U6UFTqxio9LNnvDCQjHKmttSEBsFQ/edit?usp=sharing"",""จัดที่ดิน!BK64"")"),0)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IFERROR(__xludf.DUMMYFUNCTION("IMPORTRANGE(""https://docs.google.com/spreadsheets/d/1tdoBKaGub7dwA3U6UFTqxio9LNnvDCQjHKmttSEBsFQ/edit?usp=sharing"",""จัดที่ดิน!BL64"")"),0)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IFERROR(__xludf.DUMMYFUNCTION("IMPORTRANGE(""https://docs.google.com/spreadsheets/d/1eHaY18a8A9IcSdp1K8H6x8fbOy06t2VsZHhMHf-1x7Y/edit?usp=sharing"",""แผน!IR64"")"),30)</f>
        <v>30</v>
      </c>
      <c r="J681" s="295">
        <f ca="1">IFERROR(__xludf.DUMMYFUNCTION("IMPORTRANGE(""https://docs.google.com/spreadsheets/d/1tdoBKaGub7dwA3U6UFTqxio9LNnvDCQjHKmttSEBsFQ/edit?usp=sharing"",""จัดที่ดิน!BM64"")"),0)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IFERROR(__xludf.DUMMYFUNCTION("IMPORTRANGE(""https://docs.google.com/spreadsheets/d/1eHaY18a8A9IcSdp1K8H6x8fbOy06t2VsZHhMHf-1x7Y/edit?usp=sharing"",""แผน!IS64"")"),317)</f>
        <v>317</v>
      </c>
      <c r="J682" s="603">
        <f>J685+J688</f>
        <v>97</v>
      </c>
      <c r="K682" s="266">
        <f ca="1">IF(I682&gt;0,J682*100/I682,0)</f>
        <v>30.599369085173503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9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9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97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59430</v>
      </c>
      <c r="R690" s="266">
        <f ca="1">R691+R692</f>
        <v>59430</v>
      </c>
      <c r="S690" s="266">
        <f ca="1">S691+S692</f>
        <v>1819</v>
      </c>
      <c r="T690" s="266">
        <f ca="1">IF(Q690&gt;0,S690*100/Q690,0)</f>
        <v>3.060743732121824</v>
      </c>
      <c r="U690" s="266">
        <f ca="1">IF(R690&gt;0,S690*100/R690,0)</f>
        <v>3.060743732121824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59430</v>
      </c>
      <c r="R692" s="77">
        <f ca="1">R695+R698</f>
        <v>59430</v>
      </c>
      <c r="S692" s="77">
        <f ca="1">S695+S698</f>
        <v>1819</v>
      </c>
      <c r="T692" s="77">
        <f ca="1">IF(Q692&gt;0,S692*100/Q692,0)</f>
        <v>3.060743732121824</v>
      </c>
      <c r="U692" s="77">
        <f ca="1">IF(R692&gt;0,S692*100/R692,0)</f>
        <v>3.060743732121824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59430</v>
      </c>
      <c r="R693" s="77">
        <f ca="1">R694+R695</f>
        <v>59430</v>
      </c>
      <c r="S693" s="77">
        <f ca="1">S694+S695</f>
        <v>1819</v>
      </c>
      <c r="T693" s="77">
        <f ca="1">IF(Q693&gt;0,S693*100/Q693,0)</f>
        <v>3.060743732121824</v>
      </c>
      <c r="U693" s="77">
        <f ca="1">IF(R693&gt;0,S693*100/R693,0)</f>
        <v>3.060743732121824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IFERROR(__xludf.DUMMYFUNCTION("IMPORTRANGE(""https://docs.google.com/spreadsheets/d/1ItG2mGa2ceCfYo0BwxsXqNm01IGEUdYcSSLTEv9YCik/edit?usp=sharing"",""เบิกจ่ายกองทุน!L64"")"),59430)</f>
        <v>59430</v>
      </c>
      <c r="R695" s="77">
        <f ca="1">IFERROR(__xludf.DUMMYFUNCTION("IMPORTRANGE(""https://docs.google.com/spreadsheets/d/1ItG2mGa2ceCfYo0BwxsXqNm01IGEUdYcSSLTEv9YCik/edit?usp=sharing"",""เบิกจ่ายกองทุน!M64"")"),59430)</f>
        <v>59430</v>
      </c>
      <c r="S695" s="77">
        <f ca="1">IFERROR(__xludf.DUMMYFUNCTION("IMPORTRANGE(""https://docs.google.com/spreadsheets/d/1ItG2mGa2ceCfYo0BwxsXqNm01IGEUdYcSSLTEv9YCik/edit?usp=sharing"",""เบิกจ่ายกองทุน!N64"")"),1819)</f>
        <v>1819</v>
      </c>
      <c r="T695" s="77">
        <f ca="1">IF(Q695&gt;0,S695*100/Q695,0)</f>
        <v>3.060743732121824</v>
      </c>
      <c r="U695" s="77">
        <f ca="1">IF(R695&gt;0,S695*100/R695,0)</f>
        <v>3.060743732121824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IFERROR(__xludf.DUMMYFUNCTION("IMPORTRANGE(""https://docs.google.com/spreadsheets/d/1eHaY18a8A9IcSdp1K8H6x8fbOy06t2VsZHhMHf-1x7Y/edit?usp=sharing"",""แผน!LC64"")"),0)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4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IFERROR(__xludf.DUMMYFUNCTION("IMPORTRANGE(""https://docs.google.com/spreadsheets/d/1eHaY18a8A9IcSdp1K8H6x8fbOy06t2VsZHhMHf-1x7Y/edit?usp=sharing"",""แผน!LJ64"")"),0)</f>
        <v>0</v>
      </c>
      <c r="J703" s="295">
        <f ca="1">IFERROR(__xludf.DUMMYFUNCTION("IMPORTRANGE(""https://docs.google.com/spreadsheets/d/1tdoBKaGub7dwA3U6UFTqxio9LNnvDCQjHKmttSEBsFQ/edit?usp=sharing"",""จัดที่ดิน!AP64"")"),0)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IFERROR(__xludf.DUMMYFUNCTION("IMPORTRANGE(""https://docs.google.com/spreadsheets/d/1tdoBKaGub7dwA3U6UFTqxio9LNnvDCQjHKmttSEBsFQ/edit?usp=sharing"",""จัดที่ดิน!AQ64"")"),0)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IFERROR(__xludf.DUMMYFUNCTION("IMPORTRANGE(""https://docs.google.com/spreadsheets/d/1eHaY18a8A9IcSdp1K8H6x8fbOy06t2VsZHhMHf-1x7Y/edit?usp=sharing"",""แผน!LK64"")"),4)</f>
        <v>4</v>
      </c>
      <c r="J705" s="295">
        <f ca="1">IFERROR(__xludf.DUMMYFUNCTION("IMPORTRANGE(""https://docs.google.com/spreadsheets/d/1tdoBKaGub7dwA3U6UFTqxio9LNnvDCQjHKmttSEBsFQ/edit?usp=sharing"",""จัดที่ดิน!AR64"")"),0)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IFERROR(__xludf.DUMMYFUNCTION("IMPORTRANGE(""https://docs.google.com/spreadsheets/d/1tdoBKaGub7dwA3U6UFTqxio9LNnvDCQjHKmttSEBsFQ/edit?usp=sharing"",""จัดที่ดิน!AS64"")"),0)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IFERROR(__xludf.DUMMYFUNCTION("IMPORTRANGE(""https://docs.google.com/spreadsheets/d/1eHaY18a8A9IcSdp1K8H6x8fbOy06t2VsZHhMHf-1x7Y/edit?usp=sharing"",""แผน!LJ64"")"),0)</f>
        <v>0</v>
      </c>
      <c r="J707" s="295">
        <f ca="1">IFERROR(__xludf.DUMMYFUNCTION("IMPORTRANGE(""https://docs.google.com/spreadsheets/d/1tdoBKaGub7dwA3U6UFTqxio9LNnvDCQjHKmttSEBsFQ/edit?usp=sharing"",""จัดที่ดิน!BN64"")"),0)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IFERROR(__xludf.DUMMYFUNCTION("IMPORTRANGE(""https://docs.google.com/spreadsheets/d/1tdoBKaGub7dwA3U6UFTqxio9LNnvDCQjHKmttSEBsFQ/edit?usp=sharing"",""จัดที่ดิน!BO64"")"),0)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IFERROR(__xludf.DUMMYFUNCTION("IMPORTRANGE(""https://docs.google.com/spreadsheets/d/1eHaY18a8A9IcSdp1K8H6x8fbOy06t2VsZHhMHf-1x7Y/edit?usp=sharing"",""แผน!LK64"")"),4)</f>
        <v>4</v>
      </c>
      <c r="J709" s="295">
        <f ca="1">IFERROR(__xludf.DUMMYFUNCTION("IMPORTRANGE(""https://docs.google.com/spreadsheets/d/1tdoBKaGub7dwA3U6UFTqxio9LNnvDCQjHKmttSEBsFQ/edit?usp=sharing"",""จัดที่ดิน!BP64"")"),1)</f>
        <v>1</v>
      </c>
      <c r="K709" s="77">
        <f ca="1">IF(I709&gt;0,J709*100/I709,0)</f>
        <v>25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IFERROR(__xludf.DUMMYFUNCTION("IMPORTRANGE(""https://docs.google.com/spreadsheets/d/1tdoBKaGub7dwA3U6UFTqxio9LNnvDCQjHKmttSEBsFQ/edit?usp=sharing"",""จัดที่ดิน!BQ64"")"),0)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IFERROR(__xludf.DUMMYFUNCTION("IMPORTRANGE(""https://docs.google.com/spreadsheets/d/1eHaY18a8A9IcSdp1K8H6x8fbOy06t2VsZHhMHf-1x7Y/edit?usp=sharing"",""แผน!FZ64"")"),0)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IFERROR(__xludf.DUMMYFUNCTION("IMPORTRANGE(""https://docs.google.com/spreadsheets/d/1eHaY18a8A9IcSdp1K8H6x8fbOy06t2VsZHhMHf-1x7Y/edit?usp=sharing"",""แผน!GA64"")"),0)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IFERROR(__xludf.DUMMYFUNCTION("IMPORTRANGE(""https://docs.google.com/spreadsheets/d/1ItG2mGa2ceCfYo0BwxsXqNm01IGEUdYcSSLTEv9YCik/edit?usp=sharing"",""เบิกจ่ายกองทุน!O64"")"),0)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IFERROR(__xludf.DUMMYFUNCTION("IMPORTRANGE(""https://docs.google.com/spreadsheets/d/1ItG2mGa2ceCfYo0BwxsXqNm01IGEUdYcSSLTEv9YCik/edit?usp=sharing"",""เบิกจ่ายกองทุน!P64"")"),0)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IFERROR(__xludf.DUMMYFUNCTION("IMPORTRANGE(""https://docs.google.com/spreadsheets/d/1ItG2mGa2ceCfYo0BwxsXqNm01IGEUdYcSSLTEv9YCik/edit?usp=sharing"",""เบิกจ่ายกองทุน!Q64"")"),0)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IFERROR(__xludf.DUMMYFUNCTION("IMPORTRANGE(""https://docs.google.com/spreadsheets/d/1eHaY18a8A9IcSdp1K8H6x8fbOy06t2VsZHhMHf-1x7Y/edit?usp=sharing"",""แผน!GB64"")"),0)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IFERROR(__xludf.DUMMYFUNCTION("IMPORTRANGE(""https://docs.google.com/spreadsheets/d/1eHaY18a8A9IcSdp1K8H6x8fbOy06t2VsZHhMHf-1x7Y/edit?usp=sharing"",""แผน!GC64"")"),0)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IFERROR(__xludf.DUMMYFUNCTION("IMPORTRANGE(""https://docs.google.com/spreadsheets/d/1eHaY18a8A9IcSdp1K8H6x8fbOy06t2VsZHhMHf-1x7Y/edit?usp=sharing"",""แผน!GD64"")"),0)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IFERROR(__xludf.DUMMYFUNCTION("IMPORTRANGE(""https://docs.google.com/spreadsheets/d/1eHaY18a8A9IcSdp1K8H6x8fbOy06t2VsZHhMHf-1x7Y/edit?usp=sharing"",""แผน!GE64"")"),0)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IFERROR(__xludf.DUMMYFUNCTION("IMPORTRANGE(""https://docs.google.com/spreadsheets/d/1eHaY18a8A9IcSdp1K8H6x8fbOy06t2VsZHhMHf-1x7Y/edit?usp=sharing"",""แผน!GF64"")"),0)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IFERROR(__xludf.DUMMYFUNCTION("IMPORTRANGE(""https://docs.google.com/spreadsheets/d/1eHaY18a8A9IcSdp1K8H6x8fbOy06t2VsZHhMHf-1x7Y/edit?usp=sharing"",""แผน!GC64"")"),0)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IFERROR(__xludf.DUMMYFUNCTION("IMPORTRANGE(""https://docs.google.com/spreadsheets/d/1eHaY18a8A9IcSdp1K8H6x8fbOy06t2VsZHhMHf-1x7Y/edit?usp=sharing"",""แผน!GE64"")"),0)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IFERROR(__xludf.DUMMYFUNCTION("IMPORTRANGE(""https://docs.google.com/spreadsheets/d/1ItG2mGa2ceCfYo0BwxsXqNm01IGEUdYcSSLTEv9YCik/edit?usp=sharing"",""เบิกจ่ายกองทุน!U64"")"),0)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IFERROR(__xludf.DUMMYFUNCTION("IMPORTRANGE(""https://docs.google.com/spreadsheets/d/1ItG2mGa2ceCfYo0BwxsXqNm01IGEUdYcSSLTEv9YCik/edit?usp=sharing"",""เบิกจ่ายกองทุน!V64"")"),0)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IFERROR(__xludf.DUMMYFUNCTION("IMPORTRANGE(""https://docs.google.com/spreadsheets/d/1ItG2mGa2ceCfYo0BwxsXqNm01IGEUdYcSSLTEv9YCik/edit?usp=sharing"",""เบิกจ่ายกองทุน!W64"")"),0)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IFERROR(__xludf.DUMMYFUNCTION("IMPORTRANGE(""https://docs.google.com/spreadsheets/d/1eHaY18a8A9IcSdp1K8H6x8fbOy06t2VsZHhMHf-1x7Y/edit?usp=sharing"",""แผน!FI64"")"),0)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IFERROR(__xludf.DUMMYFUNCTION("IMPORTRANGE(""https://docs.google.com/spreadsheets/d/1eHaY18a8A9IcSdp1K8H6x8fbOy06t2VsZHhMHf-1x7Y/edit?usp=sharing"",""แผน!FQ64"")"),0)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IFERROR(__xludf.DUMMYFUNCTION("IMPORTRANGE(""https://docs.google.com/spreadsheets/d/1eHaY18a8A9IcSdp1K8H6x8fbOy06t2VsZHhMHf-1x7Y/edit?usp=sharing"",""แผน!FR64"")"),0)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IFERROR(__xludf.DUMMYFUNCTION("IMPORTRANGE(""https://docs.google.com/spreadsheets/d/1eHaY18a8A9IcSdp1K8H6x8fbOy06t2VsZHhMHf-1x7Y/edit?usp=sharing"",""แผน!FS64"")"),0)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IFERROR(__xludf.DUMMYFUNCTION("IMPORTRANGE(""https://docs.google.com/spreadsheets/d/1eHaY18a8A9IcSdp1K8H6x8fbOy06t2VsZHhMHf-1x7Y/edit?usp=sharing"",""แผน!FT64"")"),0)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IFERROR(__xludf.DUMMYFUNCTION("IMPORTRANGE(""https://docs.google.com/spreadsheets/d/10OvvATaaLtwErnr3qtWFcTmtbfpFEt5Bsqel9sXx0uE/edit?usp=sharing"",""งานกองทุน!D64"")"),3253616.26)</f>
        <v>3253616.26</v>
      </c>
      <c r="J778" s="295">
        <f ca="1">IFERROR(__xludf.DUMMYFUNCTION("IMPORTRANGE(""https://docs.google.com/spreadsheets/d/10OvvATaaLtwErnr3qtWFcTmtbfpFEt5Bsqel9sXx0uE/edit?usp=sharing"",""งานกองทุน!F64"")"),273809.98)</f>
        <v>273809.98</v>
      </c>
      <c r="K778" s="77">
        <f ca="1">IF(I778&gt;0,J778*100/I778,0)</f>
        <v>8.4155585084271749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IFERROR(__xludf.DUMMYFUNCTION("IMPORTRANGE(""https://docs.google.com/spreadsheets/d/10OvvATaaLtwErnr3qtWFcTmtbfpFEt5Bsqel9sXx0uE/edit?usp=sharing"",""งานกองทุน!C64"")"),208)</f>
        <v>208</v>
      </c>
      <c r="J779" s="295">
        <f ca="1">IFERROR(__xludf.DUMMYFUNCTION("IMPORTRANGE(""https://docs.google.com/spreadsheets/d/10OvvATaaLtwErnr3qtWFcTmtbfpFEt5Bsqel9sXx0uE/edit?usp=sharing"",""งานกองทุน!E64"")"),12)</f>
        <v>12</v>
      </c>
      <c r="K779" s="77">
        <f ca="1">IF(I779&gt;0,J779*100/I779,0)</f>
        <v>5.7692307692307692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IFERROR(__xludf.DUMMYFUNCTION("IMPORTRANGE(""https://docs.google.com/spreadsheets/d/10OvvATaaLtwErnr3qtWFcTmtbfpFEt5Bsqel9sXx0uE/edit?usp=sharing"",""งานกองทุน!I64"")"),3808405.89)</f>
        <v>3808405.89</v>
      </c>
      <c r="J780" s="295">
        <f ca="1">IFERROR(__xludf.DUMMYFUNCTION("IMPORTRANGE(""https://docs.google.com/spreadsheets/d/10OvvATaaLtwErnr3qtWFcTmtbfpFEt5Bsqel9sXx0uE/edit?usp=sharing"",""งานกองทุน!K64"")"),333361.3)</f>
        <v>333361.3</v>
      </c>
      <c r="K780" s="77">
        <f ca="1">IF(I780&gt;0,J780*100/I780,0)</f>
        <v>8.7533028156302954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IFERROR(__xludf.DUMMYFUNCTION("IMPORTRANGE(""https://docs.google.com/spreadsheets/d/10OvvATaaLtwErnr3qtWFcTmtbfpFEt5Bsqel9sXx0uE/edit?usp=sharing"",""งานกองทุน!H64"")"),119)</f>
        <v>119</v>
      </c>
      <c r="J781" s="295">
        <f ca="1">IFERROR(__xludf.DUMMYFUNCTION("IMPORTRANGE(""https://docs.google.com/spreadsheets/d/10OvvATaaLtwErnr3qtWFcTmtbfpFEt5Bsqel9sXx0uE/edit?usp=sharing"",""งานกองทุน!J64"")"),29)</f>
        <v>29</v>
      </c>
      <c r="K781" s="77">
        <f ca="1">IF(I781&gt;0,J781*100/I781,0)</f>
        <v>24.369747899159663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IFERROR(__xludf.DUMMYFUNCTION("IMPORTRANGE(""https://docs.google.com/spreadsheets/d/10OvvATaaLtwErnr3qtWFcTmtbfpFEt5Bsqel9sXx0uE/edit?usp=sharing"",""งานกองทุน!N64"")"),1210051.25)</f>
        <v>1210051.25</v>
      </c>
      <c r="J782" s="295">
        <f ca="1">IFERROR(__xludf.DUMMYFUNCTION("IMPORTRANGE(""https://docs.google.com/spreadsheets/d/10OvvATaaLtwErnr3qtWFcTmtbfpFEt5Bsqel9sXx0uE/edit?usp=sharing"",""งานกองทุน!P64"")"),517943.1)</f>
        <v>517943.1</v>
      </c>
      <c r="K782" s="77">
        <f ca="1">IF(I782&gt;0,J782*100/I782,0)</f>
        <v>42.803401922026033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IFERROR(__xludf.DUMMYFUNCTION("IMPORTRANGE(""https://docs.google.com/spreadsheets/d/10OvvATaaLtwErnr3qtWFcTmtbfpFEt5Bsqel9sXx0uE/edit?usp=sharing"",""งานกองทุน!M64"")"),1421)</f>
        <v>1421</v>
      </c>
      <c r="J783" s="295">
        <f ca="1">IFERROR(__xludf.DUMMYFUNCTION("IMPORTRANGE(""https://docs.google.com/spreadsheets/d/10OvvATaaLtwErnr3qtWFcTmtbfpFEt5Bsqel9sXx0uE/edit?usp=sharing"",""งานกองทุน!O64"")"),1188)</f>
        <v>1188</v>
      </c>
      <c r="K783" s="77">
        <f ca="1">IF(I783&gt;0,J783*100/I783,0)</f>
        <v>83.603096410978182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IFERROR(__xludf.DUMMYFUNCTION("IMPORTRANGE(""https://docs.google.com/spreadsheets/d/10OvvATaaLtwErnr3qtWFcTmtbfpFEt5Bsqel9sXx0uE/edit?usp=sharing"",""งานกองทุน!S64"")"),1092000)</f>
        <v>1092000</v>
      </c>
      <c r="J784" s="295">
        <f ca="1">IFERROR(__xludf.DUMMYFUNCTION("IMPORTRANGE(""https://docs.google.com/spreadsheets/d/10OvvATaaLtwErnr3qtWFcTmtbfpFEt5Bsqel9sXx0uE/edit?usp=sharing"",""งานกองทุน!U64"")"),410000)</f>
        <v>410000</v>
      </c>
      <c r="K784" s="77">
        <f ca="1">IF(I784&gt;0,J784*100/I784,0)</f>
        <v>37.545787545787547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IFERROR(__xludf.DUMMYFUNCTION("IMPORTRANGE(""https://docs.google.com/spreadsheets/d/10OvvATaaLtwErnr3qtWFcTmtbfpFEt5Bsqel9sXx0uE/edit?usp=sharing"",""งานกองทุน!R64"")"),39)</f>
        <v>39</v>
      </c>
      <c r="J785" s="773">
        <f ca="1">IFERROR(__xludf.DUMMYFUNCTION("IMPORTRANGE(""https://docs.google.com/spreadsheets/d/10OvvATaaLtwErnr3qtWFcTmtbfpFEt5Bsqel9sXx0uE/edit?usp=sharing"",""งานกองทุน!T64"")"),9)</f>
        <v>9</v>
      </c>
      <c r="K785" s="185">
        <f ca="1">IF(I785&gt;0,J785*100/I785,0)</f>
        <v>23.076923076923077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2587-F4FB-46A6-A11E-82D905202B86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  <col min="17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351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1329380</v>
      </c>
      <c r="M18" s="62">
        <f ca="1">M19+M20</f>
        <v>1341443.18</v>
      </c>
      <c r="N18" s="62">
        <f ca="1">N19+N20</f>
        <v>912692.26</v>
      </c>
      <c r="O18" s="62">
        <f ca="1">IF(L18&gt;0,N18*100/L18,0)</f>
        <v>68.655483007116104</v>
      </c>
      <c r="P18" s="62">
        <f ca="1">IF(M18&gt;0,N18*100/M18,0)</f>
        <v>68.038085668302401</v>
      </c>
      <c r="Q18" s="62">
        <f ca="1">Q19+Q20</f>
        <v>596912</v>
      </c>
      <c r="R18" s="62">
        <f ca="1">R19+R20</f>
        <v>596912</v>
      </c>
      <c r="S18" s="62">
        <f ca="1">S19+S20</f>
        <v>189186</v>
      </c>
      <c r="T18" s="62">
        <f ca="1">IF(Q18&gt;0,S18*100/Q18,0)</f>
        <v>31.694119066127001</v>
      </c>
      <c r="U18" s="62">
        <f ca="1">IF(R18&gt;0,S18*100/R18,0)</f>
        <v>31.694119066127001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1329380</v>
      </c>
      <c r="M20" s="68">
        <f ca="1">M23+M26</f>
        <v>1341443.18</v>
      </c>
      <c r="N20" s="68">
        <f ca="1">N23+N26</f>
        <v>912692.26</v>
      </c>
      <c r="O20" s="68">
        <f ca="1">IF(L20&gt;0,N20*100/L20,0)</f>
        <v>68.655483007116104</v>
      </c>
      <c r="P20" s="68">
        <f ca="1">IF(M20&gt;0,N20*100/M20,0)</f>
        <v>68.038085668302401</v>
      </c>
      <c r="Q20" s="68">
        <f ca="1">Q23+Q26</f>
        <v>596912</v>
      </c>
      <c r="R20" s="68">
        <f ca="1">R23+R26</f>
        <v>596912</v>
      </c>
      <c r="S20" s="68">
        <f ca="1">S23+S26</f>
        <v>189186</v>
      </c>
      <c r="T20" s="68">
        <f ca="1">IF(Q20&gt;0,S20*100/Q20,0)</f>
        <v>31.694119066127001</v>
      </c>
      <c r="U20" s="68">
        <f ca="1">IF(R20&gt;0,S20*100/R20,0)</f>
        <v>31.694119066127001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1329380</v>
      </c>
      <c r="M21" s="77">
        <f ca="1">M22+M23</f>
        <v>1341443.18</v>
      </c>
      <c r="N21" s="77">
        <f ca="1">N22+N23</f>
        <v>912692.26</v>
      </c>
      <c r="O21" s="77">
        <f ca="1">IF(L21&gt;0,N21*100/L21,0)</f>
        <v>68.655483007116104</v>
      </c>
      <c r="P21" s="77">
        <f ca="1">IF(M21&gt;0,N21*100/M21,0)</f>
        <v>68.038085668302401</v>
      </c>
      <c r="Q21" s="77">
        <f ca="1">Q22+Q23</f>
        <v>596912</v>
      </c>
      <c r="R21" s="77">
        <f ca="1">R22+R23</f>
        <v>596912</v>
      </c>
      <c r="S21" s="77">
        <f ca="1">S22+S23</f>
        <v>189186</v>
      </c>
      <c r="T21" s="77">
        <f ca="1">IF(Q21&gt;0,S21*100/Q21,0)</f>
        <v>31.694119066127001</v>
      </c>
      <c r="U21" s="77">
        <f ca="1">IF(R21&gt;0,S21*100/R21,0)</f>
        <v>31.694119066127001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1329380</v>
      </c>
      <c r="M23" s="77">
        <f ca="1">M49+M64+M77+M99+M130+M144+M162+M191+M178+M271+M287+M308+M325+M338+M361+M518</f>
        <v>1341443.18</v>
      </c>
      <c r="N23" s="77">
        <f ca="1">N49+N64+N77+N99+N130+N144+N162+N191+N178+N271+N287+N308+N325+N338+N361+N518</f>
        <v>912692.26</v>
      </c>
      <c r="O23" s="77">
        <f ca="1">IF(L23&gt;0,N23*100/L23,0)</f>
        <v>68.655483007116104</v>
      </c>
      <c r="P23" s="77">
        <f ca="1">IF(M23&gt;0,N23*100/M23,0)</f>
        <v>68.038085668302401</v>
      </c>
      <c r="Q23" s="77">
        <f ca="1">Q77+Q99+Q122+Q144+Q162+Q178+Q191+Q271+Q287+Q308+Q338+Q380+Q397+Q418+Q498+Q604+Q621+Q647+Q695+Q719+Q733+Q765</f>
        <v>596912</v>
      </c>
      <c r="R23" s="77">
        <f ca="1">R77+R99+R122+R144+R162+R178+R191+R271+R287+R308+R338+R380+R397+R418+R498+R604+R621+R647+R695+R719+R733+R765</f>
        <v>596912</v>
      </c>
      <c r="S23" s="77">
        <f ca="1">S77+S99+S122+S144+S162+S178+S191+S271+S287+S308+S338+S380+S397+S418+S498+S604+S621+S647+S695+S719+S733+S765</f>
        <v>189186</v>
      </c>
      <c r="T23" s="77">
        <f ca="1">IF(Q23&gt;0,S23*100/Q23,0)</f>
        <v>31.694119066127001</v>
      </c>
      <c r="U23" s="77">
        <f ca="1">IF(R23&gt;0,S23*100/R23,0)</f>
        <v>31.694119066127001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1329380</v>
      </c>
      <c r="M40" s="1308">
        <f ca="1">M44+M59+M72+M94+M125+M139+M157+M173+M186+M266+M282+M303+M320+M333+M356</f>
        <v>1341443.18</v>
      </c>
      <c r="N40" s="1308">
        <f ca="1">N44+N59+N72+N94+N125+N139+N157+N173+N186+N266+N282+N303+N320+N333+N356</f>
        <v>912692.26</v>
      </c>
      <c r="O40" s="1308">
        <f ca="1">IF(L40&gt;0,N40*100/L40,0)</f>
        <v>68.655483007116104</v>
      </c>
      <c r="P40" s="1308">
        <f ca="1">IF(M40&gt;0,N40*100/M40,0)</f>
        <v>68.038085668302401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239400</v>
      </c>
      <c r="M44" s="1304">
        <f ca="1">M45+M46</f>
        <v>247953.18</v>
      </c>
      <c r="N44" s="1304">
        <f ca="1">N45+N46</f>
        <v>135160</v>
      </c>
      <c r="O44" s="1304">
        <f ca="1">IF(L44&gt;0,N44*100/L44,0)</f>
        <v>56.457811194653303</v>
      </c>
      <c r="P44" s="1304">
        <f ca="1">IF(M44&gt;0,N44*100/M44,0)</f>
        <v>54.51029101542477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239400</v>
      </c>
      <c r="M46" s="1300">
        <f ca="1">M49+M52</f>
        <v>247953.18</v>
      </c>
      <c r="N46" s="1300">
        <f ca="1">N49+N52</f>
        <v>135160</v>
      </c>
      <c r="O46" s="1300">
        <f ca="1">IF(L46&gt;0,N46*100/L46,0)</f>
        <v>56.457811194653303</v>
      </c>
      <c r="P46" s="1300">
        <f ca="1">IF(M46&gt;0,N46*100/M46,0)</f>
        <v>54.51029101542477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239400</v>
      </c>
      <c r="M47" s="77">
        <f ca="1">M48+M49</f>
        <v>247953.18</v>
      </c>
      <c r="N47" s="77">
        <f ca="1">N48+N49</f>
        <v>135160</v>
      </c>
      <c r="O47" s="77">
        <f ca="1">IF(L47&gt;0,N47*100/L47,0)</f>
        <v>56.457811194653303</v>
      </c>
      <c r="P47" s="77">
        <f ca="1">IF(M47&gt;0,N47*100/M47,0)</f>
        <v>54.51029101542477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IFERROR(__xludf.DUMMYFUNCTION("IMPORTRANGE(""https://docs.google.com/spreadsheets/d/1-uDff_7J0KD5mKrp0Vvzr7lt3OU09vwQwhkpOPPYv2Y/edit?usp=sharing"",""งบพรบ!P65"")"),239400)</f>
        <v>239400</v>
      </c>
      <c r="M49" s="77">
        <f ca="1">IFERROR(__xludf.DUMMYFUNCTION("IMPORTRANGE(""https://docs.google.com/spreadsheets/d/1-uDff_7J0KD5mKrp0Vvzr7lt3OU09vwQwhkpOPPYv2Y/edit?usp=sharing"",""งบพรบ!V65"")"),247953.18)</f>
        <v>247953.18</v>
      </c>
      <c r="N49" s="77">
        <f ca="1">IFERROR(__xludf.DUMMYFUNCTION("IMPORTRANGE(""https://docs.google.com/spreadsheets/d/1-uDff_7J0KD5mKrp0Vvzr7lt3OU09vwQwhkpOPPYv2Y/edit?usp=sharing"",""งบพรบ!Y65"")"),135160)</f>
        <v>135160</v>
      </c>
      <c r="O49" s="77">
        <f ca="1">IF(L49&gt;0,N49*100/L49,0)</f>
        <v>56.457811194653303</v>
      </c>
      <c r="P49" s="77">
        <f ca="1">IF(M49&gt;0,N49*100/M49,0)</f>
        <v>54.51029101542477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IFERROR(__xludf.DUMMYFUNCTION("IMPORTRANGE(""https://docs.google.com/spreadsheets/d/1-uDff_7J0KD5mKrp0Vvzr7lt3OU09vwQwhkpOPPYv2Y/edit?usp=sharing"",""งบพรบ!S65"")"),0)</f>
        <v>0</v>
      </c>
      <c r="M52" s="77">
        <f ca="1">IFERROR(__xludf.DUMMYFUNCTION("IMPORTRANGE(""https://docs.google.com/spreadsheets/d/1-uDff_7J0KD5mKrp0Vvzr7lt3OU09vwQwhkpOPPYv2Y/edit?usp=sharing"",""งบพรบ!W65"")"),0)</f>
        <v>0</v>
      </c>
      <c r="N52" s="77">
        <f ca="1">IFERROR(__xludf.DUMMYFUNCTION("IMPORTRANGE(""https://docs.google.com/spreadsheets/d/1-uDff_7J0KD5mKrp0Vvzr7lt3OU09vwQwhkpOPPYv2Y/edit?usp=sharing"",""งบพรบ!Z65"")"),0)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465300</v>
      </c>
      <c r="M59" s="1297">
        <f ca="1">M60+M61</f>
        <v>465300</v>
      </c>
      <c r="N59" s="1297">
        <f ca="1">N60+N61</f>
        <v>383352.04</v>
      </c>
      <c r="O59" s="1297">
        <f ca="1">IF(L59&gt;0,N59*100/L59,0)</f>
        <v>82.388145282613365</v>
      </c>
      <c r="P59" s="1297">
        <f ca="1">IF(M59&gt;0,N59*100/M59,0)</f>
        <v>82.388145282613365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465300</v>
      </c>
      <c r="M61" s="1293">
        <f ca="1">M64+M67</f>
        <v>465300</v>
      </c>
      <c r="N61" s="1293">
        <f ca="1">N64+N67</f>
        <v>383352.04</v>
      </c>
      <c r="O61" s="1293">
        <f ca="1">IF(L61&gt;0,N61*100/L61,0)</f>
        <v>82.388145282613365</v>
      </c>
      <c r="P61" s="1293">
        <f ca="1">IF(M61&gt;0,N61*100/M61,0)</f>
        <v>82.388145282613365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465300</v>
      </c>
      <c r="M62" s="77">
        <f ca="1">M63+M64</f>
        <v>465300</v>
      </c>
      <c r="N62" s="77">
        <f ca="1">N63+N64</f>
        <v>383352.04</v>
      </c>
      <c r="O62" s="77">
        <f ca="1">IF(L62&gt;0,N62*100/L62,0)</f>
        <v>82.388145282613365</v>
      </c>
      <c r="P62" s="77">
        <f ca="1">IF(M62&gt;0,N62*100/M62,0)</f>
        <v>82.388145282613365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IFERROR(__xludf.DUMMYFUNCTION("IMPORTRANGE(""https://docs.google.com/spreadsheets/d/1-uDff_7J0KD5mKrp0Vvzr7lt3OU09vwQwhkpOPPYv2Y/edit?usp=sharing"",""งบพรบ!AC65"")"),465300)</f>
        <v>465300</v>
      </c>
      <c r="M64" s="77">
        <f ca="1">IFERROR(__xludf.DUMMYFUNCTION("IMPORTRANGE(""https://docs.google.com/spreadsheets/d/1-uDff_7J0KD5mKrp0Vvzr7lt3OU09vwQwhkpOPPYv2Y/edit?usp=sharing"",""งบพรบ!AH65"")"),465300)</f>
        <v>465300</v>
      </c>
      <c r="N64" s="77">
        <f ca="1">IFERROR(__xludf.DUMMYFUNCTION("IMPORTRANGE(""https://docs.google.com/spreadsheets/d/1-uDff_7J0KD5mKrp0Vvzr7lt3OU09vwQwhkpOPPYv2Y/edit?usp=sharing"",""งบพรบ!AJ65"")"),383352.04)</f>
        <v>383352.04</v>
      </c>
      <c r="O64" s="77">
        <f ca="1">IF(L64&gt;0,N64*100/L64,0)</f>
        <v>82.388145282613365</v>
      </c>
      <c r="P64" s="77">
        <f ca="1">IF(M64&gt;0,N64*100/M64,0)</f>
        <v>82.388145282613365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IFERROR(__xludf.DUMMYFUNCTION("IMPORTRANGE(""https://docs.google.com/spreadsheets/d/1-uDff_7J0KD5mKrp0Vvzr7lt3OU09vwQwhkpOPPYv2Y/edit?usp=sharing"",""งบพรบ!AF65"")"),0)</f>
        <v>0</v>
      </c>
      <c r="M67" s="185">
        <f ca="1">IFERROR(__xludf.DUMMYFUNCTION("IMPORTRANGE(""https://docs.google.com/spreadsheets/d/1-uDff_7J0KD5mKrp0Vvzr7lt3OU09vwQwhkpOPPYv2Y/edit?usp=sharing"",""งบพรบ!AI65"")"),0)</f>
        <v>0</v>
      </c>
      <c r="N67" s="185">
        <f ca="1">IFERROR(__xludf.DUMMYFUNCTION("IMPORTRANGE(""https://docs.google.com/spreadsheets/d/1-uDff_7J0KD5mKrp0Vvzr7lt3OU09vwQwhkpOPPYv2Y/edit?usp=sharing"",""งบพรบ!AK65"")"),0)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IFERROR(__xludf.DUMMYFUNCTION("IMPORTRANGE(""https://docs.google.com/spreadsheets/d/1-uDff_7J0KD5mKrp0Vvzr7lt3OU09vwQwhkpOPPYv2Y/edit?usp=sharing"",""งบพรบ!AM65"")"),0)</f>
        <v>0</v>
      </c>
      <c r="M77" s="77">
        <f ca="1">IFERROR(__xludf.DUMMYFUNCTION("IMPORTRANGE(""https://docs.google.com/spreadsheets/d/1-uDff_7J0KD5mKrp0Vvzr7lt3OU09vwQwhkpOPPYv2Y/edit?usp=sharing"",""งบพรบ!AR65"")"),0)</f>
        <v>0</v>
      </c>
      <c r="N77" s="77">
        <f ca="1">IFERROR(__xludf.DUMMYFUNCTION("IMPORTRANGE(""https://docs.google.com/spreadsheets/d/1-uDff_7J0KD5mKrp0Vvzr7lt3OU09vwQwhkpOPPYv2Y/edit?usp=sharing"",""งบพรบ!AT65"")"),0)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IFERROR(__xludf.DUMMYFUNCTION("IMPORTRANGE(""https://docs.google.com/spreadsheets/d/1ItG2mGa2ceCfYo0BwxsXqNm01IGEUdYcSSLTEv9YCik/edit?usp=sharing"",""เบิกจ่ายกองทุน!AS65"")"),0)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IFERROR(__xludf.DUMMYFUNCTION("IMPORTRANGE(""https://docs.google.com/spreadsheets/d/1ItG2mGa2ceCfYo0BwxsXqNm01IGEUdYcSSLTEv9YCik/edit?usp=sharing"",""เบิกจ่ายกองทุน!AT65"")"),0)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IFERROR(__xludf.DUMMYFUNCTION("IMPORTRANGE(""https://docs.google.com/spreadsheets/d/1ItG2mGa2ceCfYo0BwxsXqNm01IGEUdYcSSLTEv9YCik/edit?usp=sharing"",""เบิกจ่ายกองทุน!AU65"")"),0)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IFERROR(__xludf.DUMMYFUNCTION("IMPORTRANGE(""https://docs.google.com/spreadsheets/d/1-uDff_7J0KD5mKrp0Vvzr7lt3OU09vwQwhkpOPPYv2Y/edit?usp=sharing"",""งบพรบ!AP65"")"),0)</f>
        <v>0</v>
      </c>
      <c r="M80" s="77">
        <f ca="1">IFERROR(__xludf.DUMMYFUNCTION("IMPORTRANGE(""https://docs.google.com/spreadsheets/d/1-uDff_7J0KD5mKrp0Vvzr7lt3OU09vwQwhkpOPPYv2Y/edit?usp=sharing"",""งบพรบ!AS65"")"),0)</f>
        <v>0</v>
      </c>
      <c r="N80" s="77">
        <f ca="1">IFERROR(__xludf.DUMMYFUNCTION("IMPORTRANGE(""https://docs.google.com/spreadsheets/d/1-uDff_7J0KD5mKrp0Vvzr7lt3OU09vwQwhkpOPPYv2Y/edit?usp=sharing"",""งบพรบ!AU65"")"),0)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IFERROR(__xludf.DUMMYFUNCTION("IMPORTRANGE(""https://docs.google.com/spreadsheets/d/1eHaY18a8A9IcSdp1K8H6x8fbOy06t2VsZHhMHf-1x7Y/edit?usp=sharing"",""แผน!H65"")"),0)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IFERROR(__xludf.DUMMYFUNCTION("IMPORTRANGE(""https://docs.google.com/spreadsheets/d/1eHaY18a8A9IcSdp1K8H6x8fbOy06t2VsZHhMHf-1x7Y/edit?usp=sharing"",""แผน!I65"")"),0)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IFERROR(__xludf.DUMMYFUNCTION("IMPORTRANGE(""https://docs.google.com/spreadsheets/d/1eHaY18a8A9IcSdp1K8H6x8fbOy06t2VsZHhMHf-1x7Y/edit?usp=sharing"",""แผน!F65"")"),0)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IFERROR(__xludf.DUMMYFUNCTION("IMPORTRANGE(""https://docs.google.com/spreadsheets/d/1eHaY18a8A9IcSdp1K8H6x8fbOy06t2VsZHhMHf-1x7Y/edit?usp=sharing"",""แผน!G65"")"),0)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IFERROR(__xludf.DUMMYFUNCTION("IMPORTRANGE(""https://docs.google.com/spreadsheets/d/1eHaY18a8A9IcSdp1K8H6x8fbOy06t2VsZHhMHf-1x7Y/edit?usp=sharing"",""แผน!D65"")"),0)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IFERROR(__xludf.DUMMYFUNCTION("IMPORTRANGE(""https://docs.google.com/spreadsheets/d/1eHaY18a8A9IcSdp1K8H6x8fbOy06t2VsZHhMHf-1x7Y/edit?usp=sharing"",""แผน!E65"")"),0)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IFERROR(__xludf.DUMMYFUNCTION("IMPORTRANGE(""https://docs.google.com/spreadsheets/d/1eHaY18a8A9IcSdp1K8H6x8fbOy06t2VsZHhMHf-1x7Y/edit?usp=sharing"",""แผน!J65"")"),0)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30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10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84420</v>
      </c>
      <c r="R94" s="266">
        <f ca="1">R95+R96</f>
        <v>84420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84420</v>
      </c>
      <c r="R96" s="77">
        <f ca="1">R99+R102</f>
        <v>84420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84420</v>
      </c>
      <c r="R97" s="77">
        <f ca="1">R98+R99</f>
        <v>84420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IFERROR(__xludf.DUMMYFUNCTION("IMPORTRANGE(""https://docs.google.com/spreadsheets/d/1-uDff_7J0KD5mKrp0Vvzr7lt3OU09vwQwhkpOPPYv2Y/edit?usp=sharing"",""งบพรบ!AW65"")"),0)</f>
        <v>0</v>
      </c>
      <c r="M99" s="77">
        <f ca="1">IFERROR(__xludf.DUMMYFUNCTION("IMPORTRANGE(""https://docs.google.com/spreadsheets/d/1-uDff_7J0KD5mKrp0Vvzr7lt3OU09vwQwhkpOPPYv2Y/edit?usp=sharing"",""งบพรบ!BB65"")"),0)</f>
        <v>0</v>
      </c>
      <c r="N99" s="77">
        <f ca="1">IFERROR(__xludf.DUMMYFUNCTION("IMPORTRANGE(""https://docs.google.com/spreadsheets/d/1-uDff_7J0KD5mKrp0Vvzr7lt3OU09vwQwhkpOPPYv2Y/edit?usp=sharing"",""งบพรบ!BD65"")"),0)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IFERROR(__xludf.DUMMYFUNCTION("IMPORTRANGE(""https://docs.google.com/spreadsheets/d/1ItG2mGa2ceCfYo0BwxsXqNm01IGEUdYcSSLTEv9YCik/edit?usp=sharing"",""เบิกจ่ายกองทุน!AD65"")"),84420)</f>
        <v>84420</v>
      </c>
      <c r="R99" s="77">
        <f ca="1">IFERROR(__xludf.DUMMYFUNCTION("IMPORTRANGE(""https://docs.google.com/spreadsheets/d/1ItG2mGa2ceCfYo0BwxsXqNm01IGEUdYcSSLTEv9YCik/edit?usp=sharing"",""เบิกจ่ายกองทุน!AE65"")"),84420)</f>
        <v>84420</v>
      </c>
      <c r="S99" s="77">
        <f ca="1">IFERROR(__xludf.DUMMYFUNCTION("IMPORTRANGE(""https://docs.google.com/spreadsheets/d/1ItG2mGa2ceCfYo0BwxsXqNm01IGEUdYcSSLTEv9YCik/edit?usp=sharing"",""เบิกจ่ายกองทุน!AF65"")"),0)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IFERROR(__xludf.DUMMYFUNCTION("IMPORTRANGE(""https://docs.google.com/spreadsheets/d/1-uDff_7J0KD5mKrp0Vvzr7lt3OU09vwQwhkpOPPYv2Y/edit?usp=sharing"",""งบพรบ!AZ65"")"),0)</f>
        <v>0</v>
      </c>
      <c r="M102" s="77">
        <f ca="1">IFERROR(__xludf.DUMMYFUNCTION("IMPORTRANGE(""https://docs.google.com/spreadsheets/d/1-uDff_7J0KD5mKrp0Vvzr7lt3OU09vwQwhkpOPPYv2Y/edit?usp=sharing"",""งบพรบ!BC65"")"),0)</f>
        <v>0</v>
      </c>
      <c r="N102" s="77">
        <f ca="1">IFERROR(__xludf.DUMMYFUNCTION("IMPORTRANGE(""https://docs.google.com/spreadsheets/d/1-uDff_7J0KD5mKrp0Vvzr7lt3OU09vwQwhkpOPPYv2Y/edit?usp=sharing"",""งบพรบ!BE65"")"),0)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IFERROR(__xludf.DUMMYFUNCTION("IMPORTRANGE(""https://docs.google.com/spreadsheets/d/1eHaY18a8A9IcSdp1K8H6x8fbOy06t2VsZHhMHf-1x7Y/edit?usp=sharing"",""แผน!N65"")"),30)</f>
        <v>30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IFERROR(__xludf.DUMMYFUNCTION("IMPORTRANGE(""https://docs.google.com/spreadsheets/d/1eHaY18a8A9IcSdp1K8H6x8fbOy06t2VsZHhMHf-1x7Y/edit?usp=sharing"",""แผน!O65"")"),10)</f>
        <v>10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544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IFERROR(__xludf.DUMMYFUNCTION("IMPORTRANGE(""https://docs.google.com/spreadsheets/d/1eHaY18a8A9IcSdp1K8H6x8fbOy06t2VsZHhMHf-1x7Y/edit?usp=sharing"",""แผน!N65"")"),30)</f>
        <v>30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IFERROR(__xludf.DUMMYFUNCTION("IMPORTRANGE(""https://docs.google.com/spreadsheets/d/1eHaY18a8A9IcSdp1K8H6x8fbOy06t2VsZHhMHf-1x7Y/edit?usp=sharing"",""แผน!O65"")"),10)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30</v>
      </c>
      <c r="J116" s="258">
        <f>J127</f>
        <v>30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249180</v>
      </c>
      <c r="R117" s="266">
        <f ca="1">R118+R119</f>
        <v>249180</v>
      </c>
      <c r="S117" s="266">
        <f ca="1">S118+S119</f>
        <v>138246</v>
      </c>
      <c r="T117" s="266">
        <f ca="1">IF(Q117&gt;0,S117*100/Q117,0)</f>
        <v>55.480375632073198</v>
      </c>
      <c r="U117" s="266">
        <f ca="1">IF(R117&gt;0,S117*100/R117,0)</f>
        <v>55.480375632073198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249180</v>
      </c>
      <c r="R119" s="77">
        <f ca="1">R122+R125</f>
        <v>249180</v>
      </c>
      <c r="S119" s="77">
        <f ca="1">S122+S125</f>
        <v>138246</v>
      </c>
      <c r="T119" s="77">
        <f ca="1">IF(Q119&gt;0,S119*100/Q119,0)</f>
        <v>55.480375632073198</v>
      </c>
      <c r="U119" s="77">
        <f ca="1">IF(R119&gt;0,S119*100/R119,0)</f>
        <v>55.480375632073198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249180</v>
      </c>
      <c r="R120" s="77">
        <f ca="1">R121+R122</f>
        <v>249180</v>
      </c>
      <c r="S120" s="77">
        <f ca="1">S121+S122</f>
        <v>138246</v>
      </c>
      <c r="T120" s="77">
        <f ca="1">IF(Q120&gt;0,S120*100/Q120,0)</f>
        <v>55.480375632073198</v>
      </c>
      <c r="U120" s="77">
        <f ca="1">IF(R120&gt;0,S120*100/R120,0)</f>
        <v>55.480375632073198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IFERROR(__xludf.DUMMYFUNCTION("IMPORTRANGE(""https://docs.google.com/spreadsheets/d/1-uDff_7J0KD5mKrp0Vvzr7lt3OU09vwQwhkpOPPYv2Y/edit?usp=sharing"",""งบพรบ!BG65"")"),0)</f>
        <v>0</v>
      </c>
      <c r="M122" s="77">
        <f ca="1">IFERROR(__xludf.DUMMYFUNCTION("IMPORTRANGE(""https://docs.google.com/spreadsheets/d/1-uDff_7J0KD5mKrp0Vvzr7lt3OU09vwQwhkpOPPYv2Y/edit?usp=sharing"",""งบพรบ!BL65"")"),0)</f>
        <v>0</v>
      </c>
      <c r="N122" s="77">
        <f ca="1">IFERROR(__xludf.DUMMYFUNCTION("IMPORTRANGE(""https://docs.google.com/spreadsheets/d/1-uDff_7J0KD5mKrp0Vvzr7lt3OU09vwQwhkpOPPYv2Y/edit?usp=sharing"",""งบพรบ!BN65"")"),0)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IFERROR(__xludf.DUMMYFUNCTION("IMPORTRANGE(""https://docs.google.com/spreadsheets/d/1ItG2mGa2ceCfYo0BwxsXqNm01IGEUdYcSSLTEv9YCik/edit?usp=sharing"",""เบิกจ่ายกองทุน!R65"")"),249180)</f>
        <v>249180</v>
      </c>
      <c r="R122" s="77">
        <f ca="1">IFERROR(__xludf.DUMMYFUNCTION("IMPORTRANGE(""https://docs.google.com/spreadsheets/d/1ItG2mGa2ceCfYo0BwxsXqNm01IGEUdYcSSLTEv9YCik/edit?usp=sharing"",""เบิกจ่ายกองทุน!S65"")"),249180)</f>
        <v>249180</v>
      </c>
      <c r="S122" s="77">
        <f ca="1">IFERROR(__xludf.DUMMYFUNCTION("IMPORTRANGE(""https://docs.google.com/spreadsheets/d/1ItG2mGa2ceCfYo0BwxsXqNm01IGEUdYcSSLTEv9YCik/edit?usp=sharing"",""เบิกจ่ายกองทุน!T65"")"),138246)</f>
        <v>138246</v>
      </c>
      <c r="T122" s="77">
        <f ca="1">IF(Q122&gt;0,S122*100/Q122,0)</f>
        <v>55.480375632073198</v>
      </c>
      <c r="U122" s="77">
        <f ca="1">IF(R122&gt;0,S122*100/R122,0)</f>
        <v>55.480375632073198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IFERROR(__xludf.DUMMYFUNCTION("IMPORTRANGE(""https://docs.google.com/spreadsheets/d/1-uDff_7J0KD5mKrp0Vvzr7lt3OU09vwQwhkpOPPYv2Y/edit?usp=sharing"",""งบพรบ!BJ65"")"),0)</f>
        <v>0</v>
      </c>
      <c r="M125" s="77">
        <f ca="1">IFERROR(__xludf.DUMMYFUNCTION("IMPORTRANGE(""https://docs.google.com/spreadsheets/d/1-uDff_7J0KD5mKrp0Vvzr7lt3OU09vwQwhkpOPPYv2Y/edit?usp=sharing"",""งบพรบ!BM65"")"),0)</f>
        <v>0</v>
      </c>
      <c r="N125" s="77">
        <f ca="1">IFERROR(__xludf.DUMMYFUNCTION("IMPORTRANGE(""https://docs.google.com/spreadsheets/d/1-uDff_7J0KD5mKrp0Vvzr7lt3OU09vwQwhkpOPPYv2Y/edit?usp=sharing"",""งบพรบ!BO65"")"),0)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IFERROR(__xludf.DUMMYFUNCTION("IMPORTRANGE(""https://docs.google.com/spreadsheets/d/1eHaY18a8A9IcSdp1K8H6x8fbOy06t2VsZHhMHf-1x7Y/edit?usp=sharing"",""แผน!FF65"")"),30)</f>
        <v>30</v>
      </c>
      <c r="J127" s="296">
        <v>30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IFERROR(__xludf.DUMMYFUNCTION("IMPORTRANGE(""https://docs.google.com/spreadsheets/d/1eHaY18a8A9IcSdp1K8H6x8fbOy06t2VsZHhMHf-1x7Y/edit?usp=sharing"",""แผน!FG65"")"),0)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IFERROR(__xludf.DUMMYFUNCTION("IMPORTRANGE(""https://docs.google.com/spreadsheets/d/1eHaY18a8A9IcSdp1K8H6x8fbOy06t2VsZHhMHf-1x7Y/edit?usp=sharing"",""แผน!FH65"")"),30)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IFERROR(__xludf.DUMMYFUNCTION("IMPORTRANGE(""https://docs.google.com/spreadsheets/d/1eHaY18a8A9IcSdp1K8H6x8fbOy06t2VsZHhMHf-1x7Y/edit?usp=sharing"",""แผน!FI65"")"),0)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1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10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1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115300</v>
      </c>
      <c r="M139" s="266">
        <f ca="1">M140+M141</f>
        <v>110300</v>
      </c>
      <c r="N139" s="266">
        <f ca="1">N140+N141</f>
        <v>68382.22</v>
      </c>
      <c r="O139" s="266">
        <f ca="1">IF(L139&gt;0,N139*100/L139,0)</f>
        <v>59.308083261058108</v>
      </c>
      <c r="P139" s="266">
        <f ca="1">IF(M139&gt;0,N139*100/M139,0)</f>
        <v>61.996572982774254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115300</v>
      </c>
      <c r="M141" s="77">
        <f ca="1">M144+M147</f>
        <v>110300</v>
      </c>
      <c r="N141" s="77">
        <f ca="1">N144+N147</f>
        <v>68382.22</v>
      </c>
      <c r="O141" s="77">
        <f ca="1">IF(L141&gt;0,N141*100/L141,0)</f>
        <v>59.308083261058108</v>
      </c>
      <c r="P141" s="77">
        <f ca="1">IF(M141&gt;0,N141*100/M141,0)</f>
        <v>61.996572982774254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115300</v>
      </c>
      <c r="M142" s="77">
        <f ca="1">M143+M144</f>
        <v>110300</v>
      </c>
      <c r="N142" s="77">
        <f ca="1">N143+N144</f>
        <v>68382.22</v>
      </c>
      <c r="O142" s="77">
        <f ca="1">IF(L142&gt;0,N142*100/L142,0)</f>
        <v>59.308083261058108</v>
      </c>
      <c r="P142" s="77">
        <f ca="1">IF(M142&gt;0,N142*100/M142,0)</f>
        <v>61.996572982774254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IFERROR(__xludf.DUMMYFUNCTION("IMPORTRANGE(""https://docs.google.com/spreadsheets/d/1-uDff_7J0KD5mKrp0Vvzr7lt3OU09vwQwhkpOPPYv2Y/edit?usp=sharing"",""งบพรบ!BQ65"")"),115300)</f>
        <v>115300</v>
      </c>
      <c r="M144" s="77">
        <f ca="1">IFERROR(__xludf.DUMMYFUNCTION("IMPORTRANGE(""https://docs.google.com/spreadsheets/d/1-uDff_7J0KD5mKrp0Vvzr7lt3OU09vwQwhkpOPPYv2Y/edit?usp=sharing"",""งบพรบ!BV65"")"),110300)</f>
        <v>110300</v>
      </c>
      <c r="N144" s="77">
        <f ca="1">IFERROR(__xludf.DUMMYFUNCTION("IMPORTRANGE(""https://docs.google.com/spreadsheets/d/1-uDff_7J0KD5mKrp0Vvzr7lt3OU09vwQwhkpOPPYv2Y/edit?usp=sharing"",""งบพรบ!BX65"")"),68382.22)</f>
        <v>68382.22</v>
      </c>
      <c r="O144" s="77">
        <f ca="1">IF(L144&gt;0,N144*100/L144,0)</f>
        <v>59.308083261058108</v>
      </c>
      <c r="P144" s="77">
        <f ca="1">IF(M144&gt;0,N144*100/M144,0)</f>
        <v>61.996572982774254</v>
      </c>
      <c r="Q144" s="77">
        <f ca="1">IFERROR(__xludf.DUMMYFUNCTION("IMPORTRANGE(""https://docs.google.com/spreadsheets/d/1ItG2mGa2ceCfYo0BwxsXqNm01IGEUdYcSSLTEv9YCik/edit?usp=sharing"",""เบิกจ่ายกองทุน!BB65"")"),0)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IFERROR(__xludf.DUMMYFUNCTION("IMPORTRANGE(""https://docs.google.com/spreadsheets/d/1ItG2mGa2ceCfYo0BwxsXqNm01IGEUdYcSSLTEv9YCik/edit?usp=sharing"",""เบิกจ่ายกองทุน!BC65"")"),0)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IFERROR(__xludf.DUMMYFUNCTION("IMPORTRANGE(""https://docs.google.com/spreadsheets/d/1ItG2mGa2ceCfYo0BwxsXqNm01IGEUdYcSSLTEv9YCik/edit?usp=sharing"",""เบิกจ่ายกองทุน!BD65"")"),0)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IFERROR(__xludf.DUMMYFUNCTION("IMPORTRANGE(""https://docs.google.com/spreadsheets/d/1-uDff_7J0KD5mKrp0Vvzr7lt3OU09vwQwhkpOPPYv2Y/edit?usp=sharing"",""งบพรบ!BT65"")"),0)</f>
        <v>0</v>
      </c>
      <c r="M147" s="77">
        <f ca="1">IFERROR(__xludf.DUMMYFUNCTION("IMPORTRANGE(""https://docs.google.com/spreadsheets/d/1-uDff_7J0KD5mKrp0Vvzr7lt3OU09vwQwhkpOPPYv2Y/edit?usp=sharing"",""งบพรบ!BW65"")"),0)</f>
        <v>0</v>
      </c>
      <c r="N147" s="77">
        <f ca="1">IFERROR(__xludf.DUMMYFUNCTION("IMPORTRANGE(""https://docs.google.com/spreadsheets/d/1-uDff_7J0KD5mKrp0Vvzr7lt3OU09vwQwhkpOPPYv2Y/edit?usp=sharing"",""งบพรบ!BY65"")"),0)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IFERROR(__xludf.DUMMYFUNCTION("IMPORTRANGE(""https://docs.google.com/spreadsheets/d/1eHaY18a8A9IcSdp1K8H6x8fbOy06t2VsZHhMHf-1x7Y/edit?usp=sharing"",""แผน!U65"")"),10)</f>
        <v>10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IFERROR(__xludf.DUMMYFUNCTION("IMPORTRANGE(""https://docs.google.com/spreadsheets/d/1eHaY18a8A9IcSdp1K8H6x8fbOy06t2VsZHhMHf-1x7Y/edit?usp=sharing"",""แผน!V65"")"),1)</f>
        <v>1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IFERROR(__xludf.DUMMYFUNCTION("IMPORTRANGE(""https://docs.google.com/spreadsheets/d/1eHaY18a8A9IcSdp1K8H6x8fbOy06t2VsZHhMHf-1x7Y/edit?usp=sharing"",""แผน!W65"")"),10)</f>
        <v>10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IFERROR(__xludf.DUMMYFUNCTION("IMPORTRANGE(""https://docs.google.com/spreadsheets/d/1eHaY18a8A9IcSdp1K8H6x8fbOy06t2VsZHhMHf-1x7Y/edit?usp=sharing"",""แผน!X65"")"),1)</f>
        <v>1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IFERROR(__xludf.DUMMYFUNCTION("IMPORTRANGE(""https://docs.google.com/spreadsheets/d/1eHaY18a8A9IcSdp1K8H6x8fbOy06t2VsZHhMHf-1x7Y/edit?usp=sharing"",""แผน!Y65"")"),1)</f>
        <v>1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7370</v>
      </c>
      <c r="N157" s="266">
        <f ca="1">N158+N159</f>
        <v>1500</v>
      </c>
      <c r="O157" s="266">
        <f ca="1">IF(L157&gt;0,N157*100/L157,0)</f>
        <v>50</v>
      </c>
      <c r="P157" s="266">
        <f ca="1">IF(M157&gt;0,N157*100/M157,0)</f>
        <v>20.352781546811396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7370</v>
      </c>
      <c r="N159" s="77">
        <f ca="1">N162+N165</f>
        <v>1500</v>
      </c>
      <c r="O159" s="77">
        <f ca="1">IF(L159&gt;0,N159*100/L159,0)</f>
        <v>50</v>
      </c>
      <c r="P159" s="77">
        <f ca="1">IF(M159&gt;0,N159*100/M159,0)</f>
        <v>20.352781546811396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7370</v>
      </c>
      <c r="N160" s="77">
        <f ca="1">N161+N162</f>
        <v>1500</v>
      </c>
      <c r="O160" s="77">
        <f ca="1">IF(L160&gt;0,N160*100/L160,0)</f>
        <v>50</v>
      </c>
      <c r="P160" s="77">
        <f ca="1">IF(M160&gt;0,N160*100/M160,0)</f>
        <v>20.352781546811396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IFERROR(__xludf.DUMMYFUNCTION("IMPORTRANGE(""https://docs.google.com/spreadsheets/d/1-uDff_7J0KD5mKrp0Vvzr7lt3OU09vwQwhkpOPPYv2Y/edit?usp=sharing"",""งบพรบ!CA65"")"),3000)</f>
        <v>3000</v>
      </c>
      <c r="M162" s="77">
        <f ca="1">IFERROR(__xludf.DUMMYFUNCTION("IMPORTRANGE(""https://docs.google.com/spreadsheets/d/1-uDff_7J0KD5mKrp0Vvzr7lt3OU09vwQwhkpOPPYv2Y/edit?usp=sharing"",""งบพรบ!CF65"")"),7370)</f>
        <v>7370</v>
      </c>
      <c r="N162" s="77">
        <f ca="1">IFERROR(__xludf.DUMMYFUNCTION("IMPORTRANGE(""https://docs.google.com/spreadsheets/d/1-uDff_7J0KD5mKrp0Vvzr7lt3OU09vwQwhkpOPPYv2Y/edit?usp=sharing"",""งบพรบ!CH65"")"),1500)</f>
        <v>1500</v>
      </c>
      <c r="O162" s="77">
        <f ca="1">IF(L162&gt;0,N162*100/L162,0)</f>
        <v>50</v>
      </c>
      <c r="P162" s="77">
        <f ca="1">IF(M162&gt;0,N162*100/M162,0)</f>
        <v>20.352781546811396</v>
      </c>
      <c r="Q162" s="77">
        <f ca="1">IFERROR(__xludf.DUMMYFUNCTION("IMPORTRANGE(""https://docs.google.com/spreadsheets/d/1ItG2mGa2ceCfYo0BwxsXqNm01IGEUdYcSSLTEv9YCik/edit?usp=sharing"",""เบิกจ่ายกองทุน!AG65"")"),0)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IFERROR(__xludf.DUMMYFUNCTION("IMPORTRANGE(""https://docs.google.com/spreadsheets/d/1ItG2mGa2ceCfYo0BwxsXqNm01IGEUdYcSSLTEv9YCik/edit?usp=sharing"",""เบิกจ่ายกองทุน!AH65"")"),0)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IFERROR(__xludf.DUMMYFUNCTION("IMPORTRANGE(""https://docs.google.com/spreadsheets/d/1ItG2mGa2ceCfYo0BwxsXqNm01IGEUdYcSSLTEv9YCik/edit?usp=sharing"",""เบิกจ่ายกองทุน!AI65"")"),0)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IFERROR(__xludf.DUMMYFUNCTION("IMPORTRANGE(""https://docs.google.com/spreadsheets/d/1-uDff_7J0KD5mKrp0Vvzr7lt3OU09vwQwhkpOPPYv2Y/edit?usp=sharing"",""งบพรบ!CD65"")"),0)</f>
        <v>0</v>
      </c>
      <c r="M165" s="77">
        <f ca="1">IFERROR(__xludf.DUMMYFUNCTION("IMPORTRANGE(""https://docs.google.com/spreadsheets/d/1-uDff_7J0KD5mKrp0Vvzr7lt3OU09vwQwhkpOPPYv2Y/edit?usp=sharing"",""งบพรบ!CG65"")"),0)</f>
        <v>0</v>
      </c>
      <c r="N165" s="77">
        <f ca="1">IFERROR(__xludf.DUMMYFUNCTION("IMPORTRANGE(""https://docs.google.com/spreadsheets/d/1-uDff_7J0KD5mKrp0Vvzr7lt3OU09vwQwhkpOPPYv2Y/edit?usp=sharing"",""งบพรบ!CI65"")"),0)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IFERROR(__xludf.DUMMYFUNCTION("IMPORTRANGE(""https://docs.google.com/spreadsheets/d/1eHaY18a8A9IcSdp1K8H6x8fbOy06t2VsZHhMHf-1x7Y/edit?usp=sharing"",""แผน!Z65"")"),15)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29730</v>
      </c>
      <c r="N173" s="266">
        <f ca="1">N174+N175</f>
        <v>24338</v>
      </c>
      <c r="O173" s="266">
        <f ca="1">IF(L173&gt;0,N173*100/L173,0)</f>
        <v>124.23685553854007</v>
      </c>
      <c r="P173" s="266">
        <f ca="1">IF(M173&gt;0,N173*100/M173,0)</f>
        <v>81.863437605112679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29730</v>
      </c>
      <c r="N175" s="77">
        <f ca="1">N178+N181</f>
        <v>24338</v>
      </c>
      <c r="O175" s="77">
        <f ca="1">IF(L175&gt;0,N175*100/L175,0)</f>
        <v>124.23685553854007</v>
      </c>
      <c r="P175" s="77">
        <f ca="1">IF(M175&gt;0,N175*100/M175,0)</f>
        <v>81.863437605112679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29730</v>
      </c>
      <c r="N176" s="77">
        <f ca="1">N177+N178</f>
        <v>24338</v>
      </c>
      <c r="O176" s="77">
        <f ca="1">IF(L176&gt;0,N176*100/L176,0)</f>
        <v>124.23685553854007</v>
      </c>
      <c r="P176" s="77">
        <f ca="1">IF(M176&gt;0,N176*100/M176,0)</f>
        <v>81.863437605112679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IFERROR(__xludf.DUMMYFUNCTION("IMPORTRANGE(""https://docs.google.com/spreadsheets/d/1-uDff_7J0KD5mKrp0Vvzr7lt3OU09vwQwhkpOPPYv2Y/edit?usp=sharing"",""งบพรบ!CK65"")"),19590)</f>
        <v>19590</v>
      </c>
      <c r="M178" s="77">
        <f ca="1">IFERROR(__xludf.DUMMYFUNCTION("IMPORTRANGE(""https://docs.google.com/spreadsheets/d/1-uDff_7J0KD5mKrp0Vvzr7lt3OU09vwQwhkpOPPYv2Y/edit?usp=sharing"",""งบพรบ!CP65"")"),29730)</f>
        <v>29730</v>
      </c>
      <c r="N178" s="77">
        <f ca="1">IFERROR(__xludf.DUMMYFUNCTION("IMPORTRANGE(""https://docs.google.com/spreadsheets/d/1-uDff_7J0KD5mKrp0Vvzr7lt3OU09vwQwhkpOPPYv2Y/edit?usp=sharing"",""งบพรบ!CR65"")"),24338)</f>
        <v>24338</v>
      </c>
      <c r="O178" s="77">
        <f ca="1">IF(L178&gt;0,N178*100/L178,0)</f>
        <v>124.23685553854007</v>
      </c>
      <c r="P178" s="77">
        <f ca="1">IF(M178&gt;0,N178*100/M178,0)</f>
        <v>81.863437605112679</v>
      </c>
      <c r="Q178" s="77">
        <f ca="1">IFERROR(__xludf.DUMMYFUNCTION("IMPORTRANGE(""https://docs.google.com/spreadsheets/d/1ItG2mGa2ceCfYo0BwxsXqNm01IGEUdYcSSLTEv9YCik/edit?usp=sharing"",""เบิกจ่ายกองทุน!BE65"")"),0)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IFERROR(__xludf.DUMMYFUNCTION("IMPORTRANGE(""https://docs.google.com/spreadsheets/d/1ItG2mGa2ceCfYo0BwxsXqNm01IGEUdYcSSLTEv9YCik/edit?usp=sharing"",""เบิกจ่ายกองทุน!BF65"")"),0)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IFERROR(__xludf.DUMMYFUNCTION("IMPORTRANGE(""https://docs.google.com/spreadsheets/d/1ItG2mGa2ceCfYo0BwxsXqNm01IGEUdYcSSLTEv9YCik/edit?usp=sharing"",""เบิกจ่ายกองทุน!BG65"")"),0)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IFERROR(__xludf.DUMMYFUNCTION("IMPORTRANGE(""https://docs.google.com/spreadsheets/d/1-uDff_7J0KD5mKrp0Vvzr7lt3OU09vwQwhkpOPPYv2Y/edit?usp=sharing"",""งบพรบ!CN65"")"),0)</f>
        <v>0</v>
      </c>
      <c r="M181" s="77">
        <f ca="1">IFERROR(__xludf.DUMMYFUNCTION("IMPORTRANGE(""https://docs.google.com/spreadsheets/d/1-uDff_7J0KD5mKrp0Vvzr7lt3OU09vwQwhkpOPPYv2Y/edit?usp=sharing"",""งบพรบ!CQ65"")"),0)</f>
        <v>0</v>
      </c>
      <c r="N181" s="77">
        <f ca="1">IFERROR(__xludf.DUMMYFUNCTION("IMPORTRANGE(""https://docs.google.com/spreadsheets/d/1-uDff_7J0KD5mKrp0Vvzr7lt3OU09vwQwhkpOPPYv2Y/edit?usp=sharing"",""งบพรบ!CS65"")"),0)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IFERROR(__xludf.DUMMYFUNCTION("IMPORTRANGE(""https://docs.google.com/spreadsheets/d/1eHaY18a8A9IcSdp1K8H6x8fbOy06t2VsZHhMHf-1x7Y/edit?usp=sharing"",""แผน!AA65"")"),7)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38500</v>
      </c>
      <c r="M186" s="266">
        <f ca="1">M187+M188</f>
        <v>22500</v>
      </c>
      <c r="N186" s="266">
        <f ca="1">N187+N188</f>
        <v>0</v>
      </c>
      <c r="O186" s="266">
        <f ca="1">IF(L186&gt;0,N186*100/L186,0)</f>
        <v>0</v>
      </c>
      <c r="P186" s="266">
        <f ca="1">IF(M186&gt;0,N186*100/M186,0)</f>
        <v>0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38500</v>
      </c>
      <c r="M188" s="77">
        <f ca="1">M191+M194</f>
        <v>22500</v>
      </c>
      <c r="N188" s="77">
        <f ca="1">N191+N194</f>
        <v>0</v>
      </c>
      <c r="O188" s="77">
        <f ca="1">IF(L188&gt;0,N188*100/L188,0)</f>
        <v>0</v>
      </c>
      <c r="P188" s="77">
        <f ca="1">IF(M188&gt;0,N188*100/M188,0)</f>
        <v>0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38500</v>
      </c>
      <c r="M189" s="77">
        <f ca="1">M190+M191</f>
        <v>22500</v>
      </c>
      <c r="N189" s="77">
        <f ca="1">N190+N191</f>
        <v>0</v>
      </c>
      <c r="O189" s="77">
        <f ca="1">IF(L189&gt;0,N189*100/L189,0)</f>
        <v>0</v>
      </c>
      <c r="P189" s="77">
        <f ca="1">IF(M189&gt;0,N189*100/M189,0)</f>
        <v>0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IFERROR(__xludf.DUMMYFUNCTION("IMPORTRANGE(""https://docs.google.com/spreadsheets/d/1-uDff_7J0KD5mKrp0Vvzr7lt3OU09vwQwhkpOPPYv2Y/edit?usp=sharing"",""งบพรบ!CU65"")"),38500)</f>
        <v>38500</v>
      </c>
      <c r="M191" s="77">
        <f ca="1">IFERROR(__xludf.DUMMYFUNCTION("IMPORTRANGE(""https://docs.google.com/spreadsheets/d/1-uDff_7J0KD5mKrp0Vvzr7lt3OU09vwQwhkpOPPYv2Y/edit?usp=sharing"",""งบพรบ!CZ65"")"),22500)</f>
        <v>22500</v>
      </c>
      <c r="N191" s="77">
        <f ca="1">IFERROR(__xludf.DUMMYFUNCTION("IMPORTRANGE(""https://docs.google.com/spreadsheets/d/1-uDff_7J0KD5mKrp0Vvzr7lt3OU09vwQwhkpOPPYv2Y/edit?usp=sharing"",""งบพรบ!DB65"")"),0)</f>
        <v>0</v>
      </c>
      <c r="O191" s="77">
        <f ca="1">IF(L191&gt;0,N191*100/L191,0)</f>
        <v>0</v>
      </c>
      <c r="P191" s="77">
        <f ca="1">IF(M191&gt;0,N191*100/M191,0)</f>
        <v>0</v>
      </c>
      <c r="Q191" s="77">
        <f ca="1">IFERROR(__xludf.DUMMYFUNCTION("IMPORTRANGE(""https://docs.google.com/spreadsheets/d/1ItG2mGa2ceCfYo0BwxsXqNm01IGEUdYcSSLTEv9YCik/edit?usp=sharing"",""เบิกจ่ายกองทุน!AV65"")"),28000)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IFERROR(__xludf.DUMMYFUNCTION("IMPORTRANGE(""https://docs.google.com/spreadsheets/d/1ItG2mGa2ceCfYo0BwxsXqNm01IGEUdYcSSLTEv9YCik/edit?usp=sharing"",""เบิกจ่ายกองทุน!AW65"")"),28000)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IFERROR(__xludf.DUMMYFUNCTION("IMPORTRANGE(""https://docs.google.com/spreadsheets/d/1ItG2mGa2ceCfYo0BwxsXqNm01IGEUdYcSSLTEv9YCik/edit?usp=sharing"",""เบิกจ่ายกองทุน!AX65"")"),0)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IFERROR(__xludf.DUMMYFUNCTION("IMPORTRANGE(""https://docs.google.com/spreadsheets/d/1-uDff_7J0KD5mKrp0Vvzr7lt3OU09vwQwhkpOPPYv2Y/edit?usp=sharing"",""งบพรบ!CX65"")"),0)</f>
        <v>0</v>
      </c>
      <c r="M194" s="77">
        <f ca="1">IFERROR(__xludf.DUMMYFUNCTION("IMPORTRANGE(""https://docs.google.com/spreadsheets/d/1-uDff_7J0KD5mKrp0Vvzr7lt3OU09vwQwhkpOPPYv2Y/edit?usp=sharing"",""งบพรบ!DA65"")"),0)</f>
        <v>0</v>
      </c>
      <c r="N194" s="77">
        <f ca="1">IFERROR(__xludf.DUMMYFUNCTION("IMPORTRANGE(""https://docs.google.com/spreadsheets/d/1-uDff_7J0KD5mKrp0Vvzr7lt3OU09vwQwhkpOPPYv2Y/edit?usp=sharing"",""งบพรบ!DC65"")"),0)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1</v>
      </c>
      <c r="K195" s="543">
        <f ca="1">IF(I195&gt;0,J195*100/I195,0)</f>
        <v>25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IFERROR(__xludf.DUMMYFUNCTION("IMPORTRANGE(""https://docs.google.com/spreadsheets/d/1eHaY18a8A9IcSdp1K8H6x8fbOy06t2VsZHhMHf-1x7Y/edit?usp=sharing"",""แผน!AB65"")"),6000)</f>
        <v>6000</v>
      </c>
      <c r="M196" s="90"/>
      <c r="N196" s="959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IFERROR(__xludf.DUMMYFUNCTION("IMPORTRANGE(""https://docs.google.com/spreadsheets/d/1eHaY18a8A9IcSdp1K8H6x8fbOy06t2VsZHhMHf-1x7Y/edit?usp=sharing"",""แผน!AE65"")"),4)</f>
        <v>4</v>
      </c>
      <c r="J198" s="296">
        <v>1</v>
      </c>
      <c r="K198" s="77">
        <f ca="1">IF(I198&gt;0,J198*100/I198,0)</f>
        <v>25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37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37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10000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IFERROR(__xludf.DUMMYFUNCTION("IMPORTRANGE(""https://docs.google.com/spreadsheets/d/1eHaY18a8A9IcSdp1K8H6x8fbOy06t2VsZHhMHf-1x7Y/edit?usp=sharing"",""แผน!AG65"")"),2000)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IFERROR(__xludf.DUMMYFUNCTION("IMPORTRANGE(""https://docs.google.com/spreadsheets/d/1eHaY18a8A9IcSdp1K8H6x8fbOy06t2VsZHhMHf-1x7Y/edit?usp=sharing"",""แผน!AH65"")"),0)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IFERROR(__xludf.DUMMYFUNCTION("IMPORTRANGE(""https://docs.google.com/spreadsheets/d/1eHaY18a8A9IcSdp1K8H6x8fbOy06t2VsZHhMHf-1x7Y/edit?usp=sharing"",""แผน!AI65"")"),0)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IFERROR(__xludf.DUMMYFUNCTION("IMPORTRANGE(""https://docs.google.com/spreadsheets/d/1eHaY18a8A9IcSdp1K8H6x8fbOy06t2VsZHhMHf-1x7Y/edit?usp=sharing"",""แผน!LV65"")"),28000)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IFERROR(__xludf.DUMMYFUNCTION("IMPORTRANGE(""https://docs.google.com/spreadsheets/d/1eHaY18a8A9IcSdp1K8H6x8fbOy06t2VsZHhMHf-1x7Y/edit?usp=sharing"",""แผน!AJ65"")"),8000)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IFERROR(__xludf.DUMMYFUNCTION("IMPORTRANGE(""https://docs.google.com/spreadsheets/d/1eHaY18a8A9IcSdp1K8H6x8fbOy06t2VsZHhMHf-1x7Y/edit?usp=sharing"",""แผน!AK65"")"),2)</f>
        <v>2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IFERROR(__xludf.DUMMYFUNCTION("IMPORTRANGE(""https://docs.google.com/spreadsheets/d/1eHaY18a8A9IcSdp1K8H6x8fbOy06t2VsZHhMHf-1x7Y/edit?usp=sharing"",""แผน!JX65"")"),2)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IFERROR(__xludf.DUMMYFUNCTION("IMPORTRANGE(""https://docs.google.com/spreadsheets/d/1eHaY18a8A9IcSdp1K8H6x8fbOy06t2VsZHhMHf-1x7Y/edit?usp=sharing"",""แผน!JY65"")"),0)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IFERROR(__xludf.DUMMYFUNCTION("IMPORTRANGE(""https://docs.google.com/spreadsheets/d/1eHaY18a8A9IcSdp1K8H6x8fbOy06t2VsZHhMHf-1x7Y/edit?usp=sharing"",""แผน!AM65"")"),0)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IFERROR(__xludf.DUMMYFUNCTION("IMPORTRANGE(""https://docs.google.com/spreadsheets/d/1eHaY18a8A9IcSdp1K8H6x8fbOy06t2VsZHhMHf-1x7Y/edit?usp=sharing"",""แผน!AN65"")"),0)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IFERROR(__xludf.DUMMYFUNCTION("IMPORTRANGE(""https://docs.google.com/spreadsheets/d/1eHaY18a8A9IcSdp1K8H6x8fbOy06t2VsZHhMHf-1x7Y/edit?usp=sharing"",""แผน!AO65"")"),0)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IFERROR(__xludf.DUMMYFUNCTION("IMPORTRANGE(""https://docs.google.com/spreadsheets/d/1eHaY18a8A9IcSdp1K8H6x8fbOy06t2VsZHhMHf-1x7Y/edit?usp=sharing"",""แผน!LY65"")"),0)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IFERROR(__xludf.DUMMYFUNCTION("IMPORTRANGE(""https://docs.google.com/spreadsheets/d/1eHaY18a8A9IcSdp1K8H6x8fbOy06t2VsZHhMHf-1x7Y/edit?usp=sharing"",""แผน!AP65"")"),0)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IFERROR(__xludf.DUMMYFUNCTION("IMPORTRANGE(""https://docs.google.com/spreadsheets/d/1eHaY18a8A9IcSdp1K8H6x8fbOy06t2VsZHhMHf-1x7Y/edit?usp=sharing"",""แผน!AP65"")"),0)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30000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IFERROR(__xludf.DUMMYFUNCTION("IMPORTRANGE(""https://docs.google.com/spreadsheets/d/1eHaY18a8A9IcSdp1K8H6x8fbOy06t2VsZHhMHf-1x7Y/edit?usp=sharing"",""แผน!AR65"")"),2500)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IFERROR(__xludf.DUMMYFUNCTION("IMPORTRANGE(""https://docs.google.com/spreadsheets/d/1eHaY18a8A9IcSdp1K8H6x8fbOy06t2VsZHhMHf-1x7Y/edit?usp=sharing"",""แผน!AS65"")"),4000)</f>
        <v>4000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IFERROR(__xludf.DUMMYFUNCTION("IMPORTRANGE(""https://docs.google.com/spreadsheets/d/1eHaY18a8A9IcSdp1K8H6x8fbOy06t2VsZHhMHf-1x7Y/edit?usp=sharing"",""แผน!AT65"")"),0)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IFERROR(__xludf.DUMMYFUNCTION("IMPORTRANGE(""https://docs.google.com/spreadsheets/d/1eHaY18a8A9IcSdp1K8H6x8fbOy06t2VsZHhMHf-1x7Y/edit?usp=sharing"",""แผน!AV65"")"),30000)</f>
        <v>30000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IFERROR(__xludf.DUMMYFUNCTION("IMPORTRANGE(""https://docs.google.com/spreadsheets/d/1eHaY18a8A9IcSdp1K8H6x8fbOy06t2VsZHhMHf-1x7Y/edit?usp=sharing"",""แผน!AV65"")"),30000)</f>
        <v>30000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IFERROR(__xludf.DUMMYFUNCTION("IMPORTRANGE(""https://docs.google.com/spreadsheets/d/1eHaY18a8A9IcSdp1K8H6x8fbOy06t2VsZHhMHf-1x7Y/edit?usp=sharing"",""แผน!AU65"")"),0)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IFERROR(__xludf.DUMMYFUNCTION("IMPORTRANGE(""https://docs.google.com/spreadsheets/d/1eHaY18a8A9IcSdp1K8H6x8fbOy06t2VsZHhMHf-1x7Y/edit?usp=sharing"",""แผน!AX65"")"),0)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IFERROR(__xludf.DUMMYFUNCTION("IMPORTRANGE(""https://docs.google.com/spreadsheets/d/1eHaY18a8A9IcSdp1K8H6x8fbOy06t2VsZHhMHf-1x7Y/edit?usp=sharing"",""แผน!AY65"")"),0)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IFERROR(__xludf.DUMMYFUNCTION("IMPORTRANGE(""https://docs.google.com/spreadsheets/d/1eHaY18a8A9IcSdp1K8H6x8fbOy06t2VsZHhMHf-1x7Y/edit?usp=sharing"",""แผน!AZ65"")"),0)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IFERROR(__xludf.DUMMYFUNCTION("IMPORTRANGE(""https://docs.google.com/spreadsheets/d/1eHaY18a8A9IcSdp1K8H6x8fbOy06t2VsZHhMHf-1x7Y/edit?usp=sharing"",""แผน!BA65"")"),0)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IFERROR(__xludf.DUMMYFUNCTION("IMPORTRANGE(""https://docs.google.com/spreadsheets/d/1eHaY18a8A9IcSdp1K8H6x8fbOy06t2VsZHhMHf-1x7Y/edit?usp=sharing"",""แผน!BG65"")"),0)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IFERROR(__xludf.DUMMYFUNCTION("IMPORTRANGE(""https://docs.google.com/spreadsheets/d/1eHaY18a8A9IcSdp1K8H6x8fbOy06t2VsZHhMHf-1x7Y/edit?usp=sharing"",""แผน!BB65"")"),0)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IFERROR(__xludf.DUMMYFUNCTION("IMPORTRANGE(""https://docs.google.com/spreadsheets/d/1eHaY18a8A9IcSdp1K8H6x8fbOy06t2VsZHhMHf-1x7Y/edit?usp=sharing"",""แผน!BC65"")"),0)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IFERROR(__xludf.DUMMYFUNCTION("IMPORTRANGE(""https://docs.google.com/spreadsheets/d/1eHaY18a8A9IcSdp1K8H6x8fbOy06t2VsZHhMHf-1x7Y/edit?usp=sharing"",""แผน!BD65"")"),0)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IFERROR(__xludf.DUMMYFUNCTION("IMPORTRANGE(""https://docs.google.com/spreadsheets/d/1eHaY18a8A9IcSdp1K8H6x8fbOy06t2VsZHhMHf-1x7Y/edit?usp=sharing"",""แผน!BE65"")"),0)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IFERROR(__xludf.DUMMYFUNCTION("IMPORTRANGE(""https://docs.google.com/spreadsheets/d/1eHaY18a8A9IcSdp1K8H6x8fbOy06t2VsZHhMHf-1x7Y/edit?usp=sharing"",""แผน!BH65"")"),0)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22</v>
      </c>
      <c r="K265" s="364">
        <f ca="1">IF(I265&gt;0,J265*100/I265,0)</f>
        <v>100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32260</v>
      </c>
      <c r="T266" s="215">
        <f ca="1">IF(Q266&gt;0,S266*100/Q266,0)</f>
        <v>63.679431504145285</v>
      </c>
      <c r="U266" s="215">
        <f ca="1">IF(R266&gt;0,S266*100/R266,0)</f>
        <v>63.679431504145285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32260</v>
      </c>
      <c r="T268" s="91">
        <f ca="1">IF(Q268&gt;0,S268*100/Q268,0)</f>
        <v>63.679431504145285</v>
      </c>
      <c r="U268" s="91">
        <f ca="1">IF(R268&gt;0,S268*100/R268,0)</f>
        <v>63.679431504145285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32260</v>
      </c>
      <c r="T269" s="91">
        <f ca="1">IF(Q269&gt;0,S269*100/Q269,0)</f>
        <v>63.679431504145285</v>
      </c>
      <c r="U269" s="91">
        <f ca="1">IF(R269&gt;0,S269*100/R269,0)</f>
        <v>63.679431504145285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IFERROR(__xludf.DUMMYFUNCTION("IMPORTRANGE(""https://docs.google.com/spreadsheets/d/1-uDff_7J0KD5mKrp0Vvzr7lt3OU09vwQwhkpOPPYv2Y/edit?usp=sharing"",""งบพรบ!DE65"")"),0)</f>
        <v>0</v>
      </c>
      <c r="M271" s="91">
        <f ca="1">IFERROR(__xludf.DUMMYFUNCTION("IMPORTRANGE(""https://docs.google.com/spreadsheets/d/1-uDff_7J0KD5mKrp0Vvzr7lt3OU09vwQwhkpOPPYv2Y/edit?usp=sharing"",""งบพรบ!DJ65"")"),5000)</f>
        <v>5000</v>
      </c>
      <c r="N271" s="91">
        <f ca="1">IFERROR(__xludf.DUMMYFUNCTION("IMPORTRANGE(""https://docs.google.com/spreadsheets/d/1-uDff_7J0KD5mKrp0Vvzr7lt3OU09vwQwhkpOPPYv2Y/edit?usp=sharing"",""งบพรบ!DL65"")"),0)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IFERROR(__xludf.DUMMYFUNCTION("IMPORTRANGE(""https://docs.google.com/spreadsheets/d/1ItG2mGa2ceCfYo0BwxsXqNm01IGEUdYcSSLTEv9YCik/edit?usp=sharing"",""เบิกจ่ายกองทุน!AJ65"")"),50660)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IFERROR(__xludf.DUMMYFUNCTION("IMPORTRANGE(""https://docs.google.com/spreadsheets/d/1ItG2mGa2ceCfYo0BwxsXqNm01IGEUdYcSSLTEv9YCik/edit?usp=sharing"",""เบิกจ่ายกองทุน!AK65"")"),50660)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IFERROR(__xludf.DUMMYFUNCTION("IMPORTRANGE(""https://docs.google.com/spreadsheets/d/1ItG2mGa2ceCfYo0BwxsXqNm01IGEUdYcSSLTEv9YCik/edit?usp=sharing"",""เบิกจ่ายกองทุน!AL65"")"),32260)</f>
        <v>32260</v>
      </c>
      <c r="T271" s="91">
        <f ca="1">IF(Q271&gt;0,S271*100/Q271,0)</f>
        <v>63.679431504145285</v>
      </c>
      <c r="U271" s="91">
        <f ca="1">IF(R271&gt;0,S271*100/R271,0)</f>
        <v>63.679431504145285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IFERROR(__xludf.DUMMYFUNCTION("IMPORTRANGE(""https://docs.google.com/spreadsheets/d/1-uDff_7J0KD5mKrp0Vvzr7lt3OU09vwQwhkpOPPYv2Y/edit?usp=sharing"",""งบพรบ!DH65"")"),0)</f>
        <v>0</v>
      </c>
      <c r="M274" s="91">
        <f ca="1">IFERROR(__xludf.DUMMYFUNCTION("IMPORTRANGE(""https://docs.google.com/spreadsheets/d/1-uDff_7J0KD5mKrp0Vvzr7lt3OU09vwQwhkpOPPYv2Y/edit?usp=sharing"",""งบพรบ!DK65"")"),0)</f>
        <v>0</v>
      </c>
      <c r="N274" s="91">
        <f ca="1">IFERROR(__xludf.DUMMYFUNCTION("IMPORTRANGE(""https://docs.google.com/spreadsheets/d/1-uDff_7J0KD5mKrp0Vvzr7lt3OU09vwQwhkpOPPYv2Y/edit?usp=sharing"",""งบพรบ!DM65"")"),0)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72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5">
        <f ca="1">IFERROR(__xludf.DUMMYFUNCTION("IMPORTRANGE(""https://docs.google.com/spreadsheets/d/1eHaY18a8A9IcSdp1K8H6x8fbOy06t2VsZHhMHf-1x7Y/edit?usp=sharing"",""แผน!EC65"")"),22)</f>
        <v>22</v>
      </c>
      <c r="J276" s="770">
        <v>22</v>
      </c>
      <c r="K276" s="977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5"/>
      <c r="B277" s="737"/>
      <c r="C277" s="737"/>
      <c r="D277" s="1146" t="s">
        <v>116</v>
      </c>
      <c r="E277" s="738"/>
      <c r="F277" s="738"/>
      <c r="G277" s="739"/>
      <c r="H277" s="1331" t="s">
        <v>35</v>
      </c>
      <c r="I277" s="758">
        <v>0</v>
      </c>
      <c r="J277" s="758">
        <v>0</v>
      </c>
      <c r="K277" s="1144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IFERROR(__xludf.DUMMYFUNCTION("IMPORTRANGE(""https://docs.google.com/spreadsheets/d/1-uDff_7J0KD5mKrp0Vvzr7lt3OU09vwQwhkpOPPYv2Y/edit?usp=sharing"",""งบพรบ!DO65"")"),0)</f>
        <v>0</v>
      </c>
      <c r="M287" s="77">
        <f ca="1">IFERROR(__xludf.DUMMYFUNCTION("IMPORTRANGE(""https://docs.google.com/spreadsheets/d/1-uDff_7J0KD5mKrp0Vvzr7lt3OU09vwQwhkpOPPYv2Y/edit?usp=sharing"",""งบพรบ!DT65"")"),0)</f>
        <v>0</v>
      </c>
      <c r="N287" s="77">
        <f ca="1">IFERROR(__xludf.DUMMYFUNCTION("IMPORTRANGE(""https://docs.google.com/spreadsheets/d/1-uDff_7J0KD5mKrp0Vvzr7lt3OU09vwQwhkpOPPYv2Y/edit?usp=sharing"",""งบพรบ!DV65"")"),0)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IFERROR(__xludf.DUMMYFUNCTION("IMPORTRANGE(""https://docs.google.com/spreadsheets/d/1-uDff_7J0KD5mKrp0Vvzr7lt3OU09vwQwhkpOPPYv2Y/edit?usp=sharing"",""งบพรบ!DR65"")"),0)</f>
        <v>0</v>
      </c>
      <c r="M290" s="77">
        <f ca="1">IFERROR(__xludf.DUMMYFUNCTION("IMPORTRANGE(""https://docs.google.com/spreadsheets/d/1-uDff_7J0KD5mKrp0Vvzr7lt3OU09vwQwhkpOPPYv2Y/edit?usp=sharing"",""งบพรบ!DU65"")"),0)</f>
        <v>0</v>
      </c>
      <c r="N290" s="77">
        <f ca="1">IFERROR(__xludf.DUMMYFUNCTION("IMPORTRANGE(""https://docs.google.com/spreadsheets/d/1-uDff_7J0KD5mKrp0Vvzr7lt3OU09vwQwhkpOPPYv2Y/edit?usp=sharing"",""งบพรบ!DW65"")"),0)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IFERROR(__xludf.DUMMYFUNCTION("IMPORTRANGE(""https://docs.google.com/spreadsheets/d/1eHaY18a8A9IcSdp1K8H6x8fbOy06t2VsZHhMHf-1x7Y/edit?usp=sharing"",""แผน!EE65"")"),0)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IFERROR(__xludf.DUMMYFUNCTION("IMPORTRANGE(""https://docs.google.com/spreadsheets/d/1eHaY18a8A9IcSdp1K8H6x8fbOy06t2VsZHhMHf-1x7Y/edit?usp=sharing"",""แผน!ED65"")"),0)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IFERROR(__xludf.DUMMYFUNCTION("IMPORTRANGE(""https://docs.google.com/spreadsheets/d/1eHaY18a8A9IcSdp1K8H6x8fbOy06t2VsZHhMHf-1x7Y/edit?usp=sharing"",""แผน!ED65"")"),0)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IFERROR(__xludf.DUMMYFUNCTION("IMPORTRANGE(""https://docs.google.com/spreadsheets/d/1eHaY18a8A9IcSdp1K8H6x8fbOy06t2VsZHhMHf-1x7Y/edit?usp=sharing"",""แผน!ED65"")"),0)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IFERROR(__xludf.DUMMYFUNCTION("IMPORTRANGE(""https://docs.google.com/spreadsheets/d/1-uDff_7J0KD5mKrp0Vvzr7lt3OU09vwQwhkpOPPYv2Y/edit?usp=sharing"",""งบพรบ!DY65"")"),0)</f>
        <v>0</v>
      </c>
      <c r="M308" s="77">
        <f ca="1">IFERROR(__xludf.DUMMYFUNCTION("IMPORTRANGE(""https://docs.google.com/spreadsheets/d/1-uDff_7J0KD5mKrp0Vvzr7lt3OU09vwQwhkpOPPYv2Y/edit?usp=sharing"",""งบพรบ!ED65"")"),0)</f>
        <v>0</v>
      </c>
      <c r="N308" s="77">
        <f ca="1">IFERROR(__xludf.DUMMYFUNCTION("IMPORTRANGE(""https://docs.google.com/spreadsheets/d/1-uDff_7J0KD5mKrp0Vvzr7lt3OU09vwQwhkpOPPYv2Y/edit?usp=sharing"",""งบพรบ!EF65"")"),0)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IFERROR(__xludf.DUMMYFUNCTION("IMPORTRANGE(""https://docs.google.com/spreadsheets/d/1ItG2mGa2ceCfYo0BwxsXqNm01IGEUdYcSSLTEv9YCik/edit?usp=sharing"",""เบิกจ่ายกองทุน!AP65"")"),0)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IFERROR(__xludf.DUMMYFUNCTION("IMPORTRANGE(""https://docs.google.com/spreadsheets/d/1ItG2mGa2ceCfYo0BwxsXqNm01IGEUdYcSSLTEv9YCik/edit?usp=sharing"",""เบิกจ่ายกองทุน!AQ65"")"),0)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IFERROR(__xludf.DUMMYFUNCTION("IMPORTRANGE(""https://docs.google.com/spreadsheets/d/1ItG2mGa2ceCfYo0BwxsXqNm01IGEUdYcSSLTEv9YCik/edit?usp=sharing"",""เบิกจ่ายกองทุน!AR65"")"),0)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IFERROR(__xludf.DUMMYFUNCTION("IMPORTRANGE(""https://docs.google.com/spreadsheets/d/1-uDff_7J0KD5mKrp0Vvzr7lt3OU09vwQwhkpOPPYv2Y/edit?usp=sharing"",""งบพรบ!EB65"")"),0)</f>
        <v>0</v>
      </c>
      <c r="M311" s="77">
        <f ca="1">IFERROR(__xludf.DUMMYFUNCTION("IMPORTRANGE(""https://docs.google.com/spreadsheets/d/1-uDff_7J0KD5mKrp0Vvzr7lt3OU09vwQwhkpOPPYv2Y/edit?usp=sharing"",""งบพรบ!EE65"")"),0)</f>
        <v>0</v>
      </c>
      <c r="N311" s="77">
        <f ca="1">IFERROR(__xludf.DUMMYFUNCTION("IMPORTRANGE(""https://docs.google.com/spreadsheets/d/1-uDff_7J0KD5mKrp0Vvzr7lt3OU09vwQwhkpOPPYv2Y/edit?usp=sharing"",""งบพรบ!EG65"")"),0)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IFERROR(__xludf.DUMMYFUNCTION("IMPORTRANGE(""https://docs.google.com/spreadsheets/d/1eHaY18a8A9IcSdp1K8H6x8fbOy06t2VsZHhMHf-1x7Y/edit?usp=sharing"",""แผน!EF65"")"),0)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IFERROR(__xludf.DUMMYFUNCTION("IMPORTRANGE(""https://docs.google.com/spreadsheets/d/1-uDff_7J0KD5mKrp0Vvzr7lt3OU09vwQwhkpOPPYv2Y/edit?usp=sharing"",""งบพรบ!EI65"")"),0)</f>
        <v>0</v>
      </c>
      <c r="M325" s="77">
        <f ca="1">IFERROR(__xludf.DUMMYFUNCTION("IMPORTRANGE(""https://docs.google.com/spreadsheets/d/1-uDff_7J0KD5mKrp0Vvzr7lt3OU09vwQwhkpOPPYv2Y/edit?usp=sharing"",""งบพรบ!EN65"")"),0)</f>
        <v>0</v>
      </c>
      <c r="N325" s="77">
        <f ca="1">IFERROR(__xludf.DUMMYFUNCTION("IMPORTRANGE(""https://docs.google.com/spreadsheets/d/1-uDff_7J0KD5mKrp0Vvzr7lt3OU09vwQwhkpOPPYv2Y/edit?usp=sharing"",""งบพรบ!EP65"")"),0)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IFERROR(__xludf.DUMMYFUNCTION("IMPORTRANGE(""https://docs.google.com/spreadsheets/d/1-uDff_7J0KD5mKrp0Vvzr7lt3OU09vwQwhkpOPPYv2Y/edit?usp=sharing"",""งบพรบ!EL65"")"),0)</f>
        <v>0</v>
      </c>
      <c r="M328" s="77">
        <f ca="1">IFERROR(__xludf.DUMMYFUNCTION("IMPORTRANGE(""https://docs.google.com/spreadsheets/d/1-uDff_7J0KD5mKrp0Vvzr7lt3OU09vwQwhkpOPPYv2Y/edit?usp=sharing"",""งบพรบ!EO65"")"),0)</f>
        <v>0</v>
      </c>
      <c r="N328" s="77">
        <f ca="1">IFERROR(__xludf.DUMMYFUNCTION("IMPORTRANGE(""https://docs.google.com/spreadsheets/d/1-uDff_7J0KD5mKrp0Vvzr7lt3OU09vwQwhkpOPPYv2Y/edit?usp=sharing"",""งบพรบ!EQ65"")"),0)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IFERROR(__xludf.DUMMYFUNCTION("IMPORTRANGE(""https://docs.google.com/spreadsheets/d/1eHaY18a8A9IcSdp1K8H6x8fbOy06t2VsZHhMHf-1x7Y/edit?usp=sharing"",""แผน!EJ65"")"),0)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460</v>
      </c>
      <c r="J332" s="519">
        <f ca="1">J344+J347+J348+J349+J353+J354</f>
        <v>1215</v>
      </c>
      <c r="K332" s="520">
        <f ca="1">IF(I332&gt;0,J332*100/I332,0)</f>
        <v>264.13043478260869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220600</v>
      </c>
      <c r="M333" s="266">
        <f ca="1">M334+M335</f>
        <v>225600</v>
      </c>
      <c r="N333" s="266">
        <f ca="1">N334+N335</f>
        <v>169480</v>
      </c>
      <c r="O333" s="266">
        <f ca="1">IF(L333&gt;0,N333*100/L333,0)</f>
        <v>76.826835902085222</v>
      </c>
      <c r="P333" s="266">
        <f ca="1">IF(M333&gt;0,N333*100/M333,0)</f>
        <v>75.12411347517731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220600</v>
      </c>
      <c r="M335" s="77">
        <f ca="1">M338+M341</f>
        <v>225600</v>
      </c>
      <c r="N335" s="77">
        <f ca="1">N338+N341</f>
        <v>169480</v>
      </c>
      <c r="O335" s="77">
        <f ca="1">IF(L335&gt;0,N335*100/L335,0)</f>
        <v>76.826835902085222</v>
      </c>
      <c r="P335" s="77">
        <f ca="1">IF(M335&gt;0,N335*100/M335,0)</f>
        <v>75.12411347517731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220600</v>
      </c>
      <c r="M336" s="77">
        <f ca="1">M337+M338</f>
        <v>225600</v>
      </c>
      <c r="N336" s="77">
        <f ca="1">N337+N338</f>
        <v>169480</v>
      </c>
      <c r="O336" s="77">
        <f ca="1">IF(L336&gt;0,N336*100/L336,0)</f>
        <v>76.826835902085222</v>
      </c>
      <c r="P336" s="77">
        <f ca="1">IF(M336&gt;0,N336*100/M336,0)</f>
        <v>75.12411347517731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IFERROR(__xludf.DUMMYFUNCTION("IMPORTRANGE(""https://docs.google.com/spreadsheets/d/1-uDff_7J0KD5mKrp0Vvzr7lt3OU09vwQwhkpOPPYv2Y/edit?usp=sharing"",""งบพรบ!ES65"")"),220600)</f>
        <v>220600</v>
      </c>
      <c r="M338" s="77">
        <f ca="1">IFERROR(__xludf.DUMMYFUNCTION("IMPORTRANGE(""https://docs.google.com/spreadsheets/d/1-uDff_7J0KD5mKrp0Vvzr7lt3OU09vwQwhkpOPPYv2Y/edit?usp=sharing"",""งบพรบ!EX65"")"),225600)</f>
        <v>225600</v>
      </c>
      <c r="N338" s="77">
        <f ca="1">IFERROR(__xludf.DUMMYFUNCTION("IMPORTRANGE(""https://docs.google.com/spreadsheets/d/1-uDff_7J0KD5mKrp0Vvzr7lt3OU09vwQwhkpOPPYv2Y/edit?usp=sharing"",""งบพรบ!EZ65"")"),169480)</f>
        <v>169480</v>
      </c>
      <c r="O338" s="77">
        <f ca="1">IF(L338&gt;0,N338*100/L338,0)</f>
        <v>76.826835902085222</v>
      </c>
      <c r="P338" s="77">
        <f ca="1">IF(M338&gt;0,N338*100/M338,0)</f>
        <v>75.12411347517731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IFERROR(__xludf.DUMMYFUNCTION("IMPORTRANGE(""https://docs.google.com/spreadsheets/d/1-uDff_7J0KD5mKrp0Vvzr7lt3OU09vwQwhkpOPPYv2Y/edit?usp=sharing"",""งบพรบ!EV65"")"),0)</f>
        <v>0</v>
      </c>
      <c r="M341" s="77">
        <f ca="1">IFERROR(__xludf.DUMMYFUNCTION("IMPORTRANGE(""https://docs.google.com/spreadsheets/d/1-uDff_7J0KD5mKrp0Vvzr7lt3OU09vwQwhkpOPPYv2Y/edit?usp=sharing"",""งบพรบ!EY65"")"),0)</f>
        <v>0</v>
      </c>
      <c r="N341" s="77">
        <f ca="1">IFERROR(__xludf.DUMMYFUNCTION("IMPORTRANGE(""https://docs.google.com/spreadsheets/d/1-uDff_7J0KD5mKrp0Vvzr7lt3OU09vwQwhkpOPPYv2Y/edit?usp=sharing"",""งบพรบ!FA65"")"),0)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210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IFERROR(__xludf.DUMMYFUNCTION("IMPORTRANGE(""https://docs.google.com/spreadsheets/d/1eHaY18a8A9IcSdp1K8H6x8fbOy06t2VsZHhMHf-1x7Y/edit?usp=sharing"",""แผน!EK65"")"),460)</f>
        <v>460</v>
      </c>
      <c r="J344" s="295">
        <f ca="1">IFERROR(__xludf.DUMMYFUNCTION("IMPORTRANGE(""https://docs.google.com/spreadsheets/d/1awYsYK3VOup2i3Pq_Yjnu8DRu_mYwSBnCR2QPthd0rU/edit?usp=sharing"",""ศูนย์ยกเว้นโฉนด!D65"")"),165)</f>
        <v>165</v>
      </c>
      <c r="K344" s="77">
        <f ca="1">IF(I344&gt;0,J344*100/I344,0)</f>
        <v>35.869565217391305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IFERROR(__xludf.DUMMYFUNCTION("IMPORTRANGE(""https://docs.google.com/spreadsheets/d/1eHaY18a8A9IcSdp1K8H6x8fbOy06t2VsZHhMHf-1x7Y/edit?usp=sharing"",""แผน!EL65"")"),3)</f>
        <v>3</v>
      </c>
      <c r="J346" s="295">
        <f ca="1">IFERROR(__xludf.DUMMYFUNCTION("IMPORTRANGE(""https://docs.google.com/spreadsheets/d/1awYsYK3VOup2i3Pq_Yjnu8DRu_mYwSBnCR2QPthd0rU/edit?usp=sharing"",""ศูนย์รวม!E65"")"),2)</f>
        <v>2</v>
      </c>
      <c r="K346" s="77">
        <f ca="1">IF(I346&gt;0,J346*100/I346,0)</f>
        <v>66.666666666666671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IFERROR(__xludf.DUMMYFUNCTION("IMPORTRANGE(""https://docs.google.com/spreadsheets/d/1awYsYK3VOup2i3Pq_Yjnu8DRu_mYwSBnCR2QPthd0rU/edit?usp=sharing"",""ศูนย์ยกเว้นโฉนด!F65"")"),29)</f>
        <v>29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IFERROR(__xludf.DUMMYFUNCTION("IMPORTRANGE(""https://docs.google.com/spreadsheets/d/1awYsYK3VOup2i3Pq_Yjnu8DRu_mYwSBnCR2QPthd0rU/edit?usp=sharing"",""ศูนย์ยกเว้นโฉนด!G65"")"),16)</f>
        <v>16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IFERROR(__xludf.DUMMYFUNCTION("IMPORTRANGE(""https://docs.google.com/spreadsheets/d/1awYsYK3VOup2i3Pq_Yjnu8DRu_mYwSBnCR2QPthd0rU/edit?usp=sharing"",""ศูนย์ยกเว้นโฉนด!H65"")"),0)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1012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IFERROR(__xludf.DUMMYFUNCTION("IMPORTRANGE(""https://docs.google.com/spreadsheets/d/1awYsYK3VOup2i3Pq_Yjnu8DRu_mYwSBnCR2QPthd0rU/edit?usp=sharing"",""โฉนดM3!G65"")"),7)</f>
        <v>7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IFERROR(__xludf.DUMMYFUNCTION("IMPORTRANGE(""https://docs.google.com/spreadsheets/d/1awYsYK3VOup2i3Pq_Yjnu8DRu_mYwSBnCR2QPthd0rU/edit?usp=sharing"",""โฉนดM3!H65"")"),1005)</f>
        <v>1005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IFERROR(__xludf.DUMMYFUNCTION("IMPORTRANGE(""https://docs.google.com/spreadsheets/d/1awYsYK3VOup2i3Pq_Yjnu8DRu_mYwSBnCR2QPthd0rU/edit?usp=sharing"",""โฉนดM3!I65"")"),0)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227690</v>
      </c>
      <c r="M356" s="266">
        <f ca="1">M357+M358</f>
        <v>227690</v>
      </c>
      <c r="N356" s="266">
        <f ca="1">N357+N358</f>
        <v>130480</v>
      </c>
      <c r="O356" s="266">
        <f ca="1">IF(L356&gt;0,N356*100/L356,0)</f>
        <v>57.305986209319691</v>
      </c>
      <c r="P356" s="266">
        <f ca="1">IF(M356&gt;0,N356*100/M356,0)</f>
        <v>57.305986209319691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227690</v>
      </c>
      <c r="M358" s="77">
        <f ca="1">M361+M364</f>
        <v>227690</v>
      </c>
      <c r="N358" s="77">
        <f ca="1">N361+N364</f>
        <v>130480</v>
      </c>
      <c r="O358" s="77">
        <f ca="1">IF(L358&gt;0,N358*100/L358,0)</f>
        <v>57.305986209319691</v>
      </c>
      <c r="P358" s="77">
        <f ca="1">IF(M358&gt;0,N358*100/M358,0)</f>
        <v>57.305986209319691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227690</v>
      </c>
      <c r="M359" s="77">
        <f ca="1">M360+M361</f>
        <v>227690</v>
      </c>
      <c r="N359" s="77">
        <f ca="1">N360+N361</f>
        <v>130480</v>
      </c>
      <c r="O359" s="77">
        <f ca="1">IF(L359&gt;0,N359*100/L359,0)</f>
        <v>57.305986209319691</v>
      </c>
      <c r="P359" s="77">
        <f ca="1">IF(M359&gt;0,N359*100/M359,0)</f>
        <v>57.305986209319691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IFERROR(__xludf.DUMMYFUNCTION("IMPORTRANGE(""https://docs.google.com/spreadsheets/d/1-uDff_7J0KD5mKrp0Vvzr7lt3OU09vwQwhkpOPPYv2Y/edit?usp=sharing"",""งบพรบ!FC65"")"),227690)</f>
        <v>227690</v>
      </c>
      <c r="M361" s="77">
        <f ca="1">IFERROR(__xludf.DUMMYFUNCTION("IMPORTRANGE(""https://docs.google.com/spreadsheets/d/1-uDff_7J0KD5mKrp0Vvzr7lt3OU09vwQwhkpOPPYv2Y/edit?usp=sharing"",""งบพรบ!FH65"")"),227690)</f>
        <v>227690</v>
      </c>
      <c r="N361" s="77">
        <f ca="1">IFERROR(__xludf.DUMMYFUNCTION("IMPORTRANGE(""https://docs.google.com/spreadsheets/d/1-uDff_7J0KD5mKrp0Vvzr7lt3OU09vwQwhkpOPPYv2Y/edit?usp=sharing"",""งบพรบ!FJ65"")"),130480)</f>
        <v>130480</v>
      </c>
      <c r="O361" s="77">
        <f ca="1">IF(L361&gt;0,N361*100/L361,0)</f>
        <v>57.305986209319691</v>
      </c>
      <c r="P361" s="77">
        <f ca="1">IF(M361&gt;0,N361*100/M361,0)</f>
        <v>57.305986209319691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IFERROR(__xludf.DUMMYFUNCTION("IMPORTRANGE(""https://docs.google.com/spreadsheets/d/1-uDff_7J0KD5mKrp0Vvzr7lt3OU09vwQwhkpOPPYv2Y/edit?usp=sharing"",""งบพรบ!FF65"")"),0)</f>
        <v>0</v>
      </c>
      <c r="M364" s="77">
        <f ca="1">IFERROR(__xludf.DUMMYFUNCTION("IMPORTRANGE(""https://docs.google.com/spreadsheets/d/1-uDff_7J0KD5mKrp0Vvzr7lt3OU09vwQwhkpOPPYv2Y/edit?usp=sharing"",""งบพรบ!FI65"")"),0)</f>
        <v>0</v>
      </c>
      <c r="N364" s="77">
        <f ca="1">IFERROR(__xludf.DUMMYFUNCTION("IMPORTRANGE(""https://docs.google.com/spreadsheets/d/1-uDff_7J0KD5mKrp0Vvzr7lt3OU09vwQwhkpOPPYv2Y/edit?usp=sharing"",""งบพรบ!FK65"")"),0)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35</v>
      </c>
      <c r="J365" s="542">
        <f ca="1">J371</f>
        <v>13</v>
      </c>
      <c r="K365" s="543">
        <f ca="1">IF(I365&gt;0,J365*100/I365,0)</f>
        <v>37.142857142857146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IFERROR(__xludf.DUMMYFUNCTION("IMPORTRANGE(""https://docs.google.com/spreadsheets/d/1tdoBKaGub7dwA3U6UFTqxio9LNnvDCQjHKmttSEBsFQ/edit?usp=sharing"",""จัดที่ดิน!AB65"")"),6)</f>
        <v>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IFERROR(__xludf.DUMMYFUNCTION("IMPORTRANGE(""https://docs.google.com/spreadsheets/d/1eHaY18a8A9IcSdp1K8H6x8fbOy06t2VsZHhMHf-1x7Y/edit?usp=sharing"",""แผน!EW65"")"),80)</f>
        <v>80</v>
      </c>
      <c r="J368" s="1094">
        <f ca="1">IFERROR(__xludf.DUMMYFUNCTION("IMPORTRANGE(""https://docs.google.com/spreadsheets/d/1tdoBKaGub7dwA3U6UFTqxio9LNnvDCQjHKmttSEBsFQ/edit?usp=sharing"",""จัดที่ดิน!AC65"")"),71.78)</f>
        <v>71.78</v>
      </c>
      <c r="K368" s="77">
        <f ca="1">IF(I368&gt;0,J368*100/I368,0)</f>
        <v>89.724999999999994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IFERROR(__xludf.DUMMYFUNCTION("IMPORTRANGE(""https://docs.google.com/spreadsheets/d/1eHaY18a8A9IcSdp1K8H6x8fbOy06t2VsZHhMHf-1x7Y/edit?usp=sharing"",""แผน!EX65"")"),35)</f>
        <v>35</v>
      </c>
      <c r="J369" s="295">
        <f ca="1">IFERROR(__xludf.DUMMYFUNCTION("IMPORTRANGE(""https://docs.google.com/spreadsheets/d/1tdoBKaGub7dwA3U6UFTqxio9LNnvDCQjHKmttSEBsFQ/edit?usp=sharing"",""จัดที่ดิน!AD65"")"),19)</f>
        <v>19</v>
      </c>
      <c r="K369" s="77">
        <f ca="1">IF(I369&gt;0,J369*100/I369,0)</f>
        <v>54.285714285714285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IFERROR(__xludf.DUMMYFUNCTION("IMPORTRANGE(""https://docs.google.com/spreadsheets/d/1tdoBKaGub7dwA3U6UFTqxio9LNnvDCQjHKmttSEBsFQ/edit?usp=sharing"",""จัดที่ดิน!AE65"")"),289.24)</f>
        <v>289.24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IFERROR(__xludf.DUMMYFUNCTION("IMPORTRANGE(""https://docs.google.com/spreadsheets/d/1eHaY18a8A9IcSdp1K8H6x8fbOy06t2VsZHhMHf-1x7Y/edit?usp=sharing"",""แผน!EY65"")"),35)</f>
        <v>35</v>
      </c>
      <c r="J371" s="295">
        <f ca="1">IFERROR(__xludf.DUMMYFUNCTION("IMPORTRANGE(""https://docs.google.com/spreadsheets/d/1tdoBKaGub7dwA3U6UFTqxio9LNnvDCQjHKmttSEBsFQ/edit?usp=sharing"",""จัดที่ดิน!AF65"")"),13)</f>
        <v>13</v>
      </c>
      <c r="K371" s="77">
        <f ca="1">IF(I371&gt;0,J371*100/I371,0)</f>
        <v>37.142857142857146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IFERROR(__xludf.DUMMYFUNCTION("IMPORTRANGE(""https://docs.google.com/spreadsheets/d/1tdoBKaGub7dwA3U6UFTqxio9LNnvDCQjHKmttSEBsFQ/edit?usp=sharing"",""จัดที่ดิน!AG65"")"),217.47)</f>
        <v>217.47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IFERROR(__xludf.DUMMYFUNCTION("IMPORTRANGE(""https://docs.google.com/spreadsheets/d/1ItG2mGa2ceCfYo0BwxsXqNm01IGEUdYcSSLTEv9YCik/edit?usp=sharing"",""เบิกจ่ายกองทุน!AY65"")"),0)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IFERROR(__xludf.DUMMYFUNCTION("IMPORTRANGE(""https://docs.google.com/spreadsheets/d/1ItG2mGa2ceCfYo0BwxsXqNm01IGEUdYcSSLTEv9YCik/edit?usp=sharing"",""เบิกจ่ายกองทุน!AZ65"")"),0)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IFERROR(__xludf.DUMMYFUNCTION("IMPORTRANGE(""https://docs.google.com/spreadsheets/d/1ItG2mGa2ceCfYo0BwxsXqNm01IGEUdYcSSLTEv9YCik/edit?usp=sharing"",""เบิกจ่ายกองทุน!BA65"")"),0)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IFERROR(__xludf.DUMMYFUNCTION("IMPORTRANGE(""https://docs.google.com/spreadsheets/d/1eHaY18a8A9IcSdp1K8H6x8fbOy06t2VsZHhMHf-1x7Y/edit?usp=sharing"",""แผน!JQ65"")"),0)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IFERROR(__xludf.DUMMYFUNCTION("IMPORTRANGE(""https://docs.google.com/spreadsheets/d/1eHaY18a8A9IcSdp1K8H6x8fbOy06t2VsZHhMHf-1x7Y/edit?usp=sharing"",""แผน!JQ65"")"),0)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IFERROR(__xludf.DUMMYFUNCTION("IMPORTRANGE(""https://docs.google.com/spreadsheets/d/1ItG2mGa2ceCfYo0BwxsXqNm01IGEUdYcSSLTEv9YCik/edit?usp=sharing"",""เบิกจ่ายกองทุน!BH65"")"),0)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IFERROR(__xludf.DUMMYFUNCTION("IMPORTRANGE(""https://docs.google.com/spreadsheets/d/1ItG2mGa2ceCfYo0BwxsXqNm01IGEUdYcSSLTEv9YCik/edit?usp=sharing"",""เบิกจ่ายกองทุน!BI65"")"),0)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IFERROR(__xludf.DUMMYFUNCTION("IMPORTRANGE(""https://docs.google.com/spreadsheets/d/1ItG2mGa2ceCfYo0BwxsXqNm01IGEUdYcSSLTEv9YCik/edit?usp=sharing"",""เบิกจ่ายกองทุน!BJ65"")"),0)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IFERROR(__xludf.DUMMYFUNCTION("IMPORTRANGE(""https://docs.google.com/spreadsheets/d/1eHaY18a8A9IcSdp1K8H6x8fbOy06t2VsZHhMHf-1x7Y/edit?usp=sharing"",""แผน!HJ65"")"),0)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IFERROR(__xludf.DUMMYFUNCTION("IMPORTRANGE(""https://docs.google.com/spreadsheets/d/1eHaY18a8A9IcSdp1K8H6x8fbOy06t2VsZHhMHf-1x7Y/edit?usp=sharing"",""แผน!HK65"")"),0)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IFERROR(__xludf.DUMMYFUNCTION("IMPORTRANGE(""https://docs.google.com/spreadsheets/d/1eHaY18a8A9IcSdp1K8H6x8fbOy06t2VsZHhMHf-1x7Y/edit?usp=sharing"",""แผน!HJ65"")"),0)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IFERROR(__xludf.DUMMYFUNCTION("IMPORTRANGE(""https://docs.google.com/spreadsheets/d/1eHaY18a8A9IcSdp1K8H6x8fbOy06t2VsZHhMHf-1x7Y/edit?usp=sharing"",""แผน!HK65"")"),0)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IFERROR(__xludf.DUMMYFUNCTION("IMPORTRANGE(""https://docs.google.com/spreadsheets/d/1eHaY18a8A9IcSdp1K8H6x8fbOy06t2VsZHhMHf-1x7Y/edit?usp=sharing"",""แผน!HJ65"")"),0)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IFERROR(__xludf.DUMMYFUNCTION("IMPORTRANGE(""https://docs.google.com/spreadsheets/d/1eHaY18a8A9IcSdp1K8H6x8fbOy06t2VsZHhMHf-1x7Y/edit?usp=sharing"",""แผน!HK65"")"),0)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IFERROR(__xludf.DUMMYFUNCTION("IMPORTRANGE(""https://docs.google.com/spreadsheets/d/1eHaY18a8A9IcSdp1K8H6x8fbOy06t2VsZHhMHf-1x7Y/edit?usp=sharing"",""แผน!HL65"")"),0)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IFERROR(__xludf.DUMMYFUNCTION("IMPORTRANGE(""https://docs.google.com/spreadsheets/d/1eHaY18a8A9IcSdp1K8H6x8fbOy06t2VsZHhMHf-1x7Y/edit?usp=sharing"",""แผน!HM65"")"),0)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IFERROR(__xludf.DUMMYFUNCTION("IMPORTRANGE(""https://docs.google.com/spreadsheets/d/1eHaY18a8A9IcSdp1K8H6x8fbOy06t2VsZHhMHf-1x7Y/edit?usp=sharing"",""แผน!HN65"")"),0)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IFERROR(__xludf.DUMMYFUNCTION("IMPORTRANGE(""https://docs.google.com/spreadsheets/d/1eHaY18a8A9IcSdp1K8H6x8fbOy06t2VsZHhMHf-1x7Y/edit?usp=sharing"",""แผน!HO65"")"),0)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IFERROR(__xludf.DUMMYFUNCTION("IMPORTRANGE(""https://docs.google.com/spreadsheets/d/1ItG2mGa2ceCfYo0BwxsXqNm01IGEUdYcSSLTEv9YCik/edit?usp=sharing"",""เบิกจ่ายกองทุน!X65"")"),0)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IFERROR(__xludf.DUMMYFUNCTION("IMPORTRANGE(""https://docs.google.com/spreadsheets/d/1ItG2mGa2ceCfYo0BwxsXqNm01IGEUdYcSSLTEv9YCik/edit?usp=sharing"",""เบิกจ่ายกองทุน!Y65"")"),0)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IFERROR(__xludf.DUMMYFUNCTION("IMPORTRANGE(""https://docs.google.com/spreadsheets/d/1ItG2mGa2ceCfYo0BwxsXqNm01IGEUdYcSSLTEv9YCik/edit?usp=sharing"",""เบิกจ่ายกองทุน!Z65"")"),0)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IFERROR(__xludf.DUMMYFUNCTION("IMPORTRANGE(""https://docs.google.com/spreadsheets/d/1eHaY18a8A9IcSdp1K8H6x8fbOy06t2VsZHhMHf-1x7Y/edit?usp=sharing"",""แผน!GX65"")"),0)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IFERROR(__xludf.DUMMYFUNCTION("IMPORTRANGE(""https://docs.google.com/spreadsheets/d/1eHaY18a8A9IcSdp1K8H6x8fbOy06t2VsZHhMHf-1x7Y/edit?usp=sharing"",""แผน!GY65"")"),0)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IFERROR(__xludf.DUMMYFUNCTION("IMPORTRANGE(""https://docs.google.com/spreadsheets/d/1eHaY18a8A9IcSdp1K8H6x8fbOy06t2VsZHhMHf-1x7Y/edit?usp=sharing"",""แผน!GZ65"")"),0)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IFERROR(__xludf.DUMMYFUNCTION("IMPORTRANGE(""https://docs.google.com/spreadsheets/d/1eHaY18a8A9IcSdp1K8H6x8fbOy06t2VsZHhMHf-1x7Y/edit?usp=sharing"",""แผน!HA65"")"),0)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IFERROR(__xludf.DUMMYFUNCTION("IMPORTRANGE(""https://docs.google.com/spreadsheets/d/1eHaY18a8A9IcSdp1K8H6x8fbOy06t2VsZHhMHf-1x7Y/edit?usp=sharing"",""แผน!HB65"")"),0)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IFERROR(__xludf.DUMMYFUNCTION("IMPORTRANGE(""https://docs.google.com/spreadsheets/d/1eHaY18a8A9IcSdp1K8H6x8fbOy06t2VsZHhMHf-1x7Y/edit?usp=sharing"",""แผน!HC65"")"),0)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IFERROR(__xludf.DUMMYFUNCTION("IMPORTRANGE(""https://docs.google.com/spreadsheets/d/1-uDff_7J0KD5mKrp0Vvzr7lt3OU09vwQwhkpOPPYv2Y/edit?usp=sharing"",""งบพรบ!FM65"")"),0)</f>
        <v>0</v>
      </c>
      <c r="M518" s="77">
        <f ca="1">IFERROR(__xludf.DUMMYFUNCTION("IMPORTRANGE(""https://docs.google.com/spreadsheets/d/1-uDff_7J0KD5mKrp0Vvzr7lt3OU09vwQwhkpOPPYv2Y/edit?usp=sharing"",""งบพรบ!FR65"")"),0)</f>
        <v>0</v>
      </c>
      <c r="N518" s="77">
        <f ca="1">IFERROR(__xludf.DUMMYFUNCTION("IMPORTRANGE(""https://docs.google.com/spreadsheets/d/1-uDff_7J0KD5mKrp0Vvzr7lt3OU09vwQwhkpOPPYv2Y/edit?usp=sharing"",""งบพรบ!FT65"")"),0)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IFERROR(__xludf.DUMMYFUNCTION("IMPORTRANGE(""https://docs.google.com/spreadsheets/d/1-uDff_7J0KD5mKrp0Vvzr7lt3OU09vwQwhkpOPPYv2Y/edit?usp=sharing"",""งบพรบ!FP65"")"),0)</f>
        <v>0</v>
      </c>
      <c r="M521" s="77">
        <f ca="1">IFERROR(__xludf.DUMMYFUNCTION("IMPORTRANGE(""https://docs.google.com/spreadsheets/d/1-uDff_7J0KD5mKrp0Vvzr7lt3OU09vwQwhkpOPPYv2Y/edit?usp=sharing"",""งบพรบ!FS65"")"),0)</f>
        <v>0</v>
      </c>
      <c r="N521" s="77">
        <f ca="1">IFERROR(__xludf.DUMMYFUNCTION("IMPORTRANGE(""https://docs.google.com/spreadsheets/d/1-uDff_7J0KD5mKrp0Vvzr7lt3OU09vwQwhkpOPPYv2Y/edit?usp=sharing"",""งบพรบ!FU65"")"),0)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6700</v>
      </c>
      <c r="R616" s="266">
        <f ca="1">R617+R618</f>
        <v>6700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6700</v>
      </c>
      <c r="R618" s="77">
        <f ca="1">R621+R624</f>
        <v>6700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6700</v>
      </c>
      <c r="R619" s="77">
        <f ca="1">R620+R621</f>
        <v>6700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IFERROR(__xludf.DUMMYFUNCTION("IMPORTRANGE(""https://docs.google.com/spreadsheets/d/1ItG2mGa2ceCfYo0BwxsXqNm01IGEUdYcSSLTEv9YCik/edit?usp=sharing"",""เบิกจ่ายกองทุน!F65"")"),6700)</f>
        <v>6700</v>
      </c>
      <c r="R621" s="77">
        <f ca="1">IFERROR(__xludf.DUMMYFUNCTION("IMPORTRANGE(""https://docs.google.com/spreadsheets/d/1ItG2mGa2ceCfYo0BwxsXqNm01IGEUdYcSSLTEv9YCik/edit?usp=sharing"",""เบิกจ่ายกองทุน!G65"")"),6700)</f>
        <v>6700</v>
      </c>
      <c r="S621" s="77">
        <f ca="1">IFERROR(__xludf.DUMMYFUNCTION("IMPORTRANGE(""https://docs.google.com/spreadsheets/d/1ItG2mGa2ceCfYo0BwxsXqNm01IGEUdYcSSLTEv9YCik/edit?usp=sharing"",""เบิกจ่ายกองทุน!H65"")"),0)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IFERROR(__xludf.DUMMYFUNCTION("IMPORTRANGE(""https://docs.google.com/spreadsheets/d/1eHaY18a8A9IcSdp1K8H6x8fbOy06t2VsZHhMHf-1x7Y/edit?usp=sharing"",""แผน!ID65"")"),50)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IFERROR(__xludf.DUMMYFUNCTION("IMPORTRANGE(""https://docs.google.com/spreadsheets/d/1eHaY18a8A9IcSdp1K8H6x8fbOy06t2VsZHhMHf-1x7Y/edit?usp=sharing"",""แผน!IC65"")"),0)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IFERROR(__xludf.DUMMYFUNCTION("IMPORTRANGE(""https://docs.google.com/spreadsheets/d/1eHaY18a8A9IcSdp1K8H6x8fbOy06t2VsZHhMHf-1x7Y/edit?usp=sharing"",""แผน!IC65"")"),0)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IFERROR(__xludf.DUMMYFUNCTION("IMPORTRANGE(""https://docs.google.com/spreadsheets/d/1eHaY18a8A9IcSdp1K8H6x8fbOy06t2VsZHhMHf-1x7Y/edit?usp=sharing"",""แผน!IE65"")"),0)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8600</v>
      </c>
      <c r="R642" s="266">
        <f ca="1">R643+R644</f>
        <v>8600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8600</v>
      </c>
      <c r="R644" s="77">
        <f ca="1">R647+R650</f>
        <v>8600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8600</v>
      </c>
      <c r="R645" s="77">
        <f ca="1">R646+R647</f>
        <v>8600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IFERROR(__xludf.DUMMYFUNCTION("IMPORTRANGE(""https://docs.google.com/spreadsheets/d/1ItG2mGa2ceCfYo0BwxsXqNm01IGEUdYcSSLTEv9YCik/edit?usp=sharing"",""เบิกจ่ายกองทุน!I65"")"),8600)</f>
        <v>8600</v>
      </c>
      <c r="R647" s="77">
        <f ca="1">IFERROR(__xludf.DUMMYFUNCTION("IMPORTRANGE(""https://docs.google.com/spreadsheets/d/1ItG2mGa2ceCfYo0BwxsXqNm01IGEUdYcSSLTEv9YCik/edit?usp=sharing"",""เบิกจ่ายกองทุน!J65"")"),8600)</f>
        <v>8600</v>
      </c>
      <c r="S647" s="77">
        <f ca="1">IFERROR(__xludf.DUMMYFUNCTION("IMPORTRANGE(""https://docs.google.com/spreadsheets/d/1ItG2mGa2ceCfYo0BwxsXqNm01IGEUdYcSSLTEv9YCik/edit?usp=sharing"",""เบิกจ่ายกองทุน!K65"")"),0)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IFERROR(__xludf.DUMMYFUNCTION("IMPORTRANGE(""https://docs.google.com/spreadsheets/d/1eHaY18a8A9IcSdp1K8H6x8fbOy06t2VsZHhMHf-1x7Y/edit?usp=sharing"",""แผน!IF65"")"),0)</f>
        <v>0</v>
      </c>
      <c r="J652" s="295">
        <f ca="1">IFERROR(__xludf.DUMMYFUNCTION("IMPORTRANGE(""https://docs.google.com/spreadsheets/d/1tdoBKaGub7dwA3U6UFTqxio9LNnvDCQjHKmttSEBsFQ/edit?usp=sharing"",""จัดที่ดิน!AU65"")"),0)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IFERROR(__xludf.DUMMYFUNCTION("IMPORTRANGE(""https://docs.google.com/spreadsheets/d/1eHaY18a8A9IcSdp1K8H6x8fbOy06t2VsZHhMHf-1x7Y/edit?usp=sharing"",""แผน!IG65"")"),0)</f>
        <v>0</v>
      </c>
      <c r="J653" s="295">
        <f ca="1">IFERROR(__xludf.DUMMYFUNCTION("IMPORTRANGE(""https://docs.google.com/spreadsheets/d/1tdoBKaGub7dwA3U6UFTqxio9LNnvDCQjHKmttSEBsFQ/edit?usp=sharing"",""จัดที่ดิน!AW65"")"),2)</f>
        <v>2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IFERROR(__xludf.DUMMYFUNCTION("IMPORTRANGE(""https://docs.google.com/spreadsheets/d/1eHaY18a8A9IcSdp1K8H6x8fbOy06t2VsZHhMHf-1x7Y/edit?usp=sharing"",""แผน!IH65"")"),350)</f>
        <v>350</v>
      </c>
      <c r="J654" s="603">
        <f>J657+J660</f>
        <v>68.650000000000006</v>
      </c>
      <c r="K654" s="266">
        <f ca="1">IF(I654&gt;0,J654*100/I654,0)</f>
        <v>19.614285714285717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6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7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IFERROR(__xludf.DUMMYFUNCTION("IMPORTRANGE(""https://docs.google.com/spreadsheets/d/1eHaY18a8A9IcSdp1K8H6x8fbOy06t2VsZHhMHf-1x7Y/edit?usp=sharing"",""แผน!II65"")"),0)</f>
        <v>0</v>
      </c>
      <c r="J657" s="296">
        <v>68.650000000000006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IFERROR(__xludf.DUMMYFUNCTION("IMPORTRANGE(""https://docs.google.com/spreadsheets/d/1eHaY18a8A9IcSdp1K8H6x8fbOy06t2VsZHhMHf-1x7Y/edit?usp=sharing"",""แผน!IJ65"")"),350)</f>
        <v>350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IFERROR(__xludf.DUMMYFUNCTION("IMPORTRANGE(""https://docs.google.com/spreadsheets/d/1eHaY18a8A9IcSdp1K8H6x8fbOy06t2VsZHhMHf-1x7Y/edit?usp=sharing"",""แผน!IK65"")"),0)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IFERROR(__xludf.DUMMYFUNCTION("IMPORTRANGE(""https://docs.google.com/spreadsheets/d/1tdoBKaGub7dwA3U6UFTqxio9LNnvDCQjHKmttSEBsFQ/edit?usp=sharing"",""จัดที่ดิน!AY65"")"),0)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IFERROR(__xludf.DUMMYFUNCTION("IMPORTRANGE(""https://docs.google.com/spreadsheets/d/1tdoBKaGub7dwA3U6UFTqxio9LNnvDCQjHKmttSEBsFQ/edit?usp=sharing"",""จัดที่ดิน!AZ65"")"),0)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IFERROR(__xludf.DUMMYFUNCTION("IMPORTRANGE(""https://docs.google.com/spreadsheets/d/1eHaY18a8A9IcSdp1K8H6x8fbOy06t2VsZHhMHf-1x7Y/edit?usp=sharing"",""แผน!IL65"")"),0)</f>
        <v>0</v>
      </c>
      <c r="J673" s="295">
        <f ca="1">IFERROR(__xludf.DUMMYFUNCTION("IMPORTRANGE(""https://docs.google.com/spreadsheets/d/1tdoBKaGub7dwA3U6UFTqxio9LNnvDCQjHKmttSEBsFQ/edit?usp=sharing"",""จัดที่ดิน!BA65"")"),0)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IFERROR(__xludf.DUMMYFUNCTION("IMPORTRANGE(""https://docs.google.com/spreadsheets/d/1eHaY18a8A9IcSdp1K8H6x8fbOy06t2VsZHhMHf-1x7Y/edit?usp=sharing"",""แผน!IM65"")"),5)</f>
        <v>5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IFERROR(__xludf.DUMMYFUNCTION("IMPORTRANGE(""https://docs.google.com/spreadsheets/d/1eHaY18a8A9IcSdp1K8H6x8fbOy06t2VsZHhMHf-1x7Y/edit?usp=sharing"",""แผน!IN65"")"),140)</f>
        <v>140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IFERROR(__xludf.DUMMYFUNCTION("IMPORTRANGE(""https://docs.google.com/spreadsheets/d/1eHaY18a8A9IcSdp1K8H6x8fbOy06t2VsZHhMHf-1x7Y/edit?usp=sharing"",""แผน!IO65"")"),5)</f>
        <v>5</v>
      </c>
      <c r="J676" s="295">
        <f ca="1">IFERROR(__xludf.DUMMYFUNCTION("IMPORTRANGE(""https://docs.google.com/spreadsheets/d/1tdoBKaGub7dwA3U6UFTqxio9LNnvDCQjHKmttSEBsFQ/edit?usp=sharing"",""จัดที่ดิน!BF65"")"),0)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IFERROR(__xludf.DUMMYFUNCTION("IMPORTRANGE(""https://docs.google.com/spreadsheets/d/1tdoBKaGub7dwA3U6UFTqxio9LNnvDCQjHKmttSEBsFQ/edit?usp=sharing"",""จัดที่ดิน!BG65"")"),0)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IFERROR(__xludf.DUMMYFUNCTION("IMPORTRANGE(""https://docs.google.com/spreadsheets/d/1eHaY18a8A9IcSdp1K8H6x8fbOy06t2VsZHhMHf-1x7Y/edit?usp=sharing"",""แผน!IP65"")"),140)</f>
        <v>140</v>
      </c>
      <c r="J678" s="295">
        <f ca="1">IFERROR(__xludf.DUMMYFUNCTION("IMPORTRANGE(""https://docs.google.com/spreadsheets/d/1tdoBKaGub7dwA3U6UFTqxio9LNnvDCQjHKmttSEBsFQ/edit?usp=sharing"",""จัดที่ดิน!BH65"")"),0)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IFERROR(__xludf.DUMMYFUNCTION("IMPORTRANGE(""https://docs.google.com/spreadsheets/d/1eHaY18a8A9IcSdp1K8H6x8fbOy06t2VsZHhMHf-1x7Y/edit?usp=sharing"",""แผน!IQ65"")"),0)</f>
        <v>0</v>
      </c>
      <c r="J679" s="295">
        <f ca="1">IFERROR(__xludf.DUMMYFUNCTION("IMPORTRANGE(""https://docs.google.com/spreadsheets/d/1tdoBKaGub7dwA3U6UFTqxio9LNnvDCQjHKmttSEBsFQ/edit?usp=sharing"",""จัดที่ดิน!BK65"")"),0)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IFERROR(__xludf.DUMMYFUNCTION("IMPORTRANGE(""https://docs.google.com/spreadsheets/d/1tdoBKaGub7dwA3U6UFTqxio9LNnvDCQjHKmttSEBsFQ/edit?usp=sharing"",""จัดที่ดิน!BL65"")"),0)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IFERROR(__xludf.DUMMYFUNCTION("IMPORTRANGE(""https://docs.google.com/spreadsheets/d/1eHaY18a8A9IcSdp1K8H6x8fbOy06t2VsZHhMHf-1x7Y/edit?usp=sharing"",""แผน!IR65"")"),0)</f>
        <v>0</v>
      </c>
      <c r="J681" s="295">
        <f ca="1">IFERROR(__xludf.DUMMYFUNCTION("IMPORTRANGE(""https://docs.google.com/spreadsheets/d/1tdoBKaGub7dwA3U6UFTqxio9LNnvDCQjHKmttSEBsFQ/edit?usp=sharing"",""จัดที่ดิน!BM65"")"),0)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IFERROR(__xludf.DUMMYFUNCTION("IMPORTRANGE(""https://docs.google.com/spreadsheets/d/1eHaY18a8A9IcSdp1K8H6x8fbOy06t2VsZHhMHf-1x7Y/edit?usp=sharing"",""แผน!IS65"")"),0)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57710</v>
      </c>
      <c r="R690" s="266">
        <f ca="1">R691+R692</f>
        <v>57710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57710</v>
      </c>
      <c r="R692" s="77">
        <f ca="1">R695+R698</f>
        <v>57710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57710</v>
      </c>
      <c r="R693" s="77">
        <f ca="1">R694+R695</f>
        <v>57710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IFERROR(__xludf.DUMMYFUNCTION("IMPORTRANGE(""https://docs.google.com/spreadsheets/d/1ItG2mGa2ceCfYo0BwxsXqNm01IGEUdYcSSLTEv9YCik/edit?usp=sharing"",""เบิกจ่ายกองทุน!L65"")"),57710)</f>
        <v>57710</v>
      </c>
      <c r="R695" s="77">
        <f ca="1">IFERROR(__xludf.DUMMYFUNCTION("IMPORTRANGE(""https://docs.google.com/spreadsheets/d/1ItG2mGa2ceCfYo0BwxsXqNm01IGEUdYcSSLTEv9YCik/edit?usp=sharing"",""เบิกจ่ายกองทุน!M65"")"),57710)</f>
        <v>57710</v>
      </c>
      <c r="S695" s="77">
        <f ca="1">IFERROR(__xludf.DUMMYFUNCTION("IMPORTRANGE(""https://docs.google.com/spreadsheets/d/1ItG2mGa2ceCfYo0BwxsXqNm01IGEUdYcSSLTEv9YCik/edit?usp=sharing"",""เบิกจ่ายกองทุน!N65"")"),0)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IFERROR(__xludf.DUMMYFUNCTION("IMPORTRANGE(""https://docs.google.com/spreadsheets/d/1eHaY18a8A9IcSdp1K8H6x8fbOy06t2VsZHhMHf-1x7Y/edit?usp=sharing"",""แผน!LC65"")"),0)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1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IFERROR(__xludf.DUMMYFUNCTION("IMPORTRANGE(""https://docs.google.com/spreadsheets/d/1eHaY18a8A9IcSdp1K8H6x8fbOy06t2VsZHhMHf-1x7Y/edit?usp=sharing"",""แผน!LJ65"")"),0)</f>
        <v>0</v>
      </c>
      <c r="J703" s="295">
        <f ca="1">IFERROR(__xludf.DUMMYFUNCTION("IMPORTRANGE(""https://docs.google.com/spreadsheets/d/1tdoBKaGub7dwA3U6UFTqxio9LNnvDCQjHKmttSEBsFQ/edit?usp=sharing"",""จัดที่ดิน!AP65"")"),0)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IFERROR(__xludf.DUMMYFUNCTION("IMPORTRANGE(""https://docs.google.com/spreadsheets/d/1tdoBKaGub7dwA3U6UFTqxio9LNnvDCQjHKmttSEBsFQ/edit?usp=sharing"",""จัดที่ดิน!AQ65"")"),0)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IFERROR(__xludf.DUMMYFUNCTION("IMPORTRANGE(""https://docs.google.com/spreadsheets/d/1eHaY18a8A9IcSdp1K8H6x8fbOy06t2VsZHhMHf-1x7Y/edit?usp=sharing"",""แผน!LK65"")"),1)</f>
        <v>1</v>
      </c>
      <c r="J705" s="295">
        <f ca="1">IFERROR(__xludf.DUMMYFUNCTION("IMPORTRANGE(""https://docs.google.com/spreadsheets/d/1tdoBKaGub7dwA3U6UFTqxio9LNnvDCQjHKmttSEBsFQ/edit?usp=sharing"",""จัดที่ดิน!AR65"")"),0)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IFERROR(__xludf.DUMMYFUNCTION("IMPORTRANGE(""https://docs.google.com/spreadsheets/d/1tdoBKaGub7dwA3U6UFTqxio9LNnvDCQjHKmttSEBsFQ/edit?usp=sharing"",""จัดที่ดิน!AS65"")"),0)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IFERROR(__xludf.DUMMYFUNCTION("IMPORTRANGE(""https://docs.google.com/spreadsheets/d/1eHaY18a8A9IcSdp1K8H6x8fbOy06t2VsZHhMHf-1x7Y/edit?usp=sharing"",""แผน!LJ65"")"),0)</f>
        <v>0</v>
      </c>
      <c r="J707" s="295">
        <f ca="1">IFERROR(__xludf.DUMMYFUNCTION("IMPORTRANGE(""https://docs.google.com/spreadsheets/d/1tdoBKaGub7dwA3U6UFTqxio9LNnvDCQjHKmttSEBsFQ/edit?usp=sharing"",""จัดที่ดิน!BN65"")"),0)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IFERROR(__xludf.DUMMYFUNCTION("IMPORTRANGE(""https://docs.google.com/spreadsheets/d/1tdoBKaGub7dwA3U6UFTqxio9LNnvDCQjHKmttSEBsFQ/edit?usp=sharing"",""จัดที่ดิน!BO65"")"),0)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IFERROR(__xludf.DUMMYFUNCTION("IMPORTRANGE(""https://docs.google.com/spreadsheets/d/1eHaY18a8A9IcSdp1K8H6x8fbOy06t2VsZHhMHf-1x7Y/edit?usp=sharing"",""แผน!LK65"")"),1)</f>
        <v>1</v>
      </c>
      <c r="J709" s="295">
        <f ca="1">IFERROR(__xludf.DUMMYFUNCTION("IMPORTRANGE(""https://docs.google.com/spreadsheets/d/1tdoBKaGub7dwA3U6UFTqxio9LNnvDCQjHKmttSEBsFQ/edit?usp=sharing"",""จัดที่ดิน!BP65"")"),0)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IFERROR(__xludf.DUMMYFUNCTION("IMPORTRANGE(""https://docs.google.com/spreadsheets/d/1tdoBKaGub7dwA3U6UFTqxio9LNnvDCQjHKmttSEBsFQ/edit?usp=sharing"",""จัดที่ดิน!BQ65"")"),0)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IFERROR(__xludf.DUMMYFUNCTION("IMPORTRANGE(""https://docs.google.com/spreadsheets/d/1eHaY18a8A9IcSdp1K8H6x8fbOy06t2VsZHhMHf-1x7Y/edit?usp=sharing"",""แผน!GA65"")"),11)</f>
        <v>11</v>
      </c>
      <c r="J726" s="760">
        <f>J742+J746+J749</f>
        <v>12</v>
      </c>
      <c r="K726" s="746">
        <f ca="1">IF(I726&gt;0,J726*100/I726,0)</f>
        <v>109.09090909090909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IFERROR(__xludf.DUMMYFUNCTION("IMPORTRANGE(""https://docs.google.com/spreadsheets/d/1eHaY18a8A9IcSdp1K8H6x8fbOy06t2VsZHhMHf-1x7Y/edit?usp=sharing"",""แผน!FZ65"")"),100)</f>
        <v>100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111642</v>
      </c>
      <c r="R728" s="266">
        <f ca="1">R729+R730</f>
        <v>111642</v>
      </c>
      <c r="S728" s="266">
        <f ca="1">S729+S730</f>
        <v>18680</v>
      </c>
      <c r="T728" s="266">
        <f ca="1">IF(Q728&gt;0,S728*100/Q728,0)</f>
        <v>16.732054244818258</v>
      </c>
      <c r="U728" s="266">
        <f ca="1">IF(R728&gt;0,S728*100/R728,0)</f>
        <v>16.732054244818258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111642</v>
      </c>
      <c r="R730" s="77">
        <f ca="1">R733+R736</f>
        <v>111642</v>
      </c>
      <c r="S730" s="77">
        <f ca="1">S733+S736</f>
        <v>18680</v>
      </c>
      <c r="T730" s="77">
        <f ca="1">IF(Q730&gt;0,S730*100/Q730,0)</f>
        <v>16.732054244818258</v>
      </c>
      <c r="U730" s="77">
        <f ca="1">IF(R730&gt;0,S730*100/R730,0)</f>
        <v>16.732054244818258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111642</v>
      </c>
      <c r="R731" s="77">
        <f ca="1">R732+R733</f>
        <v>111642</v>
      </c>
      <c r="S731" s="77">
        <f ca="1">S732+S733</f>
        <v>18680</v>
      </c>
      <c r="T731" s="77">
        <f ca="1">IF(Q731&gt;0,S731*100/Q731,0)</f>
        <v>16.732054244818258</v>
      </c>
      <c r="U731" s="77">
        <f ca="1">IF(R731&gt;0,S731*100/R731,0)</f>
        <v>16.732054244818258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IFERROR(__xludf.DUMMYFUNCTION("IMPORTRANGE(""https://docs.google.com/spreadsheets/d/1ItG2mGa2ceCfYo0BwxsXqNm01IGEUdYcSSLTEv9YCik/edit?usp=sharing"",""เบิกจ่ายกองทุน!O65"")"),111642)</f>
        <v>111642</v>
      </c>
      <c r="R733" s="77">
        <f ca="1">IFERROR(__xludf.DUMMYFUNCTION("IMPORTRANGE(""https://docs.google.com/spreadsheets/d/1ItG2mGa2ceCfYo0BwxsXqNm01IGEUdYcSSLTEv9YCik/edit?usp=sharing"",""เบิกจ่ายกองทุน!P65"")"),111642)</f>
        <v>111642</v>
      </c>
      <c r="S733" s="77">
        <f ca="1">IFERROR(__xludf.DUMMYFUNCTION("IMPORTRANGE(""https://docs.google.com/spreadsheets/d/1ItG2mGa2ceCfYo0BwxsXqNm01IGEUdYcSSLTEv9YCik/edit?usp=sharing"",""เบิกจ่ายกองทุน!Q65"")"),18680)</f>
        <v>18680</v>
      </c>
      <c r="T733" s="77">
        <f ca="1">IF(Q733&gt;0,S733*100/Q733,0)</f>
        <v>16.732054244818258</v>
      </c>
      <c r="U733" s="77">
        <f ca="1">IF(R733&gt;0,S733*100/R733,0)</f>
        <v>16.732054244818258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IFERROR(__xludf.DUMMYFUNCTION("IMPORTRANGE(""https://docs.google.com/spreadsheets/d/1eHaY18a8A9IcSdp1K8H6x8fbOy06t2VsZHhMHf-1x7Y/edit?usp=sharing"",""แผน!GB65"")"),80)</f>
        <v>80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IFERROR(__xludf.DUMMYFUNCTION("IMPORTRANGE(""https://docs.google.com/spreadsheets/d/1eHaY18a8A9IcSdp1K8H6x8fbOy06t2VsZHhMHf-1x7Y/edit?usp=sharing"",""แผน!GC65"")"),8)</f>
        <v>8</v>
      </c>
      <c r="J742" s="816">
        <v>9</v>
      </c>
      <c r="K742" s="91">
        <f ca="1">IF(I742&gt;0,J742*100/I742,0)</f>
        <v>112.5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IFERROR(__xludf.DUMMYFUNCTION("IMPORTRANGE(""https://docs.google.com/spreadsheets/d/1eHaY18a8A9IcSdp1K8H6x8fbOy06t2VsZHhMHf-1x7Y/edit?usp=sharing"",""แผน!GD65"")"),20)</f>
        <v>20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IFERROR(__xludf.DUMMYFUNCTION("IMPORTRANGE(""https://docs.google.com/spreadsheets/d/1eHaY18a8A9IcSdp1K8H6x8fbOy06t2VsZHhMHf-1x7Y/edit?usp=sharing"",""แผน!GE65"")"),2)</f>
        <v>2</v>
      </c>
      <c r="J746" s="816">
        <v>2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IFERROR(__xludf.DUMMYFUNCTION("IMPORTRANGE(""https://docs.google.com/spreadsheets/d/1eHaY18a8A9IcSdp1K8H6x8fbOy06t2VsZHhMHf-1x7Y/edit?usp=sharing"",""แผน!GF65"")"),1)</f>
        <v>1</v>
      </c>
      <c r="J749" s="816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IFERROR(__xludf.DUMMYFUNCTION("IMPORTRANGE(""https://docs.google.com/spreadsheets/d/1eHaY18a8A9IcSdp1K8H6x8fbOy06t2VsZHhMHf-1x7Y/edit?usp=sharing"",""แผน!GB65"")"),80)</f>
        <v>80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IFERROR(__xludf.DUMMYFUNCTION("IMPORTRANGE(""https://docs.google.com/spreadsheets/d/1eHaY18a8A9IcSdp1K8H6x8fbOy06t2VsZHhMHf-1x7Y/edit?usp=sharing"",""แผน!GD65"")"),20)</f>
        <v>20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IFERROR(__xludf.DUMMYFUNCTION("IMPORTRANGE(""https://docs.google.com/spreadsheets/d/1ItG2mGa2ceCfYo0BwxsXqNm01IGEUdYcSSLTEv9YCik/edit?usp=sharing"",""เบิกจ่ายกองทุน!U65"")"),0)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IFERROR(__xludf.DUMMYFUNCTION("IMPORTRANGE(""https://docs.google.com/spreadsheets/d/1ItG2mGa2ceCfYo0BwxsXqNm01IGEUdYcSSLTEv9YCik/edit?usp=sharing"",""เบิกจ่ายกองทุน!V65"")"),0)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IFERROR(__xludf.DUMMYFUNCTION("IMPORTRANGE(""https://docs.google.com/spreadsheets/d/1ItG2mGa2ceCfYo0BwxsXqNm01IGEUdYcSSLTEv9YCik/edit?usp=sharing"",""เบิกจ่ายกองทุน!W65"")"),0)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IFERROR(__xludf.DUMMYFUNCTION("IMPORTRANGE(""https://docs.google.com/spreadsheets/d/1eHaY18a8A9IcSdp1K8H6x8fbOy06t2VsZHhMHf-1x7Y/edit?usp=sharing"",""แผน!FI65"")"),0)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IFERROR(__xludf.DUMMYFUNCTION("IMPORTRANGE(""https://docs.google.com/spreadsheets/d/1eHaY18a8A9IcSdp1K8H6x8fbOy06t2VsZHhMHf-1x7Y/edit?usp=sharing"",""แผน!FQ65"")"),0)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IFERROR(__xludf.DUMMYFUNCTION("IMPORTRANGE(""https://docs.google.com/spreadsheets/d/1eHaY18a8A9IcSdp1K8H6x8fbOy06t2VsZHhMHf-1x7Y/edit?usp=sharing"",""แผน!FR65"")"),0)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IFERROR(__xludf.DUMMYFUNCTION("IMPORTRANGE(""https://docs.google.com/spreadsheets/d/1eHaY18a8A9IcSdp1K8H6x8fbOy06t2VsZHhMHf-1x7Y/edit?usp=sharing"",""แผน!FS65"")"),0)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IFERROR(__xludf.DUMMYFUNCTION("IMPORTRANGE(""https://docs.google.com/spreadsheets/d/1eHaY18a8A9IcSdp1K8H6x8fbOy06t2VsZHhMHf-1x7Y/edit?usp=sharing"",""แผน!FT65"")"),0)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IFERROR(__xludf.DUMMYFUNCTION("IMPORTRANGE(""https://docs.google.com/spreadsheets/d/10OvvATaaLtwErnr3qtWFcTmtbfpFEt5Bsqel9sXx0uE/edit?usp=sharing"",""งานกองทุน!D65"")"),970748.68)</f>
        <v>970748.68</v>
      </c>
      <c r="J778" s="295">
        <f ca="1">IFERROR(__xludf.DUMMYFUNCTION("IMPORTRANGE(""https://docs.google.com/spreadsheets/d/10OvvATaaLtwErnr3qtWFcTmtbfpFEt5Bsqel9sXx0uE/edit?usp=sharing"",""งานกองทุน!F65"")"),559085.63)</f>
        <v>559085.63</v>
      </c>
      <c r="K778" s="77">
        <f ca="1">IF(I778&gt;0,J778*100/I778,0)</f>
        <v>57.593241332040748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IFERROR(__xludf.DUMMYFUNCTION("IMPORTRANGE(""https://docs.google.com/spreadsheets/d/10OvvATaaLtwErnr3qtWFcTmtbfpFEt5Bsqel9sXx0uE/edit?usp=sharing"",""งานกองทุน!C65"")"),74)</f>
        <v>74</v>
      </c>
      <c r="J779" s="295">
        <f ca="1">IFERROR(__xludf.DUMMYFUNCTION("IMPORTRANGE(""https://docs.google.com/spreadsheets/d/10OvvATaaLtwErnr3qtWFcTmtbfpFEt5Bsqel9sXx0uE/edit?usp=sharing"",""งานกองทุน!E65"")"),34)</f>
        <v>34</v>
      </c>
      <c r="K779" s="77">
        <f ca="1">IF(I779&gt;0,J779*100/I779,0)</f>
        <v>45.945945945945944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IFERROR(__xludf.DUMMYFUNCTION("IMPORTRANGE(""https://docs.google.com/spreadsheets/d/10OvvATaaLtwErnr3qtWFcTmtbfpFEt5Bsqel9sXx0uE/edit?usp=sharing"",""งานกองทุน!I65"")"),430494.37)</f>
        <v>430494.37</v>
      </c>
      <c r="J780" s="295">
        <f ca="1">IFERROR(__xludf.DUMMYFUNCTION("IMPORTRANGE(""https://docs.google.com/spreadsheets/d/10OvvATaaLtwErnr3qtWFcTmtbfpFEt5Bsqel9sXx0uE/edit?usp=sharing"",""งานกองทุน!K65"")"),93316.02)</f>
        <v>93316.02</v>
      </c>
      <c r="K780" s="77">
        <f ca="1">IF(I780&gt;0,J780*100/I780,0)</f>
        <v>21.676478602960593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IFERROR(__xludf.DUMMYFUNCTION("IMPORTRANGE(""https://docs.google.com/spreadsheets/d/10OvvATaaLtwErnr3qtWFcTmtbfpFEt5Bsqel9sXx0uE/edit?usp=sharing"",""งานกองทุน!H65"")"),20)</f>
        <v>20</v>
      </c>
      <c r="J781" s="295">
        <f ca="1">IFERROR(__xludf.DUMMYFUNCTION("IMPORTRANGE(""https://docs.google.com/spreadsheets/d/10OvvATaaLtwErnr3qtWFcTmtbfpFEt5Bsqel9sXx0uE/edit?usp=sharing"",""งานกองทุน!J65"")"),6)</f>
        <v>6</v>
      </c>
      <c r="K781" s="77">
        <f ca="1">IF(I781&gt;0,J781*100/I781,0)</f>
        <v>30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IFERROR(__xludf.DUMMYFUNCTION("IMPORTRANGE(""https://docs.google.com/spreadsheets/d/10OvvATaaLtwErnr3qtWFcTmtbfpFEt5Bsqel9sXx0uE/edit?usp=sharing"",""งานกองทุน!N65"")"),68639.16)</f>
        <v>68639.16</v>
      </c>
      <c r="J782" s="295">
        <f ca="1">IFERROR(__xludf.DUMMYFUNCTION("IMPORTRANGE(""https://docs.google.com/spreadsheets/d/10OvvATaaLtwErnr3qtWFcTmtbfpFEt5Bsqel9sXx0uE/edit?usp=sharing"",""งานกองทุน!P65"")"),276778.02)</f>
        <v>276778.02</v>
      </c>
      <c r="K782" s="77">
        <f ca="1">IF(I782&gt;0,J782*100/I782,0)</f>
        <v>403.23631582903982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IFERROR(__xludf.DUMMYFUNCTION("IMPORTRANGE(""https://docs.google.com/spreadsheets/d/10OvvATaaLtwErnr3qtWFcTmtbfpFEt5Bsqel9sXx0uE/edit?usp=sharing"",""งานกองทุน!M65"")"),43)</f>
        <v>43</v>
      </c>
      <c r="J783" s="295">
        <f ca="1">IFERROR(__xludf.DUMMYFUNCTION("IMPORTRANGE(""https://docs.google.com/spreadsheets/d/10OvvATaaLtwErnr3qtWFcTmtbfpFEt5Bsqel9sXx0uE/edit?usp=sharing"",""งานกองทุน!O65"")"),26)</f>
        <v>26</v>
      </c>
      <c r="K783" s="77">
        <f ca="1">IF(I783&gt;0,J783*100/I783,0)</f>
        <v>60.465116279069768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IFERROR(__xludf.DUMMYFUNCTION("IMPORTRANGE(""https://docs.google.com/spreadsheets/d/10OvvATaaLtwErnr3qtWFcTmtbfpFEt5Bsqel9sXx0uE/edit?usp=sharing"",""งานกองทุน!S65"")"),1092000)</f>
        <v>1092000</v>
      </c>
      <c r="J784" s="295">
        <f ca="1">IFERROR(__xludf.DUMMYFUNCTION("IMPORTRANGE(""https://docs.google.com/spreadsheets/d/10OvvATaaLtwErnr3qtWFcTmtbfpFEt5Bsqel9sXx0uE/edit?usp=sharing"",""งานกองทุน!U65"")"),735000)</f>
        <v>735000</v>
      </c>
      <c r="K784" s="77">
        <f ca="1">IF(I784&gt;0,J784*100/I784,0)</f>
        <v>67.307692307692307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IFERROR(__xludf.DUMMYFUNCTION("IMPORTRANGE(""https://docs.google.com/spreadsheets/d/10OvvATaaLtwErnr3qtWFcTmtbfpFEt5Bsqel9sXx0uE/edit?usp=sharing"",""งานกองทุน!R65"")"),39)</f>
        <v>39</v>
      </c>
      <c r="J785" s="773">
        <f ca="1">IFERROR(__xludf.DUMMYFUNCTION("IMPORTRANGE(""https://docs.google.com/spreadsheets/d/10OvvATaaLtwErnr3qtWFcTmtbfpFEt5Bsqel9sXx0uE/edit?usp=sharing"",""งานกองทุน!T65"")"),18)</f>
        <v>18</v>
      </c>
      <c r="K785" s="185">
        <f ca="1">IF(I785&gt;0,J785*100/I785,0)</f>
        <v>46.153846153846153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822C-A5CE-4320-8615-FC33C964547A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352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1244850</v>
      </c>
      <c r="M18" s="62">
        <f ca="1">M19+M20</f>
        <v>1421448</v>
      </c>
      <c r="N18" s="62">
        <f ca="1">N19+N20</f>
        <v>1171406.8</v>
      </c>
      <c r="O18" s="62">
        <f ca="1">IF(L18&gt;0,N18*100/L18,0)</f>
        <v>94.100236976342529</v>
      </c>
      <c r="P18" s="62">
        <f ca="1">IF(M18&gt;0,N18*100/M18,0)</f>
        <v>82.409402243346221</v>
      </c>
      <c r="Q18" s="62">
        <f ca="1">Q19+Q20</f>
        <v>961073.24</v>
      </c>
      <c r="R18" s="62">
        <f ca="1">R19+R20</f>
        <v>929823</v>
      </c>
      <c r="S18" s="62">
        <f ca="1">S19+S20</f>
        <v>191481</v>
      </c>
      <c r="T18" s="62">
        <f ca="1">IF(Q18&gt;0,S18*100/Q18,0)</f>
        <v>19.923663674164938</v>
      </c>
      <c r="U18" s="62">
        <f ca="1">IF(R18&gt;0,S18*100/R18,0)</f>
        <v>20.593274203800078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1244850</v>
      </c>
      <c r="M20" s="68">
        <f ca="1">M23+M26</f>
        <v>1421448</v>
      </c>
      <c r="N20" s="68">
        <f ca="1">N23+N26</f>
        <v>1171406.8</v>
      </c>
      <c r="O20" s="68">
        <f ca="1">IF(L20&gt;0,N20*100/L20,0)</f>
        <v>94.100236976342529</v>
      </c>
      <c r="P20" s="68">
        <f ca="1">IF(M20&gt;0,N20*100/M20,0)</f>
        <v>82.409402243346221</v>
      </c>
      <c r="Q20" s="68">
        <f ca="1">Q23+Q26</f>
        <v>961073.24</v>
      </c>
      <c r="R20" s="68">
        <f ca="1">R23+R26</f>
        <v>929823</v>
      </c>
      <c r="S20" s="68">
        <f ca="1">S23+S26</f>
        <v>191481</v>
      </c>
      <c r="T20" s="68">
        <f ca="1">IF(Q20&gt;0,S20*100/Q20,0)</f>
        <v>19.923663674164938</v>
      </c>
      <c r="U20" s="68">
        <f ca="1">IF(R20&gt;0,S20*100/R20,0)</f>
        <v>20.593274203800078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1244850</v>
      </c>
      <c r="M21" s="77">
        <f ca="1">M22+M23</f>
        <v>1421448</v>
      </c>
      <c r="N21" s="77">
        <f ca="1">N22+N23</f>
        <v>1171406.8</v>
      </c>
      <c r="O21" s="77">
        <f ca="1">IF(L21&gt;0,N21*100/L21,0)</f>
        <v>94.100236976342529</v>
      </c>
      <c r="P21" s="77">
        <f ca="1">IF(M21&gt;0,N21*100/M21,0)</f>
        <v>82.409402243346221</v>
      </c>
      <c r="Q21" s="77">
        <f ca="1">Q22+Q23</f>
        <v>961073.24</v>
      </c>
      <c r="R21" s="77">
        <f ca="1">R22+R23</f>
        <v>929823</v>
      </c>
      <c r="S21" s="77">
        <f ca="1">S22+S23</f>
        <v>191481</v>
      </c>
      <c r="T21" s="77">
        <f ca="1">IF(Q21&gt;0,S21*100/Q21,0)</f>
        <v>19.923663674164938</v>
      </c>
      <c r="U21" s="77">
        <f ca="1">IF(R21&gt;0,S21*100/R21,0)</f>
        <v>20.593274203800078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1244850</v>
      </c>
      <c r="M23" s="77">
        <f ca="1">M49+M64+M77+M99+M130+M144+M162+M191+M178+M271+M287+M308+M325+M338+M361+M518</f>
        <v>1421448</v>
      </c>
      <c r="N23" s="77">
        <f ca="1">N49+N64+N77+N99+N130+N144+N162+N191+N178+N271+N287+N308+N325+N338+N361+N518</f>
        <v>1171406.8</v>
      </c>
      <c r="O23" s="77">
        <f ca="1">IF(L23&gt;0,N23*100/L23,0)</f>
        <v>94.100236976342529</v>
      </c>
      <c r="P23" s="77">
        <f ca="1">IF(M23&gt;0,N23*100/M23,0)</f>
        <v>82.409402243346221</v>
      </c>
      <c r="Q23" s="77">
        <f ca="1">Q77+Q99+Q122+Q144+Q162+Q178+Q191+Q271+Q287+Q308+Q338+Q380+Q397+Q418+Q498+Q604+Q621+Q647+Q695+Q719+Q733+Q765</f>
        <v>961073.24</v>
      </c>
      <c r="R23" s="77">
        <f ca="1">R77+R99+R122+R144+R162+R178+R191+R271+R287+R308+R338+R380+R397+R418+R498+R604+R621+R647+R695+R719+R733+R765</f>
        <v>929823</v>
      </c>
      <c r="S23" s="77">
        <f ca="1">S77+S99+S122+S144+S162+S178+S191+S271+S287+S308+S338+S380+S397+S418+S498+S604+S621+S647+S695+S719+S733+S765</f>
        <v>191481</v>
      </c>
      <c r="T23" s="77">
        <f ca="1">IF(Q23&gt;0,S23*100/Q23,0)</f>
        <v>19.923663674164938</v>
      </c>
      <c r="U23" s="77">
        <f ca="1">IF(R23&gt;0,S23*100/R23,0)</f>
        <v>20.593274203800078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1244850</v>
      </c>
      <c r="M40" s="1308">
        <f ca="1">M44+M59+M72+M94+M125+M139+M157+M173+M186+M266+M282+M303+M320+M333+M356</f>
        <v>1421448</v>
      </c>
      <c r="N40" s="1308">
        <f ca="1">N44+N59+N72+N94+N125+N139+N157+N173+N186+N266+N282+N303+N320+N333+N356</f>
        <v>1171406.8</v>
      </c>
      <c r="O40" s="1308">
        <f ca="1">IF(L40&gt;0,N40*100/L40,0)</f>
        <v>94.100236976342529</v>
      </c>
      <c r="P40" s="1308">
        <f ca="1">IF(M40&gt;0,N40*100/M40,0)</f>
        <v>82.409402243346221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217800</v>
      </c>
      <c r="M44" s="1304">
        <f ca="1">M45+M46</f>
        <v>219788</v>
      </c>
      <c r="N44" s="1304">
        <f ca="1">N45+N46</f>
        <v>194488</v>
      </c>
      <c r="O44" s="1304">
        <f ca="1">IF(L44&gt;0,N44*100/L44,0)</f>
        <v>89.296602387511484</v>
      </c>
      <c r="P44" s="1304">
        <f ca="1">IF(M44&gt;0,N44*100/M44,0)</f>
        <v>88.488907492674755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217800</v>
      </c>
      <c r="M46" s="1300">
        <f ca="1">M49+M52</f>
        <v>219788</v>
      </c>
      <c r="N46" s="1300">
        <f ca="1">N49+N52</f>
        <v>194488</v>
      </c>
      <c r="O46" s="1300">
        <f ca="1">IF(L46&gt;0,N46*100/L46,0)</f>
        <v>89.296602387511484</v>
      </c>
      <c r="P46" s="1300">
        <f ca="1">IF(M46&gt;0,N46*100/M46,0)</f>
        <v>88.488907492674755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217800</v>
      </c>
      <c r="M47" s="77">
        <f ca="1">M48+M49</f>
        <v>219788</v>
      </c>
      <c r="N47" s="77">
        <f ca="1">N48+N49</f>
        <v>194488</v>
      </c>
      <c r="O47" s="77">
        <f ca="1">IF(L47&gt;0,N47*100/L47,0)</f>
        <v>89.296602387511484</v>
      </c>
      <c r="P47" s="77">
        <f ca="1">IF(M47&gt;0,N47*100/M47,0)</f>
        <v>88.488907492674755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IFERROR(__xludf.DUMMYFUNCTION("IMPORTRANGE(""https://docs.google.com/spreadsheets/d/1-uDff_7J0KD5mKrp0Vvzr7lt3OU09vwQwhkpOPPYv2Y/edit?usp=sharing"",""งบพรบ!P66"")"),217800)</f>
        <v>217800</v>
      </c>
      <c r="M49" s="77">
        <f ca="1">IFERROR(__xludf.DUMMYFUNCTION("IMPORTRANGE(""https://docs.google.com/spreadsheets/d/1-uDff_7J0KD5mKrp0Vvzr7lt3OU09vwQwhkpOPPYv2Y/edit?usp=sharing"",""งบพรบ!V66"")"),219788)</f>
        <v>219788</v>
      </c>
      <c r="N49" s="77">
        <f ca="1">IFERROR(__xludf.DUMMYFUNCTION("IMPORTRANGE(""https://docs.google.com/spreadsheets/d/1-uDff_7J0KD5mKrp0Vvzr7lt3OU09vwQwhkpOPPYv2Y/edit?usp=sharing"",""งบพรบ!Y66"")"),194488)</f>
        <v>194488</v>
      </c>
      <c r="O49" s="77">
        <f ca="1">IF(L49&gt;0,N49*100/L49,0)</f>
        <v>89.296602387511484</v>
      </c>
      <c r="P49" s="77">
        <f ca="1">IF(M49&gt;0,N49*100/M49,0)</f>
        <v>88.488907492674755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IFERROR(__xludf.DUMMYFUNCTION("IMPORTRANGE(""https://docs.google.com/spreadsheets/d/1-uDff_7J0KD5mKrp0Vvzr7lt3OU09vwQwhkpOPPYv2Y/edit?usp=sharing"",""งบพรบ!S66"")"),0)</f>
        <v>0</v>
      </c>
      <c r="M52" s="77">
        <f ca="1">IFERROR(__xludf.DUMMYFUNCTION("IMPORTRANGE(""https://docs.google.com/spreadsheets/d/1-uDff_7J0KD5mKrp0Vvzr7lt3OU09vwQwhkpOPPYv2Y/edit?usp=sharing"",""งบพรบ!W66"")"),0)</f>
        <v>0</v>
      </c>
      <c r="N52" s="77">
        <f ca="1">IFERROR(__xludf.DUMMYFUNCTION("IMPORTRANGE(""https://docs.google.com/spreadsheets/d/1-uDff_7J0KD5mKrp0Vvzr7lt3OU09vwQwhkpOPPYv2Y/edit?usp=sharing"",""งบพรบ!Z66"")"),0)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219400</v>
      </c>
      <c r="M59" s="1297">
        <f ca="1">M60+M61</f>
        <v>377940</v>
      </c>
      <c r="N59" s="1297">
        <f ca="1">N60+N61</f>
        <v>304686.7</v>
      </c>
      <c r="O59" s="1297">
        <f ca="1">IF(L59&gt;0,N59*100/L59,0)</f>
        <v>138.87269826800366</v>
      </c>
      <c r="P59" s="1297">
        <f ca="1">IF(M59&gt;0,N59*100/M59,0)</f>
        <v>80.617743557178386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219400</v>
      </c>
      <c r="M61" s="1293">
        <f ca="1">M64+M67</f>
        <v>377940</v>
      </c>
      <c r="N61" s="1293">
        <f ca="1">N64+N67</f>
        <v>304686.7</v>
      </c>
      <c r="O61" s="1293">
        <f ca="1">IF(L61&gt;0,N61*100/L61,0)</f>
        <v>138.87269826800366</v>
      </c>
      <c r="P61" s="1293">
        <f ca="1">IF(M61&gt;0,N61*100/M61,0)</f>
        <v>80.617743557178386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219400</v>
      </c>
      <c r="M62" s="77">
        <f ca="1">M63+M64</f>
        <v>377940</v>
      </c>
      <c r="N62" s="77">
        <f ca="1">N63+N64</f>
        <v>304686.7</v>
      </c>
      <c r="O62" s="77">
        <f ca="1">IF(L62&gt;0,N62*100/L62,0)</f>
        <v>138.87269826800366</v>
      </c>
      <c r="P62" s="77">
        <f ca="1">IF(M62&gt;0,N62*100/M62,0)</f>
        <v>80.617743557178386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IFERROR(__xludf.DUMMYFUNCTION("IMPORTRANGE(""https://docs.google.com/spreadsheets/d/1-uDff_7J0KD5mKrp0Vvzr7lt3OU09vwQwhkpOPPYv2Y/edit?usp=sharing"",""งบพรบ!AC66"")"),219400)</f>
        <v>219400</v>
      </c>
      <c r="M64" s="77">
        <f ca="1">IFERROR(__xludf.DUMMYFUNCTION("IMPORTRANGE(""https://docs.google.com/spreadsheets/d/1-uDff_7J0KD5mKrp0Vvzr7lt3OU09vwQwhkpOPPYv2Y/edit?usp=sharing"",""งบพรบ!AH66"")"),377940)</f>
        <v>377940</v>
      </c>
      <c r="N64" s="77">
        <f ca="1">IFERROR(__xludf.DUMMYFUNCTION("IMPORTRANGE(""https://docs.google.com/spreadsheets/d/1-uDff_7J0KD5mKrp0Vvzr7lt3OU09vwQwhkpOPPYv2Y/edit?usp=sharing"",""งบพรบ!AJ66"")"),304686.7)</f>
        <v>304686.7</v>
      </c>
      <c r="O64" s="77">
        <f ca="1">IF(L64&gt;0,N64*100/L64,0)</f>
        <v>138.87269826800366</v>
      </c>
      <c r="P64" s="77">
        <f ca="1">IF(M64&gt;0,N64*100/M64,0)</f>
        <v>80.617743557178386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IFERROR(__xludf.DUMMYFUNCTION("IMPORTRANGE(""https://docs.google.com/spreadsheets/d/1-uDff_7J0KD5mKrp0Vvzr7lt3OU09vwQwhkpOPPYv2Y/edit?usp=sharing"",""งบพรบ!AF66"")"),0)</f>
        <v>0</v>
      </c>
      <c r="M67" s="185">
        <f ca="1">IFERROR(__xludf.DUMMYFUNCTION("IMPORTRANGE(""https://docs.google.com/spreadsheets/d/1-uDff_7J0KD5mKrp0Vvzr7lt3OU09vwQwhkpOPPYv2Y/edit?usp=sharing"",""งบพรบ!AI66"")"),0)</f>
        <v>0</v>
      </c>
      <c r="N67" s="185">
        <f ca="1">IFERROR(__xludf.DUMMYFUNCTION("IMPORTRANGE(""https://docs.google.com/spreadsheets/d/1-uDff_7J0KD5mKrp0Vvzr7lt3OU09vwQwhkpOPPYv2Y/edit?usp=sharing"",""งบพรบ!AK66"")"),0)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IFERROR(__xludf.DUMMYFUNCTION("IMPORTRANGE(""https://docs.google.com/spreadsheets/d/1-uDff_7J0KD5mKrp0Vvzr7lt3OU09vwQwhkpOPPYv2Y/edit?usp=sharing"",""งบพรบ!AM66"")"),0)</f>
        <v>0</v>
      </c>
      <c r="M77" s="77">
        <f ca="1">IFERROR(__xludf.DUMMYFUNCTION("IMPORTRANGE(""https://docs.google.com/spreadsheets/d/1-uDff_7J0KD5mKrp0Vvzr7lt3OU09vwQwhkpOPPYv2Y/edit?usp=sharing"",""งบพรบ!AR66"")"),0)</f>
        <v>0</v>
      </c>
      <c r="N77" s="77">
        <f ca="1">IFERROR(__xludf.DUMMYFUNCTION("IMPORTRANGE(""https://docs.google.com/spreadsheets/d/1-uDff_7J0KD5mKrp0Vvzr7lt3OU09vwQwhkpOPPYv2Y/edit?usp=sharing"",""งบพรบ!AT66"")"),0)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IFERROR(__xludf.DUMMYFUNCTION("IMPORTRANGE(""https://docs.google.com/spreadsheets/d/1ItG2mGa2ceCfYo0BwxsXqNm01IGEUdYcSSLTEv9YCik/edit?usp=sharing"",""เบิกจ่ายกองทุน!AS66"")"),0)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IFERROR(__xludf.DUMMYFUNCTION("IMPORTRANGE(""https://docs.google.com/spreadsheets/d/1ItG2mGa2ceCfYo0BwxsXqNm01IGEUdYcSSLTEv9YCik/edit?usp=sharing"",""เบิกจ่ายกองทุน!AT66"")"),0)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IFERROR(__xludf.DUMMYFUNCTION("IMPORTRANGE(""https://docs.google.com/spreadsheets/d/1ItG2mGa2ceCfYo0BwxsXqNm01IGEUdYcSSLTEv9YCik/edit?usp=sharing"",""เบิกจ่ายกองทุน!AU66"")"),0)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IFERROR(__xludf.DUMMYFUNCTION("IMPORTRANGE(""https://docs.google.com/spreadsheets/d/1-uDff_7J0KD5mKrp0Vvzr7lt3OU09vwQwhkpOPPYv2Y/edit?usp=sharing"",""งบพรบ!AP66"")"),0)</f>
        <v>0</v>
      </c>
      <c r="M80" s="77">
        <f ca="1">IFERROR(__xludf.DUMMYFUNCTION("IMPORTRANGE(""https://docs.google.com/spreadsheets/d/1-uDff_7J0KD5mKrp0Vvzr7lt3OU09vwQwhkpOPPYv2Y/edit?usp=sharing"",""งบพรบ!AS66"")"),0)</f>
        <v>0</v>
      </c>
      <c r="N80" s="77">
        <f ca="1">IFERROR(__xludf.DUMMYFUNCTION("IMPORTRANGE(""https://docs.google.com/spreadsheets/d/1-uDff_7J0KD5mKrp0Vvzr7lt3OU09vwQwhkpOPPYv2Y/edit?usp=sharing"",""งบพรบ!AU66"")"),0)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IFERROR(__xludf.DUMMYFUNCTION("IMPORTRANGE(""https://docs.google.com/spreadsheets/d/1eHaY18a8A9IcSdp1K8H6x8fbOy06t2VsZHhMHf-1x7Y/edit?usp=sharing"",""แผน!H66"")"),0)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IFERROR(__xludf.DUMMYFUNCTION("IMPORTRANGE(""https://docs.google.com/spreadsheets/d/1eHaY18a8A9IcSdp1K8H6x8fbOy06t2VsZHhMHf-1x7Y/edit?usp=sharing"",""แผน!I66"")"),0)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IFERROR(__xludf.DUMMYFUNCTION("IMPORTRANGE(""https://docs.google.com/spreadsheets/d/1eHaY18a8A9IcSdp1K8H6x8fbOy06t2VsZHhMHf-1x7Y/edit?usp=sharing"",""แผน!F66"")"),0)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IFERROR(__xludf.DUMMYFUNCTION("IMPORTRANGE(""https://docs.google.com/spreadsheets/d/1eHaY18a8A9IcSdp1K8H6x8fbOy06t2VsZHhMHf-1x7Y/edit?usp=sharing"",""แผน!G66"")"),0)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IFERROR(__xludf.DUMMYFUNCTION("IMPORTRANGE(""https://docs.google.com/spreadsheets/d/1eHaY18a8A9IcSdp1K8H6x8fbOy06t2VsZHhMHf-1x7Y/edit?usp=sharing"",""แผน!D66"")"),0)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IFERROR(__xludf.DUMMYFUNCTION("IMPORTRANGE(""https://docs.google.com/spreadsheets/d/1eHaY18a8A9IcSdp1K8H6x8fbOy06t2VsZHhMHf-1x7Y/edit?usp=sharing"",""แผน!E66"")"),0)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IFERROR(__xludf.DUMMYFUNCTION("IMPORTRANGE(""https://docs.google.com/spreadsheets/d/1eHaY18a8A9IcSdp1K8H6x8fbOy06t2VsZHhMHf-1x7Y/edit?usp=sharing"",""แผน!J66"")"),0)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IFERROR(__xludf.DUMMYFUNCTION("IMPORTRANGE(""https://docs.google.com/spreadsheets/d/1-uDff_7J0KD5mKrp0Vvzr7lt3OU09vwQwhkpOPPYv2Y/edit?usp=sharing"",""งบพรบ!AW66"")"),0)</f>
        <v>0</v>
      </c>
      <c r="M99" s="77">
        <f ca="1">IFERROR(__xludf.DUMMYFUNCTION("IMPORTRANGE(""https://docs.google.com/spreadsheets/d/1-uDff_7J0KD5mKrp0Vvzr7lt3OU09vwQwhkpOPPYv2Y/edit?usp=sharing"",""งบพรบ!BB66"")"),0)</f>
        <v>0</v>
      </c>
      <c r="N99" s="77">
        <f ca="1">IFERROR(__xludf.DUMMYFUNCTION("IMPORTRANGE(""https://docs.google.com/spreadsheets/d/1-uDff_7J0KD5mKrp0Vvzr7lt3OU09vwQwhkpOPPYv2Y/edit?usp=sharing"",""งบพรบ!BD66"")"),0)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IFERROR(__xludf.DUMMYFUNCTION("IMPORTRANGE(""https://docs.google.com/spreadsheets/d/1ItG2mGa2ceCfYo0BwxsXqNm01IGEUdYcSSLTEv9YCik/edit?usp=sharing"",""เบิกจ่ายกองทุน!AD66"")"),0)</f>
        <v>0</v>
      </c>
      <c r="R99" s="77">
        <f ca="1">IFERROR(__xludf.DUMMYFUNCTION("IMPORTRANGE(""https://docs.google.com/spreadsheets/d/1ItG2mGa2ceCfYo0BwxsXqNm01IGEUdYcSSLTEv9YCik/edit?usp=sharing"",""เบิกจ่ายกองทุน!AE66"")"),0)</f>
        <v>0</v>
      </c>
      <c r="S99" s="77">
        <f ca="1">IFERROR(__xludf.DUMMYFUNCTION("IMPORTRANGE(""https://docs.google.com/spreadsheets/d/1ItG2mGa2ceCfYo0BwxsXqNm01IGEUdYcSSLTEv9YCik/edit?usp=sharing"",""เบิกจ่ายกองทุน!AF66"")"),0)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IFERROR(__xludf.DUMMYFUNCTION("IMPORTRANGE(""https://docs.google.com/spreadsheets/d/1-uDff_7J0KD5mKrp0Vvzr7lt3OU09vwQwhkpOPPYv2Y/edit?usp=sharing"",""งบพรบ!AZ66"")"),0)</f>
        <v>0</v>
      </c>
      <c r="M102" s="77">
        <f ca="1">IFERROR(__xludf.DUMMYFUNCTION("IMPORTRANGE(""https://docs.google.com/spreadsheets/d/1-uDff_7J0KD5mKrp0Vvzr7lt3OU09vwQwhkpOPPYv2Y/edit?usp=sharing"",""งบพรบ!BC66"")"),0)</f>
        <v>0</v>
      </c>
      <c r="N102" s="77">
        <f ca="1">IFERROR(__xludf.DUMMYFUNCTION("IMPORTRANGE(""https://docs.google.com/spreadsheets/d/1-uDff_7J0KD5mKrp0Vvzr7lt3OU09vwQwhkpOPPYv2Y/edit?usp=sharing"",""งบพรบ!BE66"")"),0)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IFERROR(__xludf.DUMMYFUNCTION("IMPORTRANGE(""https://docs.google.com/spreadsheets/d/1eHaY18a8A9IcSdp1K8H6x8fbOy06t2VsZHhMHf-1x7Y/edit?usp=sharing"",""แผน!N66"")"),0)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IFERROR(__xludf.DUMMYFUNCTION("IMPORTRANGE(""https://docs.google.com/spreadsheets/d/1eHaY18a8A9IcSdp1K8H6x8fbOy06t2VsZHhMHf-1x7Y/edit?usp=sharing"",""แผน!O66"")"),0)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IFERROR(__xludf.DUMMYFUNCTION("IMPORTRANGE(""https://docs.google.com/spreadsheets/d/1eHaY18a8A9IcSdp1K8H6x8fbOy06t2VsZHhMHf-1x7Y/edit?usp=sharing"",""แผน!R66"")"),0)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94165</v>
      </c>
      <c r="T117" s="266">
        <f ca="1">IF(Q117&gt;0,S117*100/Q117,0)</f>
        <v>44.977550630492928</v>
      </c>
      <c r="U117" s="266">
        <f ca="1">IF(R117&gt;0,S117*100/R117,0)</f>
        <v>44.977550630492928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94165</v>
      </c>
      <c r="T119" s="77">
        <f ca="1">IF(Q119&gt;0,S119*100/Q119,0)</f>
        <v>44.977550630492928</v>
      </c>
      <c r="U119" s="77">
        <f ca="1">IF(R119&gt;0,S119*100/R119,0)</f>
        <v>44.977550630492928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94165</v>
      </c>
      <c r="T120" s="77">
        <f ca="1">IF(Q120&gt;0,S120*100/Q120,0)</f>
        <v>44.977550630492928</v>
      </c>
      <c r="U120" s="77">
        <f ca="1">IF(R120&gt;0,S120*100/R120,0)</f>
        <v>44.977550630492928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IFERROR(__xludf.DUMMYFUNCTION("IMPORTRANGE(""https://docs.google.com/spreadsheets/d/1-uDff_7J0KD5mKrp0Vvzr7lt3OU09vwQwhkpOPPYv2Y/edit?usp=sharing"",""งบพรบ!BG66"")"),0)</f>
        <v>0</v>
      </c>
      <c r="M122" s="77">
        <f ca="1">IFERROR(__xludf.DUMMYFUNCTION("IMPORTRANGE(""https://docs.google.com/spreadsheets/d/1-uDff_7J0KD5mKrp0Vvzr7lt3OU09vwQwhkpOPPYv2Y/edit?usp=sharing"",""งบพรบ!BL66"")"),0)</f>
        <v>0</v>
      </c>
      <c r="N122" s="77">
        <f ca="1">IFERROR(__xludf.DUMMYFUNCTION("IMPORTRANGE(""https://docs.google.com/spreadsheets/d/1-uDff_7J0KD5mKrp0Vvzr7lt3OU09vwQwhkpOPPYv2Y/edit?usp=sharing"",""งบพรบ!BN66"")"),0)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IFERROR(__xludf.DUMMYFUNCTION("IMPORTRANGE(""https://docs.google.com/spreadsheets/d/1ItG2mGa2ceCfYo0BwxsXqNm01IGEUdYcSSLTEv9YCik/edit?usp=sharing"",""เบิกจ่ายกองทุน!R66"")"),209360)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IFERROR(__xludf.DUMMYFUNCTION("IMPORTRANGE(""https://docs.google.com/spreadsheets/d/1ItG2mGa2ceCfYo0BwxsXqNm01IGEUdYcSSLTEv9YCik/edit?usp=sharing"",""เบิกจ่ายกองทุน!S66"")"),209360)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IFERROR(__xludf.DUMMYFUNCTION("IMPORTRANGE(""https://docs.google.com/spreadsheets/d/1ItG2mGa2ceCfYo0BwxsXqNm01IGEUdYcSSLTEv9YCik/edit?usp=sharing"",""เบิกจ่ายกองทุน!T66"")"),94165)</f>
        <v>94165</v>
      </c>
      <c r="T122" s="77">
        <f ca="1">IF(Q122&gt;0,S122*100/Q122,0)</f>
        <v>44.977550630492928</v>
      </c>
      <c r="U122" s="77">
        <f ca="1">IF(R122&gt;0,S122*100/R122,0)</f>
        <v>44.977550630492928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IFERROR(__xludf.DUMMYFUNCTION("IMPORTRANGE(""https://docs.google.com/spreadsheets/d/1-uDff_7J0KD5mKrp0Vvzr7lt3OU09vwQwhkpOPPYv2Y/edit?usp=sharing"",""งบพรบ!BJ66"")"),0)</f>
        <v>0</v>
      </c>
      <c r="M125" s="77">
        <f ca="1">IFERROR(__xludf.DUMMYFUNCTION("IMPORTRANGE(""https://docs.google.com/spreadsheets/d/1-uDff_7J0KD5mKrp0Vvzr7lt3OU09vwQwhkpOPPYv2Y/edit?usp=sharing"",""งบพรบ!BM66"")"),0)</f>
        <v>0</v>
      </c>
      <c r="N125" s="77">
        <f ca="1">IFERROR(__xludf.DUMMYFUNCTION("IMPORTRANGE(""https://docs.google.com/spreadsheets/d/1-uDff_7J0KD5mKrp0Vvzr7lt3OU09vwQwhkpOPPYv2Y/edit?usp=sharing"",""งบพรบ!BO66"")"),0)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IFERROR(__xludf.DUMMYFUNCTION("IMPORTRANGE(""https://docs.google.com/spreadsheets/d/1eHaY18a8A9IcSdp1K8H6x8fbOy06t2VsZHhMHf-1x7Y/edit?usp=sharing"",""แผน!FF66"")"),20)</f>
        <v>20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IFERROR(__xludf.DUMMYFUNCTION("IMPORTRANGE(""https://docs.google.com/spreadsheets/d/1eHaY18a8A9IcSdp1K8H6x8fbOy06t2VsZHhMHf-1x7Y/edit?usp=sharing"",""แผน!FG66"")"),0)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IFERROR(__xludf.DUMMYFUNCTION("IMPORTRANGE(""https://docs.google.com/spreadsheets/d/1eHaY18a8A9IcSdp1K8H6x8fbOy06t2VsZHhMHf-1x7Y/edit?usp=sharing"",""แผน!FH66"")"),20)</f>
        <v>20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IFERROR(__xludf.DUMMYFUNCTION("IMPORTRANGE(""https://docs.google.com/spreadsheets/d/1eHaY18a8A9IcSdp1K8H6x8fbOy06t2VsZHhMHf-1x7Y/edit?usp=sharing"",""แผน!FI66"")"),0)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IFERROR(__xludf.DUMMYFUNCTION("IMPORTRANGE(""https://docs.google.com/spreadsheets/d/1-uDff_7J0KD5mKrp0Vvzr7lt3OU09vwQwhkpOPPYv2Y/edit?usp=sharing"",""งบพรบ!BQ66"")"),0)</f>
        <v>0</v>
      </c>
      <c r="M144" s="77">
        <f ca="1">IFERROR(__xludf.DUMMYFUNCTION("IMPORTRANGE(""https://docs.google.com/spreadsheets/d/1-uDff_7J0KD5mKrp0Vvzr7lt3OU09vwQwhkpOPPYv2Y/edit?usp=sharing"",""งบพรบ!BV66"")"),0)</f>
        <v>0</v>
      </c>
      <c r="N144" s="77">
        <f ca="1">IFERROR(__xludf.DUMMYFUNCTION("IMPORTRANGE(""https://docs.google.com/spreadsheets/d/1-uDff_7J0KD5mKrp0Vvzr7lt3OU09vwQwhkpOPPYv2Y/edit?usp=sharing"",""งบพรบ!BX66"")"),0)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IFERROR(__xludf.DUMMYFUNCTION("IMPORTRANGE(""https://docs.google.com/spreadsheets/d/1ItG2mGa2ceCfYo0BwxsXqNm01IGEUdYcSSLTEv9YCik/edit?usp=sharing"",""เบิกจ่ายกองทุน!BB66"")"),0)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IFERROR(__xludf.DUMMYFUNCTION("IMPORTRANGE(""https://docs.google.com/spreadsheets/d/1ItG2mGa2ceCfYo0BwxsXqNm01IGEUdYcSSLTEv9YCik/edit?usp=sharing"",""เบิกจ่ายกองทุน!BC66"")"),0)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IFERROR(__xludf.DUMMYFUNCTION("IMPORTRANGE(""https://docs.google.com/spreadsheets/d/1ItG2mGa2ceCfYo0BwxsXqNm01IGEUdYcSSLTEv9YCik/edit?usp=sharing"",""เบิกจ่ายกองทุน!BD66"")"),0)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IFERROR(__xludf.DUMMYFUNCTION("IMPORTRANGE(""https://docs.google.com/spreadsheets/d/1-uDff_7J0KD5mKrp0Vvzr7lt3OU09vwQwhkpOPPYv2Y/edit?usp=sharing"",""งบพรบ!BT66"")"),0)</f>
        <v>0</v>
      </c>
      <c r="M147" s="77">
        <f ca="1">IFERROR(__xludf.DUMMYFUNCTION("IMPORTRANGE(""https://docs.google.com/spreadsheets/d/1-uDff_7J0KD5mKrp0Vvzr7lt3OU09vwQwhkpOPPYv2Y/edit?usp=sharing"",""งบพรบ!BW66"")"),0)</f>
        <v>0</v>
      </c>
      <c r="N147" s="77">
        <f ca="1">IFERROR(__xludf.DUMMYFUNCTION("IMPORTRANGE(""https://docs.google.com/spreadsheets/d/1-uDff_7J0KD5mKrp0Vvzr7lt3OU09vwQwhkpOPPYv2Y/edit?usp=sharing"",""งบพรบ!BY66"")"),0)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IFERROR(__xludf.DUMMYFUNCTION("IMPORTRANGE(""https://docs.google.com/spreadsheets/d/1eHaY18a8A9IcSdp1K8H6x8fbOy06t2VsZHhMHf-1x7Y/edit?usp=sharing"",""แผน!U66"")"),0)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IFERROR(__xludf.DUMMYFUNCTION("IMPORTRANGE(""https://docs.google.com/spreadsheets/d/1eHaY18a8A9IcSdp1K8H6x8fbOy06t2VsZHhMHf-1x7Y/edit?usp=sharing"",""แผน!V66"")"),0)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IFERROR(__xludf.DUMMYFUNCTION("IMPORTRANGE(""https://docs.google.com/spreadsheets/d/1eHaY18a8A9IcSdp1K8H6x8fbOy06t2VsZHhMHf-1x7Y/edit?usp=sharing"",""แผน!W66"")"),0)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IFERROR(__xludf.DUMMYFUNCTION("IMPORTRANGE(""https://docs.google.com/spreadsheets/d/1eHaY18a8A9IcSdp1K8H6x8fbOy06t2VsZHhMHf-1x7Y/edit?usp=sharing"",""แผน!X66"")"),0)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IFERROR(__xludf.DUMMYFUNCTION("IMPORTRANGE(""https://docs.google.com/spreadsheets/d/1eHaY18a8A9IcSdp1K8H6x8fbOy06t2VsZHhMHf-1x7Y/edit?usp=sharing"",""แผน!Y66"")"),0)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IFERROR(__xludf.DUMMYFUNCTION("IMPORTRANGE(""https://docs.google.com/spreadsheets/d/1-uDff_7J0KD5mKrp0Vvzr7lt3OU09vwQwhkpOPPYv2Y/edit?usp=sharing"",""งบพรบ!CA66"")"),0)</f>
        <v>0</v>
      </c>
      <c r="M162" s="77">
        <f ca="1">IFERROR(__xludf.DUMMYFUNCTION("IMPORTRANGE(""https://docs.google.com/spreadsheets/d/1-uDff_7J0KD5mKrp0Vvzr7lt3OU09vwQwhkpOPPYv2Y/edit?usp=sharing"",""งบพรบ!CF66"")"),0)</f>
        <v>0</v>
      </c>
      <c r="N162" s="77">
        <f ca="1">IFERROR(__xludf.DUMMYFUNCTION("IMPORTRANGE(""https://docs.google.com/spreadsheets/d/1-uDff_7J0KD5mKrp0Vvzr7lt3OU09vwQwhkpOPPYv2Y/edit?usp=sharing"",""งบพรบ!CH66"")"),0)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IFERROR(__xludf.DUMMYFUNCTION("IMPORTRANGE(""https://docs.google.com/spreadsheets/d/1ItG2mGa2ceCfYo0BwxsXqNm01IGEUdYcSSLTEv9YCik/edit?usp=sharing"",""เบิกจ่ายกองทุน!AG66"")"),0)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IFERROR(__xludf.DUMMYFUNCTION("IMPORTRANGE(""https://docs.google.com/spreadsheets/d/1ItG2mGa2ceCfYo0BwxsXqNm01IGEUdYcSSLTEv9YCik/edit?usp=sharing"",""เบิกจ่ายกองทุน!AH66"")"),0)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IFERROR(__xludf.DUMMYFUNCTION("IMPORTRANGE(""https://docs.google.com/spreadsheets/d/1ItG2mGa2ceCfYo0BwxsXqNm01IGEUdYcSSLTEv9YCik/edit?usp=sharing"",""เบิกจ่ายกองทุน!AI66"")"),0)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IFERROR(__xludf.DUMMYFUNCTION("IMPORTRANGE(""https://docs.google.com/spreadsheets/d/1-uDff_7J0KD5mKrp0Vvzr7lt3OU09vwQwhkpOPPYv2Y/edit?usp=sharing"",""งบพรบ!CD66"")"),0)</f>
        <v>0</v>
      </c>
      <c r="M165" s="77">
        <f ca="1">IFERROR(__xludf.DUMMYFUNCTION("IMPORTRANGE(""https://docs.google.com/spreadsheets/d/1-uDff_7J0KD5mKrp0Vvzr7lt3OU09vwQwhkpOPPYv2Y/edit?usp=sharing"",""งบพรบ!CG66"")"),0)</f>
        <v>0</v>
      </c>
      <c r="N165" s="77">
        <f ca="1">IFERROR(__xludf.DUMMYFUNCTION("IMPORTRANGE(""https://docs.google.com/spreadsheets/d/1-uDff_7J0KD5mKrp0Vvzr7lt3OU09vwQwhkpOPPYv2Y/edit?usp=sharing"",""งบพรบ!CI66"")"),0)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IFERROR(__xludf.DUMMYFUNCTION("IMPORTRANGE(""https://docs.google.com/spreadsheets/d/1eHaY18a8A9IcSdp1K8H6x8fbOy06t2VsZHhMHf-1x7Y/edit?usp=sharing"",""แผน!Z66"")"),0)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IFERROR(__xludf.DUMMYFUNCTION("IMPORTRANGE(""https://docs.google.com/spreadsheets/d/1eHaY18a8A9IcSdp1K8H6x8fbOy06t2VsZHhMHf-1x7Y/edit?usp=sharing"",""แผน!Z66"")"),0)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IFERROR(__xludf.DUMMYFUNCTION("IMPORTRANGE(""https://docs.google.com/spreadsheets/d/1eHaY18a8A9IcSdp1K8H6x8fbOy06t2VsZHhMHf-1x7Y/edit?usp=sharing"",""แผน!Z66"")"),0)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30100</v>
      </c>
      <c r="N173" s="266">
        <f ca="1">N174+N175</f>
        <v>16830</v>
      </c>
      <c r="O173" s="266">
        <f ca="1">IF(L173&gt;0,N173*100/L173,0)</f>
        <v>85.911179173047472</v>
      </c>
      <c r="P173" s="266">
        <f ca="1">IF(M173&gt;0,N173*100/M173,0)</f>
        <v>55.91362126245847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30100</v>
      </c>
      <c r="N175" s="77">
        <f ca="1">N178+N181</f>
        <v>16830</v>
      </c>
      <c r="O175" s="77">
        <f ca="1">IF(L175&gt;0,N175*100/L175,0)</f>
        <v>85.911179173047472</v>
      </c>
      <c r="P175" s="77">
        <f ca="1">IF(M175&gt;0,N175*100/M175,0)</f>
        <v>55.91362126245847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30100</v>
      </c>
      <c r="N176" s="77">
        <f ca="1">N177+N178</f>
        <v>16830</v>
      </c>
      <c r="O176" s="77">
        <f ca="1">IF(L176&gt;0,N176*100/L176,0)</f>
        <v>85.911179173047472</v>
      </c>
      <c r="P176" s="77">
        <f ca="1">IF(M176&gt;0,N176*100/M176,0)</f>
        <v>55.91362126245847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IFERROR(__xludf.DUMMYFUNCTION("IMPORTRANGE(""https://docs.google.com/spreadsheets/d/1-uDff_7J0KD5mKrp0Vvzr7lt3OU09vwQwhkpOPPYv2Y/edit?usp=sharing"",""งบพรบ!CK66"")"),19590)</f>
        <v>19590</v>
      </c>
      <c r="M178" s="77">
        <f ca="1">IFERROR(__xludf.DUMMYFUNCTION("IMPORTRANGE(""https://docs.google.com/spreadsheets/d/1-uDff_7J0KD5mKrp0Vvzr7lt3OU09vwQwhkpOPPYv2Y/edit?usp=sharing"",""งบพรบ!CP66"")"),30100)</f>
        <v>30100</v>
      </c>
      <c r="N178" s="77">
        <f ca="1">IFERROR(__xludf.DUMMYFUNCTION("IMPORTRANGE(""https://docs.google.com/spreadsheets/d/1-uDff_7J0KD5mKrp0Vvzr7lt3OU09vwQwhkpOPPYv2Y/edit?usp=sharing"",""งบพรบ!CR66"")"),16830)</f>
        <v>16830</v>
      </c>
      <c r="O178" s="77">
        <f ca="1">IF(L178&gt;0,N178*100/L178,0)</f>
        <v>85.911179173047472</v>
      </c>
      <c r="P178" s="77">
        <f ca="1">IF(M178&gt;0,N178*100/M178,0)</f>
        <v>55.91362126245847</v>
      </c>
      <c r="Q178" s="77">
        <f ca="1">IFERROR(__xludf.DUMMYFUNCTION("IMPORTRANGE(""https://docs.google.com/spreadsheets/d/1ItG2mGa2ceCfYo0BwxsXqNm01IGEUdYcSSLTEv9YCik/edit?usp=sharing"",""เบิกจ่ายกองทุน!BE66"")"),0)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IFERROR(__xludf.DUMMYFUNCTION("IMPORTRANGE(""https://docs.google.com/spreadsheets/d/1ItG2mGa2ceCfYo0BwxsXqNm01IGEUdYcSSLTEv9YCik/edit?usp=sharing"",""เบิกจ่ายกองทุน!BF66"")"),0)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IFERROR(__xludf.DUMMYFUNCTION("IMPORTRANGE(""https://docs.google.com/spreadsheets/d/1ItG2mGa2ceCfYo0BwxsXqNm01IGEUdYcSSLTEv9YCik/edit?usp=sharing"",""เบิกจ่ายกองทุน!BG66"")"),0)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IFERROR(__xludf.DUMMYFUNCTION("IMPORTRANGE(""https://docs.google.com/spreadsheets/d/1-uDff_7J0KD5mKrp0Vvzr7lt3OU09vwQwhkpOPPYv2Y/edit?usp=sharing"",""งบพรบ!CN66"")"),0)</f>
        <v>0</v>
      </c>
      <c r="M181" s="77">
        <f ca="1">IFERROR(__xludf.DUMMYFUNCTION("IMPORTRANGE(""https://docs.google.com/spreadsheets/d/1-uDff_7J0KD5mKrp0Vvzr7lt3OU09vwQwhkpOPPYv2Y/edit?usp=sharing"",""งบพรบ!CQ66"")"),0)</f>
        <v>0</v>
      </c>
      <c r="N181" s="77">
        <f ca="1">IFERROR(__xludf.DUMMYFUNCTION("IMPORTRANGE(""https://docs.google.com/spreadsheets/d/1-uDff_7J0KD5mKrp0Vvzr7lt3OU09vwQwhkpOPPYv2Y/edit?usp=sharing"",""งบพรบ!CS66"")"),0)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IFERROR(__xludf.DUMMYFUNCTION("IMPORTRANGE(""https://docs.google.com/spreadsheets/d/1eHaY18a8A9IcSdp1K8H6x8fbOy06t2VsZHhMHf-1x7Y/edit?usp=sharing"",""แผน!AA66"")"),7)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15</v>
      </c>
      <c r="J185" s="1165">
        <f>J230+J231</f>
        <v>15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150200</v>
      </c>
      <c r="M186" s="266">
        <f ca="1">M187+M188</f>
        <v>145760</v>
      </c>
      <c r="N186" s="266">
        <f ca="1">N187+N188</f>
        <v>146766.6</v>
      </c>
      <c r="O186" s="266">
        <f ca="1">IF(L186&gt;0,N186*100/L186,0)</f>
        <v>97.714114513981357</v>
      </c>
      <c r="P186" s="266">
        <f ca="1">IF(M186&gt;0,N186*100/M186,0)</f>
        <v>100.69058726673984</v>
      </c>
      <c r="Q186" s="266">
        <f ca="1">Q187+Q188</f>
        <v>14000</v>
      </c>
      <c r="R186" s="266">
        <f ca="1">R187+R188</f>
        <v>14000</v>
      </c>
      <c r="S186" s="266">
        <f ca="1">S187+S188</f>
        <v>14000</v>
      </c>
      <c r="T186" s="266">
        <f ca="1">IF(Q186&gt;0,S186*100/Q186,0)</f>
        <v>100</v>
      </c>
      <c r="U186" s="266">
        <f ca="1">IF(R186&gt;0,S186*100/R186,0)</f>
        <v>100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150200</v>
      </c>
      <c r="M188" s="77">
        <f ca="1">M191+M194</f>
        <v>145760</v>
      </c>
      <c r="N188" s="77">
        <f ca="1">N191+N194</f>
        <v>146766.6</v>
      </c>
      <c r="O188" s="77">
        <f ca="1">IF(L188&gt;0,N188*100/L188,0)</f>
        <v>97.714114513981357</v>
      </c>
      <c r="P188" s="77">
        <f ca="1">IF(M188&gt;0,N188*100/M188,0)</f>
        <v>100.69058726673984</v>
      </c>
      <c r="Q188" s="77">
        <f ca="1">Q191+Q194</f>
        <v>14000</v>
      </c>
      <c r="R188" s="77">
        <f ca="1">R191+R194</f>
        <v>14000</v>
      </c>
      <c r="S188" s="77">
        <f ca="1">S191+S194</f>
        <v>14000</v>
      </c>
      <c r="T188" s="77">
        <f ca="1">IF(Q188&gt;0,S188*100/Q188,0)</f>
        <v>100</v>
      </c>
      <c r="U188" s="77">
        <f ca="1">IF(R188&gt;0,S188*100/R188,0)</f>
        <v>100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150200</v>
      </c>
      <c r="M189" s="77">
        <f ca="1">M190+M191</f>
        <v>145760</v>
      </c>
      <c r="N189" s="77">
        <f ca="1">N190+N191</f>
        <v>146766.6</v>
      </c>
      <c r="O189" s="77">
        <f ca="1">IF(L189&gt;0,N189*100/L189,0)</f>
        <v>97.714114513981357</v>
      </c>
      <c r="P189" s="77">
        <f ca="1">IF(M189&gt;0,N189*100/M189,0)</f>
        <v>100.69058726673984</v>
      </c>
      <c r="Q189" s="77">
        <f ca="1">Q190+Q191</f>
        <v>14000</v>
      </c>
      <c r="R189" s="77">
        <f ca="1">R190+R191</f>
        <v>14000</v>
      </c>
      <c r="S189" s="77">
        <f ca="1">S190+S191</f>
        <v>14000</v>
      </c>
      <c r="T189" s="77">
        <f ca="1">IF(Q189&gt;0,S189*100/Q189,0)</f>
        <v>100</v>
      </c>
      <c r="U189" s="77">
        <f ca="1">IF(R189&gt;0,S189*100/R189,0)</f>
        <v>100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IFERROR(__xludf.DUMMYFUNCTION("IMPORTRANGE(""https://docs.google.com/spreadsheets/d/1-uDff_7J0KD5mKrp0Vvzr7lt3OU09vwQwhkpOPPYv2Y/edit?usp=sharing"",""งบพรบ!CU66"")"),150200)</f>
        <v>150200</v>
      </c>
      <c r="M191" s="77">
        <f ca="1">IFERROR(__xludf.DUMMYFUNCTION("IMPORTRANGE(""https://docs.google.com/spreadsheets/d/1-uDff_7J0KD5mKrp0Vvzr7lt3OU09vwQwhkpOPPYv2Y/edit?usp=sharing"",""งบพรบ!CZ66"")"),145760)</f>
        <v>145760</v>
      </c>
      <c r="N191" s="77">
        <f ca="1">IFERROR(__xludf.DUMMYFUNCTION("IMPORTRANGE(""https://docs.google.com/spreadsheets/d/1-uDff_7J0KD5mKrp0Vvzr7lt3OU09vwQwhkpOPPYv2Y/edit?usp=sharing"",""งบพรบ!DB66"")"),146766.6)</f>
        <v>146766.6</v>
      </c>
      <c r="O191" s="77">
        <f ca="1">IF(L191&gt;0,N191*100/L191,0)</f>
        <v>97.714114513981357</v>
      </c>
      <c r="P191" s="77">
        <f ca="1">IF(M191&gt;0,N191*100/M191,0)</f>
        <v>100.69058726673984</v>
      </c>
      <c r="Q191" s="77">
        <f ca="1">IFERROR(__xludf.DUMMYFUNCTION("IMPORTRANGE(""https://docs.google.com/spreadsheets/d/1ItG2mGa2ceCfYo0BwxsXqNm01IGEUdYcSSLTEv9YCik/edit?usp=sharing"",""เบิกจ่ายกองทุน!AV66"")"),14000)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IFERROR(__xludf.DUMMYFUNCTION("IMPORTRANGE(""https://docs.google.com/spreadsheets/d/1ItG2mGa2ceCfYo0BwxsXqNm01IGEUdYcSSLTEv9YCik/edit?usp=sharing"",""เบิกจ่ายกองทุน!AW66"")"),14000)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IFERROR(__xludf.DUMMYFUNCTION("IMPORTRANGE(""https://docs.google.com/spreadsheets/d/1ItG2mGa2ceCfYo0BwxsXqNm01IGEUdYcSSLTEv9YCik/edit?usp=sharing"",""เบิกจ่ายกองทุน!AX66"")"),14000)</f>
        <v>14000</v>
      </c>
      <c r="T191" s="77">
        <f ca="1">IF(Q191&gt;0,S191*100/Q191,0)</f>
        <v>100</v>
      </c>
      <c r="U191" s="77">
        <f ca="1">IF(R191&gt;0,S191*100/R191,0)</f>
        <v>100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IFERROR(__xludf.DUMMYFUNCTION("IMPORTRANGE(""https://docs.google.com/spreadsheets/d/1-uDff_7J0KD5mKrp0Vvzr7lt3OU09vwQwhkpOPPYv2Y/edit?usp=sharing"",""งบพรบ!CX66"")"),0)</f>
        <v>0</v>
      </c>
      <c r="M194" s="77">
        <f ca="1">IFERROR(__xludf.DUMMYFUNCTION("IMPORTRANGE(""https://docs.google.com/spreadsheets/d/1-uDff_7J0KD5mKrp0Vvzr7lt3OU09vwQwhkpOPPYv2Y/edit?usp=sharing"",""งบพรบ!DA66"")"),0)</f>
        <v>0</v>
      </c>
      <c r="N194" s="77">
        <f ca="1">IFERROR(__xludf.DUMMYFUNCTION("IMPORTRANGE(""https://docs.google.com/spreadsheets/d/1-uDff_7J0KD5mKrp0Vvzr7lt3OU09vwQwhkpOPPYv2Y/edit?usp=sharing"",""งบพรบ!DC66"")"),0)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IFERROR(__xludf.DUMMYFUNCTION("IMPORTRANGE(""https://docs.google.com/spreadsheets/d/1eHaY18a8A9IcSdp1K8H6x8fbOy06t2VsZHhMHf-1x7Y/edit?usp=sharing"",""แผน!AB66"")"),6000)</f>
        <v>6000</v>
      </c>
      <c r="M196" s="90"/>
      <c r="N196" s="959">
        <v>3050</v>
      </c>
      <c r="O196" s="266">
        <f ca="1">IF(L196&gt;0,N196*100/L196,0)</f>
        <v>50.833333333333336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IFERROR(__xludf.DUMMYFUNCTION("IMPORTRANGE(""https://docs.google.com/spreadsheets/d/1eHaY18a8A9IcSdp1K8H6x8fbOy06t2VsZHhMHf-1x7Y/edit?usp=sharing"",""แผน!AE66"")"),4)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103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103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5000</v>
      </c>
      <c r="M203" s="90"/>
      <c r="N203" s="266">
        <f>N204+N205+N206+N207</f>
        <v>4240</v>
      </c>
      <c r="O203" s="266">
        <f ca="1">IF(L203&gt;0,N203*100/L203,0)</f>
        <v>84.8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14000</v>
      </c>
      <c r="T203" s="389">
        <f ca="1">IF(Q203&gt;0,S203*100/Q203,0)</f>
        <v>100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IFERROR(__xludf.DUMMYFUNCTION("IMPORTRANGE(""https://docs.google.com/spreadsheets/d/1eHaY18a8A9IcSdp1K8H6x8fbOy06t2VsZHhMHf-1x7Y/edit?usp=sharing"",""แผน!AG66"")"),1000)</f>
        <v>1000</v>
      </c>
      <c r="M204" s="90"/>
      <c r="N204" s="391">
        <v>240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IFERROR(__xludf.DUMMYFUNCTION("IMPORTRANGE(""https://docs.google.com/spreadsheets/d/1eHaY18a8A9IcSdp1K8H6x8fbOy06t2VsZHhMHf-1x7Y/edit?usp=sharing"",""แผน!AH66"")"),0)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IFERROR(__xludf.DUMMYFUNCTION("IMPORTRANGE(""https://docs.google.com/spreadsheets/d/1eHaY18a8A9IcSdp1K8H6x8fbOy06t2VsZHhMHf-1x7Y/edit?usp=sharing"",""แผน!AI66"")"),0)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IFERROR(__xludf.DUMMYFUNCTION("IMPORTRANGE(""https://docs.google.com/spreadsheets/d/1eHaY18a8A9IcSdp1K8H6x8fbOy06t2VsZHhMHf-1x7Y/edit?usp=sharing"",""แผน!LV66"")"),14000)</f>
        <v>14000</v>
      </c>
      <c r="R206" s="90"/>
      <c r="S206" s="391">
        <v>14000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IFERROR(__xludf.DUMMYFUNCTION("IMPORTRANGE(""https://docs.google.com/spreadsheets/d/1eHaY18a8A9IcSdp1K8H6x8fbOy06t2VsZHhMHf-1x7Y/edit?usp=sharing"",""แผน!AJ66"")"),4000)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IFERROR(__xludf.DUMMYFUNCTION("IMPORTRANGE(""https://docs.google.com/spreadsheets/d/1eHaY18a8A9IcSdp1K8H6x8fbOy06t2VsZHhMHf-1x7Y/edit?usp=sharing"",""แผน!AK66"")"),1)</f>
        <v>1</v>
      </c>
      <c r="J209" s="296">
        <v>1</v>
      </c>
      <c r="K209" s="748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IFERROR(__xludf.DUMMYFUNCTION("IMPORTRANGE(""https://docs.google.com/spreadsheets/d/1eHaY18a8A9IcSdp1K8H6x8fbOy06t2VsZHhMHf-1x7Y/edit?usp=sharing"",""แผน!JX66"")"),1)</f>
        <v>1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IFERROR(__xludf.DUMMYFUNCTION("IMPORTRANGE(""https://docs.google.com/spreadsheets/d/1eHaY18a8A9IcSdp1K8H6x8fbOy06t2VsZHhMHf-1x7Y/edit?usp=sharing"",""แผน!JY66"")"),0)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IFERROR(__xludf.DUMMYFUNCTION("IMPORTRANGE(""https://docs.google.com/spreadsheets/d/1eHaY18a8A9IcSdp1K8H6x8fbOy06t2VsZHhMHf-1x7Y/edit?usp=sharing"",""แผน!AM66"")"),0)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IFERROR(__xludf.DUMMYFUNCTION("IMPORTRANGE(""https://docs.google.com/spreadsheets/d/1eHaY18a8A9IcSdp1K8H6x8fbOy06t2VsZHhMHf-1x7Y/edit?usp=sharing"",""แผน!AN66"")"),0)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IFERROR(__xludf.DUMMYFUNCTION("IMPORTRANGE(""https://docs.google.com/spreadsheets/d/1eHaY18a8A9IcSdp1K8H6x8fbOy06t2VsZHhMHf-1x7Y/edit?usp=sharing"",""แผน!AO66"")"),0)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IFERROR(__xludf.DUMMYFUNCTION("IMPORTRANGE(""https://docs.google.com/spreadsheets/d/1eHaY18a8A9IcSdp1K8H6x8fbOy06t2VsZHhMHf-1x7Y/edit?usp=sharing"",""แผน!LY66"")"),0)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IFERROR(__xludf.DUMMYFUNCTION("IMPORTRANGE(""https://docs.google.com/spreadsheets/d/1eHaY18a8A9IcSdp1K8H6x8fbOy06t2VsZHhMHf-1x7Y/edit?usp=sharing"",""แผน!AP66"")"),0)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IFERROR(__xludf.DUMMYFUNCTION("IMPORTRANGE(""https://docs.google.com/spreadsheets/d/1eHaY18a8A9IcSdp1K8H6x8fbOy06t2VsZHhMHf-1x7Y/edit?usp=sharing"",""แผน!AP66"")"),0)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6400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1500</v>
      </c>
      <c r="O222" s="266">
        <f ca="1">IF(L222&gt;0,N222*100/L222,0)</f>
        <v>33.333333333333336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IFERROR(__xludf.DUMMYFUNCTION("IMPORTRANGE(""https://docs.google.com/spreadsheets/d/1eHaY18a8A9IcSdp1K8H6x8fbOy06t2VsZHhMHf-1x7Y/edit?usp=sharing"",""แผน!AR66"")"),2500)</f>
        <v>2500</v>
      </c>
      <c r="M223" s="90"/>
      <c r="N223" s="391">
        <v>1500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IFERROR(__xludf.DUMMYFUNCTION("IMPORTRANGE(""https://docs.google.com/spreadsheets/d/1eHaY18a8A9IcSdp1K8H6x8fbOy06t2VsZHhMHf-1x7Y/edit?usp=sharing"",""แผน!AS66"")"),2000)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IFERROR(__xludf.DUMMYFUNCTION("IMPORTRANGE(""https://docs.google.com/spreadsheets/d/1eHaY18a8A9IcSdp1K8H6x8fbOy06t2VsZHhMHf-1x7Y/edit?usp=sharing"",""แผน!AT66"")"),0)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IFERROR(__xludf.DUMMYFUNCTION("IMPORTRANGE(""https://docs.google.com/spreadsheets/d/1eHaY18a8A9IcSdp1K8H6x8fbOy06t2VsZHhMHf-1x7Y/edit?usp=sharing"",""แผน!AV66"")"),6400)</f>
        <v>6400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IFERROR(__xludf.DUMMYFUNCTION("IMPORTRANGE(""https://docs.google.com/spreadsheets/d/1eHaY18a8A9IcSdp1K8H6x8fbOy06t2VsZHhMHf-1x7Y/edit?usp=sharing"",""แผน!AV66"")"),6400)</f>
        <v>6400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IFERROR(__xludf.DUMMYFUNCTION("IMPORTRANGE(""https://docs.google.com/spreadsheets/d/1eHaY18a8A9IcSdp1K8H6x8fbOy06t2VsZHhMHf-1x7Y/edit?usp=sharing"",""แผน!AU66"")"),0)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947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15</v>
      </c>
      <c r="J231" s="943">
        <f>J242+J253</f>
        <v>15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0"/>
      <c r="C232" s="853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49500</v>
      </c>
      <c r="M232" s="90"/>
      <c r="N232" s="1287">
        <f>N243+N254</f>
        <v>47500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0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10000</v>
      </c>
      <c r="M233" s="90"/>
      <c r="N233" s="80">
        <f>N244+N255</f>
        <v>8000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24000</v>
      </c>
      <c r="M235" s="90"/>
      <c r="N235" s="80">
        <f>N246+N257</f>
        <v>24000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15500</v>
      </c>
      <c r="M236" s="90"/>
      <c r="N236" s="80">
        <f>N247+N258</f>
        <v>15500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87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936" t="s">
        <v>35</v>
      </c>
      <c r="I238" s="574">
        <f ca="1">I249+I260</f>
        <v>15</v>
      </c>
      <c r="J238" s="574">
        <f>J249+J260</f>
        <v>15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87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936" t="s">
        <v>35</v>
      </c>
      <c r="I240" s="574">
        <f ca="1">I251+I262</f>
        <v>15</v>
      </c>
      <c r="J240" s="574">
        <f>J251+J262</f>
        <v>15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936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328</v>
      </c>
      <c r="D242" s="375"/>
      <c r="E242" s="375"/>
      <c r="F242" s="375"/>
      <c r="G242" s="376"/>
      <c r="H242" s="377" t="s">
        <v>35</v>
      </c>
      <c r="I242" s="378">
        <f ca="1">I249</f>
        <v>15</v>
      </c>
      <c r="J242" s="378">
        <f>J249</f>
        <v>15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49500</v>
      </c>
      <c r="M243" s="90"/>
      <c r="N243" s="266">
        <f>N244+N245+N246+N247</f>
        <v>47500</v>
      </c>
      <c r="O243" s="266">
        <f ca="1">IF(L243&gt;0,N243*100/L243,0)</f>
        <v>95.959595959595958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IFERROR(__xludf.DUMMYFUNCTION("IMPORTRANGE(""https://docs.google.com/spreadsheets/d/1eHaY18a8A9IcSdp1K8H6x8fbOy06t2VsZHhMHf-1x7Y/edit?usp=sharing"",""แผน!AX66"")"),10000)</f>
        <v>10000</v>
      </c>
      <c r="M244" s="90"/>
      <c r="N244" s="391">
        <v>8000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IFERROR(__xludf.DUMMYFUNCTION("IMPORTRANGE(""https://docs.google.com/spreadsheets/d/1eHaY18a8A9IcSdp1K8H6x8fbOy06t2VsZHhMHf-1x7Y/edit?usp=sharing"",""แผน!AY66"")"),0)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IFERROR(__xludf.DUMMYFUNCTION("IMPORTRANGE(""https://docs.google.com/spreadsheets/d/1eHaY18a8A9IcSdp1K8H6x8fbOy06t2VsZHhMHf-1x7Y/edit?usp=sharing"",""แผน!AZ66"")"),24000)</f>
        <v>24000</v>
      </c>
      <c r="M246" s="90"/>
      <c r="N246" s="391">
        <v>24000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IFERROR(__xludf.DUMMYFUNCTION("IMPORTRANGE(""https://docs.google.com/spreadsheets/d/1eHaY18a8A9IcSdp1K8H6x8fbOy06t2VsZHhMHf-1x7Y/edit?usp=sharing"",""แผน!BA66"")"),15500)</f>
        <v>15500</v>
      </c>
      <c r="M247" s="90"/>
      <c r="N247" s="391">
        <v>15500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IFERROR(__xludf.DUMMYFUNCTION("IMPORTRANGE(""https://docs.google.com/spreadsheets/d/1eHaY18a8A9IcSdp1K8H6x8fbOy06t2VsZHhMHf-1x7Y/edit?usp=sharing"",""แผน!BG66"")"),15)</f>
        <v>15</v>
      </c>
      <c r="J249" s="816">
        <v>15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IFERROR(__xludf.DUMMYFUNCTION("IMPORTRANGE(""https://docs.google.com/spreadsheets/d/1eHaY18a8A9IcSdp1K8H6x8fbOy06t2VsZHhMHf-1x7Y/edit?usp=sharing"",""แผน!KD66"")"),15)</f>
        <v>15</v>
      </c>
      <c r="J251" s="816">
        <v>15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IFERROR(__xludf.DUMMYFUNCTION("IMPORTRANGE(""https://docs.google.com/spreadsheets/d/1eHaY18a8A9IcSdp1K8H6x8fbOy06t2VsZHhMHf-1x7Y/edit?usp=sharing"",""แผน!KE66"")"),1)</f>
        <v>1</v>
      </c>
      <c r="J252" s="816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154" t="s">
        <v>316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IFERROR(__xludf.DUMMYFUNCTION("IMPORTRANGE(""https://docs.google.com/spreadsheets/d/1eHaY18a8A9IcSdp1K8H6x8fbOy06t2VsZHhMHf-1x7Y/edit?usp=sharing"",""แผน!BB66"")"),0)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IFERROR(__xludf.DUMMYFUNCTION("IMPORTRANGE(""https://docs.google.com/spreadsheets/d/1eHaY18a8A9IcSdp1K8H6x8fbOy06t2VsZHhMHf-1x7Y/edit?usp=sharing"",""แผน!BC66"")"),0)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IFERROR(__xludf.DUMMYFUNCTION("IMPORTRANGE(""https://docs.google.com/spreadsheets/d/1eHaY18a8A9IcSdp1K8H6x8fbOy06t2VsZHhMHf-1x7Y/edit?usp=sharing"",""แผน!BD66"")"),0)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IFERROR(__xludf.DUMMYFUNCTION("IMPORTRANGE(""https://docs.google.com/spreadsheets/d/1eHaY18a8A9IcSdp1K8H6x8fbOy06t2VsZHhMHf-1x7Y/edit?usp=sharing"",""แผน!BE66"")"),0)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IFERROR(__xludf.DUMMYFUNCTION("IMPORTRANGE(""https://docs.google.com/spreadsheets/d/1eHaY18a8A9IcSdp1K8H6x8fbOy06t2VsZHhMHf-1x7Y/edit?usp=sharing"",""แผน!BH66"")"),0)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IFERROR(__xludf.DUMMYFUNCTION("IMPORTRANGE(""https://docs.google.com/spreadsheets/d/1-uDff_7J0KD5mKrp0Vvzr7lt3OU09vwQwhkpOPPYv2Y/edit?usp=sharing"",""งบพรบ!DE66"")"),0)</f>
        <v>0</v>
      </c>
      <c r="M271" s="91">
        <f ca="1">IFERROR(__xludf.DUMMYFUNCTION("IMPORTRANGE(""https://docs.google.com/spreadsheets/d/1-uDff_7J0KD5mKrp0Vvzr7lt3OU09vwQwhkpOPPYv2Y/edit?usp=sharing"",""งบพรบ!DJ66"")"),5000)</f>
        <v>5000</v>
      </c>
      <c r="N271" s="91">
        <f ca="1">IFERROR(__xludf.DUMMYFUNCTION("IMPORTRANGE(""https://docs.google.com/spreadsheets/d/1-uDff_7J0KD5mKrp0Vvzr7lt3OU09vwQwhkpOPPYv2Y/edit?usp=sharing"",""งบพรบ!DL66"")"),5000)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IFERROR(__xludf.DUMMYFUNCTION("IMPORTRANGE(""https://docs.google.com/spreadsheets/d/1ItG2mGa2ceCfYo0BwxsXqNm01IGEUdYcSSLTEv9YCik/edit?usp=sharing"",""เบิกจ่ายกองทุน!AJ66"")"),50660)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IFERROR(__xludf.DUMMYFUNCTION("IMPORTRANGE(""https://docs.google.com/spreadsheets/d/1ItG2mGa2ceCfYo0BwxsXqNm01IGEUdYcSSLTEv9YCik/edit?usp=sharing"",""เบิกจ่ายกองทุน!AK66"")"),50660)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IFERROR(__xludf.DUMMYFUNCTION("IMPORTRANGE(""https://docs.google.com/spreadsheets/d/1ItG2mGa2ceCfYo0BwxsXqNm01IGEUdYcSSLTEv9YCik/edit?usp=sharing"",""เบิกจ่ายกองทุน!AL66"")"),0)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IFERROR(__xludf.DUMMYFUNCTION("IMPORTRANGE(""https://docs.google.com/spreadsheets/d/1-uDff_7J0KD5mKrp0Vvzr7lt3OU09vwQwhkpOPPYv2Y/edit?usp=sharing"",""งบพรบ!DH66"")"),0)</f>
        <v>0</v>
      </c>
      <c r="M274" s="91">
        <f ca="1">IFERROR(__xludf.DUMMYFUNCTION("IMPORTRANGE(""https://docs.google.com/spreadsheets/d/1-uDff_7J0KD5mKrp0Vvzr7lt3OU09vwQwhkpOPPYv2Y/edit?usp=sharing"",""งบพรบ!DK66"")"),0)</f>
        <v>0</v>
      </c>
      <c r="N274" s="91">
        <f ca="1">IFERROR(__xludf.DUMMYFUNCTION("IMPORTRANGE(""https://docs.google.com/spreadsheets/d/1-uDff_7J0KD5mKrp0Vvzr7lt3OU09vwQwhkpOPPYv2Y/edit?usp=sharing"",""งบพรบ!DM66"")"),0)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IFERROR(__xludf.DUMMYFUNCTION("IMPORTRANGE(""https://docs.google.com/spreadsheets/d/1eHaY18a8A9IcSdp1K8H6x8fbOy06t2VsZHhMHf-1x7Y/edit?usp=sharing"",""แผน!EC66"")"),22)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IFERROR(__xludf.DUMMYFUNCTION("IMPORTRANGE(""https://docs.google.com/spreadsheets/d/1-uDff_7J0KD5mKrp0Vvzr7lt3OU09vwQwhkpOPPYv2Y/edit?usp=sharing"",""งบพรบ!DO66"")"),0)</f>
        <v>0</v>
      </c>
      <c r="M287" s="77">
        <f ca="1">IFERROR(__xludf.DUMMYFUNCTION("IMPORTRANGE(""https://docs.google.com/spreadsheets/d/1-uDff_7J0KD5mKrp0Vvzr7lt3OU09vwQwhkpOPPYv2Y/edit?usp=sharing"",""งบพรบ!DT66"")"),0)</f>
        <v>0</v>
      </c>
      <c r="N287" s="77">
        <f ca="1">IFERROR(__xludf.DUMMYFUNCTION("IMPORTRANGE(""https://docs.google.com/spreadsheets/d/1-uDff_7J0KD5mKrp0Vvzr7lt3OU09vwQwhkpOPPYv2Y/edit?usp=sharing"",""งบพรบ!DV66"")"),0)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IFERROR(__xludf.DUMMYFUNCTION("IMPORTRANGE(""https://docs.google.com/spreadsheets/d/1-uDff_7J0KD5mKrp0Vvzr7lt3OU09vwQwhkpOPPYv2Y/edit?usp=sharing"",""งบพรบ!DR66"")"),0)</f>
        <v>0</v>
      </c>
      <c r="M290" s="77">
        <f ca="1">IFERROR(__xludf.DUMMYFUNCTION("IMPORTRANGE(""https://docs.google.com/spreadsheets/d/1-uDff_7J0KD5mKrp0Vvzr7lt3OU09vwQwhkpOPPYv2Y/edit?usp=sharing"",""งบพรบ!DU66"")"),0)</f>
        <v>0</v>
      </c>
      <c r="N290" s="77">
        <f ca="1">IFERROR(__xludf.DUMMYFUNCTION("IMPORTRANGE(""https://docs.google.com/spreadsheets/d/1-uDff_7J0KD5mKrp0Vvzr7lt3OU09vwQwhkpOPPYv2Y/edit?usp=sharing"",""งบพรบ!DW66"")"),0)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IFERROR(__xludf.DUMMYFUNCTION("IMPORTRANGE(""https://docs.google.com/spreadsheets/d/1eHaY18a8A9IcSdp1K8H6x8fbOy06t2VsZHhMHf-1x7Y/edit?usp=sharing"",""แผน!EE66"")"),0)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IFERROR(__xludf.DUMMYFUNCTION("IMPORTRANGE(""https://docs.google.com/spreadsheets/d/1eHaY18a8A9IcSdp1K8H6x8fbOy06t2VsZHhMHf-1x7Y/edit?usp=sharing"",""แผน!ED66"")"),0)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IFERROR(__xludf.DUMMYFUNCTION("IMPORTRANGE(""https://docs.google.com/spreadsheets/d/1eHaY18a8A9IcSdp1K8H6x8fbOy06t2VsZHhMHf-1x7Y/edit?usp=sharing"",""แผน!ED66"")"),0)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IFERROR(__xludf.DUMMYFUNCTION("IMPORTRANGE(""https://docs.google.com/spreadsheets/d/1eHaY18a8A9IcSdp1K8H6x8fbOy06t2VsZHhMHf-1x7Y/edit?usp=sharing"",""แผน!ED66"")"),0)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101000</v>
      </c>
      <c r="M303" s="266">
        <f ca="1">M304+M305</f>
        <v>101000</v>
      </c>
      <c r="N303" s="266">
        <f ca="1">N304+N305</f>
        <v>87425</v>
      </c>
      <c r="O303" s="266">
        <f ca="1">IF(L303&gt;0,N303*100/L303,0)</f>
        <v>86.559405940594061</v>
      </c>
      <c r="P303" s="266">
        <f ca="1">IF(M303&gt;0,N303*100/M303,0)</f>
        <v>86.559405940594061</v>
      </c>
      <c r="Q303" s="266">
        <f ca="1">Q304+Q305</f>
        <v>166057.24</v>
      </c>
      <c r="R303" s="266">
        <f ca="1">R304+R305</f>
        <v>166057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101000</v>
      </c>
      <c r="M305" s="77">
        <f ca="1">M308+M311</f>
        <v>101000</v>
      </c>
      <c r="N305" s="77">
        <f ca="1">N308+N311</f>
        <v>87425</v>
      </c>
      <c r="O305" s="77">
        <f ca="1">IF(L305&gt;0,N305*100/L305,0)</f>
        <v>86.559405940594061</v>
      </c>
      <c r="P305" s="77">
        <f ca="1">IF(M305&gt;0,N305*100/M305,0)</f>
        <v>86.559405940594061</v>
      </c>
      <c r="Q305" s="77">
        <f ca="1">Q308+Q311</f>
        <v>166057.24</v>
      </c>
      <c r="R305" s="77">
        <f ca="1">R308+R311</f>
        <v>166057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101000</v>
      </c>
      <c r="M306" s="77">
        <f ca="1">M307+M308</f>
        <v>101000</v>
      </c>
      <c r="N306" s="77">
        <f ca="1">N307+N308</f>
        <v>87425</v>
      </c>
      <c r="O306" s="77">
        <f ca="1">IF(L306&gt;0,N306*100/L306,0)</f>
        <v>86.559405940594061</v>
      </c>
      <c r="P306" s="77">
        <f ca="1">IF(M306&gt;0,N306*100/M306,0)</f>
        <v>86.559405940594061</v>
      </c>
      <c r="Q306" s="77">
        <f ca="1">Q307+Q308</f>
        <v>166057.24</v>
      </c>
      <c r="R306" s="77">
        <f ca="1">R307+R308</f>
        <v>166057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IFERROR(__xludf.DUMMYFUNCTION("IMPORTRANGE(""https://docs.google.com/spreadsheets/d/1-uDff_7J0KD5mKrp0Vvzr7lt3OU09vwQwhkpOPPYv2Y/edit?usp=sharing"",""งบพรบ!DY66"")"),101000)</f>
        <v>101000</v>
      </c>
      <c r="M308" s="77">
        <f ca="1">IFERROR(__xludf.DUMMYFUNCTION("IMPORTRANGE(""https://docs.google.com/spreadsheets/d/1-uDff_7J0KD5mKrp0Vvzr7lt3OU09vwQwhkpOPPYv2Y/edit?usp=sharing"",""งบพรบ!ED66"")"),101000)</f>
        <v>101000</v>
      </c>
      <c r="N308" s="77">
        <f ca="1">IFERROR(__xludf.DUMMYFUNCTION("IMPORTRANGE(""https://docs.google.com/spreadsheets/d/1-uDff_7J0KD5mKrp0Vvzr7lt3OU09vwQwhkpOPPYv2Y/edit?usp=sharing"",""งบพรบ!EF66"")"),87425)</f>
        <v>87425</v>
      </c>
      <c r="O308" s="77">
        <f ca="1">IF(L308&gt;0,N308*100/L308,0)</f>
        <v>86.559405940594061</v>
      </c>
      <c r="P308" s="77">
        <f ca="1">IF(M308&gt;0,N308*100/M308,0)</f>
        <v>86.559405940594061</v>
      </c>
      <c r="Q308" s="77">
        <f ca="1">IFERROR(__xludf.DUMMYFUNCTION("IMPORTRANGE(""https://docs.google.com/spreadsheets/d/1ItG2mGa2ceCfYo0BwxsXqNm01IGEUdYcSSLTEv9YCik/edit?usp=sharing"",""เบิกจ่ายกองทุน!AP66"")"),166057.24)</f>
        <v>166057.24</v>
      </c>
      <c r="R308" s="77">
        <f ca="1">IFERROR(__xludf.DUMMYFUNCTION("IMPORTRANGE(""https://docs.google.com/spreadsheets/d/1ItG2mGa2ceCfYo0BwxsXqNm01IGEUdYcSSLTEv9YCik/edit?usp=sharing"",""เบิกจ่ายกองทุน!AQ66"")"),166057)</f>
        <v>166057</v>
      </c>
      <c r="S308" s="77">
        <f ca="1">IFERROR(__xludf.DUMMYFUNCTION("IMPORTRANGE(""https://docs.google.com/spreadsheets/d/1ItG2mGa2ceCfYo0BwxsXqNm01IGEUdYcSSLTEv9YCik/edit?usp=sharing"",""เบิกจ่ายกองทุน!AR66"")"),0)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IFERROR(__xludf.DUMMYFUNCTION("IMPORTRANGE(""https://docs.google.com/spreadsheets/d/1-uDff_7J0KD5mKrp0Vvzr7lt3OU09vwQwhkpOPPYv2Y/edit?usp=sharing"",""งบพรบ!EB66"")"),0)</f>
        <v>0</v>
      </c>
      <c r="M311" s="77">
        <f ca="1">IFERROR(__xludf.DUMMYFUNCTION("IMPORTRANGE(""https://docs.google.com/spreadsheets/d/1-uDff_7J0KD5mKrp0Vvzr7lt3OU09vwQwhkpOPPYv2Y/edit?usp=sharing"",""งบพรบ!EE66"")"),0)</f>
        <v>0</v>
      </c>
      <c r="N311" s="77">
        <f ca="1">IFERROR(__xludf.DUMMYFUNCTION("IMPORTRANGE(""https://docs.google.com/spreadsheets/d/1-uDff_7J0KD5mKrp0Vvzr7lt3OU09vwQwhkpOPPYv2Y/edit?usp=sharing"",""งบพรบ!EG66"")"),0)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IFERROR(__xludf.DUMMYFUNCTION("IMPORTRANGE(""https://docs.google.com/spreadsheets/d/1eHaY18a8A9IcSdp1K8H6x8fbOy06t2VsZHhMHf-1x7Y/edit?usp=sharing"",""แผน!EF66"")"),25)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IFERROR(__xludf.DUMMYFUNCTION("IMPORTRANGE(""https://docs.google.com/spreadsheets/d/1-uDff_7J0KD5mKrp0Vvzr7lt3OU09vwQwhkpOPPYv2Y/edit?usp=sharing"",""งบพรบ!EI66"")"),0)</f>
        <v>0</v>
      </c>
      <c r="M325" s="77">
        <f ca="1">IFERROR(__xludf.DUMMYFUNCTION("IMPORTRANGE(""https://docs.google.com/spreadsheets/d/1-uDff_7J0KD5mKrp0Vvzr7lt3OU09vwQwhkpOPPYv2Y/edit?usp=sharing"",""งบพรบ!EN66"")"),0)</f>
        <v>0</v>
      </c>
      <c r="N325" s="77">
        <f ca="1">IFERROR(__xludf.DUMMYFUNCTION("IMPORTRANGE(""https://docs.google.com/spreadsheets/d/1-uDff_7J0KD5mKrp0Vvzr7lt3OU09vwQwhkpOPPYv2Y/edit?usp=sharing"",""งบพรบ!EP66"")"),0)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IFERROR(__xludf.DUMMYFUNCTION("IMPORTRANGE(""https://docs.google.com/spreadsheets/d/1-uDff_7J0KD5mKrp0Vvzr7lt3OU09vwQwhkpOPPYv2Y/edit?usp=sharing"",""งบพรบ!EL66"")"),0)</f>
        <v>0</v>
      </c>
      <c r="M328" s="77">
        <f ca="1">IFERROR(__xludf.DUMMYFUNCTION("IMPORTRANGE(""https://docs.google.com/spreadsheets/d/1-uDff_7J0KD5mKrp0Vvzr7lt3OU09vwQwhkpOPPYv2Y/edit?usp=sharing"",""งบพรบ!EO66"")"),0)</f>
        <v>0</v>
      </c>
      <c r="N328" s="77">
        <f ca="1">IFERROR(__xludf.DUMMYFUNCTION("IMPORTRANGE(""https://docs.google.com/spreadsheets/d/1-uDff_7J0KD5mKrp0Vvzr7lt3OU09vwQwhkpOPPYv2Y/edit?usp=sharing"",""งบพรบ!EQ66"")"),0)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IFERROR(__xludf.DUMMYFUNCTION("IMPORTRANGE(""https://docs.google.com/spreadsheets/d/1eHaY18a8A9IcSdp1K8H6x8fbOy06t2VsZHhMHf-1x7Y/edit?usp=sharing"",""แผน!EJ66"")"),0)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260</v>
      </c>
      <c r="J332" s="519">
        <f ca="1">J344+J347+J348+J349+J353+J354</f>
        <v>1579</v>
      </c>
      <c r="K332" s="520">
        <f ca="1">IF(I332&gt;0,J332*100/I332,0)</f>
        <v>607.30769230769226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150100</v>
      </c>
      <c r="M333" s="266">
        <f ca="1">M334+M335</f>
        <v>155100</v>
      </c>
      <c r="N333" s="266">
        <f ca="1">N334+N335</f>
        <v>139504.65</v>
      </c>
      <c r="O333" s="266">
        <f ca="1">IF(L333&gt;0,N333*100/L333,0)</f>
        <v>92.941139240506331</v>
      </c>
      <c r="P333" s="266">
        <f ca="1">IF(M333&gt;0,N333*100/M333,0)</f>
        <v>89.944970986460348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150100</v>
      </c>
      <c r="M335" s="77">
        <f ca="1">M338+M341</f>
        <v>155100</v>
      </c>
      <c r="N335" s="77">
        <f ca="1">N338+N341</f>
        <v>139504.65</v>
      </c>
      <c r="O335" s="77">
        <f ca="1">IF(L335&gt;0,N335*100/L335,0)</f>
        <v>92.941139240506331</v>
      </c>
      <c r="P335" s="77">
        <f ca="1">IF(M335&gt;0,N335*100/M335,0)</f>
        <v>89.944970986460348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150100</v>
      </c>
      <c r="M336" s="77">
        <f ca="1">M337+M338</f>
        <v>155100</v>
      </c>
      <c r="N336" s="77">
        <f ca="1">N337+N338</f>
        <v>139504.65</v>
      </c>
      <c r="O336" s="77">
        <f ca="1">IF(L336&gt;0,N336*100/L336,0)</f>
        <v>92.941139240506331</v>
      </c>
      <c r="P336" s="77">
        <f ca="1">IF(M336&gt;0,N336*100/M336,0)</f>
        <v>89.944970986460348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IFERROR(__xludf.DUMMYFUNCTION("IMPORTRANGE(""https://docs.google.com/spreadsheets/d/1-uDff_7J0KD5mKrp0Vvzr7lt3OU09vwQwhkpOPPYv2Y/edit?usp=sharing"",""งบพรบ!ES66"")"),150100)</f>
        <v>150100</v>
      </c>
      <c r="M338" s="77">
        <f ca="1">IFERROR(__xludf.DUMMYFUNCTION("IMPORTRANGE(""https://docs.google.com/spreadsheets/d/1-uDff_7J0KD5mKrp0Vvzr7lt3OU09vwQwhkpOPPYv2Y/edit?usp=sharing"",""งบพรบ!EX66"")"),155100)</f>
        <v>155100</v>
      </c>
      <c r="N338" s="77">
        <f ca="1">IFERROR(__xludf.DUMMYFUNCTION("IMPORTRANGE(""https://docs.google.com/spreadsheets/d/1-uDff_7J0KD5mKrp0Vvzr7lt3OU09vwQwhkpOPPYv2Y/edit?usp=sharing"",""งบพรบ!EZ66"")"),139504.65)</f>
        <v>139504.65</v>
      </c>
      <c r="O338" s="77">
        <f ca="1">IF(L338&gt;0,N338*100/L338,0)</f>
        <v>92.941139240506331</v>
      </c>
      <c r="P338" s="77">
        <f ca="1">IF(M338&gt;0,N338*100/M338,0)</f>
        <v>89.944970986460348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IFERROR(__xludf.DUMMYFUNCTION("IMPORTRANGE(""https://docs.google.com/spreadsheets/d/1-uDff_7J0KD5mKrp0Vvzr7lt3OU09vwQwhkpOPPYv2Y/edit?usp=sharing"",""งบพรบ!EV66"")"),0)</f>
        <v>0</v>
      </c>
      <c r="M341" s="77">
        <f ca="1">IFERROR(__xludf.DUMMYFUNCTION("IMPORTRANGE(""https://docs.google.com/spreadsheets/d/1-uDff_7J0KD5mKrp0Vvzr7lt3OU09vwQwhkpOPPYv2Y/edit?usp=sharing"",""งบพรบ!EY66"")"),0)</f>
        <v>0</v>
      </c>
      <c r="N341" s="77">
        <f ca="1">IFERROR(__xludf.DUMMYFUNCTION("IMPORTRANGE(""https://docs.google.com/spreadsheets/d/1-uDff_7J0KD5mKrp0Vvzr7lt3OU09vwQwhkpOPPYv2Y/edit?usp=sharing"",""งบพรบ!FA66"")"),0)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103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IFERROR(__xludf.DUMMYFUNCTION("IMPORTRANGE(""https://docs.google.com/spreadsheets/d/1eHaY18a8A9IcSdp1K8H6x8fbOy06t2VsZHhMHf-1x7Y/edit?usp=sharing"",""แผน!EK66"")"),260)</f>
        <v>260</v>
      </c>
      <c r="J344" s="295">
        <f ca="1">IFERROR(__xludf.DUMMYFUNCTION("IMPORTRANGE(""https://docs.google.com/spreadsheets/d/1awYsYK3VOup2i3Pq_Yjnu8DRu_mYwSBnCR2QPthd0rU/edit?usp=sharing"",""ศูนย์ยกเว้นโฉนด!D66"")"),99)</f>
        <v>99</v>
      </c>
      <c r="K344" s="77">
        <f ca="1">IF(I344&gt;0,J344*100/I344,0)</f>
        <v>38.07692307692308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IFERROR(__xludf.DUMMYFUNCTION("IMPORTRANGE(""https://docs.google.com/spreadsheets/d/1eHaY18a8A9IcSdp1K8H6x8fbOy06t2VsZHhMHf-1x7Y/edit?usp=sharing"",""แผน!EL66"")"),1)</f>
        <v>1</v>
      </c>
      <c r="J346" s="295">
        <f ca="1">IFERROR(__xludf.DUMMYFUNCTION("IMPORTRANGE(""https://docs.google.com/spreadsheets/d/1awYsYK3VOup2i3Pq_Yjnu8DRu_mYwSBnCR2QPthd0rU/edit?usp=sharing"",""ศูนย์รวม!E66"")"),1)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IFERROR(__xludf.DUMMYFUNCTION("IMPORTRANGE(""https://docs.google.com/spreadsheets/d/1awYsYK3VOup2i3Pq_Yjnu8DRu_mYwSBnCR2QPthd0rU/edit?usp=sharing"",""ศูนย์ยกเว้นโฉนด!F66"")"),0)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IFERROR(__xludf.DUMMYFUNCTION("IMPORTRANGE(""https://docs.google.com/spreadsheets/d/1awYsYK3VOup2i3Pq_Yjnu8DRu_mYwSBnCR2QPthd0rU/edit?usp=sharing"",""ศูนย์ยกเว้นโฉนด!G66"")"),4)</f>
        <v>4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IFERROR(__xludf.DUMMYFUNCTION("IMPORTRANGE(""https://docs.google.com/spreadsheets/d/1awYsYK3VOup2i3Pq_Yjnu8DRu_mYwSBnCR2QPthd0rU/edit?usp=sharing"",""ศูนย์ยกเว้นโฉนด!H66"")"),0)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1623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IFERROR(__xludf.DUMMYFUNCTION("IMPORTRANGE(""https://docs.google.com/spreadsheets/d/1awYsYK3VOup2i3Pq_Yjnu8DRu_mYwSBnCR2QPthd0rU/edit?usp=sharing"",""โฉนดM3!G66"")"),147)</f>
        <v>147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IFERROR(__xludf.DUMMYFUNCTION("IMPORTRANGE(""https://docs.google.com/spreadsheets/d/1awYsYK3VOup2i3Pq_Yjnu8DRu_mYwSBnCR2QPthd0rU/edit?usp=sharing"",""โฉนดM3!H66"")"),1476)</f>
        <v>1476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IFERROR(__xludf.DUMMYFUNCTION("IMPORTRANGE(""https://docs.google.com/spreadsheets/d/1awYsYK3VOup2i3Pq_Yjnu8DRu_mYwSBnCR2QPthd0rU/edit?usp=sharing"",""โฉนดM3!I66"")"),0)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386760</v>
      </c>
      <c r="M356" s="266">
        <f ca="1">M357+M358</f>
        <v>386760</v>
      </c>
      <c r="N356" s="266">
        <f ca="1">N357+N358</f>
        <v>276705.84999999998</v>
      </c>
      <c r="O356" s="266">
        <f ca="1">IF(L356&gt;0,N356*100/L356,0)</f>
        <v>71.54458837521976</v>
      </c>
      <c r="P356" s="266">
        <f ca="1">IF(M356&gt;0,N356*100/M356,0)</f>
        <v>71.54458837521976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386760</v>
      </c>
      <c r="M358" s="77">
        <f ca="1">M361+M364</f>
        <v>386760</v>
      </c>
      <c r="N358" s="77">
        <f ca="1">N361+N364</f>
        <v>276705.84999999998</v>
      </c>
      <c r="O358" s="77">
        <f ca="1">IF(L358&gt;0,N358*100/L358,0)</f>
        <v>71.54458837521976</v>
      </c>
      <c r="P358" s="77">
        <f ca="1">IF(M358&gt;0,N358*100/M358,0)</f>
        <v>71.54458837521976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386760</v>
      </c>
      <c r="M359" s="77">
        <f ca="1">M360+M361</f>
        <v>386760</v>
      </c>
      <c r="N359" s="77">
        <f ca="1">N360+N361</f>
        <v>276705.84999999998</v>
      </c>
      <c r="O359" s="77">
        <f ca="1">IF(L359&gt;0,N359*100/L359,0)</f>
        <v>71.54458837521976</v>
      </c>
      <c r="P359" s="77">
        <f ca="1">IF(M359&gt;0,N359*100/M359,0)</f>
        <v>71.54458837521976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IFERROR(__xludf.DUMMYFUNCTION("IMPORTRANGE(""https://docs.google.com/spreadsheets/d/1-uDff_7J0KD5mKrp0Vvzr7lt3OU09vwQwhkpOPPYv2Y/edit?usp=sharing"",""งบพรบ!FC66"")"),386760)</f>
        <v>386760</v>
      </c>
      <c r="M361" s="77">
        <f ca="1">IFERROR(__xludf.DUMMYFUNCTION("IMPORTRANGE(""https://docs.google.com/spreadsheets/d/1-uDff_7J0KD5mKrp0Vvzr7lt3OU09vwQwhkpOPPYv2Y/edit?usp=sharing"",""งบพรบ!FH66"")"),386760)</f>
        <v>386760</v>
      </c>
      <c r="N361" s="77">
        <f ca="1">IFERROR(__xludf.DUMMYFUNCTION("IMPORTRANGE(""https://docs.google.com/spreadsheets/d/1-uDff_7J0KD5mKrp0Vvzr7lt3OU09vwQwhkpOPPYv2Y/edit?usp=sharing"",""งบพรบ!FJ66"")"),276705.85)</f>
        <v>276705.84999999998</v>
      </c>
      <c r="O361" s="77">
        <f ca="1">IF(L361&gt;0,N361*100/L361,0)</f>
        <v>71.54458837521976</v>
      </c>
      <c r="P361" s="77">
        <f ca="1">IF(M361&gt;0,N361*100/M361,0)</f>
        <v>71.54458837521976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IFERROR(__xludf.DUMMYFUNCTION("IMPORTRANGE(""https://docs.google.com/spreadsheets/d/1-uDff_7J0KD5mKrp0Vvzr7lt3OU09vwQwhkpOPPYv2Y/edit?usp=sharing"",""งบพรบ!FF66"")"),0)</f>
        <v>0</v>
      </c>
      <c r="M364" s="77">
        <f ca="1">IFERROR(__xludf.DUMMYFUNCTION("IMPORTRANGE(""https://docs.google.com/spreadsheets/d/1-uDff_7J0KD5mKrp0Vvzr7lt3OU09vwQwhkpOPPYv2Y/edit?usp=sharing"",""งบพรบ!FI66"")"),0)</f>
        <v>0</v>
      </c>
      <c r="N364" s="77">
        <f ca="1">IFERROR(__xludf.DUMMYFUNCTION("IMPORTRANGE(""https://docs.google.com/spreadsheets/d/1-uDff_7J0KD5mKrp0Vvzr7lt3OU09vwQwhkpOPPYv2Y/edit?usp=sharing"",""งบพรบ!FK66"")"),0)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65</v>
      </c>
      <c r="J365" s="542">
        <f ca="1">J371</f>
        <v>22</v>
      </c>
      <c r="K365" s="543">
        <f ca="1">IF(I365&gt;0,J365*100/I365,0)</f>
        <v>33.846153846153847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IFERROR(__xludf.DUMMYFUNCTION("IMPORTRANGE(""https://docs.google.com/spreadsheets/d/1tdoBKaGub7dwA3U6UFTqxio9LNnvDCQjHKmttSEBsFQ/edit?usp=sharing"",""จัดที่ดิน!AB66"")"),58)</f>
        <v>58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IFERROR(__xludf.DUMMYFUNCTION("IMPORTRANGE(""https://docs.google.com/spreadsheets/d/1eHaY18a8A9IcSdp1K8H6x8fbOy06t2VsZHhMHf-1x7Y/edit?usp=sharing"",""แผน!EW66"")"),360)</f>
        <v>360</v>
      </c>
      <c r="J368" s="1094">
        <f ca="1">IFERROR(__xludf.DUMMYFUNCTION("IMPORTRANGE(""https://docs.google.com/spreadsheets/d/1tdoBKaGub7dwA3U6UFTqxio9LNnvDCQjHKmttSEBsFQ/edit?usp=sharing"",""จัดที่ดิน!AC66"")"),620.05)</f>
        <v>620.04999999999995</v>
      </c>
      <c r="K368" s="77">
        <f ca="1">IF(I368&gt;0,J368*100/I368,0)</f>
        <v>172.23611111111109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IFERROR(__xludf.DUMMYFUNCTION("IMPORTRANGE(""https://docs.google.com/spreadsheets/d/1eHaY18a8A9IcSdp1K8H6x8fbOy06t2VsZHhMHf-1x7Y/edit?usp=sharing"",""แผน!EX66"")"),65)</f>
        <v>65</v>
      </c>
      <c r="J369" s="295">
        <f ca="1">IFERROR(__xludf.DUMMYFUNCTION("IMPORTRANGE(""https://docs.google.com/spreadsheets/d/1tdoBKaGub7dwA3U6UFTqxio9LNnvDCQjHKmttSEBsFQ/edit?usp=sharing"",""จัดที่ดิน!AD66"")"),117)</f>
        <v>117</v>
      </c>
      <c r="K369" s="77">
        <f ca="1">IF(I369&gt;0,J369*100/I369,0)</f>
        <v>180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IFERROR(__xludf.DUMMYFUNCTION("IMPORTRANGE(""https://docs.google.com/spreadsheets/d/1tdoBKaGub7dwA3U6UFTqxio9LNnvDCQjHKmttSEBsFQ/edit?usp=sharing"",""จัดที่ดิน!AE66"")"),1489.68)</f>
        <v>1489.68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IFERROR(__xludf.DUMMYFUNCTION("IMPORTRANGE(""https://docs.google.com/spreadsheets/d/1eHaY18a8A9IcSdp1K8H6x8fbOy06t2VsZHhMHf-1x7Y/edit?usp=sharing"",""แผน!EY66"")"),65)</f>
        <v>65</v>
      </c>
      <c r="J371" s="295">
        <f ca="1">IFERROR(__xludf.DUMMYFUNCTION("IMPORTRANGE(""https://docs.google.com/spreadsheets/d/1tdoBKaGub7dwA3U6UFTqxio9LNnvDCQjHKmttSEBsFQ/edit?usp=sharing"",""จัดที่ดิน!AF66"")"),22)</f>
        <v>22</v>
      </c>
      <c r="K371" s="77">
        <f ca="1">IF(I371&gt;0,J371*100/I371,0)</f>
        <v>33.846153846153847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IFERROR(__xludf.DUMMYFUNCTION("IMPORTRANGE(""https://docs.google.com/spreadsheets/d/1tdoBKaGub7dwA3U6UFTqxio9LNnvDCQjHKmttSEBsFQ/edit?usp=sharing"",""จัดที่ดิน!AG66"")"),250.07)</f>
        <v>250.07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500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31250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31250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31250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IFERROR(__xludf.DUMMYFUNCTION("IMPORTRANGE(""https://docs.google.com/spreadsheets/d/1ItG2mGa2ceCfYo0BwxsXqNm01IGEUdYcSSLTEv9YCik/edit?usp=sharing"",""เบิกจ่ายกองทุน!AY66"")"),31250)</f>
        <v>31250</v>
      </c>
      <c r="R380" s="77">
        <f ca="1">IFERROR(__xludf.DUMMYFUNCTION("IMPORTRANGE(""https://docs.google.com/spreadsheets/d/1ItG2mGa2ceCfYo0BwxsXqNm01IGEUdYcSSLTEv9YCik/edit?usp=sharing"",""เบิกจ่ายกองทุน!AZ66"")"),0)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IFERROR(__xludf.DUMMYFUNCTION("IMPORTRANGE(""https://docs.google.com/spreadsheets/d/1ItG2mGa2ceCfYo0BwxsXqNm01IGEUdYcSSLTEv9YCik/edit?usp=sharing"",""เบิกจ่ายกองทุน!BA66"")"),0)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IFERROR(__xludf.DUMMYFUNCTION("IMPORTRANGE(""https://docs.google.com/spreadsheets/d/1w5rwWK1o49a35cNtocGL0gxDwhFSTZUQu90BiH9_zqM/edit?usp=sharing"",""RTK!H66"")"),0)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IFERROR(__xludf.DUMMYFUNCTION("IMPORTRANGE(""https://docs.google.com/spreadsheets/d/1w5rwWK1o49a35cNtocGL0gxDwhFSTZUQu90BiH9_zqM/edit?usp=sharing"",""RTK!G66"")"),500)</f>
        <v>500</v>
      </c>
      <c r="J386" s="295">
        <f ca="1">IFERROR(__xludf.DUMMYFUNCTION("IMPORTRANGE(""https://docs.google.com/spreadsheets/d/1w5rwWK1o49a35cNtocGL0gxDwhFSTZUQu90BiH9_zqM/edit?usp=sharing"",""RTK!I66"")"),0)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IFERROR(__xludf.DUMMYFUNCTION("IMPORTRANGE(""https://docs.google.com/spreadsheets/d/1w5rwWK1o49a35cNtocGL0gxDwhFSTZUQu90BiH9_zqM/edit?usp=sharing"",""RTK!L66"")"),0)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IFERROR(__xludf.DUMMYFUNCTION("IMPORTRANGE(""https://docs.google.com/spreadsheets/d/1w5rwWK1o49a35cNtocGL0gxDwhFSTZUQu90BiH9_zqM/edit?usp=sharing"",""RTK!K66"")"),0)</f>
        <v>0</v>
      </c>
      <c r="J388" s="241">
        <f ca="1">IFERROR(__xludf.DUMMYFUNCTION("IMPORTRANGE(""https://docs.google.com/spreadsheets/d/1w5rwWK1o49a35cNtocGL0gxDwhFSTZUQu90BiH9_zqM/edit?usp=sharing"",""RTK!M66"")"),0)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IFERROR(__xludf.DUMMYFUNCTION("IMPORTRANGE(""https://docs.google.com/spreadsheets/d/1ItG2mGa2ceCfYo0BwxsXqNm01IGEUdYcSSLTEv9YCik/edit?usp=sharing"",""เบิกจ่ายกองทุน!BH66"")"),0)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IFERROR(__xludf.DUMMYFUNCTION("IMPORTRANGE(""https://docs.google.com/spreadsheets/d/1ItG2mGa2ceCfYo0BwxsXqNm01IGEUdYcSSLTEv9YCik/edit?usp=sharing"",""เบิกจ่ายกองทุน!BI66"")"),0)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IFERROR(__xludf.DUMMYFUNCTION("IMPORTRANGE(""https://docs.google.com/spreadsheets/d/1ItG2mGa2ceCfYo0BwxsXqNm01IGEUdYcSSLTEv9YCik/edit?usp=sharing"",""เบิกจ่ายกองทุน!BJ66"")"),0)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IFERROR(__xludf.DUMMYFUNCTION("IMPORTRANGE(""https://docs.google.com/spreadsheets/d/1eHaY18a8A9IcSdp1K8H6x8fbOy06t2VsZHhMHf-1x7Y/edit?usp=sharing"",""แผน!HJ66"")"),0)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IFERROR(__xludf.DUMMYFUNCTION("IMPORTRANGE(""https://docs.google.com/spreadsheets/d/1eHaY18a8A9IcSdp1K8H6x8fbOy06t2VsZHhMHf-1x7Y/edit?usp=sharing"",""แผน!HK66"")"),0)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IFERROR(__xludf.DUMMYFUNCTION("IMPORTRANGE(""https://docs.google.com/spreadsheets/d/1eHaY18a8A9IcSdp1K8H6x8fbOy06t2VsZHhMHf-1x7Y/edit?usp=sharing"",""แผน!HJ66"")"),0)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IFERROR(__xludf.DUMMYFUNCTION("IMPORTRANGE(""https://docs.google.com/spreadsheets/d/1eHaY18a8A9IcSdp1K8H6x8fbOy06t2VsZHhMHf-1x7Y/edit?usp=sharing"",""แผน!HK66"")"),0)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IFERROR(__xludf.DUMMYFUNCTION("IMPORTRANGE(""https://docs.google.com/spreadsheets/d/1eHaY18a8A9IcSdp1K8H6x8fbOy06t2VsZHhMHf-1x7Y/edit?usp=sharing"",""แผน!HJ66"")"),0)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IFERROR(__xludf.DUMMYFUNCTION("IMPORTRANGE(""https://docs.google.com/spreadsheets/d/1eHaY18a8A9IcSdp1K8H6x8fbOy06t2VsZHhMHf-1x7Y/edit?usp=sharing"",""แผน!HK66"")"),0)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IFERROR(__xludf.DUMMYFUNCTION("IMPORTRANGE(""https://docs.google.com/spreadsheets/d/1eHaY18a8A9IcSdp1K8H6x8fbOy06t2VsZHhMHf-1x7Y/edit?usp=sharing"",""แผน!HL66"")"),0)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IFERROR(__xludf.DUMMYFUNCTION("IMPORTRANGE(""https://docs.google.com/spreadsheets/d/1eHaY18a8A9IcSdp1K8H6x8fbOy06t2VsZHhMHf-1x7Y/edit?usp=sharing"",""แผน!HM66"")"),0)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IFERROR(__xludf.DUMMYFUNCTION("IMPORTRANGE(""https://docs.google.com/spreadsheets/d/1eHaY18a8A9IcSdp1K8H6x8fbOy06t2VsZHhMHf-1x7Y/edit?usp=sharing"",""แผน!HN66"")"),0)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IFERROR(__xludf.DUMMYFUNCTION("IMPORTRANGE(""https://docs.google.com/spreadsheets/d/1eHaY18a8A9IcSdp1K8H6x8fbOy06t2VsZHhMHf-1x7Y/edit?usp=sharing"",""แผน!HO66"")"),0)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IFERROR(__xludf.DUMMYFUNCTION("IMPORTRANGE(""https://docs.google.com/spreadsheets/d/1ItG2mGa2ceCfYo0BwxsXqNm01IGEUdYcSSLTEv9YCik/edit?usp=sharing"",""เบิกจ่ายกองทุน!X66"")"),0)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IFERROR(__xludf.DUMMYFUNCTION("IMPORTRANGE(""https://docs.google.com/spreadsheets/d/1ItG2mGa2ceCfYo0BwxsXqNm01IGEUdYcSSLTEv9YCik/edit?usp=sharing"",""เบิกจ่ายกองทุน!Y66"")"),0)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IFERROR(__xludf.DUMMYFUNCTION("IMPORTRANGE(""https://docs.google.com/spreadsheets/d/1ItG2mGa2ceCfYo0BwxsXqNm01IGEUdYcSSLTEv9YCik/edit?usp=sharing"",""เบิกจ่ายกองทุน!Z66"")"),0)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IFERROR(__xludf.DUMMYFUNCTION("IMPORTRANGE(""https://docs.google.com/spreadsheets/d/1eHaY18a8A9IcSdp1K8H6x8fbOy06t2VsZHhMHf-1x7Y/edit?usp=sharing"",""แผน!GX66"")"),0)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IFERROR(__xludf.DUMMYFUNCTION("IMPORTRANGE(""https://docs.google.com/spreadsheets/d/1eHaY18a8A9IcSdp1K8H6x8fbOy06t2VsZHhMHf-1x7Y/edit?usp=sharing"",""แผน!GY66"")"),0)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IFERROR(__xludf.DUMMYFUNCTION("IMPORTRANGE(""https://docs.google.com/spreadsheets/d/1eHaY18a8A9IcSdp1K8H6x8fbOy06t2VsZHhMHf-1x7Y/edit?usp=sharing"",""แผน!GZ66"")"),0)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IFERROR(__xludf.DUMMYFUNCTION("IMPORTRANGE(""https://docs.google.com/spreadsheets/d/1eHaY18a8A9IcSdp1K8H6x8fbOy06t2VsZHhMHf-1x7Y/edit?usp=sharing"",""แผน!HA66"")"),0)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IFERROR(__xludf.DUMMYFUNCTION("IMPORTRANGE(""https://docs.google.com/spreadsheets/d/1eHaY18a8A9IcSdp1K8H6x8fbOy06t2VsZHhMHf-1x7Y/edit?usp=sharing"",""แผน!HB66"")"),0)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IFERROR(__xludf.DUMMYFUNCTION("IMPORTRANGE(""https://docs.google.com/spreadsheets/d/1eHaY18a8A9IcSdp1K8H6x8fbOy06t2VsZHhMHf-1x7Y/edit?usp=sharing"",""แผน!HC66"")"),0)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IFERROR(__xludf.DUMMYFUNCTION("IMPORTRANGE(""https://docs.google.com/spreadsheets/d/1-uDff_7J0KD5mKrp0Vvzr7lt3OU09vwQwhkpOPPYv2Y/edit?usp=sharing"",""งบพรบ!FM66"")"),0)</f>
        <v>0</v>
      </c>
      <c r="M518" s="77">
        <f ca="1">IFERROR(__xludf.DUMMYFUNCTION("IMPORTRANGE(""https://docs.google.com/spreadsheets/d/1-uDff_7J0KD5mKrp0Vvzr7lt3OU09vwQwhkpOPPYv2Y/edit?usp=sharing"",""งบพรบ!FR66"")"),0)</f>
        <v>0</v>
      </c>
      <c r="N518" s="77">
        <f ca="1">IFERROR(__xludf.DUMMYFUNCTION("IMPORTRANGE(""https://docs.google.com/spreadsheets/d/1-uDff_7J0KD5mKrp0Vvzr7lt3OU09vwQwhkpOPPYv2Y/edit?usp=sharing"",""งบพรบ!FT66"")"),0)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IFERROR(__xludf.DUMMYFUNCTION("IMPORTRANGE(""https://docs.google.com/spreadsheets/d/1-uDff_7J0KD5mKrp0Vvzr7lt3OU09vwQwhkpOPPYv2Y/edit?usp=sharing"",""งบพรบ!FP66"")"),0)</f>
        <v>0</v>
      </c>
      <c r="M521" s="77">
        <f ca="1">IFERROR(__xludf.DUMMYFUNCTION("IMPORTRANGE(""https://docs.google.com/spreadsheets/d/1-uDff_7J0KD5mKrp0Vvzr7lt3OU09vwQwhkpOPPYv2Y/edit?usp=sharing"",""งบพรบ!FS66"")"),0)</f>
        <v>0</v>
      </c>
      <c r="N521" s="77">
        <f ca="1">IFERROR(__xludf.DUMMYFUNCTION("IMPORTRANGE(""https://docs.google.com/spreadsheets/d/1-uDff_7J0KD5mKrp0Vvzr7lt3OU09vwQwhkpOPPYv2Y/edit?usp=sharing"",""งบพรบ!FU66"")"),0)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7300</v>
      </c>
      <c r="R616" s="266">
        <f ca="1">R617+R618</f>
        <v>7300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7300</v>
      </c>
      <c r="R618" s="77">
        <f ca="1">R621+R624</f>
        <v>7300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7300</v>
      </c>
      <c r="R619" s="77">
        <f ca="1">R620+R621</f>
        <v>7300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IFERROR(__xludf.DUMMYFUNCTION("IMPORTRANGE(""https://docs.google.com/spreadsheets/d/1ItG2mGa2ceCfYo0BwxsXqNm01IGEUdYcSSLTEv9YCik/edit?usp=sharing"",""เบิกจ่ายกองทุน!F66"")"),7300)</f>
        <v>7300</v>
      </c>
      <c r="R621" s="77">
        <f ca="1">IFERROR(__xludf.DUMMYFUNCTION("IMPORTRANGE(""https://docs.google.com/spreadsheets/d/1ItG2mGa2ceCfYo0BwxsXqNm01IGEUdYcSSLTEv9YCik/edit?usp=sharing"",""เบิกจ่ายกองทุน!G66"")"),7300)</f>
        <v>7300</v>
      </c>
      <c r="S621" s="77">
        <f ca="1">IFERROR(__xludf.DUMMYFUNCTION("IMPORTRANGE(""https://docs.google.com/spreadsheets/d/1ItG2mGa2ceCfYo0BwxsXqNm01IGEUdYcSSLTEv9YCik/edit?usp=sharing"",""เบิกจ่ายกองทุน!H66"")"),0)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IFERROR(__xludf.DUMMYFUNCTION("IMPORTRANGE(""https://docs.google.com/spreadsheets/d/1eHaY18a8A9IcSdp1K8H6x8fbOy06t2VsZHhMHf-1x7Y/edit?usp=sharing"",""แผน!ID66"")"),50)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IFERROR(__xludf.DUMMYFUNCTION("IMPORTRANGE(""https://docs.google.com/spreadsheets/d/1eHaY18a8A9IcSdp1K8H6x8fbOy06t2VsZHhMHf-1x7Y/edit?usp=sharing"",""แผน!IC66"")"),1)</f>
        <v>1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IFERROR(__xludf.DUMMYFUNCTION("IMPORTRANGE(""https://docs.google.com/spreadsheets/d/1eHaY18a8A9IcSdp1K8H6x8fbOy06t2VsZHhMHf-1x7Y/edit?usp=sharing"",""แผน!IC66"")"),1)</f>
        <v>1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IFERROR(__xludf.DUMMYFUNCTION("IMPORTRANGE(""https://docs.google.com/spreadsheets/d/1eHaY18a8A9IcSdp1K8H6x8fbOy06t2VsZHhMHf-1x7Y/edit?usp=sharing"",""แผน!IE66"")"),0)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hidden="1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IFERROR(__xludf.DUMMYFUNCTION("IMPORTRANGE(""https://docs.google.com/spreadsheets/d/1ItG2mGa2ceCfYo0BwxsXqNm01IGEUdYcSSLTEv9YCik/edit?usp=sharing"",""เบิกจ่ายกองทุน!I66"")"),0)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IFERROR(__xludf.DUMMYFUNCTION("IMPORTRANGE(""https://docs.google.com/spreadsheets/d/1ItG2mGa2ceCfYo0BwxsXqNm01IGEUdYcSSLTEv9YCik/edit?usp=sharing"",""เบิกจ่ายกองทุน!J66"")"),0)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IFERROR(__xludf.DUMMYFUNCTION("IMPORTRANGE(""https://docs.google.com/spreadsheets/d/1ItG2mGa2ceCfYo0BwxsXqNm01IGEUdYcSSLTEv9YCik/edit?usp=sharing"",""เบิกจ่ายกองทุน!K66"")"),0)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IFERROR(__xludf.DUMMYFUNCTION("IMPORTRANGE(""https://docs.google.com/spreadsheets/d/1eHaY18a8A9IcSdp1K8H6x8fbOy06t2VsZHhMHf-1x7Y/edit?usp=sharing"",""แผน!IF66"")"),0)</f>
        <v>0</v>
      </c>
      <c r="J652" s="295">
        <f ca="1">IFERROR(__xludf.DUMMYFUNCTION("IMPORTRANGE(""https://docs.google.com/spreadsheets/d/1tdoBKaGub7dwA3U6UFTqxio9LNnvDCQjHKmttSEBsFQ/edit?usp=sharing"",""จัดที่ดิน!AU66"")"),0)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IFERROR(__xludf.DUMMYFUNCTION("IMPORTRANGE(""https://docs.google.com/spreadsheets/d/1eHaY18a8A9IcSdp1K8H6x8fbOy06t2VsZHhMHf-1x7Y/edit?usp=sharing"",""แผน!IG66"")"),0)</f>
        <v>0</v>
      </c>
      <c r="J653" s="295">
        <f ca="1">IFERROR(__xludf.DUMMYFUNCTION("IMPORTRANGE(""https://docs.google.com/spreadsheets/d/1tdoBKaGub7dwA3U6UFTqxio9LNnvDCQjHKmttSEBsFQ/edit?usp=sharing"",""จัดที่ดิน!AW66"")"),0)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IFERROR(__xludf.DUMMYFUNCTION("IMPORTRANGE(""https://docs.google.com/spreadsheets/d/1eHaY18a8A9IcSdp1K8H6x8fbOy06t2VsZHhMHf-1x7Y/edit?usp=sharing"",""แผน!IH66"")"),0)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IFERROR(__xludf.DUMMYFUNCTION("IMPORTRANGE(""https://docs.google.com/spreadsheets/d/1eHaY18a8A9IcSdp1K8H6x8fbOy06t2VsZHhMHf-1x7Y/edit?usp=sharing"",""แผน!II66"")"),0)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IFERROR(__xludf.DUMMYFUNCTION("IMPORTRANGE(""https://docs.google.com/spreadsheets/d/1eHaY18a8A9IcSdp1K8H6x8fbOy06t2VsZHhMHf-1x7Y/edit?usp=sharing"",""แผน!IJ66"")"),0)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IFERROR(__xludf.DUMMYFUNCTION("IMPORTRANGE(""https://docs.google.com/spreadsheets/d/1eHaY18a8A9IcSdp1K8H6x8fbOy06t2VsZHhMHf-1x7Y/edit?usp=sharing"",""แผน!IK66"")"),0)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IFERROR(__xludf.DUMMYFUNCTION("IMPORTRANGE(""https://docs.google.com/spreadsheets/d/1tdoBKaGub7dwA3U6UFTqxio9LNnvDCQjHKmttSEBsFQ/edit?usp=sharing"",""จัดที่ดิน!AY66"")"),0)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IFERROR(__xludf.DUMMYFUNCTION("IMPORTRANGE(""https://docs.google.com/spreadsheets/d/1tdoBKaGub7dwA3U6UFTqxio9LNnvDCQjHKmttSEBsFQ/edit?usp=sharing"",""จัดที่ดิน!AZ66"")"),0)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IFERROR(__xludf.DUMMYFUNCTION("IMPORTRANGE(""https://docs.google.com/spreadsheets/d/1eHaY18a8A9IcSdp1K8H6x8fbOy06t2VsZHhMHf-1x7Y/edit?usp=sharing"",""แผน!IL66"")"),0)</f>
        <v>0</v>
      </c>
      <c r="J673" s="295">
        <f ca="1">IFERROR(__xludf.DUMMYFUNCTION("IMPORTRANGE(""https://docs.google.com/spreadsheets/d/1tdoBKaGub7dwA3U6UFTqxio9LNnvDCQjHKmttSEBsFQ/edit?usp=sharing"",""จัดที่ดิน!BA66"")"),0)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IFERROR(__xludf.DUMMYFUNCTION("IMPORTRANGE(""https://docs.google.com/spreadsheets/d/1eHaY18a8A9IcSdp1K8H6x8fbOy06t2VsZHhMHf-1x7Y/edit?usp=sharing"",""แผน!IM66"")"),0)</f>
        <v>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IFERROR(__xludf.DUMMYFUNCTION("IMPORTRANGE(""https://docs.google.com/spreadsheets/d/1eHaY18a8A9IcSdp1K8H6x8fbOy06t2VsZHhMHf-1x7Y/edit?usp=sharing"",""แผน!IN66"")"),0)</f>
        <v>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IFERROR(__xludf.DUMMYFUNCTION("IMPORTRANGE(""https://docs.google.com/spreadsheets/d/1eHaY18a8A9IcSdp1K8H6x8fbOy06t2VsZHhMHf-1x7Y/edit?usp=sharing"",""แผน!IO66"")"),0)</f>
        <v>0</v>
      </c>
      <c r="J676" s="295">
        <f ca="1">IFERROR(__xludf.DUMMYFUNCTION("IMPORTRANGE(""https://docs.google.com/spreadsheets/d/1tdoBKaGub7dwA3U6UFTqxio9LNnvDCQjHKmttSEBsFQ/edit?usp=sharing"",""จัดที่ดิน!BF66"")"),0)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IFERROR(__xludf.DUMMYFUNCTION("IMPORTRANGE(""https://docs.google.com/spreadsheets/d/1tdoBKaGub7dwA3U6UFTqxio9LNnvDCQjHKmttSEBsFQ/edit?usp=sharing"",""จัดที่ดิน!BG66"")"),0)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IFERROR(__xludf.DUMMYFUNCTION("IMPORTRANGE(""https://docs.google.com/spreadsheets/d/1eHaY18a8A9IcSdp1K8H6x8fbOy06t2VsZHhMHf-1x7Y/edit?usp=sharing"",""แผน!IP66"")"),0)</f>
        <v>0</v>
      </c>
      <c r="J678" s="295">
        <f ca="1">IFERROR(__xludf.DUMMYFUNCTION("IMPORTRANGE(""https://docs.google.com/spreadsheets/d/1tdoBKaGub7dwA3U6UFTqxio9LNnvDCQjHKmttSEBsFQ/edit?usp=sharing"",""จัดที่ดิน!BH66"")"),0)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IFERROR(__xludf.DUMMYFUNCTION("IMPORTRANGE(""https://docs.google.com/spreadsheets/d/1eHaY18a8A9IcSdp1K8H6x8fbOy06t2VsZHhMHf-1x7Y/edit?usp=sharing"",""แผน!IQ66"")"),0)</f>
        <v>0</v>
      </c>
      <c r="J679" s="295">
        <f ca="1">IFERROR(__xludf.DUMMYFUNCTION("IMPORTRANGE(""https://docs.google.com/spreadsheets/d/1tdoBKaGub7dwA3U6UFTqxio9LNnvDCQjHKmttSEBsFQ/edit?usp=sharing"",""จัดที่ดิน!BK66"")"),0)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IFERROR(__xludf.DUMMYFUNCTION("IMPORTRANGE(""https://docs.google.com/spreadsheets/d/1tdoBKaGub7dwA3U6UFTqxio9LNnvDCQjHKmttSEBsFQ/edit?usp=sharing"",""จัดที่ดิน!BL66"")"),0)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IFERROR(__xludf.DUMMYFUNCTION("IMPORTRANGE(""https://docs.google.com/spreadsheets/d/1eHaY18a8A9IcSdp1K8H6x8fbOy06t2VsZHhMHf-1x7Y/edit?usp=sharing"",""แผน!IR66"")"),0)</f>
        <v>0</v>
      </c>
      <c r="J681" s="295">
        <f ca="1">IFERROR(__xludf.DUMMYFUNCTION("IMPORTRANGE(""https://docs.google.com/spreadsheets/d/1tdoBKaGub7dwA3U6UFTqxio9LNnvDCQjHKmttSEBsFQ/edit?usp=sharing"",""จัดที่ดิน!BM66"")"),0)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IFERROR(__xludf.DUMMYFUNCTION("IMPORTRANGE(""https://docs.google.com/spreadsheets/d/1eHaY18a8A9IcSdp1K8H6x8fbOy06t2VsZHhMHf-1x7Y/edit?usp=sharing"",""แผน!IS66"")"),0)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10</v>
      </c>
      <c r="J689" s="760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72160</v>
      </c>
      <c r="R690" s="266">
        <f ca="1">R691+R692</f>
        <v>72160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72160</v>
      </c>
      <c r="R692" s="77">
        <f ca="1">R695+R698</f>
        <v>72160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72160</v>
      </c>
      <c r="R693" s="77">
        <f ca="1">R694+R695</f>
        <v>72160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IFERROR(__xludf.DUMMYFUNCTION("IMPORTRANGE(""https://docs.google.com/spreadsheets/d/1ItG2mGa2ceCfYo0BwxsXqNm01IGEUdYcSSLTEv9YCik/edit?usp=sharing"",""เบิกจ่ายกองทุน!L66"")"),72160)</f>
        <v>72160</v>
      </c>
      <c r="R695" s="77">
        <f ca="1">IFERROR(__xludf.DUMMYFUNCTION("IMPORTRANGE(""https://docs.google.com/spreadsheets/d/1ItG2mGa2ceCfYo0BwxsXqNm01IGEUdYcSSLTEv9YCik/edit?usp=sharing"",""เบิกจ่ายกองทุน!M66"")"),72160)</f>
        <v>72160</v>
      </c>
      <c r="S695" s="77">
        <f ca="1">IFERROR(__xludf.DUMMYFUNCTION("IMPORTRANGE(""https://docs.google.com/spreadsheets/d/1ItG2mGa2ceCfYo0BwxsXqNm01IGEUdYcSSLTEv9YCik/edit?usp=sharing"",""เบิกจ่ายกองทุน!N66"")"),0)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IFERROR(__xludf.DUMMYFUNCTION("IMPORTRANGE(""https://docs.google.com/spreadsheets/d/1eHaY18a8A9IcSdp1K8H6x8fbOy06t2VsZHhMHf-1x7Y/edit?usp=sharing"",""แผน!LC66"")"),0)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14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IFERROR(__xludf.DUMMYFUNCTION("IMPORTRANGE(""https://docs.google.com/spreadsheets/d/1eHaY18a8A9IcSdp1K8H6x8fbOy06t2VsZHhMHf-1x7Y/edit?usp=sharing"",""แผน!LJ66"")"),10)</f>
        <v>10</v>
      </c>
      <c r="J703" s="295">
        <f ca="1">IFERROR(__xludf.DUMMYFUNCTION("IMPORTRANGE(""https://docs.google.com/spreadsheets/d/1tdoBKaGub7dwA3U6UFTqxio9LNnvDCQjHKmttSEBsFQ/edit?usp=sharing"",""จัดที่ดิน!AP66"")"),0)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IFERROR(__xludf.DUMMYFUNCTION("IMPORTRANGE(""https://docs.google.com/spreadsheets/d/1tdoBKaGub7dwA3U6UFTqxio9LNnvDCQjHKmttSEBsFQ/edit?usp=sharing"",""จัดที่ดิน!AQ66"")"),0)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IFERROR(__xludf.DUMMYFUNCTION("IMPORTRANGE(""https://docs.google.com/spreadsheets/d/1eHaY18a8A9IcSdp1K8H6x8fbOy06t2VsZHhMHf-1x7Y/edit?usp=sharing"",""แผน!LK66"")"),4)</f>
        <v>4</v>
      </c>
      <c r="J705" s="295">
        <f ca="1">IFERROR(__xludf.DUMMYFUNCTION("IMPORTRANGE(""https://docs.google.com/spreadsheets/d/1tdoBKaGub7dwA3U6UFTqxio9LNnvDCQjHKmttSEBsFQ/edit?usp=sharing"",""จัดที่ดิน!AR66"")"),0)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IFERROR(__xludf.DUMMYFUNCTION("IMPORTRANGE(""https://docs.google.com/spreadsheets/d/1tdoBKaGub7dwA3U6UFTqxio9LNnvDCQjHKmttSEBsFQ/edit?usp=sharing"",""จัดที่ดิน!AS66"")"),0)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IFERROR(__xludf.DUMMYFUNCTION("IMPORTRANGE(""https://docs.google.com/spreadsheets/d/1eHaY18a8A9IcSdp1K8H6x8fbOy06t2VsZHhMHf-1x7Y/edit?usp=sharing"",""แผน!LJ66"")"),10)</f>
        <v>10</v>
      </c>
      <c r="J707" s="295">
        <f ca="1">IFERROR(__xludf.DUMMYFUNCTION("IMPORTRANGE(""https://docs.google.com/spreadsheets/d/1tdoBKaGub7dwA3U6UFTqxio9LNnvDCQjHKmttSEBsFQ/edit?usp=sharing"",""จัดที่ดิน!BN66"")"),0)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IFERROR(__xludf.DUMMYFUNCTION("IMPORTRANGE(""https://docs.google.com/spreadsheets/d/1tdoBKaGub7dwA3U6UFTqxio9LNnvDCQjHKmttSEBsFQ/edit?usp=sharing"",""จัดที่ดิน!BO66"")"),0)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IFERROR(__xludf.DUMMYFUNCTION("IMPORTRANGE(""https://docs.google.com/spreadsheets/d/1eHaY18a8A9IcSdp1K8H6x8fbOy06t2VsZHhMHf-1x7Y/edit?usp=sharing"",""แผน!LK66"")"),4)</f>
        <v>4</v>
      </c>
      <c r="J709" s="295">
        <f ca="1">IFERROR(__xludf.DUMMYFUNCTION("IMPORTRANGE(""https://docs.google.com/spreadsheets/d/1tdoBKaGub7dwA3U6UFTqxio9LNnvDCQjHKmttSEBsFQ/edit?usp=sharing"",""จัดที่ดิน!BP66"")"),1)</f>
        <v>1</v>
      </c>
      <c r="K709" s="77">
        <f ca="1">IF(I709&gt;0,J709*100/I709,0)</f>
        <v>25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IFERROR(__xludf.DUMMYFUNCTION("IMPORTRANGE(""https://docs.google.com/spreadsheets/d/1tdoBKaGub7dwA3U6UFTqxio9LNnvDCQjHKmttSEBsFQ/edit?usp=sharing"",""จัดที่ดิน!BQ66"")"),0)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IFERROR(__xludf.DUMMYFUNCTION("IMPORTRANGE(""https://docs.google.com/spreadsheets/d/1eHaY18a8A9IcSdp1K8H6x8fbOy06t2VsZHhMHf-1x7Y/edit?usp=sharing"",""แผน!GA66"")"),6)</f>
        <v>6</v>
      </c>
      <c r="J726" s="760">
        <f>J742+J746+J749</f>
        <v>6</v>
      </c>
      <c r="K726" s="746">
        <f ca="1">IF(I726&gt;0,J726*100/I726,0)</f>
        <v>100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IFERROR(__xludf.DUMMYFUNCTION("IMPORTRANGE(""https://docs.google.com/spreadsheets/d/1eHaY18a8A9IcSdp1K8H6x8fbOy06t2VsZHhMHf-1x7Y/edit?usp=sharing"",""แผน!FZ66"")"),50)</f>
        <v>50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79606</v>
      </c>
      <c r="R728" s="266">
        <f ca="1">R729+R730</f>
        <v>79606</v>
      </c>
      <c r="S728" s="266">
        <f ca="1">S729+S730</f>
        <v>20416</v>
      </c>
      <c r="T728" s="266">
        <f ca="1">IF(Q728&gt;0,S728*100/Q728,0)</f>
        <v>25.646308067231114</v>
      </c>
      <c r="U728" s="266">
        <f ca="1">IF(R728&gt;0,S728*100/R728,0)</f>
        <v>25.646308067231114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79606</v>
      </c>
      <c r="R730" s="77">
        <f ca="1">R733+R736</f>
        <v>79606</v>
      </c>
      <c r="S730" s="77">
        <f ca="1">S733+S736</f>
        <v>20416</v>
      </c>
      <c r="T730" s="77">
        <f ca="1">IF(Q730&gt;0,S730*100/Q730,0)</f>
        <v>25.646308067231114</v>
      </c>
      <c r="U730" s="77">
        <f ca="1">IF(R730&gt;0,S730*100/R730,0)</f>
        <v>25.646308067231114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79606</v>
      </c>
      <c r="R731" s="77">
        <f ca="1">R732+R733</f>
        <v>79606</v>
      </c>
      <c r="S731" s="77">
        <f ca="1">S732+S733</f>
        <v>20416</v>
      </c>
      <c r="T731" s="77">
        <f ca="1">IF(Q731&gt;0,S731*100/Q731,0)</f>
        <v>25.646308067231114</v>
      </c>
      <c r="U731" s="77">
        <f ca="1">IF(R731&gt;0,S731*100/R731,0)</f>
        <v>25.646308067231114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IFERROR(__xludf.DUMMYFUNCTION("IMPORTRANGE(""https://docs.google.com/spreadsheets/d/1ItG2mGa2ceCfYo0BwxsXqNm01IGEUdYcSSLTEv9YCik/edit?usp=sharing"",""เบิกจ่ายกองทุน!O66"")"),79606)</f>
        <v>79606</v>
      </c>
      <c r="R733" s="77">
        <f ca="1">IFERROR(__xludf.DUMMYFUNCTION("IMPORTRANGE(""https://docs.google.com/spreadsheets/d/1ItG2mGa2ceCfYo0BwxsXqNm01IGEUdYcSSLTEv9YCik/edit?usp=sharing"",""เบิกจ่ายกองทุน!P66"")"),79606)</f>
        <v>79606</v>
      </c>
      <c r="S733" s="77">
        <f ca="1">IFERROR(__xludf.DUMMYFUNCTION("IMPORTRANGE(""https://docs.google.com/spreadsheets/d/1ItG2mGa2ceCfYo0BwxsXqNm01IGEUdYcSSLTEv9YCik/edit?usp=sharing"",""เบิกจ่ายกองทุน!Q66"")"),20416)</f>
        <v>20416</v>
      </c>
      <c r="T733" s="77">
        <f ca="1">IF(Q733&gt;0,S733*100/Q733,0)</f>
        <v>25.646308067231114</v>
      </c>
      <c r="U733" s="77">
        <f ca="1">IF(R733&gt;0,S733*100/R733,0)</f>
        <v>25.646308067231114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IFERROR(__xludf.DUMMYFUNCTION("IMPORTRANGE(""https://docs.google.com/spreadsheets/d/1eHaY18a8A9IcSdp1K8H6x8fbOy06t2VsZHhMHf-1x7Y/edit?usp=sharing"",""แผน!GB66"")"),40)</f>
        <v>40</v>
      </c>
      <c r="J740" s="816">
        <v>40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IFERROR(__xludf.DUMMYFUNCTION("IMPORTRANGE(""https://docs.google.com/spreadsheets/d/1eHaY18a8A9IcSdp1K8H6x8fbOy06t2VsZHhMHf-1x7Y/edit?usp=sharing"",""แผน!GC66"")"),4)</f>
        <v>4</v>
      </c>
      <c r="J742" s="816">
        <v>4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IFERROR(__xludf.DUMMYFUNCTION("IMPORTRANGE(""https://docs.google.com/spreadsheets/d/1eHaY18a8A9IcSdp1K8H6x8fbOy06t2VsZHhMHf-1x7Y/edit?usp=sharing"",""แผน!GD66"")"),10)</f>
        <v>10</v>
      </c>
      <c r="J744" s="816">
        <v>10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IFERROR(__xludf.DUMMYFUNCTION("IMPORTRANGE(""https://docs.google.com/spreadsheets/d/1eHaY18a8A9IcSdp1K8H6x8fbOy06t2VsZHhMHf-1x7Y/edit?usp=sharing"",""แผน!GE66"")"),1)</f>
        <v>1</v>
      </c>
      <c r="J746" s="816">
        <v>1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IFERROR(__xludf.DUMMYFUNCTION("IMPORTRANGE(""https://docs.google.com/spreadsheets/d/1eHaY18a8A9IcSdp1K8H6x8fbOy06t2VsZHhMHf-1x7Y/edit?usp=sharing"",""แผน!GF66"")"),1)</f>
        <v>1</v>
      </c>
      <c r="J749" s="816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IFERROR(__xludf.DUMMYFUNCTION("IMPORTRANGE(""https://docs.google.com/spreadsheets/d/1eHaY18a8A9IcSdp1K8H6x8fbOy06t2VsZHhMHf-1x7Y/edit?usp=sharing"",""แผน!GB66"")"),40)</f>
        <v>40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IFERROR(__xludf.DUMMYFUNCTION("IMPORTRANGE(""https://docs.google.com/spreadsheets/d/1eHaY18a8A9IcSdp1K8H6x8fbOy06t2VsZHhMHf-1x7Y/edit?usp=sharing"",""แผน!GD66"")"),10)</f>
        <v>10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30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100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330680</v>
      </c>
      <c r="R760" s="266">
        <f ca="1">R761+R762</f>
        <v>330680</v>
      </c>
      <c r="S760" s="266">
        <f ca="1">S761+S762</f>
        <v>62900</v>
      </c>
      <c r="T760" s="266">
        <f ca="1">IF(Q760&gt;0,S760*100/Q760,0)</f>
        <v>19.021410426998912</v>
      </c>
      <c r="U760" s="266">
        <f ca="1">IF(R760&gt;0,S760*100/R760,0)</f>
        <v>19.021410426998912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330680</v>
      </c>
      <c r="R762" s="77">
        <f ca="1">R765+R768</f>
        <v>330680</v>
      </c>
      <c r="S762" s="77">
        <f ca="1">S765+S768</f>
        <v>62900</v>
      </c>
      <c r="T762" s="77">
        <f ca="1">IF(Q762&gt;0,S762*100/Q762,0)</f>
        <v>19.021410426998912</v>
      </c>
      <c r="U762" s="77">
        <f ca="1">IF(R762&gt;0,S762*100/R762,0)</f>
        <v>19.021410426998912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330680</v>
      </c>
      <c r="R763" s="77">
        <f ca="1">R764+R765</f>
        <v>330680</v>
      </c>
      <c r="S763" s="77">
        <f ca="1">S764+S765</f>
        <v>62900</v>
      </c>
      <c r="T763" s="77">
        <f ca="1">IF(Q763&gt;0,S763*100/Q763,0)</f>
        <v>19.021410426998912</v>
      </c>
      <c r="U763" s="77">
        <f ca="1">IF(R763&gt;0,S763*100/R763,0)</f>
        <v>19.021410426998912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IFERROR(__xludf.DUMMYFUNCTION("IMPORTRANGE(""https://docs.google.com/spreadsheets/d/1ItG2mGa2ceCfYo0BwxsXqNm01IGEUdYcSSLTEv9YCik/edit?usp=sharing"",""เบิกจ่ายกองทุน!U66"")"),330680)</f>
        <v>330680</v>
      </c>
      <c r="R765" s="77">
        <f ca="1">IFERROR(__xludf.DUMMYFUNCTION("IMPORTRANGE(""https://docs.google.com/spreadsheets/d/1ItG2mGa2ceCfYo0BwxsXqNm01IGEUdYcSSLTEv9YCik/edit?usp=sharing"",""เบิกจ่ายกองทุน!V66"")"),330680)</f>
        <v>330680</v>
      </c>
      <c r="S765" s="77">
        <f ca="1">IFERROR(__xludf.DUMMYFUNCTION("IMPORTRANGE(""https://docs.google.com/spreadsheets/d/1ItG2mGa2ceCfYo0BwxsXqNm01IGEUdYcSSLTEv9YCik/edit?usp=sharing"",""เบิกจ่ายกองทุน!W66"")"),62900)</f>
        <v>62900</v>
      </c>
      <c r="T765" s="77">
        <f ca="1">IF(Q765&gt;0,S765*100/Q765,0)</f>
        <v>19.021410426998912</v>
      </c>
      <c r="U765" s="77">
        <f ca="1">IF(R765&gt;0,S765*100/R765,0)</f>
        <v>19.021410426998912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IFERROR(__xludf.DUMMYFUNCTION("IMPORTRANGE(""https://docs.google.com/spreadsheets/d/1eHaY18a8A9IcSdp1K8H6x8fbOy06t2VsZHhMHf-1x7Y/edit?usp=sharing"",""แผน!FI66"")"),0)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IFERROR(__xludf.DUMMYFUNCTION("IMPORTRANGE(""https://docs.google.com/spreadsheets/d/1eHaY18a8A9IcSdp1K8H6x8fbOy06t2VsZHhMHf-1x7Y/edit?usp=sharing"",""แผน!FQ66"")"),30)</f>
        <v>30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IFERROR(__xludf.DUMMYFUNCTION("IMPORTRANGE(""https://docs.google.com/spreadsheets/d/1eHaY18a8A9IcSdp1K8H6x8fbOy06t2VsZHhMHf-1x7Y/edit?usp=sharing"",""แผน!FR66"")"),100)</f>
        <v>100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IFERROR(__xludf.DUMMYFUNCTION("IMPORTRANGE(""https://docs.google.com/spreadsheets/d/1eHaY18a8A9IcSdp1K8H6x8fbOy06t2VsZHhMHf-1x7Y/edit?usp=sharing"",""แผน!FS66"")"),100)</f>
        <v>100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IFERROR(__xludf.DUMMYFUNCTION("IMPORTRANGE(""https://docs.google.com/spreadsheets/d/1eHaY18a8A9IcSdp1K8H6x8fbOy06t2VsZHhMHf-1x7Y/edit?usp=sharing"",""แผน!FT66"")"),30)</f>
        <v>30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IFERROR(__xludf.DUMMYFUNCTION("IMPORTRANGE(""https://docs.google.com/spreadsheets/d/10OvvATaaLtwErnr3qtWFcTmtbfpFEt5Bsqel9sXx0uE/edit?usp=sharing"",""งานกองทุน!D66"")"),2251469.59)</f>
        <v>2251469.59</v>
      </c>
      <c r="J778" s="295">
        <f ca="1">IFERROR(__xludf.DUMMYFUNCTION("IMPORTRANGE(""https://docs.google.com/spreadsheets/d/10OvvATaaLtwErnr3qtWFcTmtbfpFEt5Bsqel9sXx0uE/edit?usp=sharing"",""งานกองทุน!F66"")"),734864.43)</f>
        <v>734864.43</v>
      </c>
      <c r="K778" s="77">
        <f ca="1">IF(I778&gt;0,J778*100/I778,0)</f>
        <v>32.639322923300071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IFERROR(__xludf.DUMMYFUNCTION("IMPORTRANGE(""https://docs.google.com/spreadsheets/d/10OvvATaaLtwErnr3qtWFcTmtbfpFEt5Bsqel9sXx0uE/edit?usp=sharing"",""งานกองทุน!C66"")"),136)</f>
        <v>136</v>
      </c>
      <c r="J779" s="295">
        <f ca="1">IFERROR(__xludf.DUMMYFUNCTION("IMPORTRANGE(""https://docs.google.com/spreadsheets/d/10OvvATaaLtwErnr3qtWFcTmtbfpFEt5Bsqel9sXx0uE/edit?usp=sharing"",""งานกองทุน!E66"")"),35)</f>
        <v>35</v>
      </c>
      <c r="K779" s="77">
        <f ca="1">IF(I779&gt;0,J779*100/I779,0)</f>
        <v>25.735294117647058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IFERROR(__xludf.DUMMYFUNCTION("IMPORTRANGE(""https://docs.google.com/spreadsheets/d/10OvvATaaLtwErnr3qtWFcTmtbfpFEt5Bsqel9sXx0uE/edit?usp=sharing"",""งานกองทุน!I66"")"),1230016.65)</f>
        <v>1230016.6499999999</v>
      </c>
      <c r="J780" s="295">
        <f ca="1">IFERROR(__xludf.DUMMYFUNCTION("IMPORTRANGE(""https://docs.google.com/spreadsheets/d/10OvvATaaLtwErnr3qtWFcTmtbfpFEt5Bsqel9sXx0uE/edit?usp=sharing"",""งานกองทุน!K66"")"),110825.86)</f>
        <v>110825.86</v>
      </c>
      <c r="K780" s="77">
        <f ca="1">IF(I780&gt;0,J780*100/I780,0)</f>
        <v>9.0101105541945312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IFERROR(__xludf.DUMMYFUNCTION("IMPORTRANGE(""https://docs.google.com/spreadsheets/d/10OvvATaaLtwErnr3qtWFcTmtbfpFEt5Bsqel9sXx0uE/edit?usp=sharing"",""งานกองทุน!H66"")"),39)</f>
        <v>39</v>
      </c>
      <c r="J781" s="295">
        <f ca="1">IFERROR(__xludf.DUMMYFUNCTION("IMPORTRANGE(""https://docs.google.com/spreadsheets/d/10OvvATaaLtwErnr3qtWFcTmtbfpFEt5Bsqel9sXx0uE/edit?usp=sharing"",""งานกองทุน!J66"")"),16)</f>
        <v>16</v>
      </c>
      <c r="K781" s="77">
        <f ca="1">IF(I781&gt;0,J781*100/I781,0)</f>
        <v>41.025641025641029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IFERROR(__xludf.DUMMYFUNCTION("IMPORTRANGE(""https://docs.google.com/spreadsheets/d/10OvvATaaLtwErnr3qtWFcTmtbfpFEt5Bsqel9sXx0uE/edit?usp=sharing"",""งานกองทุน!N66"")"),0)</f>
        <v>0</v>
      </c>
      <c r="J782" s="295">
        <f ca="1">IFERROR(__xludf.DUMMYFUNCTION("IMPORTRANGE(""https://docs.google.com/spreadsheets/d/10OvvATaaLtwErnr3qtWFcTmtbfpFEt5Bsqel9sXx0uE/edit?usp=sharing"",""งานกองทุน!P66"")"),0)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IFERROR(__xludf.DUMMYFUNCTION("IMPORTRANGE(""https://docs.google.com/spreadsheets/d/10OvvATaaLtwErnr3qtWFcTmtbfpFEt5Bsqel9sXx0uE/edit?usp=sharing"",""งานกองทุน!M66"")"),0)</f>
        <v>0</v>
      </c>
      <c r="J783" s="295">
        <f ca="1">IFERROR(__xludf.DUMMYFUNCTION("IMPORTRANGE(""https://docs.google.com/spreadsheets/d/10OvvATaaLtwErnr3qtWFcTmtbfpFEt5Bsqel9sXx0uE/edit?usp=sharing"",""งานกองทุน!O66"")"),0)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IFERROR(__xludf.DUMMYFUNCTION("IMPORTRANGE(""https://docs.google.com/spreadsheets/d/10OvvATaaLtwErnr3qtWFcTmtbfpFEt5Bsqel9sXx0uE/edit?usp=sharing"",""งานกองทุน!S66"")"),2156000)</f>
        <v>2156000</v>
      </c>
      <c r="J784" s="295">
        <f ca="1">IFERROR(__xludf.DUMMYFUNCTION("IMPORTRANGE(""https://docs.google.com/spreadsheets/d/10OvvATaaLtwErnr3qtWFcTmtbfpFEt5Bsqel9sXx0uE/edit?usp=sharing"",""งานกองทุน!U66"")"),900000)</f>
        <v>900000</v>
      </c>
      <c r="K784" s="77">
        <f ca="1">IF(I784&gt;0,J784*100/I784,0)</f>
        <v>41.74397031539889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IFERROR(__xludf.DUMMYFUNCTION("IMPORTRANGE(""https://docs.google.com/spreadsheets/d/10OvvATaaLtwErnr3qtWFcTmtbfpFEt5Bsqel9sXx0uE/edit?usp=sharing"",""งานกองทุน!R66"")"),77)</f>
        <v>77</v>
      </c>
      <c r="J785" s="773">
        <f ca="1">IFERROR(__xludf.DUMMYFUNCTION("IMPORTRANGE(""https://docs.google.com/spreadsheets/d/10OvvATaaLtwErnr3qtWFcTmtbfpFEt5Bsqel9sXx0uE/edit?usp=sharing"",""งานกองทุน!T66"")"),18)</f>
        <v>18</v>
      </c>
      <c r="K785" s="185">
        <f ca="1">IF(I785&gt;0,J785*100/I785,0)</f>
        <v>23.376623376623378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34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6081-DC22-4D27-B83C-5FC3F1114BAA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353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315" t="s">
        <v>4</v>
      </c>
      <c r="B5" s="791"/>
      <c r="C5" s="791"/>
      <c r="D5" s="791"/>
      <c r="E5" s="791"/>
      <c r="F5" s="791"/>
      <c r="G5" s="1253"/>
      <c r="H5" s="1314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1542175</v>
      </c>
      <c r="M18" s="62">
        <f ca="1">M19+M20</f>
        <v>1552755</v>
      </c>
      <c r="N18" s="62">
        <f ca="1">N19+N20</f>
        <v>1229971.3999999999</v>
      </c>
      <c r="O18" s="62">
        <f ca="1">IF(L18&gt;0,N18*100/L18,0)</f>
        <v>79.755630846045349</v>
      </c>
      <c r="P18" s="62">
        <f ca="1">IF(M18&gt;0,N18*100/M18,0)</f>
        <v>79.212200250522443</v>
      </c>
      <c r="Q18" s="62">
        <f ca="1">Q19+Q20</f>
        <v>1197654.3900000001</v>
      </c>
      <c r="R18" s="62">
        <f ca="1">R19+R20</f>
        <v>1149154</v>
      </c>
      <c r="S18" s="62">
        <f ca="1">S19+S20</f>
        <v>151614</v>
      </c>
      <c r="T18" s="62">
        <f ca="1">IF(Q18&gt;0,S18*100/Q18,0)</f>
        <v>12.65924470915186</v>
      </c>
      <c r="U18" s="62">
        <f ca="1">IF(R18&gt;0,S18*100/R18,0)</f>
        <v>13.193531937407867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1542175</v>
      </c>
      <c r="M20" s="68">
        <f ca="1">M23+M26</f>
        <v>1552755</v>
      </c>
      <c r="N20" s="68">
        <f ca="1">N23+N26</f>
        <v>1229971.3999999999</v>
      </c>
      <c r="O20" s="68">
        <f ca="1">IF(L20&gt;0,N20*100/L20,0)</f>
        <v>79.755630846045349</v>
      </c>
      <c r="P20" s="68">
        <f ca="1">IF(M20&gt;0,N20*100/M20,0)</f>
        <v>79.212200250522443</v>
      </c>
      <c r="Q20" s="68">
        <f ca="1">Q23+Q26</f>
        <v>1197654.3900000001</v>
      </c>
      <c r="R20" s="68">
        <f ca="1">R23+R26</f>
        <v>1149154</v>
      </c>
      <c r="S20" s="68">
        <f ca="1">S23+S26</f>
        <v>151614</v>
      </c>
      <c r="T20" s="68">
        <f ca="1">IF(Q20&gt;0,S20*100/Q20,0)</f>
        <v>12.65924470915186</v>
      </c>
      <c r="U20" s="68">
        <f ca="1">IF(R20&gt;0,S20*100/R20,0)</f>
        <v>13.193531937407867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1542175</v>
      </c>
      <c r="M21" s="77">
        <f ca="1">M22+M23</f>
        <v>1552755</v>
      </c>
      <c r="N21" s="77">
        <f ca="1">N22+N23</f>
        <v>1229971.3999999999</v>
      </c>
      <c r="O21" s="77">
        <f ca="1">IF(L21&gt;0,N21*100/L21,0)</f>
        <v>79.755630846045349</v>
      </c>
      <c r="P21" s="77">
        <f ca="1">IF(M21&gt;0,N21*100/M21,0)</f>
        <v>79.212200250522443</v>
      </c>
      <c r="Q21" s="77">
        <f ca="1">Q22+Q23</f>
        <v>1197654.3900000001</v>
      </c>
      <c r="R21" s="77">
        <f ca="1">R22+R23</f>
        <v>1149154</v>
      </c>
      <c r="S21" s="77">
        <f ca="1">S22+S23</f>
        <v>151614</v>
      </c>
      <c r="T21" s="77">
        <f ca="1">IF(Q21&gt;0,S21*100/Q21,0)</f>
        <v>12.65924470915186</v>
      </c>
      <c r="U21" s="77">
        <f ca="1">IF(R21&gt;0,S21*100/R21,0)</f>
        <v>13.193531937407867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1542175</v>
      </c>
      <c r="M23" s="77">
        <f ca="1">M49+M64+M77+M99+M130+M144+M162+M191+M178+M271+M287+M308+M325+M338+M361+M518</f>
        <v>1552755</v>
      </c>
      <c r="N23" s="77">
        <f ca="1">N49+N64+N77+N99+N130+N144+N162+N191+N178+N271+N287+N308+N325+N338+N361+N518</f>
        <v>1229971.3999999999</v>
      </c>
      <c r="O23" s="77">
        <f ca="1">IF(L23&gt;0,N23*100/L23,0)</f>
        <v>79.755630846045349</v>
      </c>
      <c r="P23" s="77">
        <f ca="1">IF(M23&gt;0,N23*100/M23,0)</f>
        <v>79.212200250522443</v>
      </c>
      <c r="Q23" s="77">
        <f ca="1">Q77+Q99+Q122+Q144+Q162+Q178+Q191+Q271+Q287+Q308+Q338+Q380+Q397+Q418+Q498+Q604+Q621+Q647+Q695+Q719+Q733+Q765</f>
        <v>1197654.3900000001</v>
      </c>
      <c r="R23" s="77">
        <f ca="1">R77+R99+R122+R144+R162+R178+R191+R271+R287+R308+R338+R380+R397+R418+R498+R604+R621+R647+R695+R719+R733+R765</f>
        <v>1149154</v>
      </c>
      <c r="S23" s="77">
        <f ca="1">S77+S99+S122+S144+S162+S178+S191+S271+S287+S308+S338+S380+S397+S418+S498+S604+S621+S647+S695+S719+S733+S765</f>
        <v>151614</v>
      </c>
      <c r="T23" s="77">
        <f ca="1">IF(Q23&gt;0,S23*100/Q23,0)</f>
        <v>12.65924470915186</v>
      </c>
      <c r="U23" s="77">
        <f ca="1">IF(R23&gt;0,S23*100/R23,0)</f>
        <v>13.193531937407867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1542175</v>
      </c>
      <c r="M40" s="1308">
        <f ca="1">M44+M59+M72+M94+M125+M139+M157+M173+M186+M266+M282+M303+M320+M333+M356</f>
        <v>1552755</v>
      </c>
      <c r="N40" s="1308">
        <f ca="1">N44+N59+N72+N94+N125+N139+N157+N173+N186+N266+N282+N303+N320+N333+N356</f>
        <v>1229971.3999999999</v>
      </c>
      <c r="O40" s="1308">
        <f ca="1">IF(L40&gt;0,N40*100/L40,0)</f>
        <v>79.755630846045349</v>
      </c>
      <c r="P40" s="1308">
        <f ca="1">IF(M40&gt;0,N40*100/M40,0)</f>
        <v>79.212200250522443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235300</v>
      </c>
      <c r="M44" s="1304">
        <f ca="1">M45+M46</f>
        <v>243160</v>
      </c>
      <c r="N44" s="1304">
        <f ca="1">N45+N46</f>
        <v>241060</v>
      </c>
      <c r="O44" s="1304">
        <f ca="1">IF(L44&gt;0,N44*100/L44,0)</f>
        <v>102.44793880152996</v>
      </c>
      <c r="P44" s="1304">
        <f ca="1">IF(M44&gt;0,N44*100/M44,0)</f>
        <v>99.136371113670009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235300</v>
      </c>
      <c r="M46" s="1300">
        <f ca="1">M49+M52</f>
        <v>243160</v>
      </c>
      <c r="N46" s="1300">
        <f ca="1">N49+N52</f>
        <v>241060</v>
      </c>
      <c r="O46" s="1300">
        <f ca="1">IF(L46&gt;0,N46*100/L46,0)</f>
        <v>102.44793880152996</v>
      </c>
      <c r="P46" s="1300">
        <f ca="1">IF(M46&gt;0,N46*100/M46,0)</f>
        <v>99.136371113670009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235300</v>
      </c>
      <c r="M47" s="77">
        <f ca="1">M48+M49</f>
        <v>243160</v>
      </c>
      <c r="N47" s="77">
        <f ca="1">N48+N49</f>
        <v>241060</v>
      </c>
      <c r="O47" s="77">
        <f ca="1">IF(L47&gt;0,N47*100/L47,0)</f>
        <v>102.44793880152996</v>
      </c>
      <c r="P47" s="77">
        <f ca="1">IF(M47&gt;0,N47*100/M47,0)</f>
        <v>99.136371113670009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IFERROR(__xludf.DUMMYFUNCTION("IMPORTRANGE(""https://docs.google.com/spreadsheets/d/1-uDff_7J0KD5mKrp0Vvzr7lt3OU09vwQwhkpOPPYv2Y/edit?usp=sharing"",""งบพรบ!P67"")"),235300)</f>
        <v>235300</v>
      </c>
      <c r="M49" s="77">
        <f ca="1">IFERROR(__xludf.DUMMYFUNCTION("IMPORTRANGE(""https://docs.google.com/spreadsheets/d/1-uDff_7J0KD5mKrp0Vvzr7lt3OU09vwQwhkpOPPYv2Y/edit?usp=sharing"",""งบพรบ!V67"")"),243160)</f>
        <v>243160</v>
      </c>
      <c r="N49" s="77">
        <f ca="1">IFERROR(__xludf.DUMMYFUNCTION("IMPORTRANGE(""https://docs.google.com/spreadsheets/d/1-uDff_7J0KD5mKrp0Vvzr7lt3OU09vwQwhkpOPPYv2Y/edit?usp=sharing"",""งบพรบ!Y67"")"),241060)</f>
        <v>241060</v>
      </c>
      <c r="O49" s="77">
        <f ca="1">IF(L49&gt;0,N49*100/L49,0)</f>
        <v>102.44793880152996</v>
      </c>
      <c r="P49" s="77">
        <f ca="1">IF(M49&gt;0,N49*100/M49,0)</f>
        <v>99.136371113670009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IFERROR(__xludf.DUMMYFUNCTION("IMPORTRANGE(""https://docs.google.com/spreadsheets/d/1-uDff_7J0KD5mKrp0Vvzr7lt3OU09vwQwhkpOPPYv2Y/edit?usp=sharing"",""งบพรบ!S67"")"),0)</f>
        <v>0</v>
      </c>
      <c r="M52" s="77">
        <f ca="1">IFERROR(__xludf.DUMMYFUNCTION("IMPORTRANGE(""https://docs.google.com/spreadsheets/d/1-uDff_7J0KD5mKrp0Vvzr7lt3OU09vwQwhkpOPPYv2Y/edit?usp=sharing"",""งบพรบ!W67"")"),0)</f>
        <v>0</v>
      </c>
      <c r="N52" s="77">
        <f ca="1">IFERROR(__xludf.DUMMYFUNCTION("IMPORTRANGE(""https://docs.google.com/spreadsheets/d/1-uDff_7J0KD5mKrp0Vvzr7lt3OU09vwQwhkpOPPYv2Y/edit?usp=sharing"",""งบพรบ!Z67"")"),0)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412600</v>
      </c>
      <c r="M59" s="1297">
        <f ca="1">M60+M61</f>
        <v>412600</v>
      </c>
      <c r="N59" s="1297">
        <f ca="1">N60+N61</f>
        <v>329416.15999999997</v>
      </c>
      <c r="O59" s="1297">
        <f ca="1">IF(L59&gt;0,N59*100/L59,0)</f>
        <v>79.839108095007262</v>
      </c>
      <c r="P59" s="1297">
        <f ca="1">IF(M59&gt;0,N59*100/M59,0)</f>
        <v>79.839108095007262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412600</v>
      </c>
      <c r="M61" s="1293">
        <f ca="1">M64+M67</f>
        <v>412600</v>
      </c>
      <c r="N61" s="1293">
        <f ca="1">N64+N67</f>
        <v>329416.15999999997</v>
      </c>
      <c r="O61" s="1293">
        <f ca="1">IF(L61&gt;0,N61*100/L61,0)</f>
        <v>79.839108095007262</v>
      </c>
      <c r="P61" s="1293">
        <f ca="1">IF(M61&gt;0,N61*100/M61,0)</f>
        <v>79.839108095007262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412600</v>
      </c>
      <c r="M62" s="77">
        <f ca="1">M63+M64</f>
        <v>412600</v>
      </c>
      <c r="N62" s="77">
        <f ca="1">N63+N64</f>
        <v>329416.15999999997</v>
      </c>
      <c r="O62" s="77">
        <f ca="1">IF(L62&gt;0,N62*100/L62,0)</f>
        <v>79.839108095007262</v>
      </c>
      <c r="P62" s="77">
        <f ca="1">IF(M62&gt;0,N62*100/M62,0)</f>
        <v>79.839108095007262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IFERROR(__xludf.DUMMYFUNCTION("IMPORTRANGE(""https://docs.google.com/spreadsheets/d/1-uDff_7J0KD5mKrp0Vvzr7lt3OU09vwQwhkpOPPYv2Y/edit?usp=sharing"",""งบพรบ!AC67"")"),412600)</f>
        <v>412600</v>
      </c>
      <c r="M64" s="77">
        <f ca="1">IFERROR(__xludf.DUMMYFUNCTION("IMPORTRANGE(""https://docs.google.com/spreadsheets/d/1-uDff_7J0KD5mKrp0Vvzr7lt3OU09vwQwhkpOPPYv2Y/edit?usp=sharing"",""งบพรบ!AH67"")"),412600)</f>
        <v>412600</v>
      </c>
      <c r="N64" s="77">
        <f ca="1">IFERROR(__xludf.DUMMYFUNCTION("IMPORTRANGE(""https://docs.google.com/spreadsheets/d/1-uDff_7J0KD5mKrp0Vvzr7lt3OU09vwQwhkpOPPYv2Y/edit?usp=sharing"",""งบพรบ!AJ67"")"),329416.16)</f>
        <v>329416.15999999997</v>
      </c>
      <c r="O64" s="77">
        <f ca="1">IF(L64&gt;0,N64*100/L64,0)</f>
        <v>79.839108095007262</v>
      </c>
      <c r="P64" s="77">
        <f ca="1">IF(M64&gt;0,N64*100/M64,0)</f>
        <v>79.839108095007262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IFERROR(__xludf.DUMMYFUNCTION("IMPORTRANGE(""https://docs.google.com/spreadsheets/d/1-uDff_7J0KD5mKrp0Vvzr7lt3OU09vwQwhkpOPPYv2Y/edit?usp=sharing"",""งบพรบ!AF67"")"),0)</f>
        <v>0</v>
      </c>
      <c r="M67" s="185">
        <f ca="1">IFERROR(__xludf.DUMMYFUNCTION("IMPORTRANGE(""https://docs.google.com/spreadsheets/d/1-uDff_7J0KD5mKrp0Vvzr7lt3OU09vwQwhkpOPPYv2Y/edit?usp=sharing"",""งบพรบ!AI67"")"),0)</f>
        <v>0</v>
      </c>
      <c r="N67" s="185">
        <f ca="1">IFERROR(__xludf.DUMMYFUNCTION("IMPORTRANGE(""https://docs.google.com/spreadsheets/d/1-uDff_7J0KD5mKrp0Vvzr7lt3OU09vwQwhkpOPPYv2Y/edit?usp=sharing"",""งบพรบ!AK67"")"),0)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IFERROR(__xludf.DUMMYFUNCTION("IMPORTRANGE(""https://docs.google.com/spreadsheets/d/1-uDff_7J0KD5mKrp0Vvzr7lt3OU09vwQwhkpOPPYv2Y/edit?usp=sharing"",""งบพรบ!AM67"")"),0)</f>
        <v>0</v>
      </c>
      <c r="M77" s="77">
        <f ca="1">IFERROR(__xludf.DUMMYFUNCTION("IMPORTRANGE(""https://docs.google.com/spreadsheets/d/1-uDff_7J0KD5mKrp0Vvzr7lt3OU09vwQwhkpOPPYv2Y/edit?usp=sharing"",""งบพรบ!AR67"")"),0)</f>
        <v>0</v>
      </c>
      <c r="N77" s="77">
        <f ca="1">IFERROR(__xludf.DUMMYFUNCTION("IMPORTRANGE(""https://docs.google.com/spreadsheets/d/1-uDff_7J0KD5mKrp0Vvzr7lt3OU09vwQwhkpOPPYv2Y/edit?usp=sharing"",""งบพรบ!AT67"")"),0)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IFERROR(__xludf.DUMMYFUNCTION("IMPORTRANGE(""https://docs.google.com/spreadsheets/d/1ItG2mGa2ceCfYo0BwxsXqNm01IGEUdYcSSLTEv9YCik/edit?usp=sharing"",""เบิกจ่ายกองทุน!AS67"")"),0)</f>
        <v>0</v>
      </c>
      <c r="R77" s="77">
        <f ca="1">IFERROR(__xludf.DUMMYFUNCTION("IMPORTRANGE(""https://docs.google.com/spreadsheets/d/1ItG2mGa2ceCfYo0BwxsXqNm01IGEUdYcSSLTEv9YCik/edit?usp=sharing"",""เบิกจ่ายกองทุน!AT67"")"),0)</f>
        <v>0</v>
      </c>
      <c r="S77" s="77">
        <f ca="1">IFERROR(__xludf.DUMMYFUNCTION("IMPORTRANGE(""https://docs.google.com/spreadsheets/d/1ItG2mGa2ceCfYo0BwxsXqNm01IGEUdYcSSLTEv9YCik/edit?usp=sharing"",""เบิกจ่ายกองทุน!AU67"")"),0)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IFERROR(__xludf.DUMMYFUNCTION("IMPORTRANGE(""https://docs.google.com/spreadsheets/d/1-uDff_7J0KD5mKrp0Vvzr7lt3OU09vwQwhkpOPPYv2Y/edit?usp=sharing"",""งบพรบ!AP67"")"),0)</f>
        <v>0</v>
      </c>
      <c r="M80" s="77">
        <f ca="1">IFERROR(__xludf.DUMMYFUNCTION("IMPORTRANGE(""https://docs.google.com/spreadsheets/d/1-uDff_7J0KD5mKrp0Vvzr7lt3OU09vwQwhkpOPPYv2Y/edit?usp=sharing"",""งบพรบ!AS67"")"),0)</f>
        <v>0</v>
      </c>
      <c r="N80" s="77">
        <f ca="1">IFERROR(__xludf.DUMMYFUNCTION("IMPORTRANGE(""https://docs.google.com/spreadsheets/d/1-uDff_7J0KD5mKrp0Vvzr7lt3OU09vwQwhkpOPPYv2Y/edit?usp=sharing"",""งบพรบ!AU67"")"),0)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IFERROR(__xludf.DUMMYFUNCTION("IMPORTRANGE(""https://docs.google.com/spreadsheets/d/1eHaY18a8A9IcSdp1K8H6x8fbOy06t2VsZHhMHf-1x7Y/edit?usp=sharing"",""แผน!H67"")"),0)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IFERROR(__xludf.DUMMYFUNCTION("IMPORTRANGE(""https://docs.google.com/spreadsheets/d/1eHaY18a8A9IcSdp1K8H6x8fbOy06t2VsZHhMHf-1x7Y/edit?usp=sharing"",""แผน!I67"")"),0)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IFERROR(__xludf.DUMMYFUNCTION("IMPORTRANGE(""https://docs.google.com/spreadsheets/d/1eHaY18a8A9IcSdp1K8H6x8fbOy06t2VsZHhMHf-1x7Y/edit?usp=sharing"",""แผน!F67"")"),0)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IFERROR(__xludf.DUMMYFUNCTION("IMPORTRANGE(""https://docs.google.com/spreadsheets/d/1eHaY18a8A9IcSdp1K8H6x8fbOy06t2VsZHhMHf-1x7Y/edit?usp=sharing"",""แผน!G67"")"),0)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IFERROR(__xludf.DUMMYFUNCTION("IMPORTRANGE(""https://docs.google.com/spreadsheets/d/1eHaY18a8A9IcSdp1K8H6x8fbOy06t2VsZHhMHf-1x7Y/edit?usp=sharing"",""แผน!D67"")"),0)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IFERROR(__xludf.DUMMYFUNCTION("IMPORTRANGE(""https://docs.google.com/spreadsheets/d/1eHaY18a8A9IcSdp1K8H6x8fbOy06t2VsZHhMHf-1x7Y/edit?usp=sharing"",""แผน!E67"")"),0)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IFERROR(__xludf.DUMMYFUNCTION("IMPORTRANGE(""https://docs.google.com/spreadsheets/d/1eHaY18a8A9IcSdp1K8H6x8fbOy06t2VsZHhMHf-1x7Y/edit?usp=sharing"",""แผน!J67"")"),0)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45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15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126630</v>
      </c>
      <c r="R94" s="266">
        <f ca="1">R95+R96</f>
        <v>126630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126630</v>
      </c>
      <c r="R96" s="77">
        <f ca="1">R99+R102</f>
        <v>126630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126630</v>
      </c>
      <c r="R97" s="77">
        <f ca="1">R98+R99</f>
        <v>126630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IFERROR(__xludf.DUMMYFUNCTION("IMPORTRANGE(""https://docs.google.com/spreadsheets/d/1-uDff_7J0KD5mKrp0Vvzr7lt3OU09vwQwhkpOPPYv2Y/edit?usp=sharing"",""งบพรบ!AW67"")"),0)</f>
        <v>0</v>
      </c>
      <c r="M99" s="77">
        <f ca="1">IFERROR(__xludf.DUMMYFUNCTION("IMPORTRANGE(""https://docs.google.com/spreadsheets/d/1-uDff_7J0KD5mKrp0Vvzr7lt3OU09vwQwhkpOPPYv2Y/edit?usp=sharing"",""งบพรบ!BB67"")"),0)</f>
        <v>0</v>
      </c>
      <c r="N99" s="77">
        <f ca="1">IFERROR(__xludf.DUMMYFUNCTION("IMPORTRANGE(""https://docs.google.com/spreadsheets/d/1-uDff_7J0KD5mKrp0Vvzr7lt3OU09vwQwhkpOPPYv2Y/edit?usp=sharing"",""งบพรบ!BD67"")"),0)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IFERROR(__xludf.DUMMYFUNCTION("IMPORTRANGE(""https://docs.google.com/spreadsheets/d/1ItG2mGa2ceCfYo0BwxsXqNm01IGEUdYcSSLTEv9YCik/edit?usp=sharing"",""เบิกจ่ายกองทุน!AD67"")"),126630)</f>
        <v>126630</v>
      </c>
      <c r="R99" s="77">
        <f ca="1">IFERROR(__xludf.DUMMYFUNCTION("IMPORTRANGE(""https://docs.google.com/spreadsheets/d/1ItG2mGa2ceCfYo0BwxsXqNm01IGEUdYcSSLTEv9YCik/edit?usp=sharing"",""เบิกจ่ายกองทุน!AE67"")"),126630)</f>
        <v>126630</v>
      </c>
      <c r="S99" s="77">
        <f ca="1">IFERROR(__xludf.DUMMYFUNCTION("IMPORTRANGE(""https://docs.google.com/spreadsheets/d/1ItG2mGa2ceCfYo0BwxsXqNm01IGEUdYcSSLTEv9YCik/edit?usp=sharing"",""เบิกจ่ายกองทุน!AF67"")"),0)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IFERROR(__xludf.DUMMYFUNCTION("IMPORTRANGE(""https://docs.google.com/spreadsheets/d/1-uDff_7J0KD5mKrp0Vvzr7lt3OU09vwQwhkpOPPYv2Y/edit?usp=sharing"",""งบพรบ!AZ67"")"),0)</f>
        <v>0</v>
      </c>
      <c r="M102" s="77">
        <f ca="1">IFERROR(__xludf.DUMMYFUNCTION("IMPORTRANGE(""https://docs.google.com/spreadsheets/d/1-uDff_7J0KD5mKrp0Vvzr7lt3OU09vwQwhkpOPPYv2Y/edit?usp=sharing"",""งบพรบ!BC67"")"),0)</f>
        <v>0</v>
      </c>
      <c r="N102" s="77">
        <f ca="1">IFERROR(__xludf.DUMMYFUNCTION("IMPORTRANGE(""https://docs.google.com/spreadsheets/d/1-uDff_7J0KD5mKrp0Vvzr7lt3OU09vwQwhkpOPPYv2Y/edit?usp=sharing"",""งบพรบ!BE67"")"),0)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IFERROR(__xludf.DUMMYFUNCTION("IMPORTRANGE(""https://docs.google.com/spreadsheets/d/1eHaY18a8A9IcSdp1K8H6x8fbOy06t2VsZHhMHf-1x7Y/edit?usp=sharing"",""แผน!N67"")"),45)</f>
        <v>45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IFERROR(__xludf.DUMMYFUNCTION("IMPORTRANGE(""https://docs.google.com/spreadsheets/d/1eHaY18a8A9IcSdp1K8H6x8fbOy06t2VsZHhMHf-1x7Y/edit?usp=sharing"",""แผน!O67"")"),15)</f>
        <v>15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544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IFERROR(__xludf.DUMMYFUNCTION("IMPORTRANGE(""https://docs.google.com/spreadsheets/d/1eHaY18a8A9IcSdp1K8H6x8fbOy06t2VsZHhMHf-1x7Y/edit?usp=sharing"",""แผน!N67"")"),45)</f>
        <v>45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IFERROR(__xludf.DUMMYFUNCTION("IMPORTRANGE(""https://docs.google.com/spreadsheets/d/1eHaY18a8A9IcSdp1K8H6x8fbOy06t2VsZHhMHf-1x7Y/edit?usp=sharing"",""แผน!O67"")"),15)</f>
        <v>15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30100</v>
      </c>
      <c r="T117" s="266">
        <f ca="1">IF(Q117&gt;0,S117*100/Q117,0)</f>
        <v>17.332719106299667</v>
      </c>
      <c r="U117" s="266">
        <f ca="1">IF(R117&gt;0,S117*100/R117,0)</f>
        <v>17.332719106299667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30100</v>
      </c>
      <c r="T119" s="77">
        <f ca="1">IF(Q119&gt;0,S119*100/Q119,0)</f>
        <v>17.332719106299667</v>
      </c>
      <c r="U119" s="77">
        <f ca="1">IF(R119&gt;0,S119*100/R119,0)</f>
        <v>17.332719106299667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30100</v>
      </c>
      <c r="T120" s="77">
        <f ca="1">IF(Q120&gt;0,S120*100/Q120,0)</f>
        <v>17.332719106299667</v>
      </c>
      <c r="U120" s="77">
        <f ca="1">IF(R120&gt;0,S120*100/R120,0)</f>
        <v>17.332719106299667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IFERROR(__xludf.DUMMYFUNCTION("IMPORTRANGE(""https://docs.google.com/spreadsheets/d/1-uDff_7J0KD5mKrp0Vvzr7lt3OU09vwQwhkpOPPYv2Y/edit?usp=sharing"",""งบพรบ!BG67"")"),0)</f>
        <v>0</v>
      </c>
      <c r="M122" s="77">
        <f ca="1">IFERROR(__xludf.DUMMYFUNCTION("IMPORTRANGE(""https://docs.google.com/spreadsheets/d/1-uDff_7J0KD5mKrp0Vvzr7lt3OU09vwQwhkpOPPYv2Y/edit?usp=sharing"",""งบพรบ!BL67"")"),0)</f>
        <v>0</v>
      </c>
      <c r="N122" s="77">
        <f ca="1">IFERROR(__xludf.DUMMYFUNCTION("IMPORTRANGE(""https://docs.google.com/spreadsheets/d/1-uDff_7J0KD5mKrp0Vvzr7lt3OU09vwQwhkpOPPYv2Y/edit?usp=sharing"",""งบพรบ!BN67"")"),0)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IFERROR(__xludf.DUMMYFUNCTION("IMPORTRANGE(""https://docs.google.com/spreadsheets/d/1ItG2mGa2ceCfYo0BwxsXqNm01IGEUdYcSSLTEv9YCik/edit?usp=sharing"",""เบิกจ่ายกองทุน!R67"")"),173660)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IFERROR(__xludf.DUMMYFUNCTION("IMPORTRANGE(""https://docs.google.com/spreadsheets/d/1ItG2mGa2ceCfYo0BwxsXqNm01IGEUdYcSSLTEv9YCik/edit?usp=sharing"",""เบิกจ่ายกองทุน!S67"")"),173660)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IFERROR(__xludf.DUMMYFUNCTION("IMPORTRANGE(""https://docs.google.com/spreadsheets/d/1ItG2mGa2ceCfYo0BwxsXqNm01IGEUdYcSSLTEv9YCik/edit?usp=sharing"",""เบิกจ่ายกองทุน!T67"")"),30100)</f>
        <v>30100</v>
      </c>
      <c r="T122" s="77">
        <f ca="1">IF(Q122&gt;0,S122*100/Q122,0)</f>
        <v>17.332719106299667</v>
      </c>
      <c r="U122" s="77">
        <f ca="1">IF(R122&gt;0,S122*100/R122,0)</f>
        <v>17.332719106299667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IFERROR(__xludf.DUMMYFUNCTION("IMPORTRANGE(""https://docs.google.com/spreadsheets/d/1-uDff_7J0KD5mKrp0Vvzr7lt3OU09vwQwhkpOPPYv2Y/edit?usp=sharing"",""งบพรบ!BJ67"")"),0)</f>
        <v>0</v>
      </c>
      <c r="M125" s="77">
        <f ca="1">IFERROR(__xludf.DUMMYFUNCTION("IMPORTRANGE(""https://docs.google.com/spreadsheets/d/1-uDff_7J0KD5mKrp0Vvzr7lt3OU09vwQwhkpOPPYv2Y/edit?usp=sharing"",""งบพรบ!BM67"")"),0)</f>
        <v>0</v>
      </c>
      <c r="N125" s="77">
        <f ca="1">IFERROR(__xludf.DUMMYFUNCTION("IMPORTRANGE(""https://docs.google.com/spreadsheets/d/1-uDff_7J0KD5mKrp0Vvzr7lt3OU09vwQwhkpOPPYv2Y/edit?usp=sharing"",""งบพรบ!BO67"")"),0)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IFERROR(__xludf.DUMMYFUNCTION("IMPORTRANGE(""https://docs.google.com/spreadsheets/d/1eHaY18a8A9IcSdp1K8H6x8fbOy06t2VsZHhMHf-1x7Y/edit?usp=sharing"",""แผน!FF67"")"),10)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IFERROR(__xludf.DUMMYFUNCTION("IMPORTRANGE(""https://docs.google.com/spreadsheets/d/1eHaY18a8A9IcSdp1K8H6x8fbOy06t2VsZHhMHf-1x7Y/edit?usp=sharing"",""แผน!FG67"")"),0)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IFERROR(__xludf.DUMMYFUNCTION("IMPORTRANGE(""https://docs.google.com/spreadsheets/d/1eHaY18a8A9IcSdp1K8H6x8fbOy06t2VsZHhMHf-1x7Y/edit?usp=sharing"",""แผน!FH67"")"),10)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IFERROR(__xludf.DUMMYFUNCTION("IMPORTRANGE(""https://docs.google.com/spreadsheets/d/1eHaY18a8A9IcSdp1K8H6x8fbOy06t2VsZHhMHf-1x7Y/edit?usp=sharing"",""แผน!FI67"")"),0)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1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30</v>
      </c>
      <c r="J137" s="258">
        <f>J152</f>
        <v>30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3</v>
      </c>
      <c r="J138" s="258">
        <f>J153</f>
        <v>3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135400</v>
      </c>
      <c r="M139" s="266">
        <f ca="1">M140+M141</f>
        <v>130400</v>
      </c>
      <c r="N139" s="266">
        <f ca="1">N140+N141</f>
        <v>94417</v>
      </c>
      <c r="O139" s="266">
        <f ca="1">IF(L139&gt;0,N139*100/L139,0)</f>
        <v>69.731905465288037</v>
      </c>
      <c r="P139" s="266">
        <f ca="1">IF(M139&gt;0,N139*100/M139,0)</f>
        <v>72.405674846625772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135400</v>
      </c>
      <c r="M141" s="77">
        <f ca="1">M144+M147</f>
        <v>130400</v>
      </c>
      <c r="N141" s="77">
        <f ca="1">N144+N147</f>
        <v>94417</v>
      </c>
      <c r="O141" s="77">
        <f ca="1">IF(L141&gt;0,N141*100/L141,0)</f>
        <v>69.731905465288037</v>
      </c>
      <c r="P141" s="77">
        <f ca="1">IF(M141&gt;0,N141*100/M141,0)</f>
        <v>72.405674846625772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135400</v>
      </c>
      <c r="M142" s="77">
        <f ca="1">M143+M144</f>
        <v>130400</v>
      </c>
      <c r="N142" s="77">
        <f ca="1">N143+N144</f>
        <v>94417</v>
      </c>
      <c r="O142" s="77">
        <f ca="1">IF(L142&gt;0,N142*100/L142,0)</f>
        <v>69.731905465288037</v>
      </c>
      <c r="P142" s="77">
        <f ca="1">IF(M142&gt;0,N142*100/M142,0)</f>
        <v>72.405674846625772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IFERROR(__xludf.DUMMYFUNCTION("IMPORTRANGE(""https://docs.google.com/spreadsheets/d/1-uDff_7J0KD5mKrp0Vvzr7lt3OU09vwQwhkpOPPYv2Y/edit?usp=sharing"",""งบพรบ!BQ67"")"),135400)</f>
        <v>135400</v>
      </c>
      <c r="M144" s="77">
        <f ca="1">IFERROR(__xludf.DUMMYFUNCTION("IMPORTRANGE(""https://docs.google.com/spreadsheets/d/1-uDff_7J0KD5mKrp0Vvzr7lt3OU09vwQwhkpOPPYv2Y/edit?usp=sharing"",""งบพรบ!BV67"")"),130400)</f>
        <v>130400</v>
      </c>
      <c r="N144" s="77">
        <f ca="1">IFERROR(__xludf.DUMMYFUNCTION("IMPORTRANGE(""https://docs.google.com/spreadsheets/d/1-uDff_7J0KD5mKrp0Vvzr7lt3OU09vwQwhkpOPPYv2Y/edit?usp=sharing"",""งบพรบ!BX67"")"),94417)</f>
        <v>94417</v>
      </c>
      <c r="O144" s="77">
        <f ca="1">IF(L144&gt;0,N144*100/L144,0)</f>
        <v>69.731905465288037</v>
      </c>
      <c r="P144" s="77">
        <f ca="1">IF(M144&gt;0,N144*100/M144,0)</f>
        <v>72.405674846625772</v>
      </c>
      <c r="Q144" s="77">
        <f ca="1">IFERROR(__xludf.DUMMYFUNCTION("IMPORTRANGE(""https://docs.google.com/spreadsheets/d/1ItG2mGa2ceCfYo0BwxsXqNm01IGEUdYcSSLTEv9YCik/edit?usp=sharing"",""เบิกจ่ายกองทุน!BB67"")"),0)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IFERROR(__xludf.DUMMYFUNCTION("IMPORTRANGE(""https://docs.google.com/spreadsheets/d/1ItG2mGa2ceCfYo0BwxsXqNm01IGEUdYcSSLTEv9YCik/edit?usp=sharing"",""เบิกจ่ายกองทุน!BC67"")"),0)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IFERROR(__xludf.DUMMYFUNCTION("IMPORTRANGE(""https://docs.google.com/spreadsheets/d/1ItG2mGa2ceCfYo0BwxsXqNm01IGEUdYcSSLTEv9YCik/edit?usp=sharing"",""เบิกจ่ายกองทุน!BD67"")"),0)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IFERROR(__xludf.DUMMYFUNCTION("IMPORTRANGE(""https://docs.google.com/spreadsheets/d/1-uDff_7J0KD5mKrp0Vvzr7lt3OU09vwQwhkpOPPYv2Y/edit?usp=sharing"",""งบพรบ!BT67"")"),0)</f>
        <v>0</v>
      </c>
      <c r="M147" s="77">
        <f ca="1">IFERROR(__xludf.DUMMYFUNCTION("IMPORTRANGE(""https://docs.google.com/spreadsheets/d/1-uDff_7J0KD5mKrp0Vvzr7lt3OU09vwQwhkpOPPYv2Y/edit?usp=sharing"",""งบพรบ!BW67"")"),0)</f>
        <v>0</v>
      </c>
      <c r="N147" s="77">
        <f ca="1">IFERROR(__xludf.DUMMYFUNCTION("IMPORTRANGE(""https://docs.google.com/spreadsheets/d/1-uDff_7J0KD5mKrp0Vvzr7lt3OU09vwQwhkpOPPYv2Y/edit?usp=sharing"",""งบพรบ!BY67"")"),0)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IFERROR(__xludf.DUMMYFUNCTION("IMPORTRANGE(""https://docs.google.com/spreadsheets/d/1eHaY18a8A9IcSdp1K8H6x8fbOy06t2VsZHhMHf-1x7Y/edit?usp=sharing"",""แผน!U67"")"),10)</f>
        <v>10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IFERROR(__xludf.DUMMYFUNCTION("IMPORTRANGE(""https://docs.google.com/spreadsheets/d/1eHaY18a8A9IcSdp1K8H6x8fbOy06t2VsZHhMHf-1x7Y/edit?usp=sharing"",""แผน!V67"")"),1)</f>
        <v>1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IFERROR(__xludf.DUMMYFUNCTION("IMPORTRANGE(""https://docs.google.com/spreadsheets/d/1eHaY18a8A9IcSdp1K8H6x8fbOy06t2VsZHhMHf-1x7Y/edit?usp=sharing"",""แผน!W67"")"),30)</f>
        <v>30</v>
      </c>
      <c r="J152" s="296">
        <v>30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IFERROR(__xludf.DUMMYFUNCTION("IMPORTRANGE(""https://docs.google.com/spreadsheets/d/1eHaY18a8A9IcSdp1K8H6x8fbOy06t2VsZHhMHf-1x7Y/edit?usp=sharing"",""แผน!X67"")"),3)</f>
        <v>3</v>
      </c>
      <c r="J153" s="296">
        <v>3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IFERROR(__xludf.DUMMYFUNCTION("IMPORTRANGE(""https://docs.google.com/spreadsheets/d/1eHaY18a8A9IcSdp1K8H6x8fbOy06t2VsZHhMHf-1x7Y/edit?usp=sharing"",""แผน!Y67"")"),1)</f>
        <v>1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6730</v>
      </c>
      <c r="N157" s="266">
        <f ca="1">N158+N159</f>
        <v>2200</v>
      </c>
      <c r="O157" s="266">
        <f ca="1">IF(L157&gt;0,N157*100/L157,0)</f>
        <v>73.333333333333329</v>
      </c>
      <c r="P157" s="266">
        <f ca="1">IF(M157&gt;0,N157*100/M157,0)</f>
        <v>32.689450222882613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6730</v>
      </c>
      <c r="N159" s="77">
        <f ca="1">N162+N165</f>
        <v>2200</v>
      </c>
      <c r="O159" s="77">
        <f ca="1">IF(L159&gt;0,N159*100/L159,0)</f>
        <v>73.333333333333329</v>
      </c>
      <c r="P159" s="77">
        <f ca="1">IF(M159&gt;0,N159*100/M159,0)</f>
        <v>32.689450222882613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6730</v>
      </c>
      <c r="N160" s="77">
        <f ca="1">N161+N162</f>
        <v>2200</v>
      </c>
      <c r="O160" s="77">
        <f ca="1">IF(L160&gt;0,N160*100/L160,0)</f>
        <v>73.333333333333329</v>
      </c>
      <c r="P160" s="77">
        <f ca="1">IF(M160&gt;0,N160*100/M160,0)</f>
        <v>32.689450222882613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IFERROR(__xludf.DUMMYFUNCTION("IMPORTRANGE(""https://docs.google.com/spreadsheets/d/1-uDff_7J0KD5mKrp0Vvzr7lt3OU09vwQwhkpOPPYv2Y/edit?usp=sharing"",""งบพรบ!CA67"")"),3000)</f>
        <v>3000</v>
      </c>
      <c r="M162" s="77">
        <f ca="1">IFERROR(__xludf.DUMMYFUNCTION("IMPORTRANGE(""https://docs.google.com/spreadsheets/d/1-uDff_7J0KD5mKrp0Vvzr7lt3OU09vwQwhkpOPPYv2Y/edit?usp=sharing"",""งบพรบ!CF67"")"),6730)</f>
        <v>6730</v>
      </c>
      <c r="N162" s="77">
        <f ca="1">IFERROR(__xludf.DUMMYFUNCTION("IMPORTRANGE(""https://docs.google.com/spreadsheets/d/1-uDff_7J0KD5mKrp0Vvzr7lt3OU09vwQwhkpOPPYv2Y/edit?usp=sharing"",""งบพรบ!CH67"")"),2200)</f>
        <v>2200</v>
      </c>
      <c r="O162" s="77">
        <f ca="1">IF(L162&gt;0,N162*100/L162,0)</f>
        <v>73.333333333333329</v>
      </c>
      <c r="P162" s="77">
        <f ca="1">IF(M162&gt;0,N162*100/M162,0)</f>
        <v>32.689450222882613</v>
      </c>
      <c r="Q162" s="77">
        <f ca="1">IFERROR(__xludf.DUMMYFUNCTION("IMPORTRANGE(""https://docs.google.com/spreadsheets/d/1ItG2mGa2ceCfYo0BwxsXqNm01IGEUdYcSSLTEv9YCik/edit?usp=sharing"",""เบิกจ่ายกองทุน!AG67"")"),0)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IFERROR(__xludf.DUMMYFUNCTION("IMPORTRANGE(""https://docs.google.com/spreadsheets/d/1ItG2mGa2ceCfYo0BwxsXqNm01IGEUdYcSSLTEv9YCik/edit?usp=sharing"",""เบิกจ่ายกองทุน!AH67"")"),0)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IFERROR(__xludf.DUMMYFUNCTION("IMPORTRANGE(""https://docs.google.com/spreadsheets/d/1ItG2mGa2ceCfYo0BwxsXqNm01IGEUdYcSSLTEv9YCik/edit?usp=sharing"",""เบิกจ่ายกองทุน!AI67"")"),0)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IFERROR(__xludf.DUMMYFUNCTION("IMPORTRANGE(""https://docs.google.com/spreadsheets/d/1-uDff_7J0KD5mKrp0Vvzr7lt3OU09vwQwhkpOPPYv2Y/edit?usp=sharing"",""งบพรบ!CD67"")"),0)</f>
        <v>0</v>
      </c>
      <c r="M165" s="77">
        <f ca="1">IFERROR(__xludf.DUMMYFUNCTION("IMPORTRANGE(""https://docs.google.com/spreadsheets/d/1-uDff_7J0KD5mKrp0Vvzr7lt3OU09vwQwhkpOPPYv2Y/edit?usp=sharing"",""งบพรบ!CG67"")"),0)</f>
        <v>0</v>
      </c>
      <c r="N165" s="77">
        <f ca="1">IFERROR(__xludf.DUMMYFUNCTION("IMPORTRANGE(""https://docs.google.com/spreadsheets/d/1-uDff_7J0KD5mKrp0Vvzr7lt3OU09vwQwhkpOPPYv2Y/edit?usp=sharing"",""งบพรบ!CI67"")"),0)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IFERROR(__xludf.DUMMYFUNCTION("IMPORTRANGE(""https://docs.google.com/spreadsheets/d/1eHaY18a8A9IcSdp1K8H6x8fbOy06t2VsZHhMHf-1x7Y/edit?usp=sharing"",""แผน!Z67"")"),15)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29580</v>
      </c>
      <c r="N173" s="266">
        <f ca="1">N174+N175</f>
        <v>28335</v>
      </c>
      <c r="O173" s="266">
        <f ca="1">IF(L173&gt;0,N173*100/L173,0)</f>
        <v>144.64012251148546</v>
      </c>
      <c r="P173" s="266">
        <f ca="1">IF(M173&gt;0,N173*100/M173,0)</f>
        <v>95.791075050709935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29580</v>
      </c>
      <c r="N175" s="77">
        <f ca="1">N178+N181</f>
        <v>28335</v>
      </c>
      <c r="O175" s="77">
        <f ca="1">IF(L175&gt;0,N175*100/L175,0)</f>
        <v>144.64012251148546</v>
      </c>
      <c r="P175" s="77">
        <f ca="1">IF(M175&gt;0,N175*100/M175,0)</f>
        <v>95.791075050709935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29580</v>
      </c>
      <c r="N176" s="77">
        <f ca="1">N177+N178</f>
        <v>28335</v>
      </c>
      <c r="O176" s="77">
        <f ca="1">IF(L176&gt;0,N176*100/L176,0)</f>
        <v>144.64012251148546</v>
      </c>
      <c r="P176" s="77">
        <f ca="1">IF(M176&gt;0,N176*100/M176,0)</f>
        <v>95.791075050709935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IFERROR(__xludf.DUMMYFUNCTION("IMPORTRANGE(""https://docs.google.com/spreadsheets/d/1-uDff_7J0KD5mKrp0Vvzr7lt3OU09vwQwhkpOPPYv2Y/edit?usp=sharing"",""งบพรบ!CK67"")"),19590)</f>
        <v>19590</v>
      </c>
      <c r="M178" s="77">
        <f ca="1">IFERROR(__xludf.DUMMYFUNCTION("IMPORTRANGE(""https://docs.google.com/spreadsheets/d/1-uDff_7J0KD5mKrp0Vvzr7lt3OU09vwQwhkpOPPYv2Y/edit?usp=sharing"",""งบพรบ!CP67"")"),29580)</f>
        <v>29580</v>
      </c>
      <c r="N178" s="77">
        <f ca="1">IFERROR(__xludf.DUMMYFUNCTION("IMPORTRANGE(""https://docs.google.com/spreadsheets/d/1-uDff_7J0KD5mKrp0Vvzr7lt3OU09vwQwhkpOPPYv2Y/edit?usp=sharing"",""งบพรบ!CR67"")"),28335)</f>
        <v>28335</v>
      </c>
      <c r="O178" s="77">
        <f ca="1">IF(L178&gt;0,N178*100/L178,0)</f>
        <v>144.64012251148546</v>
      </c>
      <c r="P178" s="77">
        <f ca="1">IF(M178&gt;0,N178*100/M178,0)</f>
        <v>95.791075050709935</v>
      </c>
      <c r="Q178" s="77">
        <f ca="1">IFERROR(__xludf.DUMMYFUNCTION("IMPORTRANGE(""https://docs.google.com/spreadsheets/d/1ItG2mGa2ceCfYo0BwxsXqNm01IGEUdYcSSLTEv9YCik/edit?usp=sharing"",""เบิกจ่ายกองทุน!BE67"")"),0)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IFERROR(__xludf.DUMMYFUNCTION("IMPORTRANGE(""https://docs.google.com/spreadsheets/d/1ItG2mGa2ceCfYo0BwxsXqNm01IGEUdYcSSLTEv9YCik/edit?usp=sharing"",""เบิกจ่ายกองทุน!BF67"")"),0)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IFERROR(__xludf.DUMMYFUNCTION("IMPORTRANGE(""https://docs.google.com/spreadsheets/d/1ItG2mGa2ceCfYo0BwxsXqNm01IGEUdYcSSLTEv9YCik/edit?usp=sharing"",""เบิกจ่ายกองทุน!BG67"")"),0)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IFERROR(__xludf.DUMMYFUNCTION("IMPORTRANGE(""https://docs.google.com/spreadsheets/d/1-uDff_7J0KD5mKrp0Vvzr7lt3OU09vwQwhkpOPPYv2Y/edit?usp=sharing"",""งบพรบ!CN67"")"),0)</f>
        <v>0</v>
      </c>
      <c r="M181" s="77">
        <f ca="1">IFERROR(__xludf.DUMMYFUNCTION("IMPORTRANGE(""https://docs.google.com/spreadsheets/d/1-uDff_7J0KD5mKrp0Vvzr7lt3OU09vwQwhkpOPPYv2Y/edit?usp=sharing"",""งบพรบ!CQ67"")"),0)</f>
        <v>0</v>
      </c>
      <c r="N181" s="77">
        <f ca="1">IFERROR(__xludf.DUMMYFUNCTION("IMPORTRANGE(""https://docs.google.com/spreadsheets/d/1-uDff_7J0KD5mKrp0Vvzr7lt3OU09vwQwhkpOPPYv2Y/edit?usp=sharing"",""งบพรบ!CS67"")"),0)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IFERROR(__xludf.DUMMYFUNCTION("IMPORTRANGE(""https://docs.google.com/spreadsheets/d/1eHaY18a8A9IcSdp1K8H6x8fbOy06t2VsZHhMHf-1x7Y/edit?usp=sharing"",""แผน!AA67"")"),7)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36500</v>
      </c>
      <c r="M186" s="266">
        <f ca="1">M187+M188</f>
        <v>20500</v>
      </c>
      <c r="N186" s="266">
        <f ca="1">N187+N188</f>
        <v>5110</v>
      </c>
      <c r="O186" s="266">
        <f ca="1">IF(L186&gt;0,N186*100/L186,0)</f>
        <v>14</v>
      </c>
      <c r="P186" s="266">
        <f ca="1">IF(M186&gt;0,N186*100/M186,0)</f>
        <v>24.926829268292682</v>
      </c>
      <c r="Q186" s="266">
        <f ca="1">Q187+Q188</f>
        <v>28000</v>
      </c>
      <c r="R186" s="266">
        <f ca="1">R187+R188</f>
        <v>42000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36500</v>
      </c>
      <c r="M188" s="77">
        <f ca="1">M191+M194</f>
        <v>20500</v>
      </c>
      <c r="N188" s="77">
        <f ca="1">N191+N194</f>
        <v>5110</v>
      </c>
      <c r="O188" s="77">
        <f ca="1">IF(L188&gt;0,N188*100/L188,0)</f>
        <v>14</v>
      </c>
      <c r="P188" s="77">
        <f ca="1">IF(M188&gt;0,N188*100/M188,0)</f>
        <v>24.926829268292682</v>
      </c>
      <c r="Q188" s="77">
        <f ca="1">Q191+Q194</f>
        <v>28000</v>
      </c>
      <c r="R188" s="77">
        <f ca="1">R191+R194</f>
        <v>42000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36500</v>
      </c>
      <c r="M189" s="77">
        <f ca="1">M190+M191</f>
        <v>20500</v>
      </c>
      <c r="N189" s="77">
        <f ca="1">N190+N191</f>
        <v>5110</v>
      </c>
      <c r="O189" s="77">
        <f ca="1">IF(L189&gt;0,N189*100/L189,0)</f>
        <v>14</v>
      </c>
      <c r="P189" s="77">
        <f ca="1">IF(M189&gt;0,N189*100/M189,0)</f>
        <v>24.926829268292682</v>
      </c>
      <c r="Q189" s="77">
        <f ca="1">Q190+Q191</f>
        <v>28000</v>
      </c>
      <c r="R189" s="77">
        <f ca="1">R190+R191</f>
        <v>42000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IFERROR(__xludf.DUMMYFUNCTION("IMPORTRANGE(""https://docs.google.com/spreadsheets/d/1-uDff_7J0KD5mKrp0Vvzr7lt3OU09vwQwhkpOPPYv2Y/edit?usp=sharing"",""งบพรบ!CU67"")"),36500)</f>
        <v>36500</v>
      </c>
      <c r="M191" s="77">
        <f ca="1">IFERROR(__xludf.DUMMYFUNCTION("IMPORTRANGE(""https://docs.google.com/spreadsheets/d/1-uDff_7J0KD5mKrp0Vvzr7lt3OU09vwQwhkpOPPYv2Y/edit?usp=sharing"",""งบพรบ!CZ67"")"),20500)</f>
        <v>20500</v>
      </c>
      <c r="N191" s="77">
        <f ca="1">IFERROR(__xludf.DUMMYFUNCTION("IMPORTRANGE(""https://docs.google.com/spreadsheets/d/1-uDff_7J0KD5mKrp0Vvzr7lt3OU09vwQwhkpOPPYv2Y/edit?usp=sharing"",""งบพรบ!DB67"")"),5110)</f>
        <v>5110</v>
      </c>
      <c r="O191" s="77">
        <f ca="1">IF(L191&gt;0,N191*100/L191,0)</f>
        <v>14</v>
      </c>
      <c r="P191" s="77">
        <f ca="1">IF(M191&gt;0,N191*100/M191,0)</f>
        <v>24.926829268292682</v>
      </c>
      <c r="Q191" s="77">
        <f ca="1">IFERROR(__xludf.DUMMYFUNCTION("IMPORTRANGE(""https://docs.google.com/spreadsheets/d/1ItG2mGa2ceCfYo0BwxsXqNm01IGEUdYcSSLTEv9YCik/edit?usp=sharing"",""เบิกจ่ายกองทุน!AV67"")"),28000)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IFERROR(__xludf.DUMMYFUNCTION("IMPORTRANGE(""https://docs.google.com/spreadsheets/d/1ItG2mGa2ceCfYo0BwxsXqNm01IGEUdYcSSLTEv9YCik/edit?usp=sharing"",""เบิกจ่ายกองทุน!AW67"")"),42000)</f>
        <v>42000</v>
      </c>
      <c r="S191" s="77">
        <f ca="1">IFERROR(__xludf.DUMMYFUNCTION("IMPORTRANGE(""https://docs.google.com/spreadsheets/d/1ItG2mGa2ceCfYo0BwxsXqNm01IGEUdYcSSLTEv9YCik/edit?usp=sharing"",""เบิกจ่ายกองทุน!AX67"")"),0)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IFERROR(__xludf.DUMMYFUNCTION("IMPORTRANGE(""https://docs.google.com/spreadsheets/d/1-uDff_7J0KD5mKrp0Vvzr7lt3OU09vwQwhkpOPPYv2Y/edit?usp=sharing"",""งบพรบ!CX67"")"),0)</f>
        <v>0</v>
      </c>
      <c r="M194" s="77">
        <f ca="1">IFERROR(__xludf.DUMMYFUNCTION("IMPORTRANGE(""https://docs.google.com/spreadsheets/d/1-uDff_7J0KD5mKrp0Vvzr7lt3OU09vwQwhkpOPPYv2Y/edit?usp=sharing"",""งบพรบ!DA67"")"),0)</f>
        <v>0</v>
      </c>
      <c r="N194" s="77">
        <f ca="1">IFERROR(__xludf.DUMMYFUNCTION("IMPORTRANGE(""https://docs.google.com/spreadsheets/d/1-uDff_7J0KD5mKrp0Vvzr7lt3OU09vwQwhkpOPPYv2Y/edit?usp=sharing"",""งบพรบ!DC67"")"),0)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IFERROR(__xludf.DUMMYFUNCTION("IMPORTRANGE(""https://docs.google.com/spreadsheets/d/1eHaY18a8A9IcSdp1K8H6x8fbOy06t2VsZHhMHf-1x7Y/edit?usp=sharing"",""แผน!AB67"")"),6000)</f>
        <v>6000</v>
      </c>
      <c r="M196" s="90"/>
      <c r="N196" s="959">
        <v>5110</v>
      </c>
      <c r="O196" s="266">
        <f ca="1">IF(L196&gt;0,N196*100/L196,0)</f>
        <v>85.166666666666671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IFERROR(__xludf.DUMMYFUNCTION("IMPORTRANGE(""https://docs.google.com/spreadsheets/d/1eHaY18a8A9IcSdp1K8H6x8fbOy06t2VsZHhMHf-1x7Y/edit?usp=sharing"",""แผน!AE67"")"),4)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98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98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10000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IFERROR(__xludf.DUMMYFUNCTION("IMPORTRANGE(""https://docs.google.com/spreadsheets/d/1eHaY18a8A9IcSdp1K8H6x8fbOy06t2VsZHhMHf-1x7Y/edit?usp=sharing"",""แผน!AG67"")"),2000)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IFERROR(__xludf.DUMMYFUNCTION("IMPORTRANGE(""https://docs.google.com/spreadsheets/d/1eHaY18a8A9IcSdp1K8H6x8fbOy06t2VsZHhMHf-1x7Y/edit?usp=sharing"",""แผน!AH67"")"),0)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IFERROR(__xludf.DUMMYFUNCTION("IMPORTRANGE(""https://docs.google.com/spreadsheets/d/1eHaY18a8A9IcSdp1K8H6x8fbOy06t2VsZHhMHf-1x7Y/edit?usp=sharing"",""แผน!AI67"")"),0)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IFERROR(__xludf.DUMMYFUNCTION("IMPORTRANGE(""https://docs.google.com/spreadsheets/d/1eHaY18a8A9IcSdp1K8H6x8fbOy06t2VsZHhMHf-1x7Y/edit?usp=sharing"",""แผน!LV67"")"),28000)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IFERROR(__xludf.DUMMYFUNCTION("IMPORTRANGE(""https://docs.google.com/spreadsheets/d/1eHaY18a8A9IcSdp1K8H6x8fbOy06t2VsZHhMHf-1x7Y/edit?usp=sharing"",""แผน!AJ67"")"),8000)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IFERROR(__xludf.DUMMYFUNCTION("IMPORTRANGE(""https://docs.google.com/spreadsheets/d/1eHaY18a8A9IcSdp1K8H6x8fbOy06t2VsZHhMHf-1x7Y/edit?usp=sharing"",""แผน!AK67"")"),2)</f>
        <v>2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IFERROR(__xludf.DUMMYFUNCTION("IMPORTRANGE(""https://docs.google.com/spreadsheets/d/1eHaY18a8A9IcSdp1K8H6x8fbOy06t2VsZHhMHf-1x7Y/edit?usp=sharing"",""แผน!JX67"")"),2)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IFERROR(__xludf.DUMMYFUNCTION("IMPORTRANGE(""https://docs.google.com/spreadsheets/d/1eHaY18a8A9IcSdp1K8H6x8fbOy06t2VsZHhMHf-1x7Y/edit?usp=sharing"",""แผน!JY67"")"),0)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IFERROR(__xludf.DUMMYFUNCTION("IMPORTRANGE(""https://docs.google.com/spreadsheets/d/1eHaY18a8A9IcSdp1K8H6x8fbOy06t2VsZHhMHf-1x7Y/edit?usp=sharing"",""แผน!AM67"")"),0)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IFERROR(__xludf.DUMMYFUNCTION("IMPORTRANGE(""https://docs.google.com/spreadsheets/d/1eHaY18a8A9IcSdp1K8H6x8fbOy06t2VsZHhMHf-1x7Y/edit?usp=sharing"",""แผน!AN67"")"),0)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IFERROR(__xludf.DUMMYFUNCTION("IMPORTRANGE(""https://docs.google.com/spreadsheets/d/1eHaY18a8A9IcSdp1K8H6x8fbOy06t2VsZHhMHf-1x7Y/edit?usp=sharing"",""แผน!AO67"")"),0)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IFERROR(__xludf.DUMMYFUNCTION("IMPORTRANGE(""https://docs.google.com/spreadsheets/d/1eHaY18a8A9IcSdp1K8H6x8fbOy06t2VsZHhMHf-1x7Y/edit?usp=sharing"",""แผน!LY67"")"),0)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IFERROR(__xludf.DUMMYFUNCTION("IMPORTRANGE(""https://docs.google.com/spreadsheets/d/1eHaY18a8A9IcSdp1K8H6x8fbOy06t2VsZHhMHf-1x7Y/edit?usp=sharing"",""แผน!AP67"")"),0)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IFERROR(__xludf.DUMMYFUNCTION("IMPORTRANGE(""https://docs.google.com/spreadsheets/d/1eHaY18a8A9IcSdp1K8H6x8fbOy06t2VsZHhMHf-1x7Y/edit?usp=sharing"",""แผน!AP67"")"),0)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IFERROR(__xludf.DUMMYFUNCTION("IMPORTRANGE(""https://docs.google.com/spreadsheets/d/1eHaY18a8A9IcSdp1K8H6x8fbOy06t2VsZHhMHf-1x7Y/edit?usp=sharing"",""แผน!AR67"")"),2500)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IFERROR(__xludf.DUMMYFUNCTION("IMPORTRANGE(""https://docs.google.com/spreadsheets/d/1eHaY18a8A9IcSdp1K8H6x8fbOy06t2VsZHhMHf-1x7Y/edit?usp=sharing"",""แผน!AS67"")"),2000)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IFERROR(__xludf.DUMMYFUNCTION("IMPORTRANGE(""https://docs.google.com/spreadsheets/d/1eHaY18a8A9IcSdp1K8H6x8fbOy06t2VsZHhMHf-1x7Y/edit?usp=sharing"",""แผน!AT67"")"),0)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IFERROR(__xludf.DUMMYFUNCTION("IMPORTRANGE(""https://docs.google.com/spreadsheets/d/1eHaY18a8A9IcSdp1K8H6x8fbOy06t2VsZHhMHf-1x7Y/edit?usp=sharing"",""แผน!AV67"")"),20000)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IFERROR(__xludf.DUMMYFUNCTION("IMPORTRANGE(""https://docs.google.com/spreadsheets/d/1eHaY18a8A9IcSdp1K8H6x8fbOy06t2VsZHhMHf-1x7Y/edit?usp=sharing"",""แผน!AV67"")"),20000)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IFERROR(__xludf.DUMMYFUNCTION("IMPORTRANGE(""https://docs.google.com/spreadsheets/d/1eHaY18a8A9IcSdp1K8H6x8fbOy06t2VsZHhMHf-1x7Y/edit?usp=sharing"",""แผน!AU67"")"),0)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IFERROR(__xludf.DUMMYFUNCTION("IMPORTRANGE(""https://docs.google.com/spreadsheets/d/1eHaY18a8A9IcSdp1K8H6x8fbOy06t2VsZHhMHf-1x7Y/edit?usp=sharing"",""แผน!AX67"")"),0)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IFERROR(__xludf.DUMMYFUNCTION("IMPORTRANGE(""https://docs.google.com/spreadsheets/d/1eHaY18a8A9IcSdp1K8H6x8fbOy06t2VsZHhMHf-1x7Y/edit?usp=sharing"",""แผน!AY67"")"),0)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IFERROR(__xludf.DUMMYFUNCTION("IMPORTRANGE(""https://docs.google.com/spreadsheets/d/1eHaY18a8A9IcSdp1K8H6x8fbOy06t2VsZHhMHf-1x7Y/edit?usp=sharing"",""แผน!AZ67"")"),0)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IFERROR(__xludf.DUMMYFUNCTION("IMPORTRANGE(""https://docs.google.com/spreadsheets/d/1eHaY18a8A9IcSdp1K8H6x8fbOy06t2VsZHhMHf-1x7Y/edit?usp=sharing"",""แผน!BA67"")"),0)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IFERROR(__xludf.DUMMYFUNCTION("IMPORTRANGE(""https://docs.google.com/spreadsheets/d/1eHaY18a8A9IcSdp1K8H6x8fbOy06t2VsZHhMHf-1x7Y/edit?usp=sharing"",""แผน!BG67"")"),0)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IFERROR(__xludf.DUMMYFUNCTION("IMPORTRANGE(""https://docs.google.com/spreadsheets/d/1eHaY18a8A9IcSdp1K8H6x8fbOy06t2VsZHhMHf-1x7Y/edit?usp=sharing"",""แผน!BB67"")"),0)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IFERROR(__xludf.DUMMYFUNCTION("IMPORTRANGE(""https://docs.google.com/spreadsheets/d/1eHaY18a8A9IcSdp1K8H6x8fbOy06t2VsZHhMHf-1x7Y/edit?usp=sharing"",""แผน!BC67"")"),0)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IFERROR(__xludf.DUMMYFUNCTION("IMPORTRANGE(""https://docs.google.com/spreadsheets/d/1eHaY18a8A9IcSdp1K8H6x8fbOy06t2VsZHhMHf-1x7Y/edit?usp=sharing"",""แผน!BD67"")"),0)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IFERROR(__xludf.DUMMYFUNCTION("IMPORTRANGE(""https://docs.google.com/spreadsheets/d/1eHaY18a8A9IcSdp1K8H6x8fbOy06t2VsZHhMHf-1x7Y/edit?usp=sharing"",""แผน!BE67"")"),0)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IFERROR(__xludf.DUMMYFUNCTION("IMPORTRANGE(""https://docs.google.com/spreadsheets/d/1eHaY18a8A9IcSdp1K8H6x8fbOy06t2VsZHhMHf-1x7Y/edit?usp=sharing"",""แผน!BH67"")"),0)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1374"/>
      <c r="C264" s="1374"/>
      <c r="D264" s="1373"/>
      <c r="E264" s="1373"/>
      <c r="F264" s="1373"/>
      <c r="G264" s="1372"/>
      <c r="H264" s="1372"/>
      <c r="I264" s="1371"/>
      <c r="J264" s="1371"/>
      <c r="K264" s="1369"/>
      <c r="L264" s="1370"/>
      <c r="M264" s="1369"/>
      <c r="N264" s="1369"/>
      <c r="O264" s="1369"/>
      <c r="P264" s="1369"/>
      <c r="Q264" s="1369"/>
      <c r="R264" s="1369"/>
      <c r="S264" s="1369"/>
      <c r="T264" s="1369"/>
      <c r="U264" s="1369"/>
    </row>
    <row r="265" spans="1:21" ht="19.5" x14ac:dyDescent="0.3">
      <c r="A265" s="1285"/>
      <c r="B265" s="360" t="s">
        <v>114</v>
      </c>
      <c r="C265" s="1284"/>
      <c r="D265" s="1283"/>
      <c r="E265" s="1283"/>
      <c r="F265" s="1283"/>
      <c r="G265" s="1282"/>
      <c r="H265" s="362" t="s">
        <v>35</v>
      </c>
      <c r="I265" s="1151">
        <f ca="1">I276</f>
        <v>24</v>
      </c>
      <c r="J265" s="1151">
        <f>J276</f>
        <v>24</v>
      </c>
      <c r="K265" s="364">
        <f ca="1">IF(I265&gt;0,J265*100/I265,0)</f>
        <v>100</v>
      </c>
      <c r="L265" s="1368"/>
      <c r="M265" s="1367"/>
      <c r="N265" s="1367"/>
      <c r="O265" s="1367"/>
      <c r="P265" s="1367"/>
      <c r="Q265" s="1367"/>
      <c r="R265" s="1367"/>
      <c r="S265" s="1367"/>
      <c r="T265" s="1367"/>
      <c r="U265" s="1367"/>
    </row>
    <row r="266" spans="1:21" ht="19.5" x14ac:dyDescent="0.3">
      <c r="A266" s="1362"/>
      <c r="B266" s="78"/>
      <c r="C266" s="212" t="s">
        <v>18</v>
      </c>
      <c r="D266" s="912" t="s">
        <v>19</v>
      </c>
      <c r="E266" s="78"/>
      <c r="F266" s="78"/>
      <c r="G266" s="1361"/>
      <c r="H266" s="214" t="s">
        <v>14</v>
      </c>
      <c r="I266" s="1068"/>
      <c r="J266" s="1068"/>
      <c r="K266" s="1067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53440</v>
      </c>
      <c r="R266" s="215">
        <f ca="1">R267+R268</f>
        <v>53440</v>
      </c>
      <c r="S266" s="215">
        <f ca="1">S267+S268</f>
        <v>16440</v>
      </c>
      <c r="T266" s="215">
        <f ca="1">IF(Q266&gt;0,S266*100/Q266,0)</f>
        <v>30.763473053892216</v>
      </c>
      <c r="U266" s="215">
        <f ca="1">IF(R266&gt;0,S266*100/R266,0)</f>
        <v>30.763473053892216</v>
      </c>
    </row>
    <row r="267" spans="1:21" ht="18.75" hidden="1" x14ac:dyDescent="0.25">
      <c r="A267" s="1366"/>
      <c r="B267" s="267"/>
      <c r="C267" s="267"/>
      <c r="D267" s="267"/>
      <c r="E267" s="267" t="s">
        <v>20</v>
      </c>
      <c r="F267" s="267"/>
      <c r="G267" s="1365"/>
      <c r="H267" s="268" t="s">
        <v>14</v>
      </c>
      <c r="I267" s="1061"/>
      <c r="J267" s="1061"/>
      <c r="K267" s="136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1362"/>
      <c r="B268" s="78"/>
      <c r="C268" s="78"/>
      <c r="D268" s="78"/>
      <c r="E268" s="78" t="s">
        <v>21</v>
      </c>
      <c r="F268" s="78"/>
      <c r="G268" s="1361"/>
      <c r="H268" s="218" t="s">
        <v>14</v>
      </c>
      <c r="I268" s="1068"/>
      <c r="J268" s="1068"/>
      <c r="K268" s="1067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53440</v>
      </c>
      <c r="R268" s="91">
        <f ca="1">R271+R274</f>
        <v>53440</v>
      </c>
      <c r="S268" s="91">
        <f ca="1">S271+S274</f>
        <v>16440</v>
      </c>
      <c r="T268" s="91">
        <f ca="1">IF(Q268&gt;0,S268*100/Q268,0)</f>
        <v>30.763473053892216</v>
      </c>
      <c r="U268" s="91">
        <f ca="1">IF(R268&gt;0,S268*100/R268,0)</f>
        <v>30.763473053892216</v>
      </c>
    </row>
    <row r="269" spans="1:21" ht="18.75" x14ac:dyDescent="0.25">
      <c r="A269" s="1362"/>
      <c r="B269" s="78"/>
      <c r="C269" s="78"/>
      <c r="D269" s="911" t="s">
        <v>22</v>
      </c>
      <c r="E269" s="78"/>
      <c r="F269" s="78"/>
      <c r="G269" s="1361"/>
      <c r="H269" s="220" t="s">
        <v>14</v>
      </c>
      <c r="I269" s="1359"/>
      <c r="J269" s="1359"/>
      <c r="K269" s="1357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53440</v>
      </c>
      <c r="R269" s="91">
        <f ca="1">R270+R271</f>
        <v>53440</v>
      </c>
      <c r="S269" s="91">
        <f ca="1">S270+S271</f>
        <v>16440</v>
      </c>
      <c r="T269" s="91">
        <f ca="1">IF(Q269&gt;0,S269*100/Q269,0)</f>
        <v>30.763473053892216</v>
      </c>
      <c r="U269" s="91">
        <f ca="1">IF(R269&gt;0,S269*100/R269,0)</f>
        <v>30.763473053892216</v>
      </c>
    </row>
    <row r="270" spans="1:21" ht="18.75" hidden="1" x14ac:dyDescent="0.25">
      <c r="A270" s="1366"/>
      <c r="B270" s="267"/>
      <c r="C270" s="267"/>
      <c r="D270" s="267"/>
      <c r="E270" s="267" t="s">
        <v>36</v>
      </c>
      <c r="F270" s="267"/>
      <c r="G270" s="1365"/>
      <c r="H270" s="275" t="s">
        <v>14</v>
      </c>
      <c r="I270" s="1364"/>
      <c r="J270" s="1364"/>
      <c r="K270" s="1363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1362"/>
      <c r="B271" s="78"/>
      <c r="C271" s="78"/>
      <c r="D271" s="78"/>
      <c r="E271" s="78" t="s">
        <v>37</v>
      </c>
      <c r="F271" s="78"/>
      <c r="G271" s="1361"/>
      <c r="H271" s="220" t="s">
        <v>14</v>
      </c>
      <c r="I271" s="1359"/>
      <c r="J271" s="1359"/>
      <c r="K271" s="1357"/>
      <c r="L271" s="1290">
        <f ca="1">IFERROR(__xludf.DUMMYFUNCTION("IMPORTRANGE(""https://docs.google.com/spreadsheets/d/1-uDff_7J0KD5mKrp0Vvzr7lt3OU09vwQwhkpOPPYv2Y/edit?usp=sharing"",""งบพรบ!DE67"")"),0)</f>
        <v>0</v>
      </c>
      <c r="M271" s="91">
        <f ca="1">IFERROR(__xludf.DUMMYFUNCTION("IMPORTRANGE(""https://docs.google.com/spreadsheets/d/1-uDff_7J0KD5mKrp0Vvzr7lt3OU09vwQwhkpOPPYv2Y/edit?usp=sharing"",""งบพรบ!DJ67"")"),5000)</f>
        <v>5000</v>
      </c>
      <c r="N271" s="91">
        <f ca="1">IFERROR(__xludf.DUMMYFUNCTION("IMPORTRANGE(""https://docs.google.com/spreadsheets/d/1-uDff_7J0KD5mKrp0Vvzr7lt3OU09vwQwhkpOPPYv2Y/edit?usp=sharing"",""งบพรบ!DL67"")"),0)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IFERROR(__xludf.DUMMYFUNCTION("IMPORTRANGE(""https://docs.google.com/spreadsheets/d/1ItG2mGa2ceCfYo0BwxsXqNm01IGEUdYcSSLTEv9YCik/edit?usp=sharing"",""เบิกจ่ายกองทุน!AJ67"")"),53440)</f>
        <v>53440</v>
      </c>
      <c r="R271" s="91">
        <f ca="1">IFERROR(__xludf.DUMMYFUNCTION("IMPORTRANGE(""https://docs.google.com/spreadsheets/d/1ItG2mGa2ceCfYo0BwxsXqNm01IGEUdYcSSLTEv9YCik/edit?usp=sharing"",""เบิกจ่ายกองทุน!AK67"")"),53440)</f>
        <v>53440</v>
      </c>
      <c r="S271" s="91">
        <f ca="1">IFERROR(__xludf.DUMMYFUNCTION("IMPORTRANGE(""https://docs.google.com/spreadsheets/d/1ItG2mGa2ceCfYo0BwxsXqNm01IGEUdYcSSLTEv9YCik/edit?usp=sharing"",""เบิกจ่ายกองทุน!AL67"")"),16440)</f>
        <v>16440</v>
      </c>
      <c r="T271" s="91">
        <f ca="1">IF(Q271&gt;0,S271*100/Q271,0)</f>
        <v>30.763473053892216</v>
      </c>
      <c r="U271" s="91">
        <f ca="1">IF(R271&gt;0,S271*100/R271,0)</f>
        <v>30.763473053892216</v>
      </c>
    </row>
    <row r="272" spans="1:21" ht="18.75" x14ac:dyDescent="0.25">
      <c r="A272" s="1362"/>
      <c r="B272" s="78"/>
      <c r="C272" s="78"/>
      <c r="D272" s="911" t="s">
        <v>23</v>
      </c>
      <c r="E272" s="78"/>
      <c r="F272" s="78"/>
      <c r="G272" s="1361"/>
      <c r="H272" s="223" t="s">
        <v>14</v>
      </c>
      <c r="I272" s="1359"/>
      <c r="J272" s="1359"/>
      <c r="K272" s="1357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1366"/>
      <c r="B273" s="267"/>
      <c r="C273" s="267"/>
      <c r="D273" s="267"/>
      <c r="E273" s="267" t="s">
        <v>20</v>
      </c>
      <c r="F273" s="267"/>
      <c r="G273" s="1365"/>
      <c r="H273" s="275" t="s">
        <v>14</v>
      </c>
      <c r="I273" s="1364"/>
      <c r="J273" s="1364"/>
      <c r="K273" s="1363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1362"/>
      <c r="B274" s="78"/>
      <c r="C274" s="78"/>
      <c r="D274" s="78"/>
      <c r="E274" s="78" t="s">
        <v>21</v>
      </c>
      <c r="F274" s="78"/>
      <c r="G274" s="1361"/>
      <c r="H274" s="223" t="s">
        <v>14</v>
      </c>
      <c r="I274" s="1359"/>
      <c r="J274" s="1359"/>
      <c r="K274" s="1357"/>
      <c r="L274" s="1290">
        <f ca="1">IFERROR(__xludf.DUMMYFUNCTION("IMPORTRANGE(""https://docs.google.com/spreadsheets/d/1-uDff_7J0KD5mKrp0Vvzr7lt3OU09vwQwhkpOPPYv2Y/edit?usp=sharing"",""งบพรบ!DH67"")"),0)</f>
        <v>0</v>
      </c>
      <c r="M274" s="91">
        <f ca="1">IFERROR(__xludf.DUMMYFUNCTION("IMPORTRANGE(""https://docs.google.com/spreadsheets/d/1-uDff_7J0KD5mKrp0Vvzr7lt3OU09vwQwhkpOPPYv2Y/edit?usp=sharing"",""งบพรบ!DK67"")"),0)</f>
        <v>0</v>
      </c>
      <c r="N274" s="91">
        <f ca="1">IFERROR(__xludf.DUMMYFUNCTION("IMPORTRANGE(""https://docs.google.com/spreadsheets/d/1-uDff_7J0KD5mKrp0Vvzr7lt3OU09vwQwhkpOPPYv2Y/edit?usp=sharing"",""งบพรบ!DM67"")"),0)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1360"/>
      <c r="B275" s="818"/>
      <c r="C275" s="78" t="s">
        <v>18</v>
      </c>
      <c r="D275" s="909" t="s">
        <v>38</v>
      </c>
      <c r="E275" s="1283"/>
      <c r="F275" s="1283"/>
      <c r="G275" s="1282"/>
      <c r="H275" s="392"/>
      <c r="I275" s="1359"/>
      <c r="J275" s="1359"/>
      <c r="K275" s="1357"/>
      <c r="L275" s="1358"/>
      <c r="M275" s="1357"/>
      <c r="N275" s="1357"/>
      <c r="O275" s="1357"/>
      <c r="P275" s="1357"/>
      <c r="Q275" s="1357"/>
      <c r="R275" s="1357"/>
      <c r="S275" s="1357"/>
      <c r="T275" s="1357"/>
      <c r="U275" s="1357"/>
    </row>
    <row r="276" spans="1:21" ht="18.75" x14ac:dyDescent="0.25">
      <c r="A276" s="1356"/>
      <c r="B276" s="1355"/>
      <c r="C276" s="1355"/>
      <c r="D276" s="933" t="s">
        <v>115</v>
      </c>
      <c r="E276" s="321"/>
      <c r="F276" s="321"/>
      <c r="G276" s="1354"/>
      <c r="H276" s="932" t="s">
        <v>35</v>
      </c>
      <c r="I276" s="323">
        <f ca="1">IFERROR(__xludf.DUMMYFUNCTION("IMPORTRANGE(""https://docs.google.com/spreadsheets/d/1eHaY18a8A9IcSdp1K8H6x8fbOy06t2VsZHhMHf-1x7Y/edit?usp=sharing"",""แผน!EC67"")"),24)</f>
        <v>24</v>
      </c>
      <c r="J276" s="931">
        <v>24</v>
      </c>
      <c r="K276" s="88">
        <f ca="1">IF(I276&gt;0,J276*100/I276,0)</f>
        <v>100</v>
      </c>
      <c r="L276" s="1270"/>
      <c r="M276" s="1067"/>
      <c r="N276" s="1067"/>
      <c r="O276" s="1067"/>
      <c r="P276" s="1067"/>
      <c r="Q276" s="1067"/>
      <c r="R276" s="1067"/>
      <c r="S276" s="1067"/>
      <c r="T276" s="1067"/>
      <c r="U276" s="1067"/>
    </row>
    <row r="277" spans="1:21" ht="18.75" hidden="1" x14ac:dyDescent="0.25">
      <c r="A277" s="1353"/>
      <c r="B277" s="1352"/>
      <c r="C277" s="1352"/>
      <c r="D277" s="1146" t="s">
        <v>116</v>
      </c>
      <c r="E277" s="864"/>
      <c r="F277" s="864"/>
      <c r="G277" s="1351"/>
      <c r="H277" s="1331" t="s">
        <v>35</v>
      </c>
      <c r="I277" s="758">
        <v>0</v>
      </c>
      <c r="J277" s="758">
        <v>0</v>
      </c>
      <c r="K277" s="1144">
        <v>0</v>
      </c>
      <c r="L277" s="1350"/>
      <c r="M277" s="1349"/>
      <c r="N277" s="1349"/>
      <c r="O277" s="1349"/>
      <c r="P277" s="1349"/>
      <c r="Q277" s="1349"/>
      <c r="R277" s="1349"/>
      <c r="S277" s="1349"/>
      <c r="T277" s="1349"/>
      <c r="U277" s="1349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IFERROR(__xludf.DUMMYFUNCTION("IMPORTRANGE(""https://docs.google.com/spreadsheets/d/1-uDff_7J0KD5mKrp0Vvzr7lt3OU09vwQwhkpOPPYv2Y/edit?usp=sharing"",""งบพรบ!DO67"")"),0)</f>
        <v>0</v>
      </c>
      <c r="M287" s="77">
        <f ca="1">IFERROR(__xludf.DUMMYFUNCTION("IMPORTRANGE(""https://docs.google.com/spreadsheets/d/1-uDff_7J0KD5mKrp0Vvzr7lt3OU09vwQwhkpOPPYv2Y/edit?usp=sharing"",""งบพรบ!DT67"")"),0)</f>
        <v>0</v>
      </c>
      <c r="N287" s="77">
        <f ca="1">IFERROR(__xludf.DUMMYFUNCTION("IMPORTRANGE(""https://docs.google.com/spreadsheets/d/1-uDff_7J0KD5mKrp0Vvzr7lt3OU09vwQwhkpOPPYv2Y/edit?usp=sharing"",""งบพรบ!DV67"")"),0)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IFERROR(__xludf.DUMMYFUNCTION("IMPORTRANGE(""https://docs.google.com/spreadsheets/d/1-uDff_7J0KD5mKrp0Vvzr7lt3OU09vwQwhkpOPPYv2Y/edit?usp=sharing"",""งบพรบ!DR67"")"),0)</f>
        <v>0</v>
      </c>
      <c r="M290" s="77">
        <f ca="1">IFERROR(__xludf.DUMMYFUNCTION("IMPORTRANGE(""https://docs.google.com/spreadsheets/d/1-uDff_7J0KD5mKrp0Vvzr7lt3OU09vwQwhkpOPPYv2Y/edit?usp=sharing"",""งบพรบ!DU67"")"),0)</f>
        <v>0</v>
      </c>
      <c r="N290" s="77">
        <f ca="1">IFERROR(__xludf.DUMMYFUNCTION("IMPORTRANGE(""https://docs.google.com/spreadsheets/d/1-uDff_7J0KD5mKrp0Vvzr7lt3OU09vwQwhkpOPPYv2Y/edit?usp=sharing"",""งบพรบ!DW67"")"),0)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IFERROR(__xludf.DUMMYFUNCTION("IMPORTRANGE(""https://docs.google.com/spreadsheets/d/1eHaY18a8A9IcSdp1K8H6x8fbOy06t2VsZHhMHf-1x7Y/edit?usp=sharing"",""แผน!EE67"")"),0)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IFERROR(__xludf.DUMMYFUNCTION("IMPORTRANGE(""https://docs.google.com/spreadsheets/d/1eHaY18a8A9IcSdp1K8H6x8fbOy06t2VsZHhMHf-1x7Y/edit?usp=sharing"",""แผน!ED67"")"),0)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IFERROR(__xludf.DUMMYFUNCTION("IMPORTRANGE(""https://docs.google.com/spreadsheets/d/1eHaY18a8A9IcSdp1K8H6x8fbOy06t2VsZHhMHf-1x7Y/edit?usp=sharing"",""แผน!ED67"")"),0)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IFERROR(__xludf.DUMMYFUNCTION("IMPORTRANGE(""https://docs.google.com/spreadsheets/d/1eHaY18a8A9IcSdp1K8H6x8fbOy06t2VsZHhMHf-1x7Y/edit?usp=sharing"",""แผน!ED67"")"),0)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30</v>
      </c>
      <c r="J302" s="599">
        <f>J314</f>
        <v>30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24000</v>
      </c>
      <c r="T303" s="266">
        <f ca="1">IF(Q303&gt;0,S303*100/Q303,0)</f>
        <v>9.1968685122559197</v>
      </c>
      <c r="U303" s="266">
        <f ca="1">IF(R303&gt;0,S303*100/R303,0)</f>
        <v>9.1968822569149058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24000</v>
      </c>
      <c r="T305" s="77">
        <f ca="1">IF(Q305&gt;0,S305*100/Q305,0)</f>
        <v>9.1968685122559197</v>
      </c>
      <c r="U305" s="77">
        <f ca="1">IF(R305&gt;0,S305*100/R305,0)</f>
        <v>9.1968822569149058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24000</v>
      </c>
      <c r="T306" s="77">
        <f ca="1">IF(Q306&gt;0,S306*100/Q306,0)</f>
        <v>9.1968685122559197</v>
      </c>
      <c r="U306" s="77">
        <f ca="1">IF(R306&gt;0,S306*100/R306,0)</f>
        <v>9.1968822569149058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IFERROR(__xludf.DUMMYFUNCTION("IMPORTRANGE(""https://docs.google.com/spreadsheets/d/1-uDff_7J0KD5mKrp0Vvzr7lt3OU09vwQwhkpOPPYv2Y/edit?usp=sharing"",""งบพรบ!DY67"")"),0)</f>
        <v>0</v>
      </c>
      <c r="M308" s="77">
        <f ca="1">IFERROR(__xludf.DUMMYFUNCTION("IMPORTRANGE(""https://docs.google.com/spreadsheets/d/1-uDff_7J0KD5mKrp0Vvzr7lt3OU09vwQwhkpOPPYv2Y/edit?usp=sharing"",""งบพรบ!ED67"")"),0)</f>
        <v>0</v>
      </c>
      <c r="N308" s="77">
        <f ca="1">IFERROR(__xludf.DUMMYFUNCTION("IMPORTRANGE(""https://docs.google.com/spreadsheets/d/1-uDff_7J0KD5mKrp0Vvzr7lt3OU09vwQwhkpOPPYv2Y/edit?usp=sharing"",""งบพรบ!EF67"")"),0)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IFERROR(__xludf.DUMMYFUNCTION("IMPORTRANGE(""https://docs.google.com/spreadsheets/d/1ItG2mGa2ceCfYo0BwxsXqNm01IGEUdYcSSLTEv9YCik/edit?usp=sharing"",""เบิกจ่ายกองทุน!AP67"")"),260958.39)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IFERROR(__xludf.DUMMYFUNCTION("IMPORTRANGE(""https://docs.google.com/spreadsheets/d/1ItG2mGa2ceCfYo0BwxsXqNm01IGEUdYcSSLTEv9YCik/edit?usp=sharing"",""เบิกจ่ายกองทุน!AQ67"")"),260958)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IFERROR(__xludf.DUMMYFUNCTION("IMPORTRANGE(""https://docs.google.com/spreadsheets/d/1ItG2mGa2ceCfYo0BwxsXqNm01IGEUdYcSSLTEv9YCik/edit?usp=sharing"",""เบิกจ่ายกองทุน!AR67"")"),24000)</f>
        <v>24000</v>
      </c>
      <c r="T308" s="77">
        <f ca="1">IF(Q308&gt;0,S308*100/Q308,0)</f>
        <v>9.1968685122559197</v>
      </c>
      <c r="U308" s="77">
        <f ca="1">IF(R308&gt;0,S308*100/R308,0)</f>
        <v>9.1968822569149058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IFERROR(__xludf.DUMMYFUNCTION("IMPORTRANGE(""https://docs.google.com/spreadsheets/d/1-uDff_7J0KD5mKrp0Vvzr7lt3OU09vwQwhkpOPPYv2Y/edit?usp=sharing"",""งบพรบ!EB67"")"),0)</f>
        <v>0</v>
      </c>
      <c r="M311" s="77">
        <f ca="1">IFERROR(__xludf.DUMMYFUNCTION("IMPORTRANGE(""https://docs.google.com/spreadsheets/d/1-uDff_7J0KD5mKrp0Vvzr7lt3OU09vwQwhkpOPPYv2Y/edit?usp=sharing"",""งบพรบ!EE67"")"),0)</f>
        <v>0</v>
      </c>
      <c r="N311" s="77">
        <f ca="1">IFERROR(__xludf.DUMMYFUNCTION("IMPORTRANGE(""https://docs.google.com/spreadsheets/d/1-uDff_7J0KD5mKrp0Vvzr7lt3OU09vwQwhkpOPPYv2Y/edit?usp=sharing"",""งบพรบ!EG67"")"),0)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IFERROR(__xludf.DUMMYFUNCTION("IMPORTRANGE(""https://docs.google.com/spreadsheets/d/1eHaY18a8A9IcSdp1K8H6x8fbOy06t2VsZHhMHf-1x7Y/edit?usp=sharing"",""แผน!EF67"")"),30)</f>
        <v>30</v>
      </c>
      <c r="J314" s="296">
        <v>30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IFERROR(__xludf.DUMMYFUNCTION("IMPORTRANGE(""https://docs.google.com/spreadsheets/d/1-uDff_7J0KD5mKrp0Vvzr7lt3OU09vwQwhkpOPPYv2Y/edit?usp=sharing"",""งบพรบ!EI67"")"),0)</f>
        <v>0</v>
      </c>
      <c r="M325" s="77">
        <f ca="1">IFERROR(__xludf.DUMMYFUNCTION("IMPORTRANGE(""https://docs.google.com/spreadsheets/d/1-uDff_7J0KD5mKrp0Vvzr7lt3OU09vwQwhkpOPPYv2Y/edit?usp=sharing"",""งบพรบ!EN67"")"),0)</f>
        <v>0</v>
      </c>
      <c r="N325" s="77">
        <f ca="1">IFERROR(__xludf.DUMMYFUNCTION("IMPORTRANGE(""https://docs.google.com/spreadsheets/d/1-uDff_7J0KD5mKrp0Vvzr7lt3OU09vwQwhkpOPPYv2Y/edit?usp=sharing"",""งบพรบ!EP67"")"),0)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IFERROR(__xludf.DUMMYFUNCTION("IMPORTRANGE(""https://docs.google.com/spreadsheets/d/1-uDff_7J0KD5mKrp0Vvzr7lt3OU09vwQwhkpOPPYv2Y/edit?usp=sharing"",""งบพรบ!EL67"")"),0)</f>
        <v>0</v>
      </c>
      <c r="M328" s="77">
        <f ca="1">IFERROR(__xludf.DUMMYFUNCTION("IMPORTRANGE(""https://docs.google.com/spreadsheets/d/1-uDff_7J0KD5mKrp0Vvzr7lt3OU09vwQwhkpOPPYv2Y/edit?usp=sharing"",""งบพรบ!EO67"")"),0)</f>
        <v>0</v>
      </c>
      <c r="N328" s="77">
        <f ca="1">IFERROR(__xludf.DUMMYFUNCTION("IMPORTRANGE(""https://docs.google.com/spreadsheets/d/1-uDff_7J0KD5mKrp0Vvzr7lt3OU09vwQwhkpOPPYv2Y/edit?usp=sharing"",""งบพรบ!EQ67"")"),0)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IFERROR(__xludf.DUMMYFUNCTION("IMPORTRANGE(""https://docs.google.com/spreadsheets/d/1eHaY18a8A9IcSdp1K8H6x8fbOy06t2VsZHhMHf-1x7Y/edit?usp=sharing"",""แผน!EJ67"")"),0)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1060</v>
      </c>
      <c r="J332" s="519">
        <f ca="1">J344+J347+J348+J349+J353+J354</f>
        <v>5841</v>
      </c>
      <c r="K332" s="520">
        <f ca="1">IF(I332&gt;0,J332*100/I332,0)</f>
        <v>551.03773584905662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108000</v>
      </c>
      <c r="M333" s="266">
        <f ca="1">M334+M335</f>
        <v>113000</v>
      </c>
      <c r="N333" s="266">
        <f ca="1">N334+N335</f>
        <v>83810</v>
      </c>
      <c r="O333" s="266">
        <f ca="1">IF(L333&gt;0,N333*100/L333,0)</f>
        <v>77.601851851851848</v>
      </c>
      <c r="P333" s="266">
        <f ca="1">IF(M333&gt;0,N333*100/M333,0)</f>
        <v>74.16814159292035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108000</v>
      </c>
      <c r="M335" s="77">
        <f ca="1">M338+M341</f>
        <v>113000</v>
      </c>
      <c r="N335" s="77">
        <f ca="1">N338+N341</f>
        <v>83810</v>
      </c>
      <c r="O335" s="77">
        <f ca="1">IF(L335&gt;0,N335*100/L335,0)</f>
        <v>77.601851851851848</v>
      </c>
      <c r="P335" s="77">
        <f ca="1">IF(M335&gt;0,N335*100/M335,0)</f>
        <v>74.16814159292035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108000</v>
      </c>
      <c r="M336" s="77">
        <f ca="1">M337+M338</f>
        <v>113000</v>
      </c>
      <c r="N336" s="77">
        <f ca="1">N337+N338</f>
        <v>83810</v>
      </c>
      <c r="O336" s="77">
        <f ca="1">IF(L336&gt;0,N336*100/L336,0)</f>
        <v>77.601851851851848</v>
      </c>
      <c r="P336" s="77">
        <f ca="1">IF(M336&gt;0,N336*100/M336,0)</f>
        <v>74.16814159292035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IFERROR(__xludf.DUMMYFUNCTION("IMPORTRANGE(""https://docs.google.com/spreadsheets/d/1-uDff_7J0KD5mKrp0Vvzr7lt3OU09vwQwhkpOPPYv2Y/edit?usp=sharing"",""งบพรบ!ES67"")"),108000)</f>
        <v>108000</v>
      </c>
      <c r="M338" s="77">
        <f ca="1">IFERROR(__xludf.DUMMYFUNCTION("IMPORTRANGE(""https://docs.google.com/spreadsheets/d/1-uDff_7J0KD5mKrp0Vvzr7lt3OU09vwQwhkpOPPYv2Y/edit?usp=sharing"",""งบพรบ!EX67"")"),113000)</f>
        <v>113000</v>
      </c>
      <c r="N338" s="77">
        <f ca="1">IFERROR(__xludf.DUMMYFUNCTION("IMPORTRANGE(""https://docs.google.com/spreadsheets/d/1-uDff_7J0KD5mKrp0Vvzr7lt3OU09vwQwhkpOPPYv2Y/edit?usp=sharing"",""งบพรบ!EZ67"")"),83810)</f>
        <v>83810</v>
      </c>
      <c r="O338" s="77">
        <f ca="1">IF(L338&gt;0,N338*100/L338,0)</f>
        <v>77.601851851851848</v>
      </c>
      <c r="P338" s="77">
        <f ca="1">IF(M338&gt;0,N338*100/M338,0)</f>
        <v>74.16814159292035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IFERROR(__xludf.DUMMYFUNCTION("IMPORTRANGE(""https://docs.google.com/spreadsheets/d/1-uDff_7J0KD5mKrp0Vvzr7lt3OU09vwQwhkpOPPYv2Y/edit?usp=sharing"",""งบพรบ!EV67"")"),0)</f>
        <v>0</v>
      </c>
      <c r="M341" s="77">
        <f ca="1">IFERROR(__xludf.DUMMYFUNCTION("IMPORTRANGE(""https://docs.google.com/spreadsheets/d/1-uDff_7J0KD5mKrp0Vvzr7lt3OU09vwQwhkpOPPYv2Y/edit?usp=sharing"",""งบพรบ!EY67"")"),0)</f>
        <v>0</v>
      </c>
      <c r="N341" s="77">
        <f ca="1">IFERROR(__xludf.DUMMYFUNCTION("IMPORTRANGE(""https://docs.google.com/spreadsheets/d/1-uDff_7J0KD5mKrp0Vvzr7lt3OU09vwQwhkpOPPYv2Y/edit?usp=sharing"",""งบพรบ!FA67"")"),0)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1796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IFERROR(__xludf.DUMMYFUNCTION("IMPORTRANGE(""https://docs.google.com/spreadsheets/d/1eHaY18a8A9IcSdp1K8H6x8fbOy06t2VsZHhMHf-1x7Y/edit?usp=sharing"",""แผน!EK67"")"),1060)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IFERROR(__xludf.DUMMYFUNCTION("IMPORTRANGE(""https://docs.google.com/spreadsheets/d/1awYsYK3VOup2i3Pq_Yjnu8DRu_mYwSBnCR2QPthd0rU/edit?usp=sharing"",""ศูนย์ยกเว้นโฉนด!D67"")"),1795)</f>
        <v>1795</v>
      </c>
      <c r="K344" s="77">
        <f ca="1">IF(I344&gt;0,J344*100/I344,0)</f>
        <v>169.33962264150944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IFERROR(__xludf.DUMMYFUNCTION("IMPORTRANGE(""https://docs.google.com/spreadsheets/d/1eHaY18a8A9IcSdp1K8H6x8fbOy06t2VsZHhMHf-1x7Y/edit?usp=sharing"",""แผน!EL67"")"),4)</f>
        <v>4</v>
      </c>
      <c r="J346" s="295">
        <f ca="1">IFERROR(__xludf.DUMMYFUNCTION("IMPORTRANGE(""https://docs.google.com/spreadsheets/d/1awYsYK3VOup2i3Pq_Yjnu8DRu_mYwSBnCR2QPthd0rU/edit?usp=sharing"",""ศูนย์รวม!E67"")"),6)</f>
        <v>6</v>
      </c>
      <c r="K346" s="77">
        <f ca="1">IF(I346&gt;0,J346*100/I346,0)</f>
        <v>150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IFERROR(__xludf.DUMMYFUNCTION("IMPORTRANGE(""https://docs.google.com/spreadsheets/d/1awYsYK3VOup2i3Pq_Yjnu8DRu_mYwSBnCR2QPthd0rU/edit?usp=sharing"",""ศูนย์ยกเว้นโฉนด!F67"")"),0)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IFERROR(__xludf.DUMMYFUNCTION("IMPORTRANGE(""https://docs.google.com/spreadsheets/d/1awYsYK3VOup2i3Pq_Yjnu8DRu_mYwSBnCR2QPthd0rU/edit?usp=sharing"",""ศูนย์ยกเว้นโฉนด!G67"")"),1)</f>
        <v>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IFERROR(__xludf.DUMMYFUNCTION("IMPORTRANGE(""https://docs.google.com/spreadsheets/d/1awYsYK3VOup2i3Pq_Yjnu8DRu_mYwSBnCR2QPthd0rU/edit?usp=sharing"",""ศูนย์ยกเว้นโฉนด!H67"")"),0)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4341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IFERROR(__xludf.DUMMYFUNCTION("IMPORTRANGE(""https://docs.google.com/spreadsheets/d/1awYsYK3VOup2i3Pq_Yjnu8DRu_mYwSBnCR2QPthd0rU/edit?usp=sharing"",""โฉนดM3!G67"")"),296)</f>
        <v>296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IFERROR(__xludf.DUMMYFUNCTION("IMPORTRANGE(""https://docs.google.com/spreadsheets/d/1awYsYK3VOup2i3Pq_Yjnu8DRu_mYwSBnCR2QPthd0rU/edit?usp=sharing"",""โฉนดM3!H67"")"),4045)</f>
        <v>4045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IFERROR(__xludf.DUMMYFUNCTION("IMPORTRANGE(""https://docs.google.com/spreadsheets/d/1awYsYK3VOup2i3Pq_Yjnu8DRu_mYwSBnCR2QPthd0rU/edit?usp=sharing"",""โฉนดM3!I67"")"),0)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591785</v>
      </c>
      <c r="M356" s="266">
        <f ca="1">M357+M358</f>
        <v>591785</v>
      </c>
      <c r="N356" s="266">
        <f ca="1">N357+N358</f>
        <v>445623.24</v>
      </c>
      <c r="O356" s="266">
        <f ca="1">IF(L356&gt;0,N356*100/L356,0)</f>
        <v>75.301543634934987</v>
      </c>
      <c r="P356" s="266">
        <f ca="1">IF(M356&gt;0,N356*100/M356,0)</f>
        <v>75.301543634934987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591785</v>
      </c>
      <c r="M358" s="77">
        <f ca="1">M361+M364</f>
        <v>591785</v>
      </c>
      <c r="N358" s="77">
        <f ca="1">N361+N364</f>
        <v>445623.24</v>
      </c>
      <c r="O358" s="77">
        <f ca="1">IF(L358&gt;0,N358*100/L358,0)</f>
        <v>75.301543634934987</v>
      </c>
      <c r="P358" s="77">
        <f ca="1">IF(M358&gt;0,N358*100/M358,0)</f>
        <v>75.301543634934987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591785</v>
      </c>
      <c r="M359" s="77">
        <f ca="1">M360+M361</f>
        <v>591785</v>
      </c>
      <c r="N359" s="77">
        <f ca="1">N360+N361</f>
        <v>445623.24</v>
      </c>
      <c r="O359" s="77">
        <f ca="1">IF(L359&gt;0,N359*100/L359,0)</f>
        <v>75.301543634934987</v>
      </c>
      <c r="P359" s="77">
        <f ca="1">IF(M359&gt;0,N359*100/M359,0)</f>
        <v>75.301543634934987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IFERROR(__xludf.DUMMYFUNCTION("IMPORTRANGE(""https://docs.google.com/spreadsheets/d/1-uDff_7J0KD5mKrp0Vvzr7lt3OU09vwQwhkpOPPYv2Y/edit?usp=sharing"",""งบพรบ!FC67"")"),591785)</f>
        <v>591785</v>
      </c>
      <c r="M361" s="77">
        <f ca="1">IFERROR(__xludf.DUMMYFUNCTION("IMPORTRANGE(""https://docs.google.com/spreadsheets/d/1-uDff_7J0KD5mKrp0Vvzr7lt3OU09vwQwhkpOPPYv2Y/edit?usp=sharing"",""งบพรบ!FH67"")"),591785)</f>
        <v>591785</v>
      </c>
      <c r="N361" s="77">
        <f ca="1">IFERROR(__xludf.DUMMYFUNCTION("IMPORTRANGE(""https://docs.google.com/spreadsheets/d/1-uDff_7J0KD5mKrp0Vvzr7lt3OU09vwQwhkpOPPYv2Y/edit?usp=sharing"",""งบพรบ!FJ67"")"),445623.24)</f>
        <v>445623.24</v>
      </c>
      <c r="O361" s="77">
        <f ca="1">IF(L361&gt;0,N361*100/L361,0)</f>
        <v>75.301543634934987</v>
      </c>
      <c r="P361" s="77">
        <f ca="1">IF(M361&gt;0,N361*100/M361,0)</f>
        <v>75.301543634934987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IFERROR(__xludf.DUMMYFUNCTION("IMPORTRANGE(""https://docs.google.com/spreadsheets/d/1-uDff_7J0KD5mKrp0Vvzr7lt3OU09vwQwhkpOPPYv2Y/edit?usp=sharing"",""งบพรบ!FF67"")"),0)</f>
        <v>0</v>
      </c>
      <c r="M364" s="77">
        <f ca="1">IFERROR(__xludf.DUMMYFUNCTION("IMPORTRANGE(""https://docs.google.com/spreadsheets/d/1-uDff_7J0KD5mKrp0Vvzr7lt3OU09vwQwhkpOPPYv2Y/edit?usp=sharing"",""งบพรบ!FI67"")"),0)</f>
        <v>0</v>
      </c>
      <c r="N364" s="77">
        <f ca="1">IFERROR(__xludf.DUMMYFUNCTION("IMPORTRANGE(""https://docs.google.com/spreadsheets/d/1-uDff_7J0KD5mKrp0Vvzr7lt3OU09vwQwhkpOPPYv2Y/edit?usp=sharing"",""งบพรบ!FK67"")"),0)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123</v>
      </c>
      <c r="J365" s="542">
        <f ca="1">J371</f>
        <v>170</v>
      </c>
      <c r="K365" s="543">
        <f ca="1">IF(I365&gt;0,J365*100/I365,0)</f>
        <v>138.21138211382114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IFERROR(__xludf.DUMMYFUNCTION("IMPORTRANGE(""https://docs.google.com/spreadsheets/d/1tdoBKaGub7dwA3U6UFTqxio9LNnvDCQjHKmttSEBsFQ/edit?usp=sharing"",""จัดที่ดิน!AB67"")"),21)</f>
        <v>21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IFERROR(__xludf.DUMMYFUNCTION("IMPORTRANGE(""https://docs.google.com/spreadsheets/d/1eHaY18a8A9IcSdp1K8H6x8fbOy06t2VsZHhMHf-1x7Y/edit?usp=sharing"",""แผน!EW67"")"),565)</f>
        <v>565</v>
      </c>
      <c r="J368" s="1094">
        <f ca="1">IFERROR(__xludf.DUMMYFUNCTION("IMPORTRANGE(""https://docs.google.com/spreadsheets/d/1tdoBKaGub7dwA3U6UFTqxio9LNnvDCQjHKmttSEBsFQ/edit?usp=sharing"",""จัดที่ดิน!AC67"")"),140.84)</f>
        <v>140.84</v>
      </c>
      <c r="K368" s="77">
        <f ca="1">IF(I368&gt;0,J368*100/I368,0)</f>
        <v>24.927433628318585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IFERROR(__xludf.DUMMYFUNCTION("IMPORTRANGE(""https://docs.google.com/spreadsheets/d/1eHaY18a8A9IcSdp1K8H6x8fbOy06t2VsZHhMHf-1x7Y/edit?usp=sharing"",""แผน!EX67"")"),123)</f>
        <v>123</v>
      </c>
      <c r="J369" s="295">
        <f ca="1">IFERROR(__xludf.DUMMYFUNCTION("IMPORTRANGE(""https://docs.google.com/spreadsheets/d/1tdoBKaGub7dwA3U6UFTqxio9LNnvDCQjHKmttSEBsFQ/edit?usp=sharing"",""จัดที่ดิน!AD67"")"),167)</f>
        <v>167</v>
      </c>
      <c r="K369" s="77">
        <f ca="1">IF(I369&gt;0,J369*100/I369,0)</f>
        <v>135.77235772357724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IFERROR(__xludf.DUMMYFUNCTION("IMPORTRANGE(""https://docs.google.com/spreadsheets/d/1tdoBKaGub7dwA3U6UFTqxio9LNnvDCQjHKmttSEBsFQ/edit?usp=sharing"",""จัดที่ดิน!AE67"")"),2041.31)</f>
        <v>2041.31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IFERROR(__xludf.DUMMYFUNCTION("IMPORTRANGE(""https://docs.google.com/spreadsheets/d/1eHaY18a8A9IcSdp1K8H6x8fbOy06t2VsZHhMHf-1x7Y/edit?usp=sharing"",""แผน!EY67"")"),123)</f>
        <v>123</v>
      </c>
      <c r="J371" s="295">
        <f ca="1">IFERROR(__xludf.DUMMYFUNCTION("IMPORTRANGE(""https://docs.google.com/spreadsheets/d/1tdoBKaGub7dwA3U6UFTqxio9LNnvDCQjHKmttSEBsFQ/edit?usp=sharing"",""จัดที่ดิน!AF67"")"),170)</f>
        <v>170</v>
      </c>
      <c r="K371" s="77">
        <f ca="1">IF(I371&gt;0,J371*100/I371,0)</f>
        <v>138.21138211382114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IFERROR(__xludf.DUMMYFUNCTION("IMPORTRANGE(""https://docs.google.com/spreadsheets/d/1tdoBKaGub7dwA3U6UFTqxio9LNnvDCQjHKmttSEBsFQ/edit?usp=sharing"",""จัดที่ดิน!AG67"")"),2098.77)</f>
        <v>2098.77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62500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62500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62500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IFERROR(__xludf.DUMMYFUNCTION("IMPORTRANGE(""https://docs.google.com/spreadsheets/d/1ItG2mGa2ceCfYo0BwxsXqNm01IGEUdYcSSLTEv9YCik/edit?usp=sharing"",""เบิกจ่ายกองทุน!AY67"")"),62500)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IFERROR(__xludf.DUMMYFUNCTION("IMPORTRANGE(""https://docs.google.com/spreadsheets/d/1ItG2mGa2ceCfYo0BwxsXqNm01IGEUdYcSSLTEv9YCik/edit?usp=sharing"",""เบิกจ่ายกองทุน!AZ67"")"),0)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IFERROR(__xludf.DUMMYFUNCTION("IMPORTRANGE(""https://docs.google.com/spreadsheets/d/1ItG2mGa2ceCfYo0BwxsXqNm01IGEUdYcSSLTEv9YCik/edit?usp=sharing"",""เบิกจ่ายกองทุน!BA67"")"),0)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IFERROR(__xludf.DUMMYFUNCTION("IMPORTRANGE(""https://docs.google.com/spreadsheets/d/1w5rwWK1o49a35cNtocGL0gxDwhFSTZUQu90BiH9_zqM/edit?usp=sharing"",""RTK!H67"")"),0)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IFERROR(__xludf.DUMMYFUNCTION("IMPORTRANGE(""https://docs.google.com/spreadsheets/d/1w5rwWK1o49a35cNtocGL0gxDwhFSTZUQu90BiH9_zqM/edit?usp=sharing"",""RTK!G67"")"),1000)</f>
        <v>1000</v>
      </c>
      <c r="J386" s="295">
        <f ca="1">IFERROR(__xludf.DUMMYFUNCTION("IMPORTRANGE(""https://docs.google.com/spreadsheets/d/1w5rwWK1o49a35cNtocGL0gxDwhFSTZUQu90BiH9_zqM/edit?usp=sharing"",""RTK!I67"")"),0)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IFERROR(__xludf.DUMMYFUNCTION("IMPORTRANGE(""https://docs.google.com/spreadsheets/d/1w5rwWK1o49a35cNtocGL0gxDwhFSTZUQu90BiH9_zqM/edit?usp=sharing"",""RTK!L67"")"),0)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IFERROR(__xludf.DUMMYFUNCTION("IMPORTRANGE(""https://docs.google.com/spreadsheets/d/1w5rwWK1o49a35cNtocGL0gxDwhFSTZUQu90BiH9_zqM/edit?usp=sharing"",""RTK!K67"")"),0)</f>
        <v>0</v>
      </c>
      <c r="J388" s="241">
        <f ca="1">IFERROR(__xludf.DUMMYFUNCTION("IMPORTRANGE(""https://docs.google.com/spreadsheets/d/1w5rwWK1o49a35cNtocGL0gxDwhFSTZUQu90BiH9_zqM/edit?usp=sharing"",""RTK!M67"")"),0)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IFERROR(__xludf.DUMMYFUNCTION("IMPORTRANGE(""https://docs.google.com/spreadsheets/d/1ItG2mGa2ceCfYo0BwxsXqNm01IGEUdYcSSLTEv9YCik/edit?usp=sharing"",""เบิกจ่ายกองทุน!BH67"")"),0)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IFERROR(__xludf.DUMMYFUNCTION("IMPORTRANGE(""https://docs.google.com/spreadsheets/d/1ItG2mGa2ceCfYo0BwxsXqNm01IGEUdYcSSLTEv9YCik/edit?usp=sharing"",""เบิกจ่ายกองทุน!BI67"")"),0)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IFERROR(__xludf.DUMMYFUNCTION("IMPORTRANGE(""https://docs.google.com/spreadsheets/d/1ItG2mGa2ceCfYo0BwxsXqNm01IGEUdYcSSLTEv9YCik/edit?usp=sharing"",""เบิกจ่ายกองทุน!BJ67"")"),0)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IFERROR(__xludf.DUMMYFUNCTION("IMPORTRANGE(""https://docs.google.com/spreadsheets/d/1eHaY18a8A9IcSdp1K8H6x8fbOy06t2VsZHhMHf-1x7Y/edit?usp=sharing"",""แผน!HJ67"")"),0)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IFERROR(__xludf.DUMMYFUNCTION("IMPORTRANGE(""https://docs.google.com/spreadsheets/d/1eHaY18a8A9IcSdp1K8H6x8fbOy06t2VsZHhMHf-1x7Y/edit?usp=sharing"",""แผน!HK67"")"),0)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IFERROR(__xludf.DUMMYFUNCTION("IMPORTRANGE(""https://docs.google.com/spreadsheets/d/1eHaY18a8A9IcSdp1K8H6x8fbOy06t2VsZHhMHf-1x7Y/edit?usp=sharing"",""แผน!HJ67"")"),0)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IFERROR(__xludf.DUMMYFUNCTION("IMPORTRANGE(""https://docs.google.com/spreadsheets/d/1eHaY18a8A9IcSdp1K8H6x8fbOy06t2VsZHhMHf-1x7Y/edit?usp=sharing"",""แผน!HK67"")"),0)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IFERROR(__xludf.DUMMYFUNCTION("IMPORTRANGE(""https://docs.google.com/spreadsheets/d/1eHaY18a8A9IcSdp1K8H6x8fbOy06t2VsZHhMHf-1x7Y/edit?usp=sharing"",""แผน!HJ67"")"),0)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IFERROR(__xludf.DUMMYFUNCTION("IMPORTRANGE(""https://docs.google.com/spreadsheets/d/1eHaY18a8A9IcSdp1K8H6x8fbOy06t2VsZHhMHf-1x7Y/edit?usp=sharing"",""แผน!HK67"")"),0)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IFERROR(__xludf.DUMMYFUNCTION("IMPORTRANGE(""https://docs.google.com/spreadsheets/d/1eHaY18a8A9IcSdp1K8H6x8fbOy06t2VsZHhMHf-1x7Y/edit?usp=sharing"",""แผน!HL67"")"),0)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IFERROR(__xludf.DUMMYFUNCTION("IMPORTRANGE(""https://docs.google.com/spreadsheets/d/1eHaY18a8A9IcSdp1K8H6x8fbOy06t2VsZHhMHf-1x7Y/edit?usp=sharing"",""แผน!HM67"")"),0)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IFERROR(__xludf.DUMMYFUNCTION("IMPORTRANGE(""https://docs.google.com/spreadsheets/d/1eHaY18a8A9IcSdp1K8H6x8fbOy06t2VsZHhMHf-1x7Y/edit?usp=sharing"",""แผน!HN67"")"),0)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IFERROR(__xludf.DUMMYFUNCTION("IMPORTRANGE(""https://docs.google.com/spreadsheets/d/1eHaY18a8A9IcSdp1K8H6x8fbOy06t2VsZHhMHf-1x7Y/edit?usp=sharing"",""แผน!HO67"")"),0)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IFERROR(__xludf.DUMMYFUNCTION("IMPORTRANGE(""https://docs.google.com/spreadsheets/d/1ItG2mGa2ceCfYo0BwxsXqNm01IGEUdYcSSLTEv9YCik/edit?usp=sharing"",""เบิกจ่ายกองทุน!X67"")"),0)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IFERROR(__xludf.DUMMYFUNCTION("IMPORTRANGE(""https://docs.google.com/spreadsheets/d/1ItG2mGa2ceCfYo0BwxsXqNm01IGEUdYcSSLTEv9YCik/edit?usp=sharing"",""เบิกจ่ายกองทุน!Y67"")"),0)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IFERROR(__xludf.DUMMYFUNCTION("IMPORTRANGE(""https://docs.google.com/spreadsheets/d/1ItG2mGa2ceCfYo0BwxsXqNm01IGEUdYcSSLTEv9YCik/edit?usp=sharing"",""เบิกจ่ายกองทุน!Z67"")"),0)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IFERROR(__xludf.DUMMYFUNCTION("IMPORTRANGE(""https://docs.google.com/spreadsheets/d/1eHaY18a8A9IcSdp1K8H6x8fbOy06t2VsZHhMHf-1x7Y/edit?usp=sharing"",""แผน!GX67"")"),0)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IFERROR(__xludf.DUMMYFUNCTION("IMPORTRANGE(""https://docs.google.com/spreadsheets/d/1eHaY18a8A9IcSdp1K8H6x8fbOy06t2VsZHhMHf-1x7Y/edit?usp=sharing"",""แผน!GY67"")"),0)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IFERROR(__xludf.DUMMYFUNCTION("IMPORTRANGE(""https://docs.google.com/spreadsheets/d/1eHaY18a8A9IcSdp1K8H6x8fbOy06t2VsZHhMHf-1x7Y/edit?usp=sharing"",""แผน!GZ67"")"),0)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IFERROR(__xludf.DUMMYFUNCTION("IMPORTRANGE(""https://docs.google.com/spreadsheets/d/1eHaY18a8A9IcSdp1K8H6x8fbOy06t2VsZHhMHf-1x7Y/edit?usp=sharing"",""แผน!HA67"")"),0)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IFERROR(__xludf.DUMMYFUNCTION("IMPORTRANGE(""https://docs.google.com/spreadsheets/d/1eHaY18a8A9IcSdp1K8H6x8fbOy06t2VsZHhMHf-1x7Y/edit?usp=sharing"",""แผน!HB67"")"),0)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IFERROR(__xludf.DUMMYFUNCTION("IMPORTRANGE(""https://docs.google.com/spreadsheets/d/1eHaY18a8A9IcSdp1K8H6x8fbOy06t2VsZHhMHf-1x7Y/edit?usp=sharing"",""แผน!HC67"")"),0)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IFERROR(__xludf.DUMMYFUNCTION("IMPORTRANGE(""https://docs.google.com/spreadsheets/d/1-uDff_7J0KD5mKrp0Vvzr7lt3OU09vwQwhkpOPPYv2Y/edit?usp=sharing"",""งบพรบ!FM67"")"),0)</f>
        <v>0</v>
      </c>
      <c r="M518" s="77">
        <f ca="1">IFERROR(__xludf.DUMMYFUNCTION("IMPORTRANGE(""https://docs.google.com/spreadsheets/d/1-uDff_7J0KD5mKrp0Vvzr7lt3OU09vwQwhkpOPPYv2Y/edit?usp=sharing"",""งบพรบ!FR67"")"),0)</f>
        <v>0</v>
      </c>
      <c r="N518" s="77">
        <f ca="1">IFERROR(__xludf.DUMMYFUNCTION("IMPORTRANGE(""https://docs.google.com/spreadsheets/d/1-uDff_7J0KD5mKrp0Vvzr7lt3OU09vwQwhkpOPPYv2Y/edit?usp=sharing"",""งบพรบ!FT67"")"),0)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IFERROR(__xludf.DUMMYFUNCTION("IMPORTRANGE(""https://docs.google.com/spreadsheets/d/1-uDff_7J0KD5mKrp0Vvzr7lt3OU09vwQwhkpOPPYv2Y/edit?usp=sharing"",""งบพรบ!FP67"")"),0)</f>
        <v>0</v>
      </c>
      <c r="M521" s="77">
        <f ca="1">IFERROR(__xludf.DUMMYFUNCTION("IMPORTRANGE(""https://docs.google.com/spreadsheets/d/1-uDff_7J0KD5mKrp0Vvzr7lt3OU09vwQwhkpOPPYv2Y/edit?usp=sharing"",""งบพรบ!FS67"")"),0)</f>
        <v>0</v>
      </c>
      <c r="N521" s="77">
        <f ca="1">IFERROR(__xludf.DUMMYFUNCTION("IMPORTRANGE(""https://docs.google.com/spreadsheets/d/1-uDff_7J0KD5mKrp0Vvzr7lt3OU09vwQwhkpOPPYv2Y/edit?usp=sharing"",""งบพรบ!FU67"")"),0)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7350</v>
      </c>
      <c r="R616" s="266">
        <f ca="1">R617+R618</f>
        <v>7350</v>
      </c>
      <c r="S616" s="266">
        <f ca="1">S617+S618</f>
        <v>420</v>
      </c>
      <c r="T616" s="266">
        <f ca="1">IF(Q616&gt;0,S616*100/Q616,0)</f>
        <v>5.7142857142857144</v>
      </c>
      <c r="U616" s="266">
        <f ca="1">IF(R616&gt;0,S616*100/R616,0)</f>
        <v>5.7142857142857144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7350</v>
      </c>
      <c r="R618" s="77">
        <f ca="1">R621+R624</f>
        <v>7350</v>
      </c>
      <c r="S618" s="77">
        <f ca="1">S621+S624</f>
        <v>420</v>
      </c>
      <c r="T618" s="77">
        <f ca="1">IF(Q618&gt;0,S618*100/Q618,0)</f>
        <v>5.7142857142857144</v>
      </c>
      <c r="U618" s="77">
        <f ca="1">IF(R618&gt;0,S618*100/R618,0)</f>
        <v>5.7142857142857144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7350</v>
      </c>
      <c r="R619" s="77">
        <f ca="1">R620+R621</f>
        <v>7350</v>
      </c>
      <c r="S619" s="77">
        <f ca="1">S620+S621</f>
        <v>420</v>
      </c>
      <c r="T619" s="77">
        <f ca="1">IF(Q619&gt;0,S619*100/Q619,0)</f>
        <v>5.7142857142857144</v>
      </c>
      <c r="U619" s="77">
        <f ca="1">IF(R619&gt;0,S619*100/R619,0)</f>
        <v>5.7142857142857144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IFERROR(__xludf.DUMMYFUNCTION("IMPORTRANGE(""https://docs.google.com/spreadsheets/d/1ItG2mGa2ceCfYo0BwxsXqNm01IGEUdYcSSLTEv9YCik/edit?usp=sharing"",""เบิกจ่ายกองทุน!F67"")"),7350)</f>
        <v>7350</v>
      </c>
      <c r="R621" s="77">
        <f ca="1">IFERROR(__xludf.DUMMYFUNCTION("IMPORTRANGE(""https://docs.google.com/spreadsheets/d/1ItG2mGa2ceCfYo0BwxsXqNm01IGEUdYcSSLTEv9YCik/edit?usp=sharing"",""เบิกจ่ายกองทุน!G67"")"),7350)</f>
        <v>7350</v>
      </c>
      <c r="S621" s="77">
        <f ca="1">IFERROR(__xludf.DUMMYFUNCTION("IMPORTRANGE(""https://docs.google.com/spreadsheets/d/1ItG2mGa2ceCfYo0BwxsXqNm01IGEUdYcSSLTEv9YCik/edit?usp=sharing"",""เบิกจ่ายกองทุน!H67"")"),420)</f>
        <v>420</v>
      </c>
      <c r="T621" s="77">
        <f ca="1">IF(Q621&gt;0,S621*100/Q621,0)</f>
        <v>5.7142857142857144</v>
      </c>
      <c r="U621" s="77">
        <f ca="1">IF(R621&gt;0,S621*100/R621,0)</f>
        <v>5.7142857142857144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IFERROR(__xludf.DUMMYFUNCTION("IMPORTRANGE(""https://docs.google.com/spreadsheets/d/1eHaY18a8A9IcSdp1K8H6x8fbOy06t2VsZHhMHf-1x7Y/edit?usp=sharing"",""แผน!ID67"")"),50)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IFERROR(__xludf.DUMMYFUNCTION("IMPORTRANGE(""https://docs.google.com/spreadsheets/d/1eHaY18a8A9IcSdp1K8H6x8fbOy06t2VsZHhMHf-1x7Y/edit?usp=sharing"",""แผน!IC67"")"),1)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IFERROR(__xludf.DUMMYFUNCTION("IMPORTRANGE(""https://docs.google.com/spreadsheets/d/1eHaY18a8A9IcSdp1K8H6x8fbOy06t2VsZHhMHf-1x7Y/edit?usp=sharing"",""แผน!IC67"")"),1)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IFERROR(__xludf.DUMMYFUNCTION("IMPORTRANGE(""https://docs.google.com/spreadsheets/d/1eHaY18a8A9IcSdp1K8H6x8fbOy06t2VsZHhMHf-1x7Y/edit?usp=sharing"",""แผน!IE67"")"),0)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6900</v>
      </c>
      <c r="R642" s="266">
        <f ca="1">R643+R644</f>
        <v>6900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6900</v>
      </c>
      <c r="R644" s="77">
        <f ca="1">R647+R650</f>
        <v>6900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6900</v>
      </c>
      <c r="R645" s="77">
        <f ca="1">R646+R647</f>
        <v>6900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IFERROR(__xludf.DUMMYFUNCTION("IMPORTRANGE(""https://docs.google.com/spreadsheets/d/1ItG2mGa2ceCfYo0BwxsXqNm01IGEUdYcSSLTEv9YCik/edit?usp=sharing"",""เบิกจ่ายกองทุน!I67"")"),6900)</f>
        <v>6900</v>
      </c>
      <c r="R647" s="77">
        <f ca="1">IFERROR(__xludf.DUMMYFUNCTION("IMPORTRANGE(""https://docs.google.com/spreadsheets/d/1ItG2mGa2ceCfYo0BwxsXqNm01IGEUdYcSSLTEv9YCik/edit?usp=sharing"",""เบิกจ่ายกองทุน!J67"")"),6900)</f>
        <v>6900</v>
      </c>
      <c r="S647" s="77">
        <f ca="1">IFERROR(__xludf.DUMMYFUNCTION("IMPORTRANGE(""https://docs.google.com/spreadsheets/d/1ItG2mGa2ceCfYo0BwxsXqNm01IGEUdYcSSLTEv9YCik/edit?usp=sharing"",""เบิกจ่ายกองทุน!K67"")"),0)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IFERROR(__xludf.DUMMYFUNCTION("IMPORTRANGE(""https://docs.google.com/spreadsheets/d/1eHaY18a8A9IcSdp1K8H6x8fbOy06t2VsZHhMHf-1x7Y/edit?usp=sharing"",""แผน!IF67"")"),11)</f>
        <v>11</v>
      </c>
      <c r="J652" s="295">
        <f ca="1">IFERROR(__xludf.DUMMYFUNCTION("IMPORTRANGE(""https://docs.google.com/spreadsheets/d/1tdoBKaGub7dwA3U6UFTqxio9LNnvDCQjHKmttSEBsFQ/edit?usp=sharing"",""จัดที่ดิน!AU67"")"),0)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IFERROR(__xludf.DUMMYFUNCTION("IMPORTRANGE(""https://docs.google.com/spreadsheets/d/1eHaY18a8A9IcSdp1K8H6x8fbOy06t2VsZHhMHf-1x7Y/edit?usp=sharing"",""แผน!IG67"")"),0)</f>
        <v>0</v>
      </c>
      <c r="J653" s="295">
        <f ca="1">IFERROR(__xludf.DUMMYFUNCTION("IMPORTRANGE(""https://docs.google.com/spreadsheets/d/1tdoBKaGub7dwA3U6UFTqxio9LNnvDCQjHKmttSEBsFQ/edit?usp=sharing"",""จัดที่ดิน!AW67"")"),0)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IFERROR(__xludf.DUMMYFUNCTION("IMPORTRANGE(""https://docs.google.com/spreadsheets/d/1eHaY18a8A9IcSdp1K8H6x8fbOy06t2VsZHhMHf-1x7Y/edit?usp=sharing"",""แผน!IH67"")"),0)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IFERROR(__xludf.DUMMYFUNCTION("IMPORTRANGE(""https://docs.google.com/spreadsheets/d/1eHaY18a8A9IcSdp1K8H6x8fbOy06t2VsZHhMHf-1x7Y/edit?usp=sharing"",""แผน!II67"")"),0)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IFERROR(__xludf.DUMMYFUNCTION("IMPORTRANGE(""https://docs.google.com/spreadsheets/d/1eHaY18a8A9IcSdp1K8H6x8fbOy06t2VsZHhMHf-1x7Y/edit?usp=sharing"",""แผน!IJ67"")"),0)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IFERROR(__xludf.DUMMYFUNCTION("IMPORTRANGE(""https://docs.google.com/spreadsheets/d/1eHaY18a8A9IcSdp1K8H6x8fbOy06t2VsZHhMHf-1x7Y/edit?usp=sharing"",""แผน!IK67"")"),0)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IFERROR(__xludf.DUMMYFUNCTION("IMPORTRANGE(""https://docs.google.com/spreadsheets/d/1tdoBKaGub7dwA3U6UFTqxio9LNnvDCQjHKmttSEBsFQ/edit?usp=sharing"",""จัดที่ดิน!AY67"")"),0)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IFERROR(__xludf.DUMMYFUNCTION("IMPORTRANGE(""https://docs.google.com/spreadsheets/d/1tdoBKaGub7dwA3U6UFTqxio9LNnvDCQjHKmttSEBsFQ/edit?usp=sharing"",""จัดที่ดิน!AZ67"")"),0)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IFERROR(__xludf.DUMMYFUNCTION("IMPORTRANGE(""https://docs.google.com/spreadsheets/d/1eHaY18a8A9IcSdp1K8H6x8fbOy06t2VsZHhMHf-1x7Y/edit?usp=sharing"",""แผน!IL67"")"),80)</f>
        <v>80</v>
      </c>
      <c r="J673" s="295">
        <f ca="1">IFERROR(__xludf.DUMMYFUNCTION("IMPORTRANGE(""https://docs.google.com/spreadsheets/d/1tdoBKaGub7dwA3U6UFTqxio9LNnvDCQjHKmttSEBsFQ/edit?usp=sharing"",""จัดที่ดิน!BA67"")"),0)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IFERROR(__xludf.DUMMYFUNCTION("IMPORTRANGE(""https://docs.google.com/spreadsheets/d/1eHaY18a8A9IcSdp1K8H6x8fbOy06t2VsZHhMHf-1x7Y/edit?usp=sharing"",""แผน!IM67"")"),0)</f>
        <v>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IFERROR(__xludf.DUMMYFUNCTION("IMPORTRANGE(""https://docs.google.com/spreadsheets/d/1eHaY18a8A9IcSdp1K8H6x8fbOy06t2VsZHhMHf-1x7Y/edit?usp=sharing"",""แผน!IN67"")"),0)</f>
        <v>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IFERROR(__xludf.DUMMYFUNCTION("IMPORTRANGE(""https://docs.google.com/spreadsheets/d/1eHaY18a8A9IcSdp1K8H6x8fbOy06t2VsZHhMHf-1x7Y/edit?usp=sharing"",""แผน!IO67"")"),0)</f>
        <v>0</v>
      </c>
      <c r="J676" s="295">
        <f ca="1">IFERROR(__xludf.DUMMYFUNCTION("IMPORTRANGE(""https://docs.google.com/spreadsheets/d/1tdoBKaGub7dwA3U6UFTqxio9LNnvDCQjHKmttSEBsFQ/edit?usp=sharing"",""จัดที่ดิน!BF67"")"),0)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IFERROR(__xludf.DUMMYFUNCTION("IMPORTRANGE(""https://docs.google.com/spreadsheets/d/1tdoBKaGub7dwA3U6UFTqxio9LNnvDCQjHKmttSEBsFQ/edit?usp=sharing"",""จัดที่ดิน!BG67"")"),0)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IFERROR(__xludf.DUMMYFUNCTION("IMPORTRANGE(""https://docs.google.com/spreadsheets/d/1eHaY18a8A9IcSdp1K8H6x8fbOy06t2VsZHhMHf-1x7Y/edit?usp=sharing"",""แผน!IP67"")"),0)</f>
        <v>0</v>
      </c>
      <c r="J678" s="295">
        <f ca="1">IFERROR(__xludf.DUMMYFUNCTION("IMPORTRANGE(""https://docs.google.com/spreadsheets/d/1tdoBKaGub7dwA3U6UFTqxio9LNnvDCQjHKmttSEBsFQ/edit?usp=sharing"",""จัดที่ดิน!BH67"")"),0)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IFERROR(__xludf.DUMMYFUNCTION("IMPORTRANGE(""https://docs.google.com/spreadsheets/d/1eHaY18a8A9IcSdp1K8H6x8fbOy06t2VsZHhMHf-1x7Y/edit?usp=sharing"",""แผน!IQ67"")"),0)</f>
        <v>0</v>
      </c>
      <c r="J679" s="295">
        <f ca="1">IFERROR(__xludf.DUMMYFUNCTION("IMPORTRANGE(""https://docs.google.com/spreadsheets/d/1tdoBKaGub7dwA3U6UFTqxio9LNnvDCQjHKmttSEBsFQ/edit?usp=sharing"",""จัดที่ดิน!BK67"")"),0)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IFERROR(__xludf.DUMMYFUNCTION("IMPORTRANGE(""https://docs.google.com/spreadsheets/d/1tdoBKaGub7dwA3U6UFTqxio9LNnvDCQjHKmttSEBsFQ/edit?usp=sharing"",""จัดที่ดิน!BL67"")"),0)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IFERROR(__xludf.DUMMYFUNCTION("IMPORTRANGE(""https://docs.google.com/spreadsheets/d/1eHaY18a8A9IcSdp1K8H6x8fbOy06t2VsZHhMHf-1x7Y/edit?usp=sharing"",""แผน!IR67"")"),0)</f>
        <v>0</v>
      </c>
      <c r="J681" s="295">
        <f ca="1">IFERROR(__xludf.DUMMYFUNCTION("IMPORTRANGE(""https://docs.google.com/spreadsheets/d/1tdoBKaGub7dwA3U6UFTqxio9LNnvDCQjHKmttSEBsFQ/edit?usp=sharing"",""จัดที่ดิน!BM67"")"),0)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IFERROR(__xludf.DUMMYFUNCTION("IMPORTRANGE(""https://docs.google.com/spreadsheets/d/1eHaY18a8A9IcSdp1K8H6x8fbOy06t2VsZHhMHf-1x7Y/edit?usp=sharing"",""แผน!IS67"")"),0)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100</v>
      </c>
      <c r="J689" s="760">
        <f ca="1">J707</f>
        <v>1</v>
      </c>
      <c r="K689" s="746">
        <f ca="1">IF(I689&gt;0,J689*100/I689,0)</f>
        <v>1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235670</v>
      </c>
      <c r="R690" s="266">
        <f ca="1">R691+R692</f>
        <v>235670</v>
      </c>
      <c r="S690" s="266">
        <f ca="1">S691+S692</f>
        <v>57994</v>
      </c>
      <c r="T690" s="266">
        <f ca="1">IF(Q690&gt;0,S690*100/Q690,0)</f>
        <v>24.60813849874825</v>
      </c>
      <c r="U690" s="266">
        <f ca="1">IF(R690&gt;0,S690*100/R690,0)</f>
        <v>24.60813849874825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235670</v>
      </c>
      <c r="R692" s="77">
        <f ca="1">R695+R698</f>
        <v>235670</v>
      </c>
      <c r="S692" s="77">
        <f ca="1">S695+S698</f>
        <v>57994</v>
      </c>
      <c r="T692" s="77">
        <f ca="1">IF(Q692&gt;0,S692*100/Q692,0)</f>
        <v>24.60813849874825</v>
      </c>
      <c r="U692" s="77">
        <f ca="1">IF(R692&gt;0,S692*100/R692,0)</f>
        <v>24.60813849874825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235670</v>
      </c>
      <c r="R693" s="77">
        <f ca="1">R694+R695</f>
        <v>235670</v>
      </c>
      <c r="S693" s="77">
        <f ca="1">S694+S695</f>
        <v>57994</v>
      </c>
      <c r="T693" s="77">
        <f ca="1">IF(Q693&gt;0,S693*100/Q693,0)</f>
        <v>24.60813849874825</v>
      </c>
      <c r="U693" s="77">
        <f ca="1">IF(R693&gt;0,S693*100/R693,0)</f>
        <v>24.60813849874825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IFERROR(__xludf.DUMMYFUNCTION("IMPORTRANGE(""https://docs.google.com/spreadsheets/d/1ItG2mGa2ceCfYo0BwxsXqNm01IGEUdYcSSLTEv9YCik/edit?usp=sharing"",""เบิกจ่ายกองทุน!L67"")"),235670)</f>
        <v>235670</v>
      </c>
      <c r="R695" s="77">
        <f ca="1">IFERROR(__xludf.DUMMYFUNCTION("IMPORTRANGE(""https://docs.google.com/spreadsheets/d/1ItG2mGa2ceCfYo0BwxsXqNm01IGEUdYcSSLTEv9YCik/edit?usp=sharing"",""เบิกจ่ายกองทุน!M67"")"),235670)</f>
        <v>235670</v>
      </c>
      <c r="S695" s="77">
        <f ca="1">IFERROR(__xludf.DUMMYFUNCTION("IMPORTRANGE(""https://docs.google.com/spreadsheets/d/1ItG2mGa2ceCfYo0BwxsXqNm01IGEUdYcSSLTEv9YCik/edit?usp=sharing"",""เบิกจ่ายกองทุน!N67"")"),57994)</f>
        <v>57994</v>
      </c>
      <c r="T695" s="77">
        <f ca="1">IF(Q695&gt;0,S695*100/Q695,0)</f>
        <v>24.60813849874825</v>
      </c>
      <c r="U695" s="77">
        <f ca="1">IF(R695&gt;0,S695*100/R695,0)</f>
        <v>24.60813849874825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IFERROR(__xludf.DUMMYFUNCTION("IMPORTRANGE(""https://docs.google.com/spreadsheets/d/1eHaY18a8A9IcSdp1K8H6x8fbOy06t2VsZHhMHf-1x7Y/edit?usp=sharing"",""แผน!LC67"")"),2)</f>
        <v>2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104</v>
      </c>
      <c r="J701" s="603">
        <f ca="1">J703+J705</f>
        <v>1</v>
      </c>
      <c r="K701" s="266">
        <f ca="1">IF(I701&gt;0,J701*100/I701,0)</f>
        <v>0.96153846153846156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0.32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IFERROR(__xludf.DUMMYFUNCTION("IMPORTRANGE(""https://docs.google.com/spreadsheets/d/1eHaY18a8A9IcSdp1K8H6x8fbOy06t2VsZHhMHf-1x7Y/edit?usp=sharing"",""แผน!LJ67"")"),100)</f>
        <v>100</v>
      </c>
      <c r="J703" s="295">
        <f ca="1">IFERROR(__xludf.DUMMYFUNCTION("IMPORTRANGE(""https://docs.google.com/spreadsheets/d/1tdoBKaGub7dwA3U6UFTqxio9LNnvDCQjHKmttSEBsFQ/edit?usp=sharing"",""จัดที่ดิน!AP67"")"),1)</f>
        <v>1</v>
      </c>
      <c r="K703" s="77">
        <f ca="1">IF(I703&gt;0,J703*100/I703,0)</f>
        <v>1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IFERROR(__xludf.DUMMYFUNCTION("IMPORTRANGE(""https://docs.google.com/spreadsheets/d/1tdoBKaGub7dwA3U6UFTqxio9LNnvDCQjHKmttSEBsFQ/edit?usp=sharing"",""จัดที่ดิน!AQ67"")"),0.32)</f>
        <v>0.32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IFERROR(__xludf.DUMMYFUNCTION("IMPORTRANGE(""https://docs.google.com/spreadsheets/d/1eHaY18a8A9IcSdp1K8H6x8fbOy06t2VsZHhMHf-1x7Y/edit?usp=sharing"",""แผน!LK67"")"),4)</f>
        <v>4</v>
      </c>
      <c r="J705" s="295">
        <f ca="1">IFERROR(__xludf.DUMMYFUNCTION("IMPORTRANGE(""https://docs.google.com/spreadsheets/d/1tdoBKaGub7dwA3U6UFTqxio9LNnvDCQjHKmttSEBsFQ/edit?usp=sharing"",""จัดที่ดิน!AR67"")"),0)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IFERROR(__xludf.DUMMYFUNCTION("IMPORTRANGE(""https://docs.google.com/spreadsheets/d/1tdoBKaGub7dwA3U6UFTqxio9LNnvDCQjHKmttSEBsFQ/edit?usp=sharing"",""จัดที่ดิน!AS67"")"),0)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IFERROR(__xludf.DUMMYFUNCTION("IMPORTRANGE(""https://docs.google.com/spreadsheets/d/1eHaY18a8A9IcSdp1K8H6x8fbOy06t2VsZHhMHf-1x7Y/edit?usp=sharing"",""แผน!LJ67"")"),100)</f>
        <v>100</v>
      </c>
      <c r="J707" s="295">
        <f ca="1">IFERROR(__xludf.DUMMYFUNCTION("IMPORTRANGE(""https://docs.google.com/spreadsheets/d/1tdoBKaGub7dwA3U6UFTqxio9LNnvDCQjHKmttSEBsFQ/edit?usp=sharing"",""จัดที่ดิน!BN67"")"),1)</f>
        <v>1</v>
      </c>
      <c r="K707" s="77">
        <f ca="1">IF(I707&gt;0,J707*100/I707,0)</f>
        <v>1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IFERROR(__xludf.DUMMYFUNCTION("IMPORTRANGE(""https://docs.google.com/spreadsheets/d/1tdoBKaGub7dwA3U6UFTqxio9LNnvDCQjHKmttSEBsFQ/edit?usp=sharing"",""จัดที่ดิน!BO67"")"),0.3)</f>
        <v>0.3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IFERROR(__xludf.DUMMYFUNCTION("IMPORTRANGE(""https://docs.google.com/spreadsheets/d/1eHaY18a8A9IcSdp1K8H6x8fbOy06t2VsZHhMHf-1x7Y/edit?usp=sharing"",""แผน!LK67"")"),4)</f>
        <v>4</v>
      </c>
      <c r="J709" s="295">
        <f ca="1">IFERROR(__xludf.DUMMYFUNCTION("IMPORTRANGE(""https://docs.google.com/spreadsheets/d/1tdoBKaGub7dwA3U6UFTqxio9LNnvDCQjHKmttSEBsFQ/edit?usp=sharing"",""จัดที่ดิน!BP67"")"),0)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IFERROR(__xludf.DUMMYFUNCTION("IMPORTRANGE(""https://docs.google.com/spreadsheets/d/1tdoBKaGub7dwA3U6UFTqxio9LNnvDCQjHKmttSEBsFQ/edit?usp=sharing"",""จัดที่ดิน!BQ67"")"),0)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IFERROR(__xludf.DUMMYFUNCTION("IMPORTRANGE(""https://docs.google.com/spreadsheets/d/1eHaY18a8A9IcSdp1K8H6x8fbOy06t2VsZHhMHf-1x7Y/edit?usp=sharing"",""แผน!GA67"")"),31)</f>
        <v>31</v>
      </c>
      <c r="J726" s="760">
        <f>J742+J746+J749</f>
        <v>31</v>
      </c>
      <c r="K726" s="746">
        <f ca="1">IF(I726&gt;0,J726*100/I726,0)</f>
        <v>100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IFERROR(__xludf.DUMMYFUNCTION("IMPORTRANGE(""https://docs.google.com/spreadsheets/d/1eHaY18a8A9IcSdp1K8H6x8fbOy06t2VsZHhMHf-1x7Y/edit?usp=sharing"",""แผน!FZ67"")"),300)</f>
        <v>300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242546</v>
      </c>
      <c r="R728" s="266">
        <f ca="1">R729+R730</f>
        <v>242546</v>
      </c>
      <c r="S728" s="266">
        <f ca="1">S729+S730</f>
        <v>22660</v>
      </c>
      <c r="T728" s="266">
        <f ca="1">IF(Q728&gt;0,S728*100/Q728,0)</f>
        <v>9.3425577003949769</v>
      </c>
      <c r="U728" s="266">
        <f ca="1">IF(R728&gt;0,S728*100/R728,0)</f>
        <v>9.3425577003949769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242546</v>
      </c>
      <c r="R730" s="77">
        <f ca="1">R733+R736</f>
        <v>242546</v>
      </c>
      <c r="S730" s="77">
        <f ca="1">S733+S736</f>
        <v>22660</v>
      </c>
      <c r="T730" s="77">
        <f ca="1">IF(Q730&gt;0,S730*100/Q730,0)</f>
        <v>9.3425577003949769</v>
      </c>
      <c r="U730" s="77">
        <f ca="1">IF(R730&gt;0,S730*100/R730,0)</f>
        <v>9.3425577003949769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242546</v>
      </c>
      <c r="R731" s="77">
        <f ca="1">R732+R733</f>
        <v>242546</v>
      </c>
      <c r="S731" s="77">
        <f ca="1">S732+S733</f>
        <v>22660</v>
      </c>
      <c r="T731" s="77">
        <f ca="1">IF(Q731&gt;0,S731*100/Q731,0)</f>
        <v>9.3425577003949769</v>
      </c>
      <c r="U731" s="77">
        <f ca="1">IF(R731&gt;0,S731*100/R731,0)</f>
        <v>9.3425577003949769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IFERROR(__xludf.DUMMYFUNCTION("IMPORTRANGE(""https://docs.google.com/spreadsheets/d/1ItG2mGa2ceCfYo0BwxsXqNm01IGEUdYcSSLTEv9YCik/edit?usp=sharing"",""เบิกจ่ายกองทุน!O67"")"),242546)</f>
        <v>242546</v>
      </c>
      <c r="R733" s="77">
        <f ca="1">IFERROR(__xludf.DUMMYFUNCTION("IMPORTRANGE(""https://docs.google.com/spreadsheets/d/1ItG2mGa2ceCfYo0BwxsXqNm01IGEUdYcSSLTEv9YCik/edit?usp=sharing"",""เบิกจ่ายกองทุน!P67"")"),242546)</f>
        <v>242546</v>
      </c>
      <c r="S733" s="77">
        <f ca="1">IFERROR(__xludf.DUMMYFUNCTION("IMPORTRANGE(""https://docs.google.com/spreadsheets/d/1ItG2mGa2ceCfYo0BwxsXqNm01IGEUdYcSSLTEv9YCik/edit?usp=sharing"",""เบิกจ่ายกองทุน!Q67"")"),22660)</f>
        <v>22660</v>
      </c>
      <c r="T733" s="77">
        <f ca="1">IF(Q733&gt;0,S733*100/Q733,0)</f>
        <v>9.3425577003949769</v>
      </c>
      <c r="U733" s="77">
        <f ca="1">IF(R733&gt;0,S733*100/R733,0)</f>
        <v>9.3425577003949769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24"/>
      <c r="B739" s="225"/>
      <c r="C739" s="225"/>
      <c r="D739" s="225"/>
      <c r="E739" s="818" t="s">
        <v>271</v>
      </c>
      <c r="F739" s="225"/>
      <c r="G739" s="229"/>
      <c r="H739" s="817"/>
      <c r="I739" s="74"/>
      <c r="J739" s="74"/>
      <c r="K739" s="75"/>
      <c r="L739" s="523"/>
      <c r="M739" s="75"/>
      <c r="N739" s="75"/>
      <c r="O739" s="75"/>
      <c r="P739" s="75"/>
      <c r="Q739" s="75"/>
      <c r="R739" s="75"/>
      <c r="S739" s="75"/>
      <c r="T739" s="75"/>
      <c r="U739" s="75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IFERROR(__xludf.DUMMYFUNCTION("IMPORTRANGE(""https://docs.google.com/spreadsheets/d/1eHaY18a8A9IcSdp1K8H6x8fbOy06t2VsZHhMHf-1x7Y/edit?usp=sharing"",""แผน!GB67"")"),240)</f>
        <v>240</v>
      </c>
      <c r="J740" s="816">
        <v>240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24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IFERROR(__xludf.DUMMYFUNCTION("IMPORTRANGE(""https://docs.google.com/spreadsheets/d/1eHaY18a8A9IcSdp1K8H6x8fbOy06t2VsZHhMHf-1x7Y/edit?usp=sharing"",""แผน!GC67"")"),24)</f>
        <v>24</v>
      </c>
      <c r="J742" s="816">
        <v>24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IFERROR(__xludf.DUMMYFUNCTION("IMPORTRANGE(""https://docs.google.com/spreadsheets/d/1eHaY18a8A9IcSdp1K8H6x8fbOy06t2VsZHhMHf-1x7Y/edit?usp=sharing"",""แผน!GD67"")"),60)</f>
        <v>60</v>
      </c>
      <c r="J744" s="816">
        <v>60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6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IFERROR(__xludf.DUMMYFUNCTION("IMPORTRANGE(""https://docs.google.com/spreadsheets/d/1eHaY18a8A9IcSdp1K8H6x8fbOy06t2VsZHhMHf-1x7Y/edit?usp=sharing"",""แผน!GE67"")"),6)</f>
        <v>6</v>
      </c>
      <c r="J746" s="816">
        <v>6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7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IFERROR(__xludf.DUMMYFUNCTION("IMPORTRANGE(""https://docs.google.com/spreadsheets/d/1eHaY18a8A9IcSdp1K8H6x8fbOy06t2VsZHhMHf-1x7Y/edit?usp=sharing"",""แผน!GF67"")"),1)</f>
        <v>1</v>
      </c>
      <c r="J749" s="816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IFERROR(__xludf.DUMMYFUNCTION("IMPORTRANGE(""https://docs.google.com/spreadsheets/d/1eHaY18a8A9IcSdp1K8H6x8fbOy06t2VsZHhMHf-1x7Y/edit?usp=sharing"",""แผน!GB67"")"),240)</f>
        <v>240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IFERROR(__xludf.DUMMYFUNCTION("IMPORTRANGE(""https://docs.google.com/spreadsheets/d/1eHaY18a8A9IcSdp1K8H6x8fbOy06t2VsZHhMHf-1x7Y/edit?usp=sharing"",""แผน!GD67"")"),60)</f>
        <v>60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IFERROR(__xludf.DUMMYFUNCTION("IMPORTRANGE(""https://docs.google.com/spreadsheets/d/1ItG2mGa2ceCfYo0BwxsXqNm01IGEUdYcSSLTEv9YCik/edit?usp=sharing"",""เบิกจ่ายกองทุน!U67"")"),0)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IFERROR(__xludf.DUMMYFUNCTION("IMPORTRANGE(""https://docs.google.com/spreadsheets/d/1ItG2mGa2ceCfYo0BwxsXqNm01IGEUdYcSSLTEv9YCik/edit?usp=sharing"",""เบิกจ่ายกองทุน!V67"")"),0)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IFERROR(__xludf.DUMMYFUNCTION("IMPORTRANGE(""https://docs.google.com/spreadsheets/d/1ItG2mGa2ceCfYo0BwxsXqNm01IGEUdYcSSLTEv9YCik/edit?usp=sharing"",""เบิกจ่ายกองทุน!W67"")"),0)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IFERROR(__xludf.DUMMYFUNCTION("IMPORTRANGE(""https://docs.google.com/spreadsheets/d/1eHaY18a8A9IcSdp1K8H6x8fbOy06t2VsZHhMHf-1x7Y/edit?usp=sharing"",""แผน!FI67"")"),0)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IFERROR(__xludf.DUMMYFUNCTION("IMPORTRANGE(""https://docs.google.com/spreadsheets/d/1eHaY18a8A9IcSdp1K8H6x8fbOy06t2VsZHhMHf-1x7Y/edit?usp=sharing"",""แผน!FQ67"")"),0)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IFERROR(__xludf.DUMMYFUNCTION("IMPORTRANGE(""https://docs.google.com/spreadsheets/d/1eHaY18a8A9IcSdp1K8H6x8fbOy06t2VsZHhMHf-1x7Y/edit?usp=sharing"",""แผน!FR67"")"),0)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IFERROR(__xludf.DUMMYFUNCTION("IMPORTRANGE(""https://docs.google.com/spreadsheets/d/1eHaY18a8A9IcSdp1K8H6x8fbOy06t2VsZHhMHf-1x7Y/edit?usp=sharing"",""แผน!FS67"")"),0)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IFERROR(__xludf.DUMMYFUNCTION("IMPORTRANGE(""https://docs.google.com/spreadsheets/d/1eHaY18a8A9IcSdp1K8H6x8fbOy06t2VsZHhMHf-1x7Y/edit?usp=sharing"",""แผน!FT67"")"),0)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IFERROR(__xludf.DUMMYFUNCTION("IMPORTRANGE(""https://docs.google.com/spreadsheets/d/10OvvATaaLtwErnr3qtWFcTmtbfpFEt5Bsqel9sXx0uE/edit?usp=sharing"",""งานกองทุน!D67"")"),1745140.27)</f>
        <v>1745140.27</v>
      </c>
      <c r="J778" s="295">
        <f ca="1">IFERROR(__xludf.DUMMYFUNCTION("IMPORTRANGE(""https://docs.google.com/spreadsheets/d/10OvvATaaLtwErnr3qtWFcTmtbfpFEt5Bsqel9sXx0uE/edit?usp=sharing"",""งานกองทุน!F67"")"),1002422.88)</f>
        <v>1002422.88</v>
      </c>
      <c r="K778" s="77">
        <f ca="1">IF(I778&gt;0,J778*100/I778,0)</f>
        <v>57.440819929047883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IFERROR(__xludf.DUMMYFUNCTION("IMPORTRANGE(""https://docs.google.com/spreadsheets/d/10OvvATaaLtwErnr3qtWFcTmtbfpFEt5Bsqel9sXx0uE/edit?usp=sharing"",""งานกองทุน!C67"")"),110)</f>
        <v>110</v>
      </c>
      <c r="J779" s="295">
        <f ca="1">IFERROR(__xludf.DUMMYFUNCTION("IMPORTRANGE(""https://docs.google.com/spreadsheets/d/10OvvATaaLtwErnr3qtWFcTmtbfpFEt5Bsqel9sXx0uE/edit?usp=sharing"",""งานกองทุน!E67"")"),62)</f>
        <v>62</v>
      </c>
      <c r="K779" s="77">
        <f ca="1">IF(I779&gt;0,J779*100/I779,0)</f>
        <v>56.363636363636367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IFERROR(__xludf.DUMMYFUNCTION("IMPORTRANGE(""https://docs.google.com/spreadsheets/d/10OvvATaaLtwErnr3qtWFcTmtbfpFEt5Bsqel9sXx0uE/edit?usp=sharing"",""งานกองทุน!I67"")"),3504047.3)</f>
        <v>3504047.3</v>
      </c>
      <c r="J780" s="295">
        <f ca="1">IFERROR(__xludf.DUMMYFUNCTION("IMPORTRANGE(""https://docs.google.com/spreadsheets/d/10OvvATaaLtwErnr3qtWFcTmtbfpFEt5Bsqel9sXx0uE/edit?usp=sharing"",""งานกองทุน!K67"")"),317370.33)</f>
        <v>317370.33</v>
      </c>
      <c r="K780" s="77">
        <f ca="1">IF(I780&gt;0,J780*100/I780,0)</f>
        <v>9.0572501689688956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IFERROR(__xludf.DUMMYFUNCTION("IMPORTRANGE(""https://docs.google.com/spreadsheets/d/10OvvATaaLtwErnr3qtWFcTmtbfpFEt5Bsqel9sXx0uE/edit?usp=sharing"",""งานกองทุน!H67"")"),173)</f>
        <v>173</v>
      </c>
      <c r="J781" s="295">
        <f ca="1">IFERROR(__xludf.DUMMYFUNCTION("IMPORTRANGE(""https://docs.google.com/spreadsheets/d/10OvvATaaLtwErnr3qtWFcTmtbfpFEt5Bsqel9sXx0uE/edit?usp=sharing"",""งานกองทุน!J67"")"),71)</f>
        <v>71</v>
      </c>
      <c r="K781" s="77">
        <f ca="1">IF(I781&gt;0,J781*100/I781,0)</f>
        <v>41.040462427745666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IFERROR(__xludf.DUMMYFUNCTION("IMPORTRANGE(""https://docs.google.com/spreadsheets/d/10OvvATaaLtwErnr3qtWFcTmtbfpFEt5Bsqel9sXx0uE/edit?usp=sharing"",""งานกองทุน!N67"")"),127000.19)</f>
        <v>127000.19</v>
      </c>
      <c r="J782" s="295">
        <f ca="1">IFERROR(__xludf.DUMMYFUNCTION("IMPORTRANGE(""https://docs.google.com/spreadsheets/d/10OvvATaaLtwErnr3qtWFcTmtbfpFEt5Bsqel9sXx0uE/edit?usp=sharing"",""งานกองทุน!P67"")"),17621.83)</f>
        <v>17621.830000000002</v>
      </c>
      <c r="K782" s="77">
        <f ca="1">IF(I782&gt;0,J782*100/I782,0)</f>
        <v>13.875435934387186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IFERROR(__xludf.DUMMYFUNCTION("IMPORTRANGE(""https://docs.google.com/spreadsheets/d/10OvvATaaLtwErnr3qtWFcTmtbfpFEt5Bsqel9sXx0uE/edit?usp=sharing"",""งานกองทุน!M67"")"),10)</f>
        <v>10</v>
      </c>
      <c r="J783" s="295">
        <f ca="1">IFERROR(__xludf.DUMMYFUNCTION("IMPORTRANGE(""https://docs.google.com/spreadsheets/d/10OvvATaaLtwErnr3qtWFcTmtbfpFEt5Bsqel9sXx0uE/edit?usp=sharing"",""งานกองทุน!O67"")"),2)</f>
        <v>2</v>
      </c>
      <c r="K783" s="77">
        <f ca="1">IF(I783&gt;0,J783*100/I783,0)</f>
        <v>20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IFERROR(__xludf.DUMMYFUNCTION("IMPORTRANGE(""https://docs.google.com/spreadsheets/d/10OvvATaaLtwErnr3qtWFcTmtbfpFEt5Bsqel9sXx0uE/edit?usp=sharing"",""งานกองทุน!S67"")"),2492000)</f>
        <v>2492000</v>
      </c>
      <c r="J784" s="295">
        <f ca="1">IFERROR(__xludf.DUMMYFUNCTION("IMPORTRANGE(""https://docs.google.com/spreadsheets/d/10OvvATaaLtwErnr3qtWFcTmtbfpFEt5Bsqel9sXx0uE/edit?usp=sharing"",""งานกองทุน!U67"")"),1980000)</f>
        <v>1980000</v>
      </c>
      <c r="K784" s="77">
        <f ca="1">IF(I784&gt;0,J784*100/I784,0)</f>
        <v>79.454253611556979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IFERROR(__xludf.DUMMYFUNCTION("IMPORTRANGE(""https://docs.google.com/spreadsheets/d/10OvvATaaLtwErnr3qtWFcTmtbfpFEt5Bsqel9sXx0uE/edit?usp=sharing"",""งานกองทุน!R67"")"),89)</f>
        <v>89</v>
      </c>
      <c r="J785" s="773">
        <f ca="1">IFERROR(__xludf.DUMMYFUNCTION("IMPORTRANGE(""https://docs.google.com/spreadsheets/d/10OvvATaaLtwErnr3qtWFcTmtbfpFEt5Bsqel9sXx0uE/edit?usp=sharing"",""งานกองทุน!T67"")"),42)</f>
        <v>42</v>
      </c>
      <c r="K785" s="185">
        <f ca="1">IF(I785&gt;0,J785*100/I785,0)</f>
        <v>47.19101123595506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7546-3821-4D2B-8506-A28087ECABD8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94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354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315" t="s">
        <v>4</v>
      </c>
      <c r="B5" s="791"/>
      <c r="C5" s="791"/>
      <c r="D5" s="791"/>
      <c r="E5" s="791"/>
      <c r="F5" s="791"/>
      <c r="G5" s="1253"/>
      <c r="H5" s="1314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17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2393790</v>
      </c>
      <c r="M18" s="62">
        <f ca="1">M19+M20</f>
        <v>2450713</v>
      </c>
      <c r="N18" s="62">
        <f ca="1">N19+N20</f>
        <v>1946960.7599999998</v>
      </c>
      <c r="O18" s="62">
        <f ca="1">IF(L18&gt;0,N18*100/L18,0)</f>
        <v>81.333816249545691</v>
      </c>
      <c r="P18" s="62">
        <f ca="1">IF(M18&gt;0,N18*100/M18,0)</f>
        <v>79.444666103293187</v>
      </c>
      <c r="Q18" s="62">
        <f ca="1">Q19+Q20</f>
        <v>3494272.24</v>
      </c>
      <c r="R18" s="62">
        <f ca="1">R19+R20</f>
        <v>3508272</v>
      </c>
      <c r="S18" s="62">
        <f ca="1">S19+S20</f>
        <v>522282.05</v>
      </c>
      <c r="T18" s="62">
        <f ca="1">IF(Q18&gt;0,S18*100/Q18,0)</f>
        <v>14.946804774432801</v>
      </c>
      <c r="U18" s="62">
        <f ca="1">IF(R18&gt;0,S18*100/R18,0)</f>
        <v>14.887159547492328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2393790</v>
      </c>
      <c r="M20" s="68">
        <f ca="1">M23+M26</f>
        <v>2450713</v>
      </c>
      <c r="N20" s="68">
        <f ca="1">N23+N26</f>
        <v>1946960.7599999998</v>
      </c>
      <c r="O20" s="68">
        <f ca="1">IF(L20&gt;0,N20*100/L20,0)</f>
        <v>81.333816249545691</v>
      </c>
      <c r="P20" s="68">
        <f ca="1">IF(M20&gt;0,N20*100/M20,0)</f>
        <v>79.444666103293187</v>
      </c>
      <c r="Q20" s="68">
        <f ca="1">Q23+Q26</f>
        <v>3494272.24</v>
      </c>
      <c r="R20" s="68">
        <f ca="1">R23+R26</f>
        <v>3508272</v>
      </c>
      <c r="S20" s="68">
        <f ca="1">S23+S26</f>
        <v>522282.05</v>
      </c>
      <c r="T20" s="68">
        <f ca="1">IF(Q20&gt;0,S20*100/Q20,0)</f>
        <v>14.946804774432801</v>
      </c>
      <c r="U20" s="68">
        <f ca="1">IF(R20&gt;0,S20*100/R20,0)</f>
        <v>14.887159547492328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2393790</v>
      </c>
      <c r="M21" s="77">
        <f ca="1">M22+M23</f>
        <v>2450713</v>
      </c>
      <c r="N21" s="77">
        <f ca="1">N22+N23</f>
        <v>1946960.7599999998</v>
      </c>
      <c r="O21" s="77">
        <f ca="1">IF(L21&gt;0,N21*100/L21,0)</f>
        <v>81.333816249545691</v>
      </c>
      <c r="P21" s="77">
        <f ca="1">IF(M21&gt;0,N21*100/M21,0)</f>
        <v>79.444666103293187</v>
      </c>
      <c r="Q21" s="77">
        <f ca="1">Q22+Q23</f>
        <v>3494272.24</v>
      </c>
      <c r="R21" s="77">
        <f ca="1">R22+R23</f>
        <v>3508272</v>
      </c>
      <c r="S21" s="77">
        <f ca="1">S22+S23</f>
        <v>522282.05</v>
      </c>
      <c r="T21" s="77">
        <f ca="1">IF(Q21&gt;0,S21*100/Q21,0)</f>
        <v>14.946804774432801</v>
      </c>
      <c r="U21" s="77">
        <f ca="1">IF(R21&gt;0,S21*100/R21,0)</f>
        <v>14.887159547492328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2393790</v>
      </c>
      <c r="M23" s="77">
        <f ca="1">M49+M64+M77+M99+M130+M144+M162+M191+M178+M271+M287+M308+M325+M338+M361+M518</f>
        <v>2450713</v>
      </c>
      <c r="N23" s="77">
        <f ca="1">N49+N64+N77+N99+N130+N144+N162+N191+N178+N271+N287+N308+N325+N338+N361+N518</f>
        <v>1946960.7599999998</v>
      </c>
      <c r="O23" s="77">
        <f ca="1">IF(L23&gt;0,N23*100/L23,0)</f>
        <v>81.333816249545691</v>
      </c>
      <c r="P23" s="77">
        <f ca="1">IF(M23&gt;0,N23*100/M23,0)</f>
        <v>79.444666103293187</v>
      </c>
      <c r="Q23" s="77">
        <f ca="1">Q77+Q99+Q122+Q144+Q162+Q178+Q191+Q271+Q287+Q308+Q338+Q380+Q397+Q418+Q498+Q604+Q621+Q647+Q695+Q719+Q733+Q765</f>
        <v>3494272.24</v>
      </c>
      <c r="R23" s="77">
        <f ca="1">R77+R99+R122+R144+R162+R178+R191+R271+R287+R308+R338+R380+R397+R418+R498+R604+R621+R647+R695+R719+R733+R765</f>
        <v>3508272</v>
      </c>
      <c r="S23" s="77">
        <f ca="1">S77+S99+S122+S144+S162+S178+S191+S271+S287+S308+S338+S380+S397+S418+S498+S604+S621+S647+S695+S719+S733+S765</f>
        <v>522282.05</v>
      </c>
      <c r="T23" s="77">
        <f ca="1">IF(Q23&gt;0,S23*100/Q23,0)</f>
        <v>14.946804774432801</v>
      </c>
      <c r="U23" s="77">
        <f ca="1">IF(R23&gt;0,S23*100/R23,0)</f>
        <v>14.887159547492328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2393790</v>
      </c>
      <c r="M40" s="1308">
        <f ca="1">M44+M59+M72+M94+M125+M139+M157+M173+M186+M266+M282+M303+M320+M333+M356</f>
        <v>2450713</v>
      </c>
      <c r="N40" s="1308">
        <f ca="1">N44+N59+N72+N94+N125+N139+N157+N173+N186+N266+N282+N303+N320+N333+N356</f>
        <v>1946960.7599999998</v>
      </c>
      <c r="O40" s="1308">
        <f ca="1">IF(L40&gt;0,N40*100/L40,0)</f>
        <v>81.333816249545691</v>
      </c>
      <c r="P40" s="1308">
        <f ca="1">IF(M40&gt;0,N40*100/M40,0)</f>
        <v>79.444666103293187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441000</v>
      </c>
      <c r="M44" s="1304">
        <f ca="1">M45+M46</f>
        <v>449013</v>
      </c>
      <c r="N44" s="1304">
        <f ca="1">N45+N46</f>
        <v>401639</v>
      </c>
      <c r="O44" s="1304">
        <f ca="1">IF(L44&gt;0,N44*100/L44,0)</f>
        <v>91.074603174603169</v>
      </c>
      <c r="P44" s="1304">
        <f ca="1">IF(M44&gt;0,N44*100/M44,0)</f>
        <v>89.449303249571841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441000</v>
      </c>
      <c r="M46" s="1300">
        <f ca="1">M49+M52</f>
        <v>449013</v>
      </c>
      <c r="N46" s="1300">
        <f ca="1">N49+N52</f>
        <v>401639</v>
      </c>
      <c r="O46" s="1300">
        <f ca="1">IF(L46&gt;0,N46*100/L46,0)</f>
        <v>91.074603174603169</v>
      </c>
      <c r="P46" s="1300">
        <f ca="1">IF(M46&gt;0,N46*100/M46,0)</f>
        <v>89.449303249571841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441000</v>
      </c>
      <c r="M47" s="77">
        <f ca="1">M48+M49</f>
        <v>449013</v>
      </c>
      <c r="N47" s="77">
        <f ca="1">N48+N49</f>
        <v>401639</v>
      </c>
      <c r="O47" s="77">
        <f ca="1">IF(L47&gt;0,N47*100/L47,0)</f>
        <v>91.074603174603169</v>
      </c>
      <c r="P47" s="77">
        <f ca="1">IF(M47&gt;0,N47*100/M47,0)</f>
        <v>89.449303249571841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IFERROR(__xludf.DUMMYFUNCTION("IMPORTRANGE(""https://docs.google.com/spreadsheets/d/1-uDff_7J0KD5mKrp0Vvzr7lt3OU09vwQwhkpOPPYv2Y/edit?usp=sharing"",""งบพรบ!P68"")"),441000)</f>
        <v>441000</v>
      </c>
      <c r="M49" s="77">
        <f ca="1">IFERROR(__xludf.DUMMYFUNCTION("IMPORTRANGE(""https://docs.google.com/spreadsheets/d/1-uDff_7J0KD5mKrp0Vvzr7lt3OU09vwQwhkpOPPYv2Y/edit?usp=sharing"",""งบพรบ!V68"")"),449013)</f>
        <v>449013</v>
      </c>
      <c r="N49" s="77">
        <f ca="1">IFERROR(__xludf.DUMMYFUNCTION("IMPORTRANGE(""https://docs.google.com/spreadsheets/d/1-uDff_7J0KD5mKrp0Vvzr7lt3OU09vwQwhkpOPPYv2Y/edit?usp=sharing"",""งบพรบ!Y68"")"),401639)</f>
        <v>401639</v>
      </c>
      <c r="O49" s="77">
        <f ca="1">IF(L49&gt;0,N49*100/L49,0)</f>
        <v>91.074603174603169</v>
      </c>
      <c r="P49" s="77">
        <f ca="1">IF(M49&gt;0,N49*100/M49,0)</f>
        <v>89.449303249571841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IFERROR(__xludf.DUMMYFUNCTION("IMPORTRANGE(""https://docs.google.com/spreadsheets/d/1-uDff_7J0KD5mKrp0Vvzr7lt3OU09vwQwhkpOPPYv2Y/edit?usp=sharing"",""งบพรบ!S68"")"),0)</f>
        <v>0</v>
      </c>
      <c r="M52" s="77">
        <f ca="1">IFERROR(__xludf.DUMMYFUNCTION("IMPORTRANGE(""https://docs.google.com/spreadsheets/d/1-uDff_7J0KD5mKrp0Vvzr7lt3OU09vwQwhkpOPPYv2Y/edit?usp=sharing"",""งบพรบ!W68"")"),0)</f>
        <v>0</v>
      </c>
      <c r="N52" s="77">
        <f ca="1">IFERROR(__xludf.DUMMYFUNCTION("IMPORTRANGE(""https://docs.google.com/spreadsheets/d/1-uDff_7J0KD5mKrp0Vvzr7lt3OU09vwQwhkpOPPYv2Y/edit?usp=sharing"",""งบพรบ!Z68"")"),0)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544900</v>
      </c>
      <c r="M59" s="1297">
        <f ca="1">M60+M61</f>
        <v>544900</v>
      </c>
      <c r="N59" s="1297">
        <f ca="1">N60+N61</f>
        <v>448759.22</v>
      </c>
      <c r="O59" s="1297">
        <f ca="1">IF(L59&gt;0,N59*100/L59,0)</f>
        <v>82.356252523398794</v>
      </c>
      <c r="P59" s="1297">
        <f ca="1">IF(M59&gt;0,N59*100/M59,0)</f>
        <v>82.356252523398794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544900</v>
      </c>
      <c r="M61" s="1293">
        <f ca="1">M64+M67</f>
        <v>544900</v>
      </c>
      <c r="N61" s="1293">
        <f ca="1">N64+N67</f>
        <v>448759.22</v>
      </c>
      <c r="O61" s="1293">
        <f ca="1">IF(L61&gt;0,N61*100/L61,0)</f>
        <v>82.356252523398794</v>
      </c>
      <c r="P61" s="1293">
        <f ca="1">IF(M61&gt;0,N61*100/M61,0)</f>
        <v>82.356252523398794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544900</v>
      </c>
      <c r="M62" s="77">
        <f ca="1">M63+M64</f>
        <v>544900</v>
      </c>
      <c r="N62" s="77">
        <f ca="1">N63+N64</f>
        <v>448759.22</v>
      </c>
      <c r="O62" s="77">
        <f ca="1">IF(L62&gt;0,N62*100/L62,0)</f>
        <v>82.356252523398794</v>
      </c>
      <c r="P62" s="77">
        <f ca="1">IF(M62&gt;0,N62*100/M62,0)</f>
        <v>82.356252523398794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IFERROR(__xludf.DUMMYFUNCTION("IMPORTRANGE(""https://docs.google.com/spreadsheets/d/1-uDff_7J0KD5mKrp0Vvzr7lt3OU09vwQwhkpOPPYv2Y/edit?usp=sharing"",""งบพรบ!AC68"")"),544900)</f>
        <v>544900</v>
      </c>
      <c r="M64" s="77">
        <f ca="1">IFERROR(__xludf.DUMMYFUNCTION("IMPORTRANGE(""https://docs.google.com/spreadsheets/d/1-uDff_7J0KD5mKrp0Vvzr7lt3OU09vwQwhkpOPPYv2Y/edit?usp=sharing"",""งบพรบ!AH68"")"),544900)</f>
        <v>544900</v>
      </c>
      <c r="N64" s="77">
        <f ca="1">IFERROR(__xludf.DUMMYFUNCTION("IMPORTRANGE(""https://docs.google.com/spreadsheets/d/1-uDff_7J0KD5mKrp0Vvzr7lt3OU09vwQwhkpOPPYv2Y/edit?usp=sharing"",""งบพรบ!AJ68"")"),448759.22)</f>
        <v>448759.22</v>
      </c>
      <c r="O64" s="77">
        <f ca="1">IF(L64&gt;0,N64*100/L64,0)</f>
        <v>82.356252523398794</v>
      </c>
      <c r="P64" s="77">
        <f ca="1">IF(M64&gt;0,N64*100/M64,0)</f>
        <v>82.356252523398794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IFERROR(__xludf.DUMMYFUNCTION("IMPORTRANGE(""https://docs.google.com/spreadsheets/d/1-uDff_7J0KD5mKrp0Vvzr7lt3OU09vwQwhkpOPPYv2Y/edit?usp=sharing"",""งบพรบ!AF68"")"),0)</f>
        <v>0</v>
      </c>
      <c r="M67" s="185">
        <f ca="1">IFERROR(__xludf.DUMMYFUNCTION("IMPORTRANGE(""https://docs.google.com/spreadsheets/d/1-uDff_7J0KD5mKrp0Vvzr7lt3OU09vwQwhkpOPPYv2Y/edit?usp=sharing"",""งบพรบ!AI68"")"),0)</f>
        <v>0</v>
      </c>
      <c r="N67" s="185">
        <f ca="1">IFERROR(__xludf.DUMMYFUNCTION("IMPORTRANGE(""https://docs.google.com/spreadsheets/d/1-uDff_7J0KD5mKrp0Vvzr7lt3OU09vwQwhkpOPPYv2Y/edit?usp=sharing"",""งบพรบ!AK68"")"),0)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2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101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461200</v>
      </c>
      <c r="M72" s="266">
        <f ca="1">M73+M74</f>
        <v>461200</v>
      </c>
      <c r="N72" s="266">
        <f ca="1">N73+N74</f>
        <v>340248.85</v>
      </c>
      <c r="O72" s="266">
        <f ca="1">IF(L72&gt;0,N72*100/L72,0)</f>
        <v>73.774685602775364</v>
      </c>
      <c r="P72" s="266">
        <f ca="1">IF(M72&gt;0,N72*100/M72,0)</f>
        <v>73.774685602775364</v>
      </c>
      <c r="Q72" s="266">
        <f ca="1">Q73+Q74</f>
        <v>1000800</v>
      </c>
      <c r="R72" s="266">
        <f ca="1">R73+R74</f>
        <v>1000800</v>
      </c>
      <c r="S72" s="266">
        <f ca="1">S73+S74</f>
        <v>18110</v>
      </c>
      <c r="T72" s="266">
        <f ca="1">IF(Q72&gt;0,S72*100/Q72,0)</f>
        <v>1.8095523581135091</v>
      </c>
      <c r="U72" s="266">
        <f ca="1">IF(R72&gt;0,S72*100/R72,0)</f>
        <v>1.8095523581135091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461200</v>
      </c>
      <c r="M74" s="77">
        <f ca="1">M77+M80</f>
        <v>461200</v>
      </c>
      <c r="N74" s="77">
        <f ca="1">N77+N80</f>
        <v>340248.85</v>
      </c>
      <c r="O74" s="77">
        <f ca="1">IF(L74&gt;0,N74*100/L74,0)</f>
        <v>73.774685602775364</v>
      </c>
      <c r="P74" s="77">
        <f ca="1">IF(M74&gt;0,N74*100/M74,0)</f>
        <v>73.774685602775364</v>
      </c>
      <c r="Q74" s="77">
        <f ca="1">Q77+Q80</f>
        <v>1000800</v>
      </c>
      <c r="R74" s="77">
        <f ca="1">R77+R80</f>
        <v>1000800</v>
      </c>
      <c r="S74" s="77">
        <f ca="1">S77+S80</f>
        <v>18110</v>
      </c>
      <c r="T74" s="77">
        <f ca="1">IF(Q74&gt;0,S74*100/Q74,0)</f>
        <v>1.8095523581135091</v>
      </c>
      <c r="U74" s="77">
        <f ca="1">IF(R74&gt;0,S74*100/R74,0)</f>
        <v>1.8095523581135091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461200</v>
      </c>
      <c r="M75" s="77">
        <f ca="1">M76+M77</f>
        <v>461200</v>
      </c>
      <c r="N75" s="77">
        <f ca="1">N76+N77</f>
        <v>340248.85</v>
      </c>
      <c r="O75" s="77">
        <f ca="1">IF(L75&gt;0,N75*100/L75,0)</f>
        <v>73.774685602775364</v>
      </c>
      <c r="P75" s="77">
        <f ca="1">IF(M75&gt;0,N75*100/M75,0)</f>
        <v>73.774685602775364</v>
      </c>
      <c r="Q75" s="77">
        <f ca="1">Q76+Q77</f>
        <v>1000800</v>
      </c>
      <c r="R75" s="77">
        <f ca="1">R76+R77</f>
        <v>1000800</v>
      </c>
      <c r="S75" s="77">
        <f ca="1">S76+S77</f>
        <v>18110</v>
      </c>
      <c r="T75" s="77">
        <f ca="1">IF(Q75&gt;0,S75*100/Q75,0)</f>
        <v>1.8095523581135091</v>
      </c>
      <c r="U75" s="77">
        <f ca="1">IF(R75&gt;0,S75*100/R75,0)</f>
        <v>1.8095523581135091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IFERROR(__xludf.DUMMYFUNCTION("IMPORTRANGE(""https://docs.google.com/spreadsheets/d/1-uDff_7J0KD5mKrp0Vvzr7lt3OU09vwQwhkpOPPYv2Y/edit?usp=sharing"",""งบพรบ!AM68"")"),461200)</f>
        <v>461200</v>
      </c>
      <c r="M77" s="77">
        <f ca="1">IFERROR(__xludf.DUMMYFUNCTION("IMPORTRANGE(""https://docs.google.com/spreadsheets/d/1-uDff_7J0KD5mKrp0Vvzr7lt3OU09vwQwhkpOPPYv2Y/edit?usp=sharing"",""งบพรบ!AR68"")"),461200)</f>
        <v>461200</v>
      </c>
      <c r="N77" s="77">
        <f ca="1">IFERROR(__xludf.DUMMYFUNCTION("IMPORTRANGE(""https://docs.google.com/spreadsheets/d/1-uDff_7J0KD5mKrp0Vvzr7lt3OU09vwQwhkpOPPYv2Y/edit?usp=sharing"",""งบพรบ!AT68"")"),340248.85)</f>
        <v>340248.85</v>
      </c>
      <c r="O77" s="77">
        <f ca="1">IF(L77&gt;0,N77*100/L77,0)</f>
        <v>73.774685602775364</v>
      </c>
      <c r="P77" s="77">
        <f ca="1">IF(M77&gt;0,N77*100/M77,0)</f>
        <v>73.774685602775364</v>
      </c>
      <c r="Q77" s="77">
        <f ca="1">IFERROR(__xludf.DUMMYFUNCTION("IMPORTRANGE(""https://docs.google.com/spreadsheets/d/1ItG2mGa2ceCfYo0BwxsXqNm01IGEUdYcSSLTEv9YCik/edit?usp=sharing"",""เบิกจ่ายกองทุน!AS68"")"),1000800)</f>
        <v>1000800</v>
      </c>
      <c r="R77" s="77">
        <f ca="1">IFERROR(__xludf.DUMMYFUNCTION("IMPORTRANGE(""https://docs.google.com/spreadsheets/d/1ItG2mGa2ceCfYo0BwxsXqNm01IGEUdYcSSLTEv9YCik/edit?usp=sharing"",""เบิกจ่ายกองทุน!AT68"")"),1000800)</f>
        <v>1000800</v>
      </c>
      <c r="S77" s="77">
        <f ca="1">IFERROR(__xludf.DUMMYFUNCTION("IMPORTRANGE(""https://docs.google.com/spreadsheets/d/1ItG2mGa2ceCfYo0BwxsXqNm01IGEUdYcSSLTEv9YCik/edit?usp=sharing"",""เบิกจ่ายกองทุน!AU68"")"),18110)</f>
        <v>18110</v>
      </c>
      <c r="T77" s="77">
        <f ca="1">IF(Q77&gt;0,S77*100/Q77,0)</f>
        <v>1.8095523581135091</v>
      </c>
      <c r="U77" s="77">
        <f ca="1">IF(R77&gt;0,S77*100/R77,0)</f>
        <v>1.8095523581135091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IFERROR(__xludf.DUMMYFUNCTION("IMPORTRANGE(""https://docs.google.com/spreadsheets/d/1-uDff_7J0KD5mKrp0Vvzr7lt3OU09vwQwhkpOPPYv2Y/edit?usp=sharing"",""งบพรบ!AP68"")"),0)</f>
        <v>0</v>
      </c>
      <c r="M80" s="77">
        <f ca="1">IFERROR(__xludf.DUMMYFUNCTION("IMPORTRANGE(""https://docs.google.com/spreadsheets/d/1-uDff_7J0KD5mKrp0Vvzr7lt3OU09vwQwhkpOPPYv2Y/edit?usp=sharing"",""งบพรบ!AS68"")"),0)</f>
        <v>0</v>
      </c>
      <c r="N80" s="77">
        <f ca="1">IFERROR(__xludf.DUMMYFUNCTION("IMPORTRANGE(""https://docs.google.com/spreadsheets/d/1-uDff_7J0KD5mKrp0Vvzr7lt3OU09vwQwhkpOPPYv2Y/edit?usp=sharing"",""งบพรบ!AU68"")"),0)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2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101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IFERROR(__xludf.DUMMYFUNCTION("IMPORTRANGE(""https://docs.google.com/spreadsheets/d/1eHaY18a8A9IcSdp1K8H6x8fbOy06t2VsZHhMHf-1x7Y/edit?usp=sharing"",""แผน!H68"")"),1)</f>
        <v>1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IFERROR(__xludf.DUMMYFUNCTION("IMPORTRANGE(""https://docs.google.com/spreadsheets/d/1eHaY18a8A9IcSdp1K8H6x8fbOy06t2VsZHhMHf-1x7Y/edit?usp=sharing"",""แผน!I68"")"),50)</f>
        <v>50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IFERROR(__xludf.DUMMYFUNCTION("IMPORTRANGE(""https://docs.google.com/spreadsheets/d/1eHaY18a8A9IcSdp1K8H6x8fbOy06t2VsZHhMHf-1x7Y/edit?usp=sharing"",""แผน!F68"")"),0)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IFERROR(__xludf.DUMMYFUNCTION("IMPORTRANGE(""https://docs.google.com/spreadsheets/d/1eHaY18a8A9IcSdp1K8H6x8fbOy06t2VsZHhMHf-1x7Y/edit?usp=sharing"",""แผน!G68"")"),0)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IFERROR(__xludf.DUMMYFUNCTION("IMPORTRANGE(""https://docs.google.com/spreadsheets/d/1eHaY18a8A9IcSdp1K8H6x8fbOy06t2VsZHhMHf-1x7Y/edit?usp=sharing"",""แผน!D68"")"),1)</f>
        <v>1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IFERROR(__xludf.DUMMYFUNCTION("IMPORTRANGE(""https://docs.google.com/spreadsheets/d/1eHaY18a8A9IcSdp1K8H6x8fbOy06t2VsZHhMHf-1x7Y/edit?usp=sharing"",""แผน!E68"")"),51)</f>
        <v>51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IFERROR(__xludf.DUMMYFUNCTION("IMPORTRANGE(""https://docs.google.com/spreadsheets/d/1eHaY18a8A9IcSdp1K8H6x8fbOy06t2VsZHhMHf-1x7Y/edit?usp=sharing"",""แผน!J68"")"),2)</f>
        <v>2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30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10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84420</v>
      </c>
      <c r="R94" s="266">
        <f ca="1">R95+R96</f>
        <v>84420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84420</v>
      </c>
      <c r="R96" s="77">
        <f ca="1">R99+R102</f>
        <v>84420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84420</v>
      </c>
      <c r="R97" s="77">
        <f ca="1">R98+R99</f>
        <v>84420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IFERROR(__xludf.DUMMYFUNCTION("IMPORTRANGE(""https://docs.google.com/spreadsheets/d/1-uDff_7J0KD5mKrp0Vvzr7lt3OU09vwQwhkpOPPYv2Y/edit?usp=sharing"",""งบพรบ!AW68"")"),0)</f>
        <v>0</v>
      </c>
      <c r="M99" s="77">
        <f ca="1">IFERROR(__xludf.DUMMYFUNCTION("IMPORTRANGE(""https://docs.google.com/spreadsheets/d/1-uDff_7J0KD5mKrp0Vvzr7lt3OU09vwQwhkpOPPYv2Y/edit?usp=sharing"",""งบพรบ!BB68"")"),0)</f>
        <v>0</v>
      </c>
      <c r="N99" s="77">
        <f ca="1">IFERROR(__xludf.DUMMYFUNCTION("IMPORTRANGE(""https://docs.google.com/spreadsheets/d/1-uDff_7J0KD5mKrp0Vvzr7lt3OU09vwQwhkpOPPYv2Y/edit?usp=sharing"",""งบพรบ!BD68"")"),0)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IFERROR(__xludf.DUMMYFUNCTION("IMPORTRANGE(""https://docs.google.com/spreadsheets/d/1ItG2mGa2ceCfYo0BwxsXqNm01IGEUdYcSSLTEv9YCik/edit?usp=sharing"",""เบิกจ่ายกองทุน!AD68"")"),84420)</f>
        <v>84420</v>
      </c>
      <c r="R99" s="77">
        <f ca="1">IFERROR(__xludf.DUMMYFUNCTION("IMPORTRANGE(""https://docs.google.com/spreadsheets/d/1ItG2mGa2ceCfYo0BwxsXqNm01IGEUdYcSSLTEv9YCik/edit?usp=sharing"",""เบิกจ่ายกองทุน!AE68"")"),84420)</f>
        <v>84420</v>
      </c>
      <c r="S99" s="77">
        <f ca="1">IFERROR(__xludf.DUMMYFUNCTION("IMPORTRANGE(""https://docs.google.com/spreadsheets/d/1ItG2mGa2ceCfYo0BwxsXqNm01IGEUdYcSSLTEv9YCik/edit?usp=sharing"",""เบิกจ่ายกองทุน!AF68"")"),0)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IFERROR(__xludf.DUMMYFUNCTION("IMPORTRANGE(""https://docs.google.com/spreadsheets/d/1-uDff_7J0KD5mKrp0Vvzr7lt3OU09vwQwhkpOPPYv2Y/edit?usp=sharing"",""งบพรบ!AZ68"")"),0)</f>
        <v>0</v>
      </c>
      <c r="M102" s="77">
        <f ca="1">IFERROR(__xludf.DUMMYFUNCTION("IMPORTRANGE(""https://docs.google.com/spreadsheets/d/1-uDff_7J0KD5mKrp0Vvzr7lt3OU09vwQwhkpOPPYv2Y/edit?usp=sharing"",""งบพรบ!BC68"")"),0)</f>
        <v>0</v>
      </c>
      <c r="N102" s="77">
        <f ca="1">IFERROR(__xludf.DUMMYFUNCTION("IMPORTRANGE(""https://docs.google.com/spreadsheets/d/1-uDff_7J0KD5mKrp0Vvzr7lt3OU09vwQwhkpOPPYv2Y/edit?usp=sharing"",""งบพรบ!BE68"")"),0)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IFERROR(__xludf.DUMMYFUNCTION("IMPORTRANGE(""https://docs.google.com/spreadsheets/d/1eHaY18a8A9IcSdp1K8H6x8fbOy06t2VsZHhMHf-1x7Y/edit?usp=sharing"",""แผน!N68"")"),30)</f>
        <v>30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IFERROR(__xludf.DUMMYFUNCTION("IMPORTRANGE(""https://docs.google.com/spreadsheets/d/1eHaY18a8A9IcSdp1K8H6x8fbOy06t2VsZHhMHf-1x7Y/edit?usp=sharing"",""แผน!O68"")"),10)</f>
        <v>10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80"/>
      <c r="B113" s="764"/>
      <c r="C113" s="764"/>
      <c r="D113" s="544" t="s">
        <v>50</v>
      </c>
      <c r="E113" s="765"/>
      <c r="F113" s="765"/>
      <c r="G113" s="767"/>
      <c r="H113" s="979" t="s">
        <v>46</v>
      </c>
      <c r="I113" s="978">
        <f ca="1">IFERROR(__xludf.DUMMYFUNCTION("IMPORTRANGE(""https://docs.google.com/spreadsheets/d/1eHaY18a8A9IcSdp1K8H6x8fbOy06t2VsZHhMHf-1x7Y/edit?usp=sharing"",""แผน!N68"")"),30)</f>
        <v>30</v>
      </c>
      <c r="J113" s="770">
        <v>0</v>
      </c>
      <c r="K113" s="977">
        <f ca="1">IF(I113&gt;0,J113*100/I113,0)</f>
        <v>0</v>
      </c>
      <c r="L113" s="388"/>
      <c r="M113" s="388"/>
      <c r="N113" s="388"/>
      <c r="O113" s="771"/>
      <c r="P113" s="771"/>
      <c r="Q113" s="388"/>
      <c r="R113" s="388"/>
      <c r="S113" s="388"/>
      <c r="T113" s="771"/>
      <c r="U113" s="771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IFERROR(__xludf.DUMMYFUNCTION("IMPORTRANGE(""https://docs.google.com/spreadsheets/d/1eHaY18a8A9IcSdp1K8H6x8fbOy06t2VsZHhMHf-1x7Y/edit?usp=sharing"",""แผน!O68"")"),10)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55</v>
      </c>
      <c r="J116" s="258">
        <f>J127</f>
        <v>55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310080</v>
      </c>
      <c r="R117" s="266">
        <f ca="1">R118+R119</f>
        <v>310080</v>
      </c>
      <c r="S117" s="266">
        <f ca="1">S118+S119</f>
        <v>181733</v>
      </c>
      <c r="T117" s="266">
        <f ca="1">IF(Q117&gt;0,S117*100/Q117,0)</f>
        <v>58.608423632610936</v>
      </c>
      <c r="U117" s="266">
        <f ca="1">IF(R117&gt;0,S117*100/R117,0)</f>
        <v>58.608423632610936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310080</v>
      </c>
      <c r="R119" s="77">
        <f ca="1">R122+R125</f>
        <v>310080</v>
      </c>
      <c r="S119" s="77">
        <f ca="1">S122+S125</f>
        <v>181733</v>
      </c>
      <c r="T119" s="77">
        <f ca="1">IF(Q119&gt;0,S119*100/Q119,0)</f>
        <v>58.608423632610936</v>
      </c>
      <c r="U119" s="77">
        <f ca="1">IF(R119&gt;0,S119*100/R119,0)</f>
        <v>58.608423632610936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310080</v>
      </c>
      <c r="R120" s="77">
        <f ca="1">R121+R122</f>
        <v>310080</v>
      </c>
      <c r="S120" s="77">
        <f ca="1">S121+S122</f>
        <v>181733</v>
      </c>
      <c r="T120" s="77">
        <f ca="1">IF(Q120&gt;0,S120*100/Q120,0)</f>
        <v>58.608423632610936</v>
      </c>
      <c r="U120" s="77">
        <f ca="1">IF(R120&gt;0,S120*100/R120,0)</f>
        <v>58.608423632610936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IFERROR(__xludf.DUMMYFUNCTION("IMPORTRANGE(""https://docs.google.com/spreadsheets/d/1-uDff_7J0KD5mKrp0Vvzr7lt3OU09vwQwhkpOPPYv2Y/edit?usp=sharing"",""งบพรบ!BG68"")"),0)</f>
        <v>0</v>
      </c>
      <c r="M122" s="77">
        <f ca="1">IFERROR(__xludf.DUMMYFUNCTION("IMPORTRANGE(""https://docs.google.com/spreadsheets/d/1-uDff_7J0KD5mKrp0Vvzr7lt3OU09vwQwhkpOPPYv2Y/edit?usp=sharing"",""งบพรบ!BL68"")"),0)</f>
        <v>0</v>
      </c>
      <c r="N122" s="77">
        <f ca="1">IFERROR(__xludf.DUMMYFUNCTION("IMPORTRANGE(""https://docs.google.com/spreadsheets/d/1-uDff_7J0KD5mKrp0Vvzr7lt3OU09vwQwhkpOPPYv2Y/edit?usp=sharing"",""งบพรบ!BN68"")"),0)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IFERROR(__xludf.DUMMYFUNCTION("IMPORTRANGE(""https://docs.google.com/spreadsheets/d/1ItG2mGa2ceCfYo0BwxsXqNm01IGEUdYcSSLTEv9YCik/edit?usp=sharing"",""เบิกจ่ายกองทุน!R68"")"),310080)</f>
        <v>310080</v>
      </c>
      <c r="R122" s="77">
        <f ca="1">IFERROR(__xludf.DUMMYFUNCTION("IMPORTRANGE(""https://docs.google.com/spreadsheets/d/1ItG2mGa2ceCfYo0BwxsXqNm01IGEUdYcSSLTEv9YCik/edit?usp=sharing"",""เบิกจ่ายกองทุน!S68"")"),310080)</f>
        <v>310080</v>
      </c>
      <c r="S122" s="77">
        <f ca="1">IFERROR(__xludf.DUMMYFUNCTION("IMPORTRANGE(""https://docs.google.com/spreadsheets/d/1ItG2mGa2ceCfYo0BwxsXqNm01IGEUdYcSSLTEv9YCik/edit?usp=sharing"",""เบิกจ่ายกองทุน!T68"")"),181733)</f>
        <v>181733</v>
      </c>
      <c r="T122" s="77">
        <f ca="1">IF(Q122&gt;0,S122*100/Q122,0)</f>
        <v>58.608423632610936</v>
      </c>
      <c r="U122" s="77">
        <f ca="1">IF(R122&gt;0,S122*100/R122,0)</f>
        <v>58.608423632610936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IFERROR(__xludf.DUMMYFUNCTION("IMPORTRANGE(""https://docs.google.com/spreadsheets/d/1-uDff_7J0KD5mKrp0Vvzr7lt3OU09vwQwhkpOPPYv2Y/edit?usp=sharing"",""งบพรบ!BJ68"")"),0)</f>
        <v>0</v>
      </c>
      <c r="M125" s="77">
        <f ca="1">IFERROR(__xludf.DUMMYFUNCTION("IMPORTRANGE(""https://docs.google.com/spreadsheets/d/1-uDff_7J0KD5mKrp0Vvzr7lt3OU09vwQwhkpOPPYv2Y/edit?usp=sharing"",""งบพรบ!BM68"")"),0)</f>
        <v>0</v>
      </c>
      <c r="N125" s="77">
        <f ca="1">IFERROR(__xludf.DUMMYFUNCTION("IMPORTRANGE(""https://docs.google.com/spreadsheets/d/1-uDff_7J0KD5mKrp0Vvzr7lt3OU09vwQwhkpOPPYv2Y/edit?usp=sharing"",""งบพรบ!BO68"")"),0)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IFERROR(__xludf.DUMMYFUNCTION("IMPORTRANGE(""https://docs.google.com/spreadsheets/d/1eHaY18a8A9IcSdp1K8H6x8fbOy06t2VsZHhMHf-1x7Y/edit?usp=sharing"",""แผน!FF68"")"),55)</f>
        <v>55</v>
      </c>
      <c r="J127" s="296">
        <v>55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IFERROR(__xludf.DUMMYFUNCTION("IMPORTRANGE(""https://docs.google.com/spreadsheets/d/1eHaY18a8A9IcSdp1K8H6x8fbOy06t2VsZHhMHf-1x7Y/edit?usp=sharing"",""แผน!FG68"")"),0)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IFERROR(__xludf.DUMMYFUNCTION("IMPORTRANGE(""https://docs.google.com/spreadsheets/d/1eHaY18a8A9IcSdp1K8H6x8fbOy06t2VsZHhMHf-1x7Y/edit?usp=sharing"",""แผน!FH68"")"),30)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IFERROR(__xludf.DUMMYFUNCTION("IMPORTRANGE(""https://docs.google.com/spreadsheets/d/1eHaY18a8A9IcSdp1K8H6x8fbOy06t2VsZHhMHf-1x7Y/edit?usp=sharing"",""แผน!FI68"")"),0)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IFERROR(__xludf.DUMMYFUNCTION("IMPORTRANGE(""https://docs.google.com/spreadsheets/d/1-uDff_7J0KD5mKrp0Vvzr7lt3OU09vwQwhkpOPPYv2Y/edit?usp=sharing"",""งบพรบ!BQ68"")"),0)</f>
        <v>0</v>
      </c>
      <c r="M144" s="77">
        <f ca="1">IFERROR(__xludf.DUMMYFUNCTION("IMPORTRANGE(""https://docs.google.com/spreadsheets/d/1-uDff_7J0KD5mKrp0Vvzr7lt3OU09vwQwhkpOPPYv2Y/edit?usp=sharing"",""งบพรบ!BV68"")"),0)</f>
        <v>0</v>
      </c>
      <c r="N144" s="77">
        <f ca="1">IFERROR(__xludf.DUMMYFUNCTION("IMPORTRANGE(""https://docs.google.com/spreadsheets/d/1-uDff_7J0KD5mKrp0Vvzr7lt3OU09vwQwhkpOPPYv2Y/edit?usp=sharing"",""งบพรบ!BX68"")"),0)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IFERROR(__xludf.DUMMYFUNCTION("IMPORTRANGE(""https://docs.google.com/spreadsheets/d/1ItG2mGa2ceCfYo0BwxsXqNm01IGEUdYcSSLTEv9YCik/edit?usp=sharing"",""เบิกจ่ายกองทุน!BB68"")"),0)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IFERROR(__xludf.DUMMYFUNCTION("IMPORTRANGE(""https://docs.google.com/spreadsheets/d/1ItG2mGa2ceCfYo0BwxsXqNm01IGEUdYcSSLTEv9YCik/edit?usp=sharing"",""เบิกจ่ายกองทุน!BC68"")"),0)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IFERROR(__xludf.DUMMYFUNCTION("IMPORTRANGE(""https://docs.google.com/spreadsheets/d/1ItG2mGa2ceCfYo0BwxsXqNm01IGEUdYcSSLTEv9YCik/edit?usp=sharing"",""เบิกจ่ายกองทุน!BD68"")"),0)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IFERROR(__xludf.DUMMYFUNCTION("IMPORTRANGE(""https://docs.google.com/spreadsheets/d/1-uDff_7J0KD5mKrp0Vvzr7lt3OU09vwQwhkpOPPYv2Y/edit?usp=sharing"",""งบพรบ!BT68"")"),0)</f>
        <v>0</v>
      </c>
      <c r="M147" s="77">
        <f ca="1">IFERROR(__xludf.DUMMYFUNCTION("IMPORTRANGE(""https://docs.google.com/spreadsheets/d/1-uDff_7J0KD5mKrp0Vvzr7lt3OU09vwQwhkpOPPYv2Y/edit?usp=sharing"",""งบพรบ!BW68"")"),0)</f>
        <v>0</v>
      </c>
      <c r="N147" s="77">
        <f ca="1">IFERROR(__xludf.DUMMYFUNCTION("IMPORTRANGE(""https://docs.google.com/spreadsheets/d/1-uDff_7J0KD5mKrp0Vvzr7lt3OU09vwQwhkpOPPYv2Y/edit?usp=sharing"",""งบพรบ!BY68"")"),0)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IFERROR(__xludf.DUMMYFUNCTION("IMPORTRANGE(""https://docs.google.com/spreadsheets/d/1eHaY18a8A9IcSdp1K8H6x8fbOy06t2VsZHhMHf-1x7Y/edit?usp=sharing"",""แผน!U68"")"),0)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IFERROR(__xludf.DUMMYFUNCTION("IMPORTRANGE(""https://docs.google.com/spreadsheets/d/1eHaY18a8A9IcSdp1K8H6x8fbOy06t2VsZHhMHf-1x7Y/edit?usp=sharing"",""แผน!V68"")"),0)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IFERROR(__xludf.DUMMYFUNCTION("IMPORTRANGE(""https://docs.google.com/spreadsheets/d/1eHaY18a8A9IcSdp1K8H6x8fbOy06t2VsZHhMHf-1x7Y/edit?usp=sharing"",""แผน!W68"")"),0)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IFERROR(__xludf.DUMMYFUNCTION("IMPORTRANGE(""https://docs.google.com/spreadsheets/d/1eHaY18a8A9IcSdp1K8H6x8fbOy06t2VsZHhMHf-1x7Y/edit?usp=sharing"",""แผน!X68"")"),0)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IFERROR(__xludf.DUMMYFUNCTION("IMPORTRANGE(""https://docs.google.com/spreadsheets/d/1eHaY18a8A9IcSdp1K8H6x8fbOy06t2VsZHhMHf-1x7Y/edit?usp=sharing"",""แผน!Y68"")"),0)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5290</v>
      </c>
      <c r="N157" s="266">
        <f ca="1">N158+N159</f>
        <v>2250</v>
      </c>
      <c r="O157" s="266">
        <f ca="1">IF(L157&gt;0,N157*100/L157,0)</f>
        <v>75</v>
      </c>
      <c r="P157" s="266">
        <f ca="1">IF(M157&gt;0,N157*100/M157,0)</f>
        <v>42.533081285444233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5290</v>
      </c>
      <c r="N159" s="77">
        <f ca="1">N162+N165</f>
        <v>2250</v>
      </c>
      <c r="O159" s="77">
        <f ca="1">IF(L159&gt;0,N159*100/L159,0)</f>
        <v>75</v>
      </c>
      <c r="P159" s="77">
        <f ca="1">IF(M159&gt;0,N159*100/M159,0)</f>
        <v>42.533081285444233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5290</v>
      </c>
      <c r="N160" s="77">
        <f ca="1">N161+N162</f>
        <v>2250</v>
      </c>
      <c r="O160" s="77">
        <f ca="1">IF(L160&gt;0,N160*100/L160,0)</f>
        <v>75</v>
      </c>
      <c r="P160" s="77">
        <f ca="1">IF(M160&gt;0,N160*100/M160,0)</f>
        <v>42.533081285444233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IFERROR(__xludf.DUMMYFUNCTION("IMPORTRANGE(""https://docs.google.com/spreadsheets/d/1-uDff_7J0KD5mKrp0Vvzr7lt3OU09vwQwhkpOPPYv2Y/edit?usp=sharing"",""งบพรบ!CA68"")"),3000)</f>
        <v>3000</v>
      </c>
      <c r="M162" s="77">
        <f ca="1">IFERROR(__xludf.DUMMYFUNCTION("IMPORTRANGE(""https://docs.google.com/spreadsheets/d/1-uDff_7J0KD5mKrp0Vvzr7lt3OU09vwQwhkpOPPYv2Y/edit?usp=sharing"",""งบพรบ!CF68"")"),5290)</f>
        <v>5290</v>
      </c>
      <c r="N162" s="77">
        <f ca="1">IFERROR(__xludf.DUMMYFUNCTION("IMPORTRANGE(""https://docs.google.com/spreadsheets/d/1-uDff_7J0KD5mKrp0Vvzr7lt3OU09vwQwhkpOPPYv2Y/edit?usp=sharing"",""งบพรบ!CH68"")"),2250)</f>
        <v>2250</v>
      </c>
      <c r="O162" s="77">
        <f ca="1">IF(L162&gt;0,N162*100/L162,0)</f>
        <v>75</v>
      </c>
      <c r="P162" s="77">
        <f ca="1">IF(M162&gt;0,N162*100/M162,0)</f>
        <v>42.533081285444233</v>
      </c>
      <c r="Q162" s="77">
        <f ca="1">IFERROR(__xludf.DUMMYFUNCTION("IMPORTRANGE(""https://docs.google.com/spreadsheets/d/1ItG2mGa2ceCfYo0BwxsXqNm01IGEUdYcSSLTEv9YCik/edit?usp=sharing"",""เบิกจ่ายกองทุน!AG68"")"),0)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IFERROR(__xludf.DUMMYFUNCTION("IMPORTRANGE(""https://docs.google.com/spreadsheets/d/1ItG2mGa2ceCfYo0BwxsXqNm01IGEUdYcSSLTEv9YCik/edit?usp=sharing"",""เบิกจ่ายกองทุน!AH68"")"),0)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IFERROR(__xludf.DUMMYFUNCTION("IMPORTRANGE(""https://docs.google.com/spreadsheets/d/1ItG2mGa2ceCfYo0BwxsXqNm01IGEUdYcSSLTEv9YCik/edit?usp=sharing"",""เบิกจ่ายกองทุน!AI68"")"),0)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IFERROR(__xludf.DUMMYFUNCTION("IMPORTRANGE(""https://docs.google.com/spreadsheets/d/1-uDff_7J0KD5mKrp0Vvzr7lt3OU09vwQwhkpOPPYv2Y/edit?usp=sharing"",""งบพรบ!CD68"")"),0)</f>
        <v>0</v>
      </c>
      <c r="M165" s="77">
        <f ca="1">IFERROR(__xludf.DUMMYFUNCTION("IMPORTRANGE(""https://docs.google.com/spreadsheets/d/1-uDff_7J0KD5mKrp0Vvzr7lt3OU09vwQwhkpOPPYv2Y/edit?usp=sharing"",""งบพรบ!CG68"")"),0)</f>
        <v>0</v>
      </c>
      <c r="N165" s="77">
        <f ca="1">IFERROR(__xludf.DUMMYFUNCTION("IMPORTRANGE(""https://docs.google.com/spreadsheets/d/1-uDff_7J0KD5mKrp0Vvzr7lt3OU09vwQwhkpOPPYv2Y/edit?usp=sharing"",""งบพรบ!CI68"")"),0)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IFERROR(__xludf.DUMMYFUNCTION("IMPORTRANGE(""https://docs.google.com/spreadsheets/d/1eHaY18a8A9IcSdp1K8H6x8fbOy06t2VsZHhMHf-1x7Y/edit?usp=sharing"",""แผน!Z68"")"),15)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29930</v>
      </c>
      <c r="N173" s="266">
        <f ca="1">N174+N175</f>
        <v>29678</v>
      </c>
      <c r="O173" s="266">
        <f ca="1">IF(L173&gt;0,N173*100/L173,0)</f>
        <v>151.49566105155691</v>
      </c>
      <c r="P173" s="266">
        <f ca="1">IF(M173&gt;0,N173*100/M173,0)</f>
        <v>99.158035415970602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29930</v>
      </c>
      <c r="N175" s="77">
        <f ca="1">N178+N181</f>
        <v>29678</v>
      </c>
      <c r="O175" s="77">
        <f ca="1">IF(L175&gt;0,N175*100/L175,0)</f>
        <v>151.49566105155691</v>
      </c>
      <c r="P175" s="77">
        <f ca="1">IF(M175&gt;0,N175*100/M175,0)</f>
        <v>99.158035415970602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29930</v>
      </c>
      <c r="N176" s="77">
        <f ca="1">N177+N178</f>
        <v>29678</v>
      </c>
      <c r="O176" s="77">
        <f ca="1">IF(L176&gt;0,N176*100/L176,0)</f>
        <v>151.49566105155691</v>
      </c>
      <c r="P176" s="77">
        <f ca="1">IF(M176&gt;0,N176*100/M176,0)</f>
        <v>99.158035415970602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IFERROR(__xludf.DUMMYFUNCTION("IMPORTRANGE(""https://docs.google.com/spreadsheets/d/1-uDff_7J0KD5mKrp0Vvzr7lt3OU09vwQwhkpOPPYv2Y/edit?usp=sharing"",""งบพรบ!CK68"")"),19590)</f>
        <v>19590</v>
      </c>
      <c r="M178" s="77">
        <f ca="1">IFERROR(__xludf.DUMMYFUNCTION("IMPORTRANGE(""https://docs.google.com/spreadsheets/d/1-uDff_7J0KD5mKrp0Vvzr7lt3OU09vwQwhkpOPPYv2Y/edit?usp=sharing"",""งบพรบ!CP68"")"),29930)</f>
        <v>29930</v>
      </c>
      <c r="N178" s="77">
        <f ca="1">IFERROR(__xludf.DUMMYFUNCTION("IMPORTRANGE(""https://docs.google.com/spreadsheets/d/1-uDff_7J0KD5mKrp0Vvzr7lt3OU09vwQwhkpOPPYv2Y/edit?usp=sharing"",""งบพรบ!CR68"")"),29678)</f>
        <v>29678</v>
      </c>
      <c r="O178" s="77">
        <f ca="1">IF(L178&gt;0,N178*100/L178,0)</f>
        <v>151.49566105155691</v>
      </c>
      <c r="P178" s="77">
        <f ca="1">IF(M178&gt;0,N178*100/M178,0)</f>
        <v>99.158035415970602</v>
      </c>
      <c r="Q178" s="77">
        <f ca="1">IFERROR(__xludf.DUMMYFUNCTION("IMPORTRANGE(""https://docs.google.com/spreadsheets/d/1ItG2mGa2ceCfYo0BwxsXqNm01IGEUdYcSSLTEv9YCik/edit?usp=sharing"",""เบิกจ่ายกองทุน!BE68"")"),0)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IFERROR(__xludf.DUMMYFUNCTION("IMPORTRANGE(""https://docs.google.com/spreadsheets/d/1ItG2mGa2ceCfYo0BwxsXqNm01IGEUdYcSSLTEv9YCik/edit?usp=sharing"",""เบิกจ่ายกองทุน!BF68"")"),0)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IFERROR(__xludf.DUMMYFUNCTION("IMPORTRANGE(""https://docs.google.com/spreadsheets/d/1ItG2mGa2ceCfYo0BwxsXqNm01IGEUdYcSSLTEv9YCik/edit?usp=sharing"",""เบิกจ่ายกองทุน!BG68"")"),0)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IFERROR(__xludf.DUMMYFUNCTION("IMPORTRANGE(""https://docs.google.com/spreadsheets/d/1-uDff_7J0KD5mKrp0Vvzr7lt3OU09vwQwhkpOPPYv2Y/edit?usp=sharing"",""งบพรบ!CN68"")"),0)</f>
        <v>0</v>
      </c>
      <c r="M181" s="77">
        <f ca="1">IFERROR(__xludf.DUMMYFUNCTION("IMPORTRANGE(""https://docs.google.com/spreadsheets/d/1-uDff_7J0KD5mKrp0Vvzr7lt3OU09vwQwhkpOPPYv2Y/edit?usp=sharing"",""งบพรบ!CQ68"")"),0)</f>
        <v>0</v>
      </c>
      <c r="N181" s="77">
        <f ca="1">IFERROR(__xludf.DUMMYFUNCTION("IMPORTRANGE(""https://docs.google.com/spreadsheets/d/1-uDff_7J0KD5mKrp0Vvzr7lt3OU09vwQwhkpOPPYv2Y/edit?usp=sharing"",""งบพรบ!CS68"")"),0)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IFERROR(__xludf.DUMMYFUNCTION("IMPORTRANGE(""https://docs.google.com/spreadsheets/d/1eHaY18a8A9IcSdp1K8H6x8fbOy06t2VsZHhMHf-1x7Y/edit?usp=sharing"",""แผน!AA68"")"),7)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49500</v>
      </c>
      <c r="M186" s="266">
        <f ca="1">M187+M188</f>
        <v>36860</v>
      </c>
      <c r="N186" s="266">
        <f ca="1">N187+N188</f>
        <v>5705</v>
      </c>
      <c r="O186" s="266">
        <f ca="1">IF(L186&gt;0,N186*100/L186,0)</f>
        <v>11.525252525252526</v>
      </c>
      <c r="P186" s="266">
        <f ca="1">IF(M186&gt;0,N186*100/M186,0)</f>
        <v>15.477482365708084</v>
      </c>
      <c r="Q186" s="266">
        <f ca="1">Q187+Q188</f>
        <v>42000</v>
      </c>
      <c r="R186" s="266">
        <f ca="1">R187+R188</f>
        <v>56000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49500</v>
      </c>
      <c r="M188" s="77">
        <f ca="1">M191+M194</f>
        <v>36860</v>
      </c>
      <c r="N188" s="77">
        <f ca="1">N191+N194</f>
        <v>5705</v>
      </c>
      <c r="O188" s="77">
        <f ca="1">IF(L188&gt;0,N188*100/L188,0)</f>
        <v>11.525252525252526</v>
      </c>
      <c r="P188" s="77">
        <f ca="1">IF(M188&gt;0,N188*100/M188,0)</f>
        <v>15.477482365708084</v>
      </c>
      <c r="Q188" s="77">
        <f ca="1">Q191+Q194</f>
        <v>42000</v>
      </c>
      <c r="R188" s="77">
        <f ca="1">R191+R194</f>
        <v>56000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49500</v>
      </c>
      <c r="M189" s="77">
        <f ca="1">M190+M191</f>
        <v>36860</v>
      </c>
      <c r="N189" s="77">
        <f ca="1">N190+N191</f>
        <v>5705</v>
      </c>
      <c r="O189" s="77">
        <f ca="1">IF(L189&gt;0,N189*100/L189,0)</f>
        <v>11.525252525252526</v>
      </c>
      <c r="P189" s="77">
        <f ca="1">IF(M189&gt;0,N189*100/M189,0)</f>
        <v>15.477482365708084</v>
      </c>
      <c r="Q189" s="77">
        <f ca="1">Q190+Q191</f>
        <v>42000</v>
      </c>
      <c r="R189" s="77">
        <f ca="1">R190+R191</f>
        <v>56000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IFERROR(__xludf.DUMMYFUNCTION("IMPORTRANGE(""https://docs.google.com/spreadsheets/d/1-uDff_7J0KD5mKrp0Vvzr7lt3OU09vwQwhkpOPPYv2Y/edit?usp=sharing"",""งบพรบ!CU68"")"),49500)</f>
        <v>49500</v>
      </c>
      <c r="M191" s="77">
        <f ca="1">IFERROR(__xludf.DUMMYFUNCTION("IMPORTRANGE(""https://docs.google.com/spreadsheets/d/1-uDff_7J0KD5mKrp0Vvzr7lt3OU09vwQwhkpOPPYv2Y/edit?usp=sharing"",""งบพรบ!CZ68"")"),36860)</f>
        <v>36860</v>
      </c>
      <c r="N191" s="77">
        <f ca="1">IFERROR(__xludf.DUMMYFUNCTION("IMPORTRANGE(""https://docs.google.com/spreadsheets/d/1-uDff_7J0KD5mKrp0Vvzr7lt3OU09vwQwhkpOPPYv2Y/edit?usp=sharing"",""งบพรบ!DB68"")"),5705)</f>
        <v>5705</v>
      </c>
      <c r="O191" s="77">
        <f ca="1">IF(L191&gt;0,N191*100/L191,0)</f>
        <v>11.525252525252526</v>
      </c>
      <c r="P191" s="77">
        <f ca="1">IF(M191&gt;0,N191*100/M191,0)</f>
        <v>15.477482365708084</v>
      </c>
      <c r="Q191" s="77">
        <f ca="1">IFERROR(__xludf.DUMMYFUNCTION("IMPORTRANGE(""https://docs.google.com/spreadsheets/d/1ItG2mGa2ceCfYo0BwxsXqNm01IGEUdYcSSLTEv9YCik/edit?usp=sharing"",""เบิกจ่ายกองทุน!AV68"")"),42000)</f>
        <v>42000</v>
      </c>
      <c r="R191" s="77">
        <f ca="1">IFERROR(__xludf.DUMMYFUNCTION("IMPORTRANGE(""https://docs.google.com/spreadsheets/d/1ItG2mGa2ceCfYo0BwxsXqNm01IGEUdYcSSLTEv9YCik/edit?usp=sharing"",""เบิกจ่ายกองทุน!AW68"")"),56000)</f>
        <v>56000</v>
      </c>
      <c r="S191" s="77">
        <f ca="1">IFERROR(__xludf.DUMMYFUNCTION("IMPORTRANGE(""https://docs.google.com/spreadsheets/d/1ItG2mGa2ceCfYo0BwxsXqNm01IGEUdYcSSLTEv9YCik/edit?usp=sharing"",""เบิกจ่ายกองทุน!AX68"")"),0)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IFERROR(__xludf.DUMMYFUNCTION("IMPORTRANGE(""https://docs.google.com/spreadsheets/d/1-uDff_7J0KD5mKrp0Vvzr7lt3OU09vwQwhkpOPPYv2Y/edit?usp=sharing"",""งบพรบ!CX68"")"),0)</f>
        <v>0</v>
      </c>
      <c r="M194" s="77">
        <f ca="1">IFERROR(__xludf.DUMMYFUNCTION("IMPORTRANGE(""https://docs.google.com/spreadsheets/d/1-uDff_7J0KD5mKrp0Vvzr7lt3OU09vwQwhkpOPPYv2Y/edit?usp=sharing"",""งบพรบ!DA68"")"),0)</f>
        <v>0</v>
      </c>
      <c r="N194" s="77">
        <f ca="1">IFERROR(__xludf.DUMMYFUNCTION("IMPORTRANGE(""https://docs.google.com/spreadsheets/d/1-uDff_7J0KD5mKrp0Vvzr7lt3OU09vwQwhkpOPPYv2Y/edit?usp=sharing"",""งบพรบ!DC68"")"),0)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IFERROR(__xludf.DUMMYFUNCTION("IMPORTRANGE(""https://docs.google.com/spreadsheets/d/1eHaY18a8A9IcSdp1K8H6x8fbOy06t2VsZHhMHf-1x7Y/edit?usp=sharing"",""แผน!AB68"")"),6000)</f>
        <v>6000</v>
      </c>
      <c r="M196" s="90"/>
      <c r="N196" s="959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IFERROR(__xludf.DUMMYFUNCTION("IMPORTRANGE(""https://docs.google.com/spreadsheets/d/1eHaY18a8A9IcSdp1K8H6x8fbOy06t2VsZHhMHf-1x7Y/edit?usp=sharing"",""แผน!AE68"")"),4)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30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30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IFERROR(__xludf.DUMMYFUNCTION("IMPORTRANGE(""https://docs.google.com/spreadsheets/d/1eHaY18a8A9IcSdp1K8H6x8fbOy06t2VsZHhMHf-1x7Y/edit?usp=sharing"",""แผน!AG68"")"),2000)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IFERROR(__xludf.DUMMYFUNCTION("IMPORTRANGE(""https://docs.google.com/spreadsheets/d/1eHaY18a8A9IcSdp1K8H6x8fbOy06t2VsZHhMHf-1x7Y/edit?usp=sharing"",""แผน!AH68"")"),0)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IFERROR(__xludf.DUMMYFUNCTION("IMPORTRANGE(""https://docs.google.com/spreadsheets/d/1eHaY18a8A9IcSdp1K8H6x8fbOy06t2VsZHhMHf-1x7Y/edit?usp=sharing"",""แผน!AI68"")"),0)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IFERROR(__xludf.DUMMYFUNCTION("IMPORTRANGE(""https://docs.google.com/spreadsheets/d/1eHaY18a8A9IcSdp1K8H6x8fbOy06t2VsZHhMHf-1x7Y/edit?usp=sharing"",""แผน!LV68"")"),42000)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IFERROR(__xludf.DUMMYFUNCTION("IMPORTRANGE(""https://docs.google.com/spreadsheets/d/1eHaY18a8A9IcSdp1K8H6x8fbOy06t2VsZHhMHf-1x7Y/edit?usp=sharing"",""แผน!AJ68"")"),13000)</f>
        <v>13000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IFERROR(__xludf.DUMMYFUNCTION("IMPORTRANGE(""https://docs.google.com/spreadsheets/d/1eHaY18a8A9IcSdp1K8H6x8fbOy06t2VsZHhMHf-1x7Y/edit?usp=sharing"",""แผน!AK68"")"),3)</f>
        <v>3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IFERROR(__xludf.DUMMYFUNCTION("IMPORTRANGE(""https://docs.google.com/spreadsheets/d/1eHaY18a8A9IcSdp1K8H6x8fbOy06t2VsZHhMHf-1x7Y/edit?usp=sharing"",""แผน!JX68"")"),2)</f>
        <v>2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IFERROR(__xludf.DUMMYFUNCTION("IMPORTRANGE(""https://docs.google.com/spreadsheets/d/1eHaY18a8A9IcSdp1K8H6x8fbOy06t2VsZHhMHf-1x7Y/edit?usp=sharing"",""แผน!JY68"")"),1)</f>
        <v>1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IFERROR(__xludf.DUMMYFUNCTION("IMPORTRANGE(""https://docs.google.com/spreadsheets/d/1eHaY18a8A9IcSdp1K8H6x8fbOy06t2VsZHhMHf-1x7Y/edit?usp=sharing"",""แผน!AM68"")"),0)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IFERROR(__xludf.DUMMYFUNCTION("IMPORTRANGE(""https://docs.google.com/spreadsheets/d/1eHaY18a8A9IcSdp1K8H6x8fbOy06t2VsZHhMHf-1x7Y/edit?usp=sharing"",""แผน!AN68"")"),0)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IFERROR(__xludf.DUMMYFUNCTION("IMPORTRANGE(""https://docs.google.com/spreadsheets/d/1eHaY18a8A9IcSdp1K8H6x8fbOy06t2VsZHhMHf-1x7Y/edit?usp=sharing"",""แผน!AO68"")"),0)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IFERROR(__xludf.DUMMYFUNCTION("IMPORTRANGE(""https://docs.google.com/spreadsheets/d/1eHaY18a8A9IcSdp1K8H6x8fbOy06t2VsZHhMHf-1x7Y/edit?usp=sharing"",""แผน!LY68"")"),0)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IFERROR(__xludf.DUMMYFUNCTION("IMPORTRANGE(""https://docs.google.com/spreadsheets/d/1eHaY18a8A9IcSdp1K8H6x8fbOy06t2VsZHhMHf-1x7Y/edit?usp=sharing"",""แผน!AP68"")"),0)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IFERROR(__xludf.DUMMYFUNCTION("IMPORTRANGE(""https://docs.google.com/spreadsheets/d/1eHaY18a8A9IcSdp1K8H6x8fbOy06t2VsZHhMHf-1x7Y/edit?usp=sharing"",""แผน!AP68"")"),0)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100000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12500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IFERROR(__xludf.DUMMYFUNCTION("IMPORTRANGE(""https://docs.google.com/spreadsheets/d/1eHaY18a8A9IcSdp1K8H6x8fbOy06t2VsZHhMHf-1x7Y/edit?usp=sharing"",""แผน!AR68"")"),2500)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IFERROR(__xludf.DUMMYFUNCTION("IMPORTRANGE(""https://docs.google.com/spreadsheets/d/1eHaY18a8A9IcSdp1K8H6x8fbOy06t2VsZHhMHf-1x7Y/edit?usp=sharing"",""แผน!AS68"")"),10000)</f>
        <v>10000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IFERROR(__xludf.DUMMYFUNCTION("IMPORTRANGE(""https://docs.google.com/spreadsheets/d/1eHaY18a8A9IcSdp1K8H6x8fbOy06t2VsZHhMHf-1x7Y/edit?usp=sharing"",""แผน!AT68"")"),0)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IFERROR(__xludf.DUMMYFUNCTION("IMPORTRANGE(""https://docs.google.com/spreadsheets/d/1eHaY18a8A9IcSdp1K8H6x8fbOy06t2VsZHhMHf-1x7Y/edit?usp=sharing"",""แผน!AV68"")"),100000)</f>
        <v>100000</v>
      </c>
      <c r="J228" s="296">
        <v>100000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IFERROR(__xludf.DUMMYFUNCTION("IMPORTRANGE(""https://docs.google.com/spreadsheets/d/1eHaY18a8A9IcSdp1K8H6x8fbOy06t2VsZHhMHf-1x7Y/edit?usp=sharing"",""แผน!AV68"")"),100000)</f>
        <v>100000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IFERROR(__xludf.DUMMYFUNCTION("IMPORTRANGE(""https://docs.google.com/spreadsheets/d/1eHaY18a8A9IcSdp1K8H6x8fbOy06t2VsZHhMHf-1x7Y/edit?usp=sharing"",""แผน!AU68"")"),0)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IFERROR(__xludf.DUMMYFUNCTION("IMPORTRANGE(""https://docs.google.com/spreadsheets/d/1eHaY18a8A9IcSdp1K8H6x8fbOy06t2VsZHhMHf-1x7Y/edit?usp=sharing"",""แผน!AX68"")"),0)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IFERROR(__xludf.DUMMYFUNCTION("IMPORTRANGE(""https://docs.google.com/spreadsheets/d/1eHaY18a8A9IcSdp1K8H6x8fbOy06t2VsZHhMHf-1x7Y/edit?usp=sharing"",""แผน!AY68"")"),0)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IFERROR(__xludf.DUMMYFUNCTION("IMPORTRANGE(""https://docs.google.com/spreadsheets/d/1eHaY18a8A9IcSdp1K8H6x8fbOy06t2VsZHhMHf-1x7Y/edit?usp=sharing"",""แผน!AZ68"")"),0)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IFERROR(__xludf.DUMMYFUNCTION("IMPORTRANGE(""https://docs.google.com/spreadsheets/d/1eHaY18a8A9IcSdp1K8H6x8fbOy06t2VsZHhMHf-1x7Y/edit?usp=sharing"",""แผน!BA68"")"),0)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IFERROR(__xludf.DUMMYFUNCTION("IMPORTRANGE(""https://docs.google.com/spreadsheets/d/1eHaY18a8A9IcSdp1K8H6x8fbOy06t2VsZHhMHf-1x7Y/edit?usp=sharing"",""แผน!BG68"")"),0)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IFERROR(__xludf.DUMMYFUNCTION("IMPORTRANGE(""https://docs.google.com/spreadsheets/d/1eHaY18a8A9IcSdp1K8H6x8fbOy06t2VsZHhMHf-1x7Y/edit?usp=sharing"",""แผน!BB68"")"),0)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IFERROR(__xludf.DUMMYFUNCTION("IMPORTRANGE(""https://docs.google.com/spreadsheets/d/1eHaY18a8A9IcSdp1K8H6x8fbOy06t2VsZHhMHf-1x7Y/edit?usp=sharing"",""แผน!BC68"")"),0)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IFERROR(__xludf.DUMMYFUNCTION("IMPORTRANGE(""https://docs.google.com/spreadsheets/d/1eHaY18a8A9IcSdp1K8H6x8fbOy06t2VsZHhMHf-1x7Y/edit?usp=sharing"",""แผน!BD68"")"),0)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IFERROR(__xludf.DUMMYFUNCTION("IMPORTRANGE(""https://docs.google.com/spreadsheets/d/1eHaY18a8A9IcSdp1K8H6x8fbOy06t2VsZHhMHf-1x7Y/edit?usp=sharing"",""แผน!BE68"")"),0)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IFERROR(__xludf.DUMMYFUNCTION("IMPORTRANGE(""https://docs.google.com/spreadsheets/d/1eHaY18a8A9IcSdp1K8H6x8fbOy06t2VsZHhMHf-1x7Y/edit?usp=sharing"",""แผน!BH68"")"),0)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8920</v>
      </c>
      <c r="T266" s="215">
        <f ca="1">IF(Q266&gt;0,S266*100/Q266,0)</f>
        <v>17.607579944729569</v>
      </c>
      <c r="U266" s="215">
        <f ca="1">IF(R266&gt;0,S266*100/R266,0)</f>
        <v>17.607579944729569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8920</v>
      </c>
      <c r="T268" s="91">
        <f ca="1">IF(Q268&gt;0,S268*100/Q268,0)</f>
        <v>17.607579944729569</v>
      </c>
      <c r="U268" s="91">
        <f ca="1">IF(R268&gt;0,S268*100/R268,0)</f>
        <v>17.607579944729569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8920</v>
      </c>
      <c r="T269" s="91">
        <f ca="1">IF(Q269&gt;0,S269*100/Q269,0)</f>
        <v>17.607579944729569</v>
      </c>
      <c r="U269" s="91">
        <f ca="1">IF(R269&gt;0,S269*100/R269,0)</f>
        <v>17.607579944729569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IFERROR(__xludf.DUMMYFUNCTION("IMPORTRANGE(""https://docs.google.com/spreadsheets/d/1-uDff_7J0KD5mKrp0Vvzr7lt3OU09vwQwhkpOPPYv2Y/edit?usp=sharing"",""งบพรบ!DE68"")"),0)</f>
        <v>0</v>
      </c>
      <c r="M271" s="91">
        <f ca="1">IFERROR(__xludf.DUMMYFUNCTION("IMPORTRANGE(""https://docs.google.com/spreadsheets/d/1-uDff_7J0KD5mKrp0Vvzr7lt3OU09vwQwhkpOPPYv2Y/edit?usp=sharing"",""งบพรบ!DJ68"")"),5000)</f>
        <v>5000</v>
      </c>
      <c r="N271" s="91">
        <f ca="1">IFERROR(__xludf.DUMMYFUNCTION("IMPORTRANGE(""https://docs.google.com/spreadsheets/d/1-uDff_7J0KD5mKrp0Vvzr7lt3OU09vwQwhkpOPPYv2Y/edit?usp=sharing"",""งบพรบ!DL68"")"),0)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IFERROR(__xludf.DUMMYFUNCTION("IMPORTRANGE(""https://docs.google.com/spreadsheets/d/1ItG2mGa2ceCfYo0BwxsXqNm01IGEUdYcSSLTEv9YCik/edit?usp=sharing"",""เบิกจ่ายกองทุน!AJ68"")"),50660)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IFERROR(__xludf.DUMMYFUNCTION("IMPORTRANGE(""https://docs.google.com/spreadsheets/d/1ItG2mGa2ceCfYo0BwxsXqNm01IGEUdYcSSLTEv9YCik/edit?usp=sharing"",""เบิกจ่ายกองทุน!AK68"")"),50660)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IFERROR(__xludf.DUMMYFUNCTION("IMPORTRANGE(""https://docs.google.com/spreadsheets/d/1ItG2mGa2ceCfYo0BwxsXqNm01IGEUdYcSSLTEv9YCik/edit?usp=sharing"",""เบิกจ่ายกองทุน!AL68"")"),8920)</f>
        <v>8920</v>
      </c>
      <c r="T271" s="91">
        <f ca="1">IF(Q271&gt;0,S271*100/Q271,0)</f>
        <v>17.607579944729569</v>
      </c>
      <c r="U271" s="91">
        <f ca="1">IF(R271&gt;0,S271*100/R271,0)</f>
        <v>17.607579944729569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IFERROR(__xludf.DUMMYFUNCTION("IMPORTRANGE(""https://docs.google.com/spreadsheets/d/1-uDff_7J0KD5mKrp0Vvzr7lt3OU09vwQwhkpOPPYv2Y/edit?usp=sharing"",""งบพรบ!DH68"")"),0)</f>
        <v>0</v>
      </c>
      <c r="M274" s="91">
        <f ca="1">IFERROR(__xludf.DUMMYFUNCTION("IMPORTRANGE(""https://docs.google.com/spreadsheets/d/1-uDff_7J0KD5mKrp0Vvzr7lt3OU09vwQwhkpOPPYv2Y/edit?usp=sharing"",""งบพรบ!DK68"")"),0)</f>
        <v>0</v>
      </c>
      <c r="N274" s="91">
        <f ca="1">IFERROR(__xludf.DUMMYFUNCTION("IMPORTRANGE(""https://docs.google.com/spreadsheets/d/1-uDff_7J0KD5mKrp0Vvzr7lt3OU09vwQwhkpOPPYv2Y/edit?usp=sharing"",""งบพรบ!DM68"")"),0)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IFERROR(__xludf.DUMMYFUNCTION("IMPORTRANGE(""https://docs.google.com/spreadsheets/d/1eHaY18a8A9IcSdp1K8H6x8fbOy06t2VsZHhMHf-1x7Y/edit?usp=sharing"",""แผน!EC68"")"),22)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IFERROR(__xludf.DUMMYFUNCTION("IMPORTRANGE(""https://docs.google.com/spreadsheets/d/1-uDff_7J0KD5mKrp0Vvzr7lt3OU09vwQwhkpOPPYv2Y/edit?usp=sharing"",""งบพรบ!DO68"")"),0)</f>
        <v>0</v>
      </c>
      <c r="M287" s="77">
        <f ca="1">IFERROR(__xludf.DUMMYFUNCTION("IMPORTRANGE(""https://docs.google.com/spreadsheets/d/1-uDff_7J0KD5mKrp0Vvzr7lt3OU09vwQwhkpOPPYv2Y/edit?usp=sharing"",""งบพรบ!DT68"")"),0)</f>
        <v>0</v>
      </c>
      <c r="N287" s="77">
        <f ca="1">IFERROR(__xludf.DUMMYFUNCTION("IMPORTRANGE(""https://docs.google.com/spreadsheets/d/1-uDff_7J0KD5mKrp0Vvzr7lt3OU09vwQwhkpOPPYv2Y/edit?usp=sharing"",""งบพรบ!DV68"")"),0)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IFERROR(__xludf.DUMMYFUNCTION("IMPORTRANGE(""https://docs.google.com/spreadsheets/d/1-uDff_7J0KD5mKrp0Vvzr7lt3OU09vwQwhkpOPPYv2Y/edit?usp=sharing"",""งบพรบ!DR68"")"),0)</f>
        <v>0</v>
      </c>
      <c r="M290" s="77">
        <f ca="1">IFERROR(__xludf.DUMMYFUNCTION("IMPORTRANGE(""https://docs.google.com/spreadsheets/d/1-uDff_7J0KD5mKrp0Vvzr7lt3OU09vwQwhkpOPPYv2Y/edit?usp=sharing"",""งบพรบ!DU68"")"),0)</f>
        <v>0</v>
      </c>
      <c r="N290" s="77">
        <f ca="1">IFERROR(__xludf.DUMMYFUNCTION("IMPORTRANGE(""https://docs.google.com/spreadsheets/d/1-uDff_7J0KD5mKrp0Vvzr7lt3OU09vwQwhkpOPPYv2Y/edit?usp=sharing"",""งบพรบ!DW68"")"),0)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IFERROR(__xludf.DUMMYFUNCTION("IMPORTRANGE(""https://docs.google.com/spreadsheets/d/1eHaY18a8A9IcSdp1K8H6x8fbOy06t2VsZHhMHf-1x7Y/edit?usp=sharing"",""แผน!EE68"")"),0)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IFERROR(__xludf.DUMMYFUNCTION("IMPORTRANGE(""https://docs.google.com/spreadsheets/d/1eHaY18a8A9IcSdp1K8H6x8fbOy06t2VsZHhMHf-1x7Y/edit?usp=sharing"",""แผน!ED68"")"),0)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IFERROR(__xludf.DUMMYFUNCTION("IMPORTRANGE(""https://docs.google.com/spreadsheets/d/1eHaY18a8A9IcSdp1K8H6x8fbOy06t2VsZHhMHf-1x7Y/edit?usp=sharing"",""แผน!ED68"")"),0)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IFERROR(__xludf.DUMMYFUNCTION("IMPORTRANGE(""https://docs.google.com/spreadsheets/d/1eHaY18a8A9IcSdp1K8H6x8fbOy06t2VsZHhMHf-1x7Y/edit?usp=sharing"",""แผน!ED68"")"),0)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203200</v>
      </c>
      <c r="M303" s="266">
        <f ca="1">M304+M305</f>
        <v>203200</v>
      </c>
      <c r="N303" s="266">
        <f ca="1">N304+N305</f>
        <v>144988</v>
      </c>
      <c r="O303" s="266">
        <f ca="1">IF(L303&gt;0,N303*100/L303,0)</f>
        <v>71.352362204724415</v>
      </c>
      <c r="P303" s="266">
        <f ca="1">IF(M303&gt;0,N303*100/M303,0)</f>
        <v>71.352362204724415</v>
      </c>
      <c r="Q303" s="266">
        <f ca="1">Q304+Q305</f>
        <v>166057.24</v>
      </c>
      <c r="R303" s="266">
        <f ca="1">R304+R305</f>
        <v>166057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203200</v>
      </c>
      <c r="M305" s="77">
        <f ca="1">M308+M311</f>
        <v>203200</v>
      </c>
      <c r="N305" s="77">
        <f ca="1">N308+N311</f>
        <v>144988</v>
      </c>
      <c r="O305" s="77">
        <f ca="1">IF(L305&gt;0,N305*100/L305,0)</f>
        <v>71.352362204724415</v>
      </c>
      <c r="P305" s="77">
        <f ca="1">IF(M305&gt;0,N305*100/M305,0)</f>
        <v>71.352362204724415</v>
      </c>
      <c r="Q305" s="77">
        <f ca="1">Q308+Q311</f>
        <v>166057.24</v>
      </c>
      <c r="R305" s="77">
        <f ca="1">R308+R311</f>
        <v>166057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203200</v>
      </c>
      <c r="M306" s="77">
        <f ca="1">M307+M308</f>
        <v>203200</v>
      </c>
      <c r="N306" s="77">
        <f ca="1">N307+N308</f>
        <v>144988</v>
      </c>
      <c r="O306" s="77">
        <f ca="1">IF(L306&gt;0,N306*100/L306,0)</f>
        <v>71.352362204724415</v>
      </c>
      <c r="P306" s="77">
        <f ca="1">IF(M306&gt;0,N306*100/M306,0)</f>
        <v>71.352362204724415</v>
      </c>
      <c r="Q306" s="77">
        <f ca="1">Q307+Q308</f>
        <v>166057.24</v>
      </c>
      <c r="R306" s="77">
        <f ca="1">R307+R308</f>
        <v>166057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IFERROR(__xludf.DUMMYFUNCTION("IMPORTRANGE(""https://docs.google.com/spreadsheets/d/1-uDff_7J0KD5mKrp0Vvzr7lt3OU09vwQwhkpOPPYv2Y/edit?usp=sharing"",""งบพรบ!DY68"")"),203200)</f>
        <v>203200</v>
      </c>
      <c r="M308" s="77">
        <f ca="1">IFERROR(__xludf.DUMMYFUNCTION("IMPORTRANGE(""https://docs.google.com/spreadsheets/d/1-uDff_7J0KD5mKrp0Vvzr7lt3OU09vwQwhkpOPPYv2Y/edit?usp=sharing"",""งบพรบ!ED68"")"),203200)</f>
        <v>203200</v>
      </c>
      <c r="N308" s="77">
        <f ca="1">IFERROR(__xludf.DUMMYFUNCTION("IMPORTRANGE(""https://docs.google.com/spreadsheets/d/1-uDff_7J0KD5mKrp0Vvzr7lt3OU09vwQwhkpOPPYv2Y/edit?usp=sharing"",""งบพรบ!EF68"")"),144988)</f>
        <v>144988</v>
      </c>
      <c r="O308" s="77">
        <f ca="1">IF(L308&gt;0,N308*100/L308,0)</f>
        <v>71.352362204724415</v>
      </c>
      <c r="P308" s="77">
        <f ca="1">IF(M308&gt;0,N308*100/M308,0)</f>
        <v>71.352362204724415</v>
      </c>
      <c r="Q308" s="77">
        <f ca="1">IFERROR(__xludf.DUMMYFUNCTION("IMPORTRANGE(""https://docs.google.com/spreadsheets/d/1ItG2mGa2ceCfYo0BwxsXqNm01IGEUdYcSSLTEv9YCik/edit?usp=sharing"",""เบิกจ่ายกองทุน!AP68"")"),166057.24)</f>
        <v>166057.24</v>
      </c>
      <c r="R308" s="77">
        <f ca="1">IFERROR(__xludf.DUMMYFUNCTION("IMPORTRANGE(""https://docs.google.com/spreadsheets/d/1ItG2mGa2ceCfYo0BwxsXqNm01IGEUdYcSSLTEv9YCik/edit?usp=sharing"",""เบิกจ่ายกองทุน!AQ68"")"),166057)</f>
        <v>166057</v>
      </c>
      <c r="S308" s="77">
        <f ca="1">IFERROR(__xludf.DUMMYFUNCTION("IMPORTRANGE(""https://docs.google.com/spreadsheets/d/1ItG2mGa2ceCfYo0BwxsXqNm01IGEUdYcSSLTEv9YCik/edit?usp=sharing"",""เบิกจ่ายกองทุน!AR68"")"),0)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IFERROR(__xludf.DUMMYFUNCTION("IMPORTRANGE(""https://docs.google.com/spreadsheets/d/1-uDff_7J0KD5mKrp0Vvzr7lt3OU09vwQwhkpOPPYv2Y/edit?usp=sharing"",""งบพรบ!EB68"")"),0)</f>
        <v>0</v>
      </c>
      <c r="M311" s="77">
        <f ca="1">IFERROR(__xludf.DUMMYFUNCTION("IMPORTRANGE(""https://docs.google.com/spreadsheets/d/1-uDff_7J0KD5mKrp0Vvzr7lt3OU09vwQwhkpOPPYv2Y/edit?usp=sharing"",""งบพรบ!EE68"")"),0)</f>
        <v>0</v>
      </c>
      <c r="N311" s="77">
        <f ca="1">IFERROR(__xludf.DUMMYFUNCTION("IMPORTRANGE(""https://docs.google.com/spreadsheets/d/1-uDff_7J0KD5mKrp0Vvzr7lt3OU09vwQwhkpOPPYv2Y/edit?usp=sharing"",""งบพรบ!EG68"")"),0)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IFERROR(__xludf.DUMMYFUNCTION("IMPORTRANGE(""https://docs.google.com/spreadsheets/d/1eHaY18a8A9IcSdp1K8H6x8fbOy06t2VsZHhMHf-1x7Y/edit?usp=sharing"",""แผน!EF68"")"),25)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IFERROR(__xludf.DUMMYFUNCTION("IMPORTRANGE(""https://docs.google.com/spreadsheets/d/1-uDff_7J0KD5mKrp0Vvzr7lt3OU09vwQwhkpOPPYv2Y/edit?usp=sharing"",""งบพรบ!EI68"")"),0)</f>
        <v>0</v>
      </c>
      <c r="M325" s="77">
        <f ca="1">IFERROR(__xludf.DUMMYFUNCTION("IMPORTRANGE(""https://docs.google.com/spreadsheets/d/1-uDff_7J0KD5mKrp0Vvzr7lt3OU09vwQwhkpOPPYv2Y/edit?usp=sharing"",""งบพรบ!EN68"")"),0)</f>
        <v>0</v>
      </c>
      <c r="N325" s="77">
        <f ca="1">IFERROR(__xludf.DUMMYFUNCTION("IMPORTRANGE(""https://docs.google.com/spreadsheets/d/1-uDff_7J0KD5mKrp0Vvzr7lt3OU09vwQwhkpOPPYv2Y/edit?usp=sharing"",""งบพรบ!EP68"")"),0)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IFERROR(__xludf.DUMMYFUNCTION("IMPORTRANGE(""https://docs.google.com/spreadsheets/d/1-uDff_7J0KD5mKrp0Vvzr7lt3OU09vwQwhkpOPPYv2Y/edit?usp=sharing"",""งบพรบ!EL68"")"),0)</f>
        <v>0</v>
      </c>
      <c r="M328" s="77">
        <f ca="1">IFERROR(__xludf.DUMMYFUNCTION("IMPORTRANGE(""https://docs.google.com/spreadsheets/d/1-uDff_7J0KD5mKrp0Vvzr7lt3OU09vwQwhkpOPPYv2Y/edit?usp=sharing"",""งบพรบ!EO68"")"),0)</f>
        <v>0</v>
      </c>
      <c r="N328" s="77">
        <f ca="1">IFERROR(__xludf.DUMMYFUNCTION("IMPORTRANGE(""https://docs.google.com/spreadsheets/d/1-uDff_7J0KD5mKrp0Vvzr7lt3OU09vwQwhkpOPPYv2Y/edit?usp=sharing"",""งบพรบ!EQ68"")"),0)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IFERROR(__xludf.DUMMYFUNCTION("IMPORTRANGE(""https://docs.google.com/spreadsheets/d/1eHaY18a8A9IcSdp1K8H6x8fbOy06t2VsZHhMHf-1x7Y/edit?usp=sharing"",""แผน!EJ68"")"),0)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1400</v>
      </c>
      <c r="J332" s="519">
        <f ca="1">J344+J347+J348+J349+J353+J354</f>
        <v>6016</v>
      </c>
      <c r="K332" s="520">
        <f ca="1">IF(I332&gt;0,J332*100/I332,0)</f>
        <v>429.71428571428572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108000</v>
      </c>
      <c r="M333" s="266">
        <f ca="1">M334+M335</f>
        <v>113000</v>
      </c>
      <c r="N333" s="266">
        <f ca="1">N334+N335</f>
        <v>88000</v>
      </c>
      <c r="O333" s="266">
        <f ca="1">IF(L333&gt;0,N333*100/L333,0)</f>
        <v>81.481481481481481</v>
      </c>
      <c r="P333" s="266">
        <f ca="1">IF(M333&gt;0,N333*100/M333,0)</f>
        <v>77.876106194690266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108000</v>
      </c>
      <c r="M335" s="77">
        <f ca="1">M338+M341</f>
        <v>113000</v>
      </c>
      <c r="N335" s="77">
        <f ca="1">N338+N341</f>
        <v>88000</v>
      </c>
      <c r="O335" s="77">
        <f ca="1">IF(L335&gt;0,N335*100/L335,0)</f>
        <v>81.481481481481481</v>
      </c>
      <c r="P335" s="77">
        <f ca="1">IF(M335&gt;0,N335*100/M335,0)</f>
        <v>77.876106194690266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108000</v>
      </c>
      <c r="M336" s="77">
        <f ca="1">M337+M338</f>
        <v>113000</v>
      </c>
      <c r="N336" s="77">
        <f ca="1">N337+N338</f>
        <v>88000</v>
      </c>
      <c r="O336" s="77">
        <f ca="1">IF(L336&gt;0,N336*100/L336,0)</f>
        <v>81.481481481481481</v>
      </c>
      <c r="P336" s="77">
        <f ca="1">IF(M336&gt;0,N336*100/M336,0)</f>
        <v>77.876106194690266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IFERROR(__xludf.DUMMYFUNCTION("IMPORTRANGE(""https://docs.google.com/spreadsheets/d/1-uDff_7J0KD5mKrp0Vvzr7lt3OU09vwQwhkpOPPYv2Y/edit?usp=sharing"",""งบพรบ!ES68"")"),108000)</f>
        <v>108000</v>
      </c>
      <c r="M338" s="77">
        <f ca="1">IFERROR(__xludf.DUMMYFUNCTION("IMPORTRANGE(""https://docs.google.com/spreadsheets/d/1-uDff_7J0KD5mKrp0Vvzr7lt3OU09vwQwhkpOPPYv2Y/edit?usp=sharing"",""งบพรบ!EX68"")"),113000)</f>
        <v>113000</v>
      </c>
      <c r="N338" s="77">
        <f ca="1">IFERROR(__xludf.DUMMYFUNCTION("IMPORTRANGE(""https://docs.google.com/spreadsheets/d/1-uDff_7J0KD5mKrp0Vvzr7lt3OU09vwQwhkpOPPYv2Y/edit?usp=sharing"",""งบพรบ!EZ68"")"),88000)</f>
        <v>88000</v>
      </c>
      <c r="O338" s="77">
        <f ca="1">IF(L338&gt;0,N338*100/L338,0)</f>
        <v>81.481481481481481</v>
      </c>
      <c r="P338" s="77">
        <f ca="1">IF(M338&gt;0,N338*100/M338,0)</f>
        <v>77.876106194690266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IFERROR(__xludf.DUMMYFUNCTION("IMPORTRANGE(""https://docs.google.com/spreadsheets/d/1-uDff_7J0KD5mKrp0Vvzr7lt3OU09vwQwhkpOPPYv2Y/edit?usp=sharing"",""งบพรบ!EV68"")"),0)</f>
        <v>0</v>
      </c>
      <c r="M341" s="77">
        <f ca="1">IFERROR(__xludf.DUMMYFUNCTION("IMPORTRANGE(""https://docs.google.com/spreadsheets/d/1-uDff_7J0KD5mKrp0Vvzr7lt3OU09vwQwhkpOPPYv2Y/edit?usp=sharing"",""งบพรบ!EY68"")"),0)</f>
        <v>0</v>
      </c>
      <c r="N341" s="77">
        <f ca="1">IFERROR(__xludf.DUMMYFUNCTION("IMPORTRANGE(""https://docs.google.com/spreadsheets/d/1-uDff_7J0KD5mKrp0Vvzr7lt3OU09vwQwhkpOPPYv2Y/edit?usp=sharing"",""งบพรบ!FA68"")"),0)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1586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IFERROR(__xludf.DUMMYFUNCTION("IMPORTRANGE(""https://docs.google.com/spreadsheets/d/1eHaY18a8A9IcSdp1K8H6x8fbOy06t2VsZHhMHf-1x7Y/edit?usp=sharing"",""แผน!EK68"")"),1400)</f>
        <v>1400</v>
      </c>
      <c r="J344" s="295">
        <f ca="1">IFERROR(__xludf.DUMMYFUNCTION("IMPORTRANGE(""https://docs.google.com/spreadsheets/d/1awYsYK3VOup2i3Pq_Yjnu8DRu_mYwSBnCR2QPthd0rU/edit?usp=sharing"",""ศูนย์ยกเว้นโฉนด!D68"")"),1583)</f>
        <v>1583</v>
      </c>
      <c r="K344" s="77">
        <f ca="1">IF(I344&gt;0,J344*100/I344,0)</f>
        <v>113.07142857142857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IFERROR(__xludf.DUMMYFUNCTION("IMPORTRANGE(""https://docs.google.com/spreadsheets/d/1eHaY18a8A9IcSdp1K8H6x8fbOy06t2VsZHhMHf-1x7Y/edit?usp=sharing"",""แผน!EL68"")"),4)</f>
        <v>4</v>
      </c>
      <c r="J346" s="295">
        <f ca="1">IFERROR(__xludf.DUMMYFUNCTION("IMPORTRANGE(""https://docs.google.com/spreadsheets/d/1awYsYK3VOup2i3Pq_Yjnu8DRu_mYwSBnCR2QPthd0rU/edit?usp=sharing"",""ศูนย์รวม!E68"")"),5)</f>
        <v>5</v>
      </c>
      <c r="K346" s="77">
        <f ca="1">IF(I346&gt;0,J346*100/I346,0)</f>
        <v>125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IFERROR(__xludf.DUMMYFUNCTION("IMPORTRANGE(""https://docs.google.com/spreadsheets/d/1awYsYK3VOup2i3Pq_Yjnu8DRu_mYwSBnCR2QPthd0rU/edit?usp=sharing"",""ศูนย์ยกเว้นโฉนด!F68"")"),3)</f>
        <v>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IFERROR(__xludf.DUMMYFUNCTION("IMPORTRANGE(""https://docs.google.com/spreadsheets/d/1awYsYK3VOup2i3Pq_Yjnu8DRu_mYwSBnCR2QPthd0rU/edit?usp=sharing"",""ศูนย์ยกเว้นโฉนด!G68"")"),0)</f>
        <v>0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IFERROR(__xludf.DUMMYFUNCTION("IMPORTRANGE(""https://docs.google.com/spreadsheets/d/1awYsYK3VOup2i3Pq_Yjnu8DRu_mYwSBnCR2QPthd0rU/edit?usp=sharing"",""ศูนย์ยกเว้นโฉนด!H68"")"),0)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5584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IFERROR(__xludf.DUMMYFUNCTION("IMPORTRANGE(""https://docs.google.com/spreadsheets/d/1awYsYK3VOup2i3Pq_Yjnu8DRu_mYwSBnCR2QPthd0rU/edit?usp=sharing"",""โฉนดM3!G68"")"),1154)</f>
        <v>1154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IFERROR(__xludf.DUMMYFUNCTION("IMPORTRANGE(""https://docs.google.com/spreadsheets/d/1awYsYK3VOup2i3Pq_Yjnu8DRu_mYwSBnCR2QPthd0rU/edit?usp=sharing"",""โฉนดM3!H68"")"),4218)</f>
        <v>4218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IFERROR(__xludf.DUMMYFUNCTION("IMPORTRANGE(""https://docs.google.com/spreadsheets/d/1awYsYK3VOup2i3Pq_Yjnu8DRu_mYwSBnCR2QPthd0rU/edit?usp=sharing"",""โฉนดM3!I68"")"),212)</f>
        <v>212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563400</v>
      </c>
      <c r="M356" s="266">
        <f ca="1">M357+M358</f>
        <v>602320</v>
      </c>
      <c r="N356" s="266">
        <f ca="1">N357+N358</f>
        <v>485692.69</v>
      </c>
      <c r="O356" s="266">
        <f ca="1">IF(L356&gt;0,N356*100/L356,0)</f>
        <v>86.207435214767486</v>
      </c>
      <c r="P356" s="266">
        <f ca="1">IF(M356&gt;0,N356*100/M356,0)</f>
        <v>80.636985323416127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563400</v>
      </c>
      <c r="M358" s="77">
        <f ca="1">M361+M364</f>
        <v>602320</v>
      </c>
      <c r="N358" s="77">
        <f ca="1">N361+N364</f>
        <v>485692.69</v>
      </c>
      <c r="O358" s="77">
        <f ca="1">IF(L358&gt;0,N358*100/L358,0)</f>
        <v>86.207435214767486</v>
      </c>
      <c r="P358" s="77">
        <f ca="1">IF(M358&gt;0,N358*100/M358,0)</f>
        <v>80.636985323416127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563400</v>
      </c>
      <c r="M359" s="77">
        <f ca="1">M360+M361</f>
        <v>602320</v>
      </c>
      <c r="N359" s="77">
        <f ca="1">N360+N361</f>
        <v>485692.69</v>
      </c>
      <c r="O359" s="77">
        <f ca="1">IF(L359&gt;0,N359*100/L359,0)</f>
        <v>86.207435214767486</v>
      </c>
      <c r="P359" s="77">
        <f ca="1">IF(M359&gt;0,N359*100/M359,0)</f>
        <v>80.636985323416127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IFERROR(__xludf.DUMMYFUNCTION("IMPORTRANGE(""https://docs.google.com/spreadsheets/d/1-uDff_7J0KD5mKrp0Vvzr7lt3OU09vwQwhkpOPPYv2Y/edit?usp=sharing"",""งบพรบ!FC68"")"),563400)</f>
        <v>563400</v>
      </c>
      <c r="M361" s="77">
        <f ca="1">IFERROR(__xludf.DUMMYFUNCTION("IMPORTRANGE(""https://docs.google.com/spreadsheets/d/1-uDff_7J0KD5mKrp0Vvzr7lt3OU09vwQwhkpOPPYv2Y/edit?usp=sharing"",""งบพรบ!FH68"")"),602320)</f>
        <v>602320</v>
      </c>
      <c r="N361" s="77">
        <f ca="1">IFERROR(__xludf.DUMMYFUNCTION("IMPORTRANGE(""https://docs.google.com/spreadsheets/d/1-uDff_7J0KD5mKrp0Vvzr7lt3OU09vwQwhkpOPPYv2Y/edit?usp=sharing"",""งบพรบ!FJ68"")"),485692.69)</f>
        <v>485692.69</v>
      </c>
      <c r="O361" s="77">
        <f ca="1">IF(L361&gt;0,N361*100/L361,0)</f>
        <v>86.207435214767486</v>
      </c>
      <c r="P361" s="77">
        <f ca="1">IF(M361&gt;0,N361*100/M361,0)</f>
        <v>80.636985323416127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IFERROR(__xludf.DUMMYFUNCTION("IMPORTRANGE(""https://docs.google.com/spreadsheets/d/1-uDff_7J0KD5mKrp0Vvzr7lt3OU09vwQwhkpOPPYv2Y/edit?usp=sharing"",""งบพรบ!FF68"")"),0)</f>
        <v>0</v>
      </c>
      <c r="M364" s="77">
        <f ca="1">IFERROR(__xludf.DUMMYFUNCTION("IMPORTRANGE(""https://docs.google.com/spreadsheets/d/1-uDff_7J0KD5mKrp0Vvzr7lt3OU09vwQwhkpOPPYv2Y/edit?usp=sharing"",""งบพรบ!FI68"")"),0)</f>
        <v>0</v>
      </c>
      <c r="N364" s="77">
        <f ca="1">IFERROR(__xludf.DUMMYFUNCTION("IMPORTRANGE(""https://docs.google.com/spreadsheets/d/1-uDff_7J0KD5mKrp0Vvzr7lt3OU09vwQwhkpOPPYv2Y/edit?usp=sharing"",""งบพรบ!FK68"")"),0)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195</v>
      </c>
      <c r="J365" s="542">
        <f ca="1">J371</f>
        <v>119</v>
      </c>
      <c r="K365" s="543">
        <f ca="1">IF(I365&gt;0,J365*100/I365,0)</f>
        <v>61.025641025641029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IFERROR(__xludf.DUMMYFUNCTION("IMPORTRANGE(""https://docs.google.com/spreadsheets/d/1tdoBKaGub7dwA3U6UFTqxio9LNnvDCQjHKmttSEBsFQ/edit?usp=sharing"",""จัดที่ดิน!AB68"")"),77)</f>
        <v>77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IFERROR(__xludf.DUMMYFUNCTION("IMPORTRANGE(""https://docs.google.com/spreadsheets/d/1eHaY18a8A9IcSdp1K8H6x8fbOy06t2VsZHhMHf-1x7Y/edit?usp=sharing"",""แผน!EW68"")"),595)</f>
        <v>595</v>
      </c>
      <c r="J368" s="1094">
        <f ca="1">IFERROR(__xludf.DUMMYFUNCTION("IMPORTRANGE(""https://docs.google.com/spreadsheets/d/1tdoBKaGub7dwA3U6UFTqxio9LNnvDCQjHKmttSEBsFQ/edit?usp=sharing"",""จัดที่ดิน!AC68"")"),745.48)</f>
        <v>745.48</v>
      </c>
      <c r="K368" s="77">
        <f ca="1">IF(I368&gt;0,J368*100/I368,0)</f>
        <v>125.290756302521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IFERROR(__xludf.DUMMYFUNCTION("IMPORTRANGE(""https://docs.google.com/spreadsheets/d/1eHaY18a8A9IcSdp1K8H6x8fbOy06t2VsZHhMHf-1x7Y/edit?usp=sharing"",""แผน!EX68"")"),195)</f>
        <v>195</v>
      </c>
      <c r="J369" s="295">
        <f ca="1">IFERROR(__xludf.DUMMYFUNCTION("IMPORTRANGE(""https://docs.google.com/spreadsheets/d/1tdoBKaGub7dwA3U6UFTqxio9LNnvDCQjHKmttSEBsFQ/edit?usp=sharing"",""จัดที่ดิน!AD68"")"),163)</f>
        <v>163</v>
      </c>
      <c r="K369" s="77">
        <f ca="1">IF(I369&gt;0,J369*100/I369,0)</f>
        <v>83.589743589743591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IFERROR(__xludf.DUMMYFUNCTION("IMPORTRANGE(""https://docs.google.com/spreadsheets/d/1tdoBKaGub7dwA3U6UFTqxio9LNnvDCQjHKmttSEBsFQ/edit?usp=sharing"",""จัดที่ดิน!AE68"")"),2434.06999999999)</f>
        <v>2434.0699999999902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IFERROR(__xludf.DUMMYFUNCTION("IMPORTRANGE(""https://docs.google.com/spreadsheets/d/1eHaY18a8A9IcSdp1K8H6x8fbOy06t2VsZHhMHf-1x7Y/edit?usp=sharing"",""แผน!EY68"")"),195)</f>
        <v>195</v>
      </c>
      <c r="J371" s="295">
        <f ca="1">IFERROR(__xludf.DUMMYFUNCTION("IMPORTRANGE(""https://docs.google.com/spreadsheets/d/1tdoBKaGub7dwA3U6UFTqxio9LNnvDCQjHKmttSEBsFQ/edit?usp=sharing"",""จัดที่ดิน!AF68"")"),119)</f>
        <v>119</v>
      </c>
      <c r="K371" s="77">
        <f ca="1">IF(I371&gt;0,J371*100/I371,0)</f>
        <v>61.025641025641029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IFERROR(__xludf.DUMMYFUNCTION("IMPORTRANGE(""https://docs.google.com/spreadsheets/d/1tdoBKaGub7dwA3U6UFTqxio9LNnvDCQjHKmttSEBsFQ/edit?usp=sharing"",""จัดที่ดิน!AG68"")"),2085.58)</f>
        <v>2085.58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3000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187500</v>
      </c>
      <c r="R375" s="266">
        <f ca="1">R376+R377</f>
        <v>187500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187500</v>
      </c>
      <c r="R377" s="77">
        <f ca="1">R380+R383</f>
        <v>187500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187500</v>
      </c>
      <c r="R378" s="77">
        <f ca="1">R379+R380</f>
        <v>187500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IFERROR(__xludf.DUMMYFUNCTION("IMPORTRANGE(""https://docs.google.com/spreadsheets/d/1ItG2mGa2ceCfYo0BwxsXqNm01IGEUdYcSSLTEv9YCik/edit?usp=sharing"",""เบิกจ่ายกองทุน!AY68"")"),187500)</f>
        <v>187500</v>
      </c>
      <c r="R380" s="77">
        <f ca="1">IFERROR(__xludf.DUMMYFUNCTION("IMPORTRANGE(""https://docs.google.com/spreadsheets/d/1ItG2mGa2ceCfYo0BwxsXqNm01IGEUdYcSSLTEv9YCik/edit?usp=sharing"",""เบิกจ่ายกองทุน!AZ68"")"),187500)</f>
        <v>187500</v>
      </c>
      <c r="S380" s="77">
        <f ca="1">IFERROR(__xludf.DUMMYFUNCTION("IMPORTRANGE(""https://docs.google.com/spreadsheets/d/1ItG2mGa2ceCfYo0BwxsXqNm01IGEUdYcSSLTEv9YCik/edit?usp=sharing"",""เบิกจ่ายกองทุน!BA68"")"),0)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IFERROR(__xludf.DUMMYFUNCTION("IMPORTRANGE(""https://docs.google.com/spreadsheets/d/1eHaY18a8A9IcSdp1K8H6x8fbOy06t2VsZHhMHf-1x7Y/edit?usp=sharing"",""แผน!JQ68"")"),3000)</f>
        <v>3000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IFERROR(__xludf.DUMMYFUNCTION("IMPORTRANGE(""https://docs.google.com/spreadsheets/d/1eHaY18a8A9IcSdp1K8H6x8fbOy06t2VsZHhMHf-1x7Y/edit?usp=sharing"",""แผน!JQ68"")"),3000)</f>
        <v>3000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IFERROR(__xludf.DUMMYFUNCTION("IMPORTRANGE(""https://docs.google.com/spreadsheets/d/1ItG2mGa2ceCfYo0BwxsXqNm01IGEUdYcSSLTEv9YCik/edit?usp=sharing"",""เบิกจ่ายกองทุน!BH68"")"),0)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IFERROR(__xludf.DUMMYFUNCTION("IMPORTRANGE(""https://docs.google.com/spreadsheets/d/1ItG2mGa2ceCfYo0BwxsXqNm01IGEUdYcSSLTEv9YCik/edit?usp=sharing"",""เบิกจ่ายกองทุน!BI68"")"),0)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IFERROR(__xludf.DUMMYFUNCTION("IMPORTRANGE(""https://docs.google.com/spreadsheets/d/1ItG2mGa2ceCfYo0BwxsXqNm01IGEUdYcSSLTEv9YCik/edit?usp=sharing"",""เบิกจ่ายกองทุน!BJ68"")"),0)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IFERROR(__xludf.DUMMYFUNCTION("IMPORTRANGE(""https://docs.google.com/spreadsheets/d/1eHaY18a8A9IcSdp1K8H6x8fbOy06t2VsZHhMHf-1x7Y/edit?usp=sharing"",""แผน!HJ68"")"),0)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IFERROR(__xludf.DUMMYFUNCTION("IMPORTRANGE(""https://docs.google.com/spreadsheets/d/1eHaY18a8A9IcSdp1K8H6x8fbOy06t2VsZHhMHf-1x7Y/edit?usp=sharing"",""แผน!HK68"")"),0)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IFERROR(__xludf.DUMMYFUNCTION("IMPORTRANGE(""https://docs.google.com/spreadsheets/d/1eHaY18a8A9IcSdp1K8H6x8fbOy06t2VsZHhMHf-1x7Y/edit?usp=sharing"",""แผน!HJ68"")"),0)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IFERROR(__xludf.DUMMYFUNCTION("IMPORTRANGE(""https://docs.google.com/spreadsheets/d/1eHaY18a8A9IcSdp1K8H6x8fbOy06t2VsZHhMHf-1x7Y/edit?usp=sharing"",""แผน!HK68"")"),0)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IFERROR(__xludf.DUMMYFUNCTION("IMPORTRANGE(""https://docs.google.com/spreadsheets/d/1eHaY18a8A9IcSdp1K8H6x8fbOy06t2VsZHhMHf-1x7Y/edit?usp=sharing"",""แผน!HJ68"")"),0)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IFERROR(__xludf.DUMMYFUNCTION("IMPORTRANGE(""https://docs.google.com/spreadsheets/d/1eHaY18a8A9IcSdp1K8H6x8fbOy06t2VsZHhMHf-1x7Y/edit?usp=sharing"",""แผน!HK68"")"),0)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IFERROR(__xludf.DUMMYFUNCTION("IMPORTRANGE(""https://docs.google.com/spreadsheets/d/1eHaY18a8A9IcSdp1K8H6x8fbOy06t2VsZHhMHf-1x7Y/edit?usp=sharing"",""แผน!HL68"")"),0)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IFERROR(__xludf.DUMMYFUNCTION("IMPORTRANGE(""https://docs.google.com/spreadsheets/d/1eHaY18a8A9IcSdp1K8H6x8fbOy06t2VsZHhMHf-1x7Y/edit?usp=sharing"",""แผน!HM68"")"),0)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IFERROR(__xludf.DUMMYFUNCTION("IMPORTRANGE(""https://docs.google.com/spreadsheets/d/1eHaY18a8A9IcSdp1K8H6x8fbOy06t2VsZHhMHf-1x7Y/edit?usp=sharing"",""แผน!HN68"")"),0)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IFERROR(__xludf.DUMMYFUNCTION("IMPORTRANGE(""https://docs.google.com/spreadsheets/d/1eHaY18a8A9IcSdp1K8H6x8fbOy06t2VsZHhMHf-1x7Y/edit?usp=sharing"",""แผน!HO68"")"),0)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IFERROR(__xludf.DUMMYFUNCTION("IMPORTRANGE(""https://docs.google.com/spreadsheets/d/1ItG2mGa2ceCfYo0BwxsXqNm01IGEUdYcSSLTEv9YCik/edit?usp=sharing"",""เบิกจ่ายกองทุน!X68"")"),0)</f>
        <v>0</v>
      </c>
      <c r="R498" s="77">
        <f ca="1">IFERROR(__xludf.DUMMYFUNCTION("IMPORTRANGE(""https://docs.google.com/spreadsheets/d/1ItG2mGa2ceCfYo0BwxsXqNm01IGEUdYcSSLTEv9YCik/edit?usp=sharing"",""เบิกจ่ายกองทุน!Y68"")"),0)</f>
        <v>0</v>
      </c>
      <c r="S498" s="77">
        <f ca="1">IFERROR(__xludf.DUMMYFUNCTION("IMPORTRANGE(""https://docs.google.com/spreadsheets/d/1ItG2mGa2ceCfYo0BwxsXqNm01IGEUdYcSSLTEv9YCik/edit?usp=sharing"",""เบิกจ่ายกองทุน!Z68"")"),0)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IFERROR(__xludf.DUMMYFUNCTION("IMPORTRANGE(""https://docs.google.com/spreadsheets/d/1eHaY18a8A9IcSdp1K8H6x8fbOy06t2VsZHhMHf-1x7Y/edit?usp=sharing"",""แผน!GX68"")"),0)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IFERROR(__xludf.DUMMYFUNCTION("IMPORTRANGE(""https://docs.google.com/spreadsheets/d/1eHaY18a8A9IcSdp1K8H6x8fbOy06t2VsZHhMHf-1x7Y/edit?usp=sharing"",""แผน!GY68"")"),0)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IFERROR(__xludf.DUMMYFUNCTION("IMPORTRANGE(""https://docs.google.com/spreadsheets/d/1eHaY18a8A9IcSdp1K8H6x8fbOy06t2VsZHhMHf-1x7Y/edit?usp=sharing"",""แผน!GZ68"")"),0)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IFERROR(__xludf.DUMMYFUNCTION("IMPORTRANGE(""https://docs.google.com/spreadsheets/d/1eHaY18a8A9IcSdp1K8H6x8fbOy06t2VsZHhMHf-1x7Y/edit?usp=sharing"",""แผน!HA68"")"),0)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IFERROR(__xludf.DUMMYFUNCTION("IMPORTRANGE(""https://docs.google.com/spreadsheets/d/1eHaY18a8A9IcSdp1K8H6x8fbOy06t2VsZHhMHf-1x7Y/edit?usp=sharing"",""แผน!HB68"")"),0)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IFERROR(__xludf.DUMMYFUNCTION("IMPORTRANGE(""https://docs.google.com/spreadsheets/d/1eHaY18a8A9IcSdp1K8H6x8fbOy06t2VsZHhMHf-1x7Y/edit?usp=sharing"",""แผน!HC68"")"),0)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IFERROR(__xludf.DUMMYFUNCTION("IMPORTRANGE(""https://docs.google.com/spreadsheets/d/1-uDff_7J0KD5mKrp0Vvzr7lt3OU09vwQwhkpOPPYv2Y/edit?usp=sharing"",""งบพรบ!FM68"")"),0)</f>
        <v>0</v>
      </c>
      <c r="M518" s="77">
        <f ca="1">IFERROR(__xludf.DUMMYFUNCTION("IMPORTRANGE(""https://docs.google.com/spreadsheets/d/1-uDff_7J0KD5mKrp0Vvzr7lt3OU09vwQwhkpOPPYv2Y/edit?usp=sharing"",""งบพรบ!FR68"")"),0)</f>
        <v>0</v>
      </c>
      <c r="N518" s="77">
        <f ca="1">IFERROR(__xludf.DUMMYFUNCTION("IMPORTRANGE(""https://docs.google.com/spreadsheets/d/1-uDff_7J0KD5mKrp0Vvzr7lt3OU09vwQwhkpOPPYv2Y/edit?usp=sharing"",""งบพรบ!FT68"")"),0)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IFERROR(__xludf.DUMMYFUNCTION("IMPORTRANGE(""https://docs.google.com/spreadsheets/d/1-uDff_7J0KD5mKrp0Vvzr7lt3OU09vwQwhkpOPPYv2Y/edit?usp=sharing"",""งบพรบ!FP68"")"),0)</f>
        <v>0</v>
      </c>
      <c r="M521" s="77">
        <f ca="1">IFERROR(__xludf.DUMMYFUNCTION("IMPORTRANGE(""https://docs.google.com/spreadsheets/d/1-uDff_7J0KD5mKrp0Vvzr7lt3OU09vwQwhkpOPPYv2Y/edit?usp=sharing"",""งบพรบ!FS68"")"),0)</f>
        <v>0</v>
      </c>
      <c r="N521" s="77">
        <f ca="1">IFERROR(__xludf.DUMMYFUNCTION("IMPORTRANGE(""https://docs.google.com/spreadsheets/d/1-uDff_7J0KD5mKrp0Vvzr7lt3OU09vwQwhkpOPPYv2Y/edit?usp=sharing"",""งบพรบ!FU68"")"),0)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6775</v>
      </c>
      <c r="R616" s="266">
        <f ca="1">R617+R618</f>
        <v>6775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6775</v>
      </c>
      <c r="R618" s="77">
        <f ca="1">R621+R624</f>
        <v>6775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6775</v>
      </c>
      <c r="R619" s="77">
        <f ca="1">R620+R621</f>
        <v>6775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IFERROR(__xludf.DUMMYFUNCTION("IMPORTRANGE(""https://docs.google.com/spreadsheets/d/1ItG2mGa2ceCfYo0BwxsXqNm01IGEUdYcSSLTEv9YCik/edit?usp=sharing"",""เบิกจ่ายกองทุน!F68"")"),6775)</f>
        <v>6775</v>
      </c>
      <c r="R621" s="77">
        <f ca="1">IFERROR(__xludf.DUMMYFUNCTION("IMPORTRANGE(""https://docs.google.com/spreadsheets/d/1ItG2mGa2ceCfYo0BwxsXqNm01IGEUdYcSSLTEv9YCik/edit?usp=sharing"",""เบิกจ่ายกองทุน!G68"")"),6775)</f>
        <v>6775</v>
      </c>
      <c r="S621" s="77">
        <f ca="1">IFERROR(__xludf.DUMMYFUNCTION("IMPORTRANGE(""https://docs.google.com/spreadsheets/d/1ItG2mGa2ceCfYo0BwxsXqNm01IGEUdYcSSLTEv9YCik/edit?usp=sharing"",""เบิกจ่ายกองทุน!H68"")"),0)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IFERROR(__xludf.DUMMYFUNCTION("IMPORTRANGE(""https://docs.google.com/spreadsheets/d/1eHaY18a8A9IcSdp1K8H6x8fbOy06t2VsZHhMHf-1x7Y/edit?usp=sharing"",""แผน!ID68"")"),50)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IFERROR(__xludf.DUMMYFUNCTION("IMPORTRANGE(""https://docs.google.com/spreadsheets/d/1eHaY18a8A9IcSdp1K8H6x8fbOy06t2VsZHhMHf-1x7Y/edit?usp=sharing"",""แผน!IC68"")"),0)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IFERROR(__xludf.DUMMYFUNCTION("IMPORTRANGE(""https://docs.google.com/spreadsheets/d/1eHaY18a8A9IcSdp1K8H6x8fbOy06t2VsZHhMHf-1x7Y/edit?usp=sharing"",""แผน!IC68"")"),0)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IFERROR(__xludf.DUMMYFUNCTION("IMPORTRANGE(""https://docs.google.com/spreadsheets/d/1eHaY18a8A9IcSdp1K8H6x8fbOy06t2VsZHhMHf-1x7Y/edit?usp=sharing"",""แผน!IE68"")"),0)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36200</v>
      </c>
      <c r="R642" s="266">
        <f ca="1">R643+R644</f>
        <v>36200</v>
      </c>
      <c r="S642" s="266">
        <f ca="1">S643+S644</f>
        <v>13620</v>
      </c>
      <c r="T642" s="266">
        <f ca="1">IF(Q642&gt;0,S642*100/Q642,0)</f>
        <v>37.624309392265197</v>
      </c>
      <c r="U642" s="266">
        <f ca="1">IF(R642&gt;0,S642*100/R642,0)</f>
        <v>37.624309392265197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36200</v>
      </c>
      <c r="R644" s="77">
        <f ca="1">R647+R650</f>
        <v>36200</v>
      </c>
      <c r="S644" s="77">
        <f ca="1">S647+S650</f>
        <v>13620</v>
      </c>
      <c r="T644" s="77">
        <f ca="1">IF(Q644&gt;0,S644*100/Q644,0)</f>
        <v>37.624309392265197</v>
      </c>
      <c r="U644" s="77">
        <f ca="1">IF(R644&gt;0,S644*100/R644,0)</f>
        <v>37.624309392265197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36200</v>
      </c>
      <c r="R645" s="77">
        <f ca="1">R646+R647</f>
        <v>36200</v>
      </c>
      <c r="S645" s="77">
        <f ca="1">S646+S647</f>
        <v>13620</v>
      </c>
      <c r="T645" s="77">
        <f ca="1">IF(Q645&gt;0,S645*100/Q645,0)</f>
        <v>37.624309392265197</v>
      </c>
      <c r="U645" s="77">
        <f ca="1">IF(R645&gt;0,S645*100/R645,0)</f>
        <v>37.624309392265197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IFERROR(__xludf.DUMMYFUNCTION("IMPORTRANGE(""https://docs.google.com/spreadsheets/d/1ItG2mGa2ceCfYo0BwxsXqNm01IGEUdYcSSLTEv9YCik/edit?usp=sharing"",""เบิกจ่ายกองทุน!I68"")"),36200)</f>
        <v>36200</v>
      </c>
      <c r="R647" s="77">
        <f ca="1">IFERROR(__xludf.DUMMYFUNCTION("IMPORTRANGE(""https://docs.google.com/spreadsheets/d/1ItG2mGa2ceCfYo0BwxsXqNm01IGEUdYcSSLTEv9YCik/edit?usp=sharing"",""เบิกจ่ายกองทุน!J68"")"),36200)</f>
        <v>36200</v>
      </c>
      <c r="S647" s="77">
        <f ca="1">IFERROR(__xludf.DUMMYFUNCTION("IMPORTRANGE(""https://docs.google.com/spreadsheets/d/1ItG2mGa2ceCfYo0BwxsXqNm01IGEUdYcSSLTEv9YCik/edit?usp=sharing"",""เบิกจ่ายกองทุน!K68"")"),13620)</f>
        <v>13620</v>
      </c>
      <c r="T647" s="77">
        <f ca="1">IF(Q647&gt;0,S647*100/Q647,0)</f>
        <v>37.624309392265197</v>
      </c>
      <c r="U647" s="77">
        <f ca="1">IF(R647&gt;0,S647*100/R647,0)</f>
        <v>37.624309392265197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IFERROR(__xludf.DUMMYFUNCTION("IMPORTRANGE(""https://docs.google.com/spreadsheets/d/1eHaY18a8A9IcSdp1K8H6x8fbOy06t2VsZHhMHf-1x7Y/edit?usp=sharing"",""แผน!IF68"")"),0)</f>
        <v>0</v>
      </c>
      <c r="J652" s="295">
        <f ca="1">IFERROR(__xludf.DUMMYFUNCTION("IMPORTRANGE(""https://docs.google.com/spreadsheets/d/1tdoBKaGub7dwA3U6UFTqxio9LNnvDCQjHKmttSEBsFQ/edit?usp=sharing"",""จัดที่ดิน!AU68"")"),0)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IFERROR(__xludf.DUMMYFUNCTION("IMPORTRANGE(""https://docs.google.com/spreadsheets/d/1eHaY18a8A9IcSdp1K8H6x8fbOy06t2VsZHhMHf-1x7Y/edit?usp=sharing"",""แผน!IG68"")"),0)</f>
        <v>0</v>
      </c>
      <c r="J653" s="295">
        <f ca="1">IFERROR(__xludf.DUMMYFUNCTION("IMPORTRANGE(""https://docs.google.com/spreadsheets/d/1tdoBKaGub7dwA3U6UFTqxio9LNnvDCQjHKmttSEBsFQ/edit?usp=sharing"",""จัดที่ดิน!AW68"")"),0)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IFERROR(__xludf.DUMMYFUNCTION("IMPORTRANGE(""https://docs.google.com/spreadsheets/d/1eHaY18a8A9IcSdp1K8H6x8fbOy06t2VsZHhMHf-1x7Y/edit?usp=sharing"",""แผน!IH68"")"),50)</f>
        <v>50</v>
      </c>
      <c r="J654" s="603">
        <f>J657+J660</f>
        <v>276</v>
      </c>
      <c r="K654" s="266">
        <f ca="1">IF(I654&gt;0,J654*100/I654,0)</f>
        <v>552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13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14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IFERROR(__xludf.DUMMYFUNCTION("IMPORTRANGE(""https://docs.google.com/spreadsheets/d/1eHaY18a8A9IcSdp1K8H6x8fbOy06t2VsZHhMHf-1x7Y/edit?usp=sharing"",""แผน!II68"")"),50)</f>
        <v>50</v>
      </c>
      <c r="J657" s="296">
        <v>276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IFERROR(__xludf.DUMMYFUNCTION("IMPORTRANGE(""https://docs.google.com/spreadsheets/d/1eHaY18a8A9IcSdp1K8H6x8fbOy06t2VsZHhMHf-1x7Y/edit?usp=sharing"",""แผน!IJ68"")"),0)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IFERROR(__xludf.DUMMYFUNCTION("IMPORTRANGE(""https://docs.google.com/spreadsheets/d/1eHaY18a8A9IcSdp1K8H6x8fbOy06t2VsZHhMHf-1x7Y/edit?usp=sharing"",""แผน!IK68"")"),100)</f>
        <v>100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IFERROR(__xludf.DUMMYFUNCTION("IMPORTRANGE(""https://docs.google.com/spreadsheets/d/1tdoBKaGub7dwA3U6UFTqxio9LNnvDCQjHKmttSEBsFQ/edit?usp=sharing"",""จัดที่ดิน!AY68"")"),20)</f>
        <v>20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IFERROR(__xludf.DUMMYFUNCTION("IMPORTRANGE(""https://docs.google.com/spreadsheets/d/1tdoBKaGub7dwA3U6UFTqxio9LNnvDCQjHKmttSEBsFQ/edit?usp=sharing"",""จัดที่ดิน!AZ68"")"),22)</f>
        <v>22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IFERROR(__xludf.DUMMYFUNCTION("IMPORTRANGE(""https://docs.google.com/spreadsheets/d/1eHaY18a8A9IcSdp1K8H6x8fbOy06t2VsZHhMHf-1x7Y/edit?usp=sharing"",""แผน!IL68"")"),450)</f>
        <v>450</v>
      </c>
      <c r="J673" s="295">
        <f ca="1">IFERROR(__xludf.DUMMYFUNCTION("IMPORTRANGE(""https://docs.google.com/spreadsheets/d/1tdoBKaGub7dwA3U6UFTqxio9LNnvDCQjHKmttSEBsFQ/edit?usp=sharing"",""จัดที่ดิน!BA68"")"),320.23)</f>
        <v>320.23</v>
      </c>
      <c r="K673" s="77">
        <f ca="1">IF(I673&gt;0,J673*100/I673,0)</f>
        <v>71.162222222222226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IFERROR(__xludf.DUMMYFUNCTION("IMPORTRANGE(""https://docs.google.com/spreadsheets/d/1eHaY18a8A9IcSdp1K8H6x8fbOy06t2VsZHhMHf-1x7Y/edit?usp=sharing"",""แผน!IM68"")"),10)</f>
        <v>10</v>
      </c>
      <c r="J674" s="603">
        <f ca="1">J676+J679</f>
        <v>17</v>
      </c>
      <c r="K674" s="266">
        <f ca="1">IF(I674&gt;0,J674*100/I674,0)</f>
        <v>170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IFERROR(__xludf.DUMMYFUNCTION("IMPORTRANGE(""https://docs.google.com/spreadsheets/d/1eHaY18a8A9IcSdp1K8H6x8fbOy06t2VsZHhMHf-1x7Y/edit?usp=sharing"",""แผน!IN68"")"),150)</f>
        <v>150</v>
      </c>
      <c r="J675" s="603">
        <f ca="1">J678+J681</f>
        <v>195.07</v>
      </c>
      <c r="K675" s="266">
        <f ca="1">IF(I675&gt;0,J675*100/I675,0)</f>
        <v>130.04666666666665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IFERROR(__xludf.DUMMYFUNCTION("IMPORTRANGE(""https://docs.google.com/spreadsheets/d/1eHaY18a8A9IcSdp1K8H6x8fbOy06t2VsZHhMHf-1x7Y/edit?usp=sharing"",""แผน!IO68"")"),10)</f>
        <v>10</v>
      </c>
      <c r="J676" s="295">
        <f ca="1">IFERROR(__xludf.DUMMYFUNCTION("IMPORTRANGE(""https://docs.google.com/spreadsheets/d/1tdoBKaGub7dwA3U6UFTqxio9LNnvDCQjHKmttSEBsFQ/edit?usp=sharing"",""จัดที่ดิน!BF68"")"),17)</f>
        <v>17</v>
      </c>
      <c r="K676" s="77">
        <f ca="1">IF(I676&gt;0,J676*100/I676,0)</f>
        <v>170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IFERROR(__xludf.DUMMYFUNCTION("IMPORTRANGE(""https://docs.google.com/spreadsheets/d/1tdoBKaGub7dwA3U6UFTqxio9LNnvDCQjHKmttSEBsFQ/edit?usp=sharing"",""จัดที่ดิน!BG68"")"),17)</f>
        <v>17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IFERROR(__xludf.DUMMYFUNCTION("IMPORTRANGE(""https://docs.google.com/spreadsheets/d/1eHaY18a8A9IcSdp1K8H6x8fbOy06t2VsZHhMHf-1x7Y/edit?usp=sharing"",""แผน!IP68"")"),150)</f>
        <v>150</v>
      </c>
      <c r="J678" s="295">
        <f ca="1">IFERROR(__xludf.DUMMYFUNCTION("IMPORTRANGE(""https://docs.google.com/spreadsheets/d/1tdoBKaGub7dwA3U6UFTqxio9LNnvDCQjHKmttSEBsFQ/edit?usp=sharing"",""จัดที่ดิน!BH68"")"),195.07)</f>
        <v>195.07</v>
      </c>
      <c r="K678" s="77">
        <f ca="1">IF(I678&gt;0,J678*100/I678,0)</f>
        <v>130.04666666666665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IFERROR(__xludf.DUMMYFUNCTION("IMPORTRANGE(""https://docs.google.com/spreadsheets/d/1eHaY18a8A9IcSdp1K8H6x8fbOy06t2VsZHhMHf-1x7Y/edit?usp=sharing"",""แผน!IQ68"")"),0)</f>
        <v>0</v>
      </c>
      <c r="J679" s="295">
        <f ca="1">IFERROR(__xludf.DUMMYFUNCTION("IMPORTRANGE(""https://docs.google.com/spreadsheets/d/1tdoBKaGub7dwA3U6UFTqxio9LNnvDCQjHKmttSEBsFQ/edit?usp=sharing"",""จัดที่ดิน!BK68"")"),0)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IFERROR(__xludf.DUMMYFUNCTION("IMPORTRANGE(""https://docs.google.com/spreadsheets/d/1tdoBKaGub7dwA3U6UFTqxio9LNnvDCQjHKmttSEBsFQ/edit?usp=sharing"",""จัดที่ดิน!BL68"")"),0)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IFERROR(__xludf.DUMMYFUNCTION("IMPORTRANGE(""https://docs.google.com/spreadsheets/d/1eHaY18a8A9IcSdp1K8H6x8fbOy06t2VsZHhMHf-1x7Y/edit?usp=sharing"",""แผน!IR68"")"),0)</f>
        <v>0</v>
      </c>
      <c r="J681" s="295">
        <f ca="1">IFERROR(__xludf.DUMMYFUNCTION("IMPORTRANGE(""https://docs.google.com/spreadsheets/d/1tdoBKaGub7dwA3U6UFTqxio9LNnvDCQjHKmttSEBsFQ/edit?usp=sharing"",""จัดที่ดิน!BM68"")"),0)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IFERROR(__xludf.DUMMYFUNCTION("IMPORTRANGE(""https://docs.google.com/spreadsheets/d/1eHaY18a8A9IcSdp1K8H6x8fbOy06t2VsZHhMHf-1x7Y/edit?usp=sharing"",""แผน!IS68"")"),20)</f>
        <v>20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70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188210</v>
      </c>
      <c r="R690" s="266">
        <f ca="1">R691+R692</f>
        <v>188210</v>
      </c>
      <c r="S690" s="266">
        <f ca="1">S691+S692</f>
        <v>132139.04999999999</v>
      </c>
      <c r="T690" s="266">
        <f ca="1">IF(Q690&gt;0,S690*100/Q690,0)</f>
        <v>70.208304553424355</v>
      </c>
      <c r="U690" s="266">
        <f ca="1">IF(R690&gt;0,S690*100/R690,0)</f>
        <v>70.208304553424355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188210</v>
      </c>
      <c r="R692" s="77">
        <f ca="1">R695+R698</f>
        <v>188210</v>
      </c>
      <c r="S692" s="77">
        <f ca="1">S695+S698</f>
        <v>132139.04999999999</v>
      </c>
      <c r="T692" s="77">
        <f ca="1">IF(Q692&gt;0,S692*100/Q692,0)</f>
        <v>70.208304553424355</v>
      </c>
      <c r="U692" s="77">
        <f ca="1">IF(R692&gt;0,S692*100/R692,0)</f>
        <v>70.208304553424355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188210</v>
      </c>
      <c r="R693" s="77">
        <f ca="1">R694+R695</f>
        <v>188210</v>
      </c>
      <c r="S693" s="77">
        <f ca="1">S694+S695</f>
        <v>132139.04999999999</v>
      </c>
      <c r="T693" s="77">
        <f ca="1">IF(Q693&gt;0,S693*100/Q693,0)</f>
        <v>70.208304553424355</v>
      </c>
      <c r="U693" s="77">
        <f ca="1">IF(R693&gt;0,S693*100/R693,0)</f>
        <v>70.208304553424355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IFERROR(__xludf.DUMMYFUNCTION("IMPORTRANGE(""https://docs.google.com/spreadsheets/d/1ItG2mGa2ceCfYo0BwxsXqNm01IGEUdYcSSLTEv9YCik/edit?usp=sharing"",""เบิกจ่ายกองทุน!L68"")"),188210)</f>
        <v>188210</v>
      </c>
      <c r="R695" s="77">
        <f ca="1">IFERROR(__xludf.DUMMYFUNCTION("IMPORTRANGE(""https://docs.google.com/spreadsheets/d/1ItG2mGa2ceCfYo0BwxsXqNm01IGEUdYcSSLTEv9YCik/edit?usp=sharing"",""เบิกจ่ายกองทุน!M68"")"),188210)</f>
        <v>188210</v>
      </c>
      <c r="S695" s="77">
        <f ca="1">IFERROR(__xludf.DUMMYFUNCTION("IMPORTRANGE(""https://docs.google.com/spreadsheets/d/1ItG2mGa2ceCfYo0BwxsXqNm01IGEUdYcSSLTEv9YCik/edit?usp=sharing"",""เบิกจ่ายกองทุน!N68"")"),132139.05)</f>
        <v>132139.04999999999</v>
      </c>
      <c r="T695" s="77">
        <f ca="1">IF(Q695&gt;0,S695*100/Q695,0)</f>
        <v>70.208304553424355</v>
      </c>
      <c r="U695" s="77">
        <f ca="1">IF(R695&gt;0,S695*100/R695,0)</f>
        <v>70.208304553424355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IFERROR(__xludf.DUMMYFUNCTION("IMPORTRANGE(""https://docs.google.com/spreadsheets/d/1eHaY18a8A9IcSdp1K8H6x8fbOy06t2VsZHhMHf-1x7Y/edit?usp=sharing"",""แผน!LC68"")"),0)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70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IFERROR(__xludf.DUMMYFUNCTION("IMPORTRANGE(""https://docs.google.com/spreadsheets/d/1eHaY18a8A9IcSdp1K8H6x8fbOy06t2VsZHhMHf-1x7Y/edit?usp=sharing"",""แผน!LJ68"")"),70)</f>
        <v>70</v>
      </c>
      <c r="J703" s="295">
        <f ca="1">IFERROR(__xludf.DUMMYFUNCTION("IMPORTRANGE(""https://docs.google.com/spreadsheets/d/1tdoBKaGub7dwA3U6UFTqxio9LNnvDCQjHKmttSEBsFQ/edit?usp=sharing"",""จัดที่ดิน!AP68"")"),0)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IFERROR(__xludf.DUMMYFUNCTION("IMPORTRANGE(""https://docs.google.com/spreadsheets/d/1tdoBKaGub7dwA3U6UFTqxio9LNnvDCQjHKmttSEBsFQ/edit?usp=sharing"",""จัดที่ดิน!AQ68"")"),0)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IFERROR(__xludf.DUMMYFUNCTION("IMPORTRANGE(""https://docs.google.com/spreadsheets/d/1eHaY18a8A9IcSdp1K8H6x8fbOy06t2VsZHhMHf-1x7Y/edit?usp=sharing"",""แผน!LK68"")"),0)</f>
        <v>0</v>
      </c>
      <c r="J705" s="295">
        <f ca="1">IFERROR(__xludf.DUMMYFUNCTION("IMPORTRANGE(""https://docs.google.com/spreadsheets/d/1tdoBKaGub7dwA3U6UFTqxio9LNnvDCQjHKmttSEBsFQ/edit?usp=sharing"",""จัดที่ดิน!AR68"")"),0)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IFERROR(__xludf.DUMMYFUNCTION("IMPORTRANGE(""https://docs.google.com/spreadsheets/d/1tdoBKaGub7dwA3U6UFTqxio9LNnvDCQjHKmttSEBsFQ/edit?usp=sharing"",""จัดที่ดิน!AS68"")"),0)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IFERROR(__xludf.DUMMYFUNCTION("IMPORTRANGE(""https://docs.google.com/spreadsheets/d/1eHaY18a8A9IcSdp1K8H6x8fbOy06t2VsZHhMHf-1x7Y/edit?usp=sharing"",""แผน!LJ68"")"),70)</f>
        <v>70</v>
      </c>
      <c r="J707" s="295">
        <f ca="1">IFERROR(__xludf.DUMMYFUNCTION("IMPORTRANGE(""https://docs.google.com/spreadsheets/d/1tdoBKaGub7dwA3U6UFTqxio9LNnvDCQjHKmttSEBsFQ/edit?usp=sharing"",""จัดที่ดิน!BN68"")"),0)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IFERROR(__xludf.DUMMYFUNCTION("IMPORTRANGE(""https://docs.google.com/spreadsheets/d/1tdoBKaGub7dwA3U6UFTqxio9LNnvDCQjHKmttSEBsFQ/edit?usp=sharing"",""จัดที่ดิน!BO68"")"),0)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IFERROR(__xludf.DUMMYFUNCTION("IMPORTRANGE(""https://docs.google.com/spreadsheets/d/1eHaY18a8A9IcSdp1K8H6x8fbOy06t2VsZHhMHf-1x7Y/edit?usp=sharing"",""แผน!LK68"")"),0)</f>
        <v>0</v>
      </c>
      <c r="J709" s="295">
        <f ca="1">IFERROR(__xludf.DUMMYFUNCTION("IMPORTRANGE(""https://docs.google.com/spreadsheets/d/1tdoBKaGub7dwA3U6UFTqxio9LNnvDCQjHKmttSEBsFQ/edit?usp=sharing"",""จัดที่ดิน!BP68"")"),0)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IFERROR(__xludf.DUMMYFUNCTION("IMPORTRANGE(""https://docs.google.com/spreadsheets/d/1tdoBKaGub7dwA3U6UFTqxio9LNnvDCQjHKmttSEBsFQ/edit?usp=sharing"",""จัดที่ดิน!BQ68"")"),0)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IFERROR(__xludf.DUMMYFUNCTION("IMPORTRANGE(""https://docs.google.com/spreadsheets/d/1eHaY18a8A9IcSdp1K8H6x8fbOy06t2VsZHhMHf-1x7Y/edit?usp=sharing"",""แผน!GA68"")"),128)</f>
        <v>128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IFERROR(__xludf.DUMMYFUNCTION("IMPORTRANGE(""https://docs.google.com/spreadsheets/d/1eHaY18a8A9IcSdp1K8H6x8fbOy06t2VsZHhMHf-1x7Y/edit?usp=sharing"",""แผน!FZ68"")"),1250)</f>
        <v>1250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1008470</v>
      </c>
      <c r="R728" s="266">
        <f ca="1">R729+R730</f>
        <v>1008470</v>
      </c>
      <c r="S728" s="266">
        <f ca="1">S729+S730</f>
        <v>48560</v>
      </c>
      <c r="T728" s="266">
        <f ca="1">IF(Q728&gt;0,S728*100/Q728,0)</f>
        <v>4.815215127866967</v>
      </c>
      <c r="U728" s="266">
        <f ca="1">IF(R728&gt;0,S728*100/R728,0)</f>
        <v>4.815215127866967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1008470</v>
      </c>
      <c r="R730" s="77">
        <f ca="1">R733+R736</f>
        <v>1008470</v>
      </c>
      <c r="S730" s="77">
        <f ca="1">S733+S736</f>
        <v>48560</v>
      </c>
      <c r="T730" s="77">
        <f ca="1">IF(Q730&gt;0,S730*100/Q730,0)</f>
        <v>4.815215127866967</v>
      </c>
      <c r="U730" s="77">
        <f ca="1">IF(R730&gt;0,S730*100/R730,0)</f>
        <v>4.815215127866967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1008470</v>
      </c>
      <c r="R731" s="77">
        <f ca="1">R732+R733</f>
        <v>1008470</v>
      </c>
      <c r="S731" s="77">
        <f ca="1">S732+S733</f>
        <v>48560</v>
      </c>
      <c r="T731" s="77">
        <f ca="1">IF(Q731&gt;0,S731*100/Q731,0)</f>
        <v>4.815215127866967</v>
      </c>
      <c r="U731" s="77">
        <f ca="1">IF(R731&gt;0,S731*100/R731,0)</f>
        <v>4.815215127866967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IFERROR(__xludf.DUMMYFUNCTION("IMPORTRANGE(""https://docs.google.com/spreadsheets/d/1ItG2mGa2ceCfYo0BwxsXqNm01IGEUdYcSSLTEv9YCik/edit?usp=sharing"",""เบิกจ่ายกองทุน!O68"")"),1008470)</f>
        <v>1008470</v>
      </c>
      <c r="R733" s="77">
        <f ca="1">IFERROR(__xludf.DUMMYFUNCTION("IMPORTRANGE(""https://docs.google.com/spreadsheets/d/1ItG2mGa2ceCfYo0BwxsXqNm01IGEUdYcSSLTEv9YCik/edit?usp=sharing"",""เบิกจ่ายกองทุน!P68"")"),1008470)</f>
        <v>1008470</v>
      </c>
      <c r="S733" s="77">
        <f ca="1">IFERROR(__xludf.DUMMYFUNCTION("IMPORTRANGE(""https://docs.google.com/spreadsheets/d/1ItG2mGa2ceCfYo0BwxsXqNm01IGEUdYcSSLTEv9YCik/edit?usp=sharing"",""เบิกจ่ายกองทุน!Q68"")"),48560)</f>
        <v>48560</v>
      </c>
      <c r="T733" s="77">
        <f ca="1">IF(Q733&gt;0,S733*100/Q733,0)</f>
        <v>4.815215127866967</v>
      </c>
      <c r="U733" s="77">
        <f ca="1">IF(R733&gt;0,S733*100/R733,0)</f>
        <v>4.815215127866967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IFERROR(__xludf.DUMMYFUNCTION("IMPORTRANGE(""https://docs.google.com/spreadsheets/d/1eHaY18a8A9IcSdp1K8H6x8fbOy06t2VsZHhMHf-1x7Y/edit?usp=sharing"",""แผน!GB68"")"),1000)</f>
        <v>1000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IFERROR(__xludf.DUMMYFUNCTION("IMPORTRANGE(""https://docs.google.com/spreadsheets/d/1eHaY18a8A9IcSdp1K8H6x8fbOy06t2VsZHhMHf-1x7Y/edit?usp=sharing"",""แผน!GC68"")"),100)</f>
        <v>100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IFERROR(__xludf.DUMMYFUNCTION("IMPORTRANGE(""https://docs.google.com/spreadsheets/d/1eHaY18a8A9IcSdp1K8H6x8fbOy06t2VsZHhMHf-1x7Y/edit?usp=sharing"",""แผน!GD68"")"),250)</f>
        <v>250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IFERROR(__xludf.DUMMYFUNCTION("IMPORTRANGE(""https://docs.google.com/spreadsheets/d/1eHaY18a8A9IcSdp1K8H6x8fbOy06t2VsZHhMHf-1x7Y/edit?usp=sharing"",""แผน!GE68"")"),25)</f>
        <v>25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IFERROR(__xludf.DUMMYFUNCTION("IMPORTRANGE(""https://docs.google.com/spreadsheets/d/1eHaY18a8A9IcSdp1K8H6x8fbOy06t2VsZHhMHf-1x7Y/edit?usp=sharing"",""แผน!GF68"")"),3)</f>
        <v>3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IFERROR(__xludf.DUMMYFUNCTION("IMPORTRANGE(""https://docs.google.com/spreadsheets/d/1eHaY18a8A9IcSdp1K8H6x8fbOy06t2VsZHhMHf-1x7Y/edit?usp=sharing"",""แผน!GB68"")"),1000)</f>
        <v>1000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IFERROR(__xludf.DUMMYFUNCTION("IMPORTRANGE(""https://docs.google.com/spreadsheets/d/1eHaY18a8A9IcSdp1K8H6x8fbOy06t2VsZHhMHf-1x7Y/edit?usp=sharing"",""แผน!GD68"")"),250)</f>
        <v>250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60</v>
      </c>
      <c r="J758" s="760">
        <f>J772</f>
        <v>20</v>
      </c>
      <c r="K758" s="746">
        <f ca="1">IF(I758&gt;0,J758*100/I758,0)</f>
        <v>33.333333333333336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105</v>
      </c>
      <c r="J759" s="760">
        <f>J774</f>
        <v>40</v>
      </c>
      <c r="K759" s="746">
        <f ca="1">IF(I759&gt;0,J759*100/I759,0)</f>
        <v>38.095238095238095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413100</v>
      </c>
      <c r="R760" s="266">
        <f ca="1">R761+R762</f>
        <v>413100</v>
      </c>
      <c r="S760" s="266">
        <f ca="1">S761+S762</f>
        <v>119200</v>
      </c>
      <c r="T760" s="266">
        <f ca="1">IF(Q760&gt;0,S760*100/Q760,0)</f>
        <v>28.854998789639314</v>
      </c>
      <c r="U760" s="266">
        <f ca="1">IF(R760&gt;0,S760*100/R760,0)</f>
        <v>28.854998789639314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413100</v>
      </c>
      <c r="R762" s="77">
        <f ca="1">R765+R768</f>
        <v>413100</v>
      </c>
      <c r="S762" s="77">
        <f ca="1">S765+S768</f>
        <v>119200</v>
      </c>
      <c r="T762" s="77">
        <f ca="1">IF(Q762&gt;0,S762*100/Q762,0)</f>
        <v>28.854998789639314</v>
      </c>
      <c r="U762" s="77">
        <f ca="1">IF(R762&gt;0,S762*100/R762,0)</f>
        <v>28.854998789639314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413100</v>
      </c>
      <c r="R763" s="77">
        <f ca="1">R764+R765</f>
        <v>413100</v>
      </c>
      <c r="S763" s="77">
        <f ca="1">S764+S765</f>
        <v>119200</v>
      </c>
      <c r="T763" s="77">
        <f ca="1">IF(Q763&gt;0,S763*100/Q763,0)</f>
        <v>28.854998789639314</v>
      </c>
      <c r="U763" s="77">
        <f ca="1">IF(R763&gt;0,S763*100/R763,0)</f>
        <v>28.854998789639314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IFERROR(__xludf.DUMMYFUNCTION("IMPORTRANGE(""https://docs.google.com/spreadsheets/d/1ItG2mGa2ceCfYo0BwxsXqNm01IGEUdYcSSLTEv9YCik/edit?usp=sharing"",""เบิกจ่ายกองทุน!U68"")"),413100)</f>
        <v>413100</v>
      </c>
      <c r="R765" s="77">
        <f ca="1">IFERROR(__xludf.DUMMYFUNCTION("IMPORTRANGE(""https://docs.google.com/spreadsheets/d/1ItG2mGa2ceCfYo0BwxsXqNm01IGEUdYcSSLTEv9YCik/edit?usp=sharing"",""เบิกจ่ายกองทุน!V68"")"),413100)</f>
        <v>413100</v>
      </c>
      <c r="S765" s="77">
        <f ca="1">IFERROR(__xludf.DUMMYFUNCTION("IMPORTRANGE(""https://docs.google.com/spreadsheets/d/1ItG2mGa2ceCfYo0BwxsXqNm01IGEUdYcSSLTEv9YCik/edit?usp=sharing"",""เบิกจ่ายกองทุน!W68"")"),119200)</f>
        <v>119200</v>
      </c>
      <c r="T765" s="77">
        <f ca="1">IF(Q765&gt;0,S765*100/Q765,0)</f>
        <v>28.854998789639314</v>
      </c>
      <c r="U765" s="77">
        <f ca="1">IF(R765&gt;0,S765*100/R765,0)</f>
        <v>28.854998789639314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IFERROR(__xludf.DUMMYFUNCTION("IMPORTRANGE(""https://docs.google.com/spreadsheets/d/1eHaY18a8A9IcSdp1K8H6x8fbOy06t2VsZHhMHf-1x7Y/edit?usp=sharing"",""แผน!FI68"")"),0)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IFERROR(__xludf.DUMMYFUNCTION("IMPORTRANGE(""https://docs.google.com/spreadsheets/d/1eHaY18a8A9IcSdp1K8H6x8fbOy06t2VsZHhMHf-1x7Y/edit?usp=sharing"",""แผน!FQ68"")"),60)</f>
        <v>60</v>
      </c>
      <c r="J772" s="296">
        <v>20</v>
      </c>
      <c r="K772" s="77">
        <f ca="1">IF(I772&gt;0,J772*100/I772,0)</f>
        <v>33.333333333333336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IFERROR(__xludf.DUMMYFUNCTION("IMPORTRANGE(""https://docs.google.com/spreadsheets/d/1eHaY18a8A9IcSdp1K8H6x8fbOy06t2VsZHhMHf-1x7Y/edit?usp=sharing"",""แผน!FR68"")"),105)</f>
        <v>105</v>
      </c>
      <c r="J774" s="296">
        <v>40</v>
      </c>
      <c r="K774" s="77">
        <f ca="1">IF(I774&gt;0,J774*100/I774,0)</f>
        <v>38.095238095238095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IFERROR(__xludf.DUMMYFUNCTION("IMPORTRANGE(""https://docs.google.com/spreadsheets/d/1eHaY18a8A9IcSdp1K8H6x8fbOy06t2VsZHhMHf-1x7Y/edit?usp=sharing"",""แผน!FS68"")"),105)</f>
        <v>105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IFERROR(__xludf.DUMMYFUNCTION("IMPORTRANGE(""https://docs.google.com/spreadsheets/d/1eHaY18a8A9IcSdp1K8H6x8fbOy06t2VsZHhMHf-1x7Y/edit?usp=sharing"",""แผน!FT68"")"),60)</f>
        <v>60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IFERROR(__xludf.DUMMYFUNCTION("IMPORTRANGE(""https://docs.google.com/spreadsheets/d/10OvvATaaLtwErnr3qtWFcTmtbfpFEt5Bsqel9sXx0uE/edit?usp=sharing"",""งานกองทุน!D68"")"),6329000)</f>
        <v>6329000</v>
      </c>
      <c r="J778" s="295">
        <f ca="1">IFERROR(__xludf.DUMMYFUNCTION("IMPORTRANGE(""https://docs.google.com/spreadsheets/d/10OvvATaaLtwErnr3qtWFcTmtbfpFEt5Bsqel9sXx0uE/edit?usp=sharing"",""งานกองทุน!F68"")"),1909050.4)</f>
        <v>1909050.4</v>
      </c>
      <c r="K778" s="77">
        <f ca="1">IF(I778&gt;0,J778*100/I778,0)</f>
        <v>30.163539263706745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IFERROR(__xludf.DUMMYFUNCTION("IMPORTRANGE(""https://docs.google.com/spreadsheets/d/10OvvATaaLtwErnr3qtWFcTmtbfpFEt5Bsqel9sXx0uE/edit?usp=sharing"",""งานกองทุน!C68"")"),192)</f>
        <v>192</v>
      </c>
      <c r="J779" s="295">
        <f ca="1">IFERROR(__xludf.DUMMYFUNCTION("IMPORTRANGE(""https://docs.google.com/spreadsheets/d/10OvvATaaLtwErnr3qtWFcTmtbfpFEt5Bsqel9sXx0uE/edit?usp=sharing"",""งานกองทุน!E68"")"),63)</f>
        <v>63</v>
      </c>
      <c r="K779" s="77">
        <f ca="1">IF(I779&gt;0,J779*100/I779,0)</f>
        <v>32.8125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IFERROR(__xludf.DUMMYFUNCTION("IMPORTRANGE(""https://docs.google.com/spreadsheets/d/10OvvATaaLtwErnr3qtWFcTmtbfpFEt5Bsqel9sXx0uE/edit?usp=sharing"",""งานกองทุน!I68"")"),7578325.46)</f>
        <v>7578325.46</v>
      </c>
      <c r="J780" s="295">
        <f ca="1">IFERROR(__xludf.DUMMYFUNCTION("IMPORTRANGE(""https://docs.google.com/spreadsheets/d/10OvvATaaLtwErnr3qtWFcTmtbfpFEt5Bsqel9sXx0uE/edit?usp=sharing"",""งานกองทุน!K68"")"),211244.49)</f>
        <v>211244.49</v>
      </c>
      <c r="K780" s="77">
        <f ca="1">IF(I780&gt;0,J780*100/I780,0)</f>
        <v>2.7874824209516067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IFERROR(__xludf.DUMMYFUNCTION("IMPORTRANGE(""https://docs.google.com/spreadsheets/d/10OvvATaaLtwErnr3qtWFcTmtbfpFEt5Bsqel9sXx0uE/edit?usp=sharing"",""งานกองทุน!H68"")"),328)</f>
        <v>328</v>
      </c>
      <c r="J781" s="295">
        <f ca="1">IFERROR(__xludf.DUMMYFUNCTION("IMPORTRANGE(""https://docs.google.com/spreadsheets/d/10OvvATaaLtwErnr3qtWFcTmtbfpFEt5Bsqel9sXx0uE/edit?usp=sharing"",""งานกองทุน!J68"")"),21)</f>
        <v>21</v>
      </c>
      <c r="K781" s="77">
        <f ca="1">IF(I781&gt;0,J781*100/I781,0)</f>
        <v>6.4024390243902438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IFERROR(__xludf.DUMMYFUNCTION("IMPORTRANGE(""https://docs.google.com/spreadsheets/d/10OvvATaaLtwErnr3qtWFcTmtbfpFEt5Bsqel9sXx0uE/edit?usp=sharing"",""งานกองทุน!N68"")"),9330714.04)</f>
        <v>9330714.0399999991</v>
      </c>
      <c r="J782" s="295">
        <f ca="1">IFERROR(__xludf.DUMMYFUNCTION("IMPORTRANGE(""https://docs.google.com/spreadsheets/d/10OvvATaaLtwErnr3qtWFcTmtbfpFEt5Bsqel9sXx0uE/edit?usp=sharing"",""งานกองทุน!P68"")"),1536219)</f>
        <v>1536219</v>
      </c>
      <c r="K782" s="77">
        <f ca="1">IF(I782&gt;0,J782*100/I782,0)</f>
        <v>16.464109749954357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IFERROR(__xludf.DUMMYFUNCTION("IMPORTRANGE(""https://docs.google.com/spreadsheets/d/10OvvATaaLtwErnr3qtWFcTmtbfpFEt5Bsqel9sXx0uE/edit?usp=sharing"",""งานกองทุน!M68"")"),1124)</f>
        <v>1124</v>
      </c>
      <c r="J783" s="295">
        <f ca="1">IFERROR(__xludf.DUMMYFUNCTION("IMPORTRANGE(""https://docs.google.com/spreadsheets/d/10OvvATaaLtwErnr3qtWFcTmtbfpFEt5Bsqel9sXx0uE/edit?usp=sharing"",""งานกองทุน!O68"")"),327)</f>
        <v>327</v>
      </c>
      <c r="K783" s="77">
        <f ca="1">IF(I783&gt;0,J783*100/I783,0)</f>
        <v>29.092526690391459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IFERROR(__xludf.DUMMYFUNCTION("IMPORTRANGE(""https://docs.google.com/spreadsheets/d/10OvvATaaLtwErnr3qtWFcTmtbfpFEt5Bsqel9sXx0uE/edit?usp=sharing"",""งานกองทุน!S68"")"),10920000)</f>
        <v>10920000</v>
      </c>
      <c r="J784" s="295">
        <f ca="1">IFERROR(__xludf.DUMMYFUNCTION("IMPORTRANGE(""https://docs.google.com/spreadsheets/d/10OvvATaaLtwErnr3qtWFcTmtbfpFEt5Bsqel9sXx0uE/edit?usp=sharing"",""งานกองทุน!U68"")"),2200000)</f>
        <v>2200000</v>
      </c>
      <c r="K784" s="77">
        <f ca="1">IF(I784&gt;0,J784*100/I784,0)</f>
        <v>20.146520146520146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IFERROR(__xludf.DUMMYFUNCTION("IMPORTRANGE(""https://docs.google.com/spreadsheets/d/10OvvATaaLtwErnr3qtWFcTmtbfpFEt5Bsqel9sXx0uE/edit?usp=sharing"",""งานกองทุน!R68"")"),390)</f>
        <v>390</v>
      </c>
      <c r="J785" s="773">
        <f ca="1">IFERROR(__xludf.DUMMYFUNCTION("IMPORTRANGE(""https://docs.google.com/spreadsheets/d/10OvvATaaLtwErnr3qtWFcTmtbfpFEt5Bsqel9sXx0uE/edit?usp=sharing"",""งานกองทุน!T68"")"),65)</f>
        <v>65</v>
      </c>
      <c r="K785" s="185">
        <f ca="1">IF(I785&gt;0,J785*100/I785,0)</f>
        <v>16.666666666666668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34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11B4-69CC-41C1-9D6A-3CBF4C960809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356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315" t="s">
        <v>4</v>
      </c>
      <c r="B5" s="791"/>
      <c r="C5" s="791"/>
      <c r="D5" s="791"/>
      <c r="E5" s="791"/>
      <c r="F5" s="791"/>
      <c r="G5" s="1253"/>
      <c r="H5" s="1314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9.5" hidden="1" x14ac:dyDescent="0.3">
      <c r="A9" s="1225"/>
      <c r="B9" s="287"/>
      <c r="C9" s="287"/>
      <c r="D9" s="287"/>
      <c r="E9" s="287"/>
      <c r="F9" s="287"/>
      <c r="G9" s="1256"/>
      <c r="H9" s="1256"/>
      <c r="I9" s="1256"/>
      <c r="J9" s="1256"/>
      <c r="K9" s="1256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2418079</v>
      </c>
      <c r="M18" s="62">
        <f ca="1">M19+M20</f>
        <v>2439771.37</v>
      </c>
      <c r="N18" s="62">
        <f ca="1">N19+N20</f>
        <v>1919093.67</v>
      </c>
      <c r="O18" s="62">
        <f ca="1">IF(L18&gt;0,N18*100/L18,0)</f>
        <v>79.364390906996832</v>
      </c>
      <c r="P18" s="62">
        <f ca="1">IF(M18&gt;0,N18*100/M18,0)</f>
        <v>78.658750307410969</v>
      </c>
      <c r="Q18" s="62">
        <f ca="1">Q19+Q20</f>
        <v>2844695</v>
      </c>
      <c r="R18" s="62">
        <f ca="1">R19+R20</f>
        <v>2844695</v>
      </c>
      <c r="S18" s="62">
        <f ca="1">S19+S20</f>
        <v>504031.72</v>
      </c>
      <c r="T18" s="62">
        <f ca="1">IF(Q18&gt;0,S18*100/Q18,0)</f>
        <v>17.718304422794009</v>
      </c>
      <c r="U18" s="62">
        <f ca="1">IF(R18&gt;0,S18*100/R18,0)</f>
        <v>17.718304422794009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2418079</v>
      </c>
      <c r="M20" s="68">
        <f ca="1">M23+M26</f>
        <v>2439771.37</v>
      </c>
      <c r="N20" s="68">
        <f ca="1">N23+N26</f>
        <v>1919093.67</v>
      </c>
      <c r="O20" s="68">
        <f ca="1">IF(L20&gt;0,N20*100/L20,0)</f>
        <v>79.364390906996832</v>
      </c>
      <c r="P20" s="68">
        <f ca="1">IF(M20&gt;0,N20*100/M20,0)</f>
        <v>78.658750307410969</v>
      </c>
      <c r="Q20" s="68">
        <f ca="1">Q23+Q26</f>
        <v>2844695</v>
      </c>
      <c r="R20" s="68">
        <f ca="1">R23+R26</f>
        <v>2844695</v>
      </c>
      <c r="S20" s="68">
        <f ca="1">S23+S26</f>
        <v>504031.72</v>
      </c>
      <c r="T20" s="68">
        <f ca="1">IF(Q20&gt;0,S20*100/Q20,0)</f>
        <v>17.718304422794009</v>
      </c>
      <c r="U20" s="68">
        <f ca="1">IF(R20&gt;0,S20*100/R20,0)</f>
        <v>17.718304422794009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2418079</v>
      </c>
      <c r="M21" s="77">
        <f ca="1">M22+M23</f>
        <v>2439771.37</v>
      </c>
      <c r="N21" s="77">
        <f ca="1">N22+N23</f>
        <v>1919093.67</v>
      </c>
      <c r="O21" s="77">
        <f ca="1">IF(L21&gt;0,N21*100/L21,0)</f>
        <v>79.364390906996832</v>
      </c>
      <c r="P21" s="77">
        <f ca="1">IF(M21&gt;0,N21*100/M21,0)</f>
        <v>78.658750307410969</v>
      </c>
      <c r="Q21" s="77">
        <f ca="1">Q22+Q23</f>
        <v>2844695</v>
      </c>
      <c r="R21" s="77">
        <f ca="1">R22+R23</f>
        <v>2844695</v>
      </c>
      <c r="S21" s="77">
        <f ca="1">S22+S23</f>
        <v>504031.72</v>
      </c>
      <c r="T21" s="77">
        <f ca="1">IF(Q21&gt;0,S21*100/Q21,0)</f>
        <v>17.718304422794009</v>
      </c>
      <c r="U21" s="77">
        <f ca="1">IF(R21&gt;0,S21*100/R21,0)</f>
        <v>17.718304422794009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2418079</v>
      </c>
      <c r="M23" s="77">
        <f ca="1">M49+M64+M77+M99+M130+M144+M162+M191+M178+M271+M287+M308+M325+M338+M361+M518</f>
        <v>2439771.37</v>
      </c>
      <c r="N23" s="77">
        <f ca="1">N49+N64+N77+N99+N130+N144+N162+N191+N178+N271+N287+N308+N325+N338+N361+N518</f>
        <v>1919093.67</v>
      </c>
      <c r="O23" s="77">
        <f ca="1">IF(L23&gt;0,N23*100/L23,0)</f>
        <v>79.364390906996832</v>
      </c>
      <c r="P23" s="77">
        <f ca="1">IF(M23&gt;0,N23*100/M23,0)</f>
        <v>78.658750307410969</v>
      </c>
      <c r="Q23" s="77">
        <f ca="1">Q77+Q99+Q122+Q144+Q162+Q178+Q191+Q271+Q287+Q308+Q338+Q380+Q397+Q418+Q498+Q604+Q621+Q647+Q695+Q719+Q733+Q765</f>
        <v>2844695</v>
      </c>
      <c r="R23" s="77">
        <f ca="1">R77+R99+R122+R144+R162+R178+R191+R271+R287+R308+R338+R380+R397+R418+R498+R604+R621+R647+R695+R719+R733+R765</f>
        <v>2844695</v>
      </c>
      <c r="S23" s="77">
        <f ca="1">S77+S99+S122+S144+S162+S178+S191+S271+S287+S308+S338+S380+S397+S418+S498+S604+S621+S647+S695+S719+S733+S765</f>
        <v>504031.72</v>
      </c>
      <c r="T23" s="77">
        <f ca="1">IF(Q23&gt;0,S23*100/Q23,0)</f>
        <v>17.718304422794009</v>
      </c>
      <c r="U23" s="77">
        <f ca="1">IF(R23&gt;0,S23*100/R23,0)</f>
        <v>17.718304422794009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2418079</v>
      </c>
      <c r="M40" s="1308">
        <f ca="1">M44+M59+M72+M94+M125+M139+M157+M173+M186+M266+M282+M303+M320+M333+M356</f>
        <v>2439771.37</v>
      </c>
      <c r="N40" s="1308">
        <f ca="1">N44+N59+N72+N94+N125+N139+N157+N173+N186+N266+N282+N303+N320+N333+N356</f>
        <v>1919093.67</v>
      </c>
      <c r="O40" s="1308">
        <f ca="1">IF(L40&gt;0,N40*100/L40,0)</f>
        <v>79.364390906996832</v>
      </c>
      <c r="P40" s="1308">
        <f ca="1">IF(M40&gt;0,N40*100/M40,0)</f>
        <v>78.658750307410969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276409</v>
      </c>
      <c r="M44" s="1304">
        <f ca="1">M45+M46</f>
        <v>341011.37</v>
      </c>
      <c r="N44" s="1304">
        <f ca="1">N45+N46</f>
        <v>330443</v>
      </c>
      <c r="O44" s="1304">
        <f ca="1">IF(L44&gt;0,N44*100/L44,0)</f>
        <v>119.54856752131805</v>
      </c>
      <c r="P44" s="1304">
        <f ca="1">IF(M44&gt;0,N44*100/M44,0)</f>
        <v>96.900874595471706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276409</v>
      </c>
      <c r="M46" s="1300">
        <f ca="1">M49+M52</f>
        <v>341011.37</v>
      </c>
      <c r="N46" s="1300">
        <f ca="1">N49+N52</f>
        <v>330443</v>
      </c>
      <c r="O46" s="1300">
        <f ca="1">IF(L46&gt;0,N46*100/L46,0)</f>
        <v>119.54856752131805</v>
      </c>
      <c r="P46" s="1300">
        <f ca="1">IF(M46&gt;0,N46*100/M46,0)</f>
        <v>96.900874595471706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276409</v>
      </c>
      <c r="M47" s="77">
        <f ca="1">M48+M49</f>
        <v>341011.37</v>
      </c>
      <c r="N47" s="77">
        <f ca="1">N48+N49</f>
        <v>330443</v>
      </c>
      <c r="O47" s="77">
        <f ca="1">IF(L47&gt;0,N47*100/L47,0)</f>
        <v>119.54856752131805</v>
      </c>
      <c r="P47" s="77">
        <f ca="1">IF(M47&gt;0,N47*100/M47,0)</f>
        <v>96.900874595471706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IFERROR(__xludf.DUMMYFUNCTION("IMPORTRANGE(""https://docs.google.com/spreadsheets/d/1-uDff_7J0KD5mKrp0Vvzr7lt3OU09vwQwhkpOPPYv2Y/edit?usp=sharing"",""งบพรบ!P69"")"),276409)</f>
        <v>276409</v>
      </c>
      <c r="M49" s="77">
        <f ca="1">IFERROR(__xludf.DUMMYFUNCTION("IMPORTRANGE(""https://docs.google.com/spreadsheets/d/1-uDff_7J0KD5mKrp0Vvzr7lt3OU09vwQwhkpOPPYv2Y/edit?usp=sharing"",""งบพรบ!V69"")"),341011.37)</f>
        <v>341011.37</v>
      </c>
      <c r="N49" s="77">
        <f ca="1">IFERROR(__xludf.DUMMYFUNCTION("IMPORTRANGE(""https://docs.google.com/spreadsheets/d/1-uDff_7J0KD5mKrp0Vvzr7lt3OU09vwQwhkpOPPYv2Y/edit?usp=sharing"",""งบพรบ!Y69"")"),330443)</f>
        <v>330443</v>
      </c>
      <c r="O49" s="77">
        <f ca="1">IF(L49&gt;0,N49*100/L49,0)</f>
        <v>119.54856752131805</v>
      </c>
      <c r="P49" s="77">
        <f ca="1">IF(M49&gt;0,N49*100/M49,0)</f>
        <v>96.900874595471706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IFERROR(__xludf.DUMMYFUNCTION("IMPORTRANGE(""https://docs.google.com/spreadsheets/d/1-uDff_7J0KD5mKrp0Vvzr7lt3OU09vwQwhkpOPPYv2Y/edit?usp=sharing"",""งบพรบ!S69"")"),0)</f>
        <v>0</v>
      </c>
      <c r="M52" s="77">
        <f ca="1">IFERROR(__xludf.DUMMYFUNCTION("IMPORTRANGE(""https://docs.google.com/spreadsheets/d/1-uDff_7J0KD5mKrp0Vvzr7lt3OU09vwQwhkpOPPYv2Y/edit?usp=sharing"",""งบพรบ!W69"")"),0)</f>
        <v>0</v>
      </c>
      <c r="N52" s="77">
        <f ca="1">IFERROR(__xludf.DUMMYFUNCTION("IMPORTRANGE(""https://docs.google.com/spreadsheets/d/1-uDff_7J0KD5mKrp0Vvzr7lt3OU09vwQwhkpOPPYv2Y/edit?usp=sharing"",""งบพรบ!Z69"")"),0)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558400</v>
      </c>
      <c r="M59" s="1297">
        <f ca="1">M60+M61</f>
        <v>558400</v>
      </c>
      <c r="N59" s="1297">
        <f ca="1">N60+N61</f>
        <v>519933.68</v>
      </c>
      <c r="O59" s="1297">
        <f ca="1">IF(L59&gt;0,N59*100/L59,0)</f>
        <v>93.111332378223494</v>
      </c>
      <c r="P59" s="1297">
        <f ca="1">IF(M59&gt;0,N59*100/M59,0)</f>
        <v>93.111332378223494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558400</v>
      </c>
      <c r="M61" s="1293">
        <f ca="1">M64+M67</f>
        <v>558400</v>
      </c>
      <c r="N61" s="1293">
        <f ca="1">N64+N67</f>
        <v>519933.68</v>
      </c>
      <c r="O61" s="1293">
        <f ca="1">IF(L61&gt;0,N61*100/L61,0)</f>
        <v>93.111332378223494</v>
      </c>
      <c r="P61" s="1293">
        <f ca="1">IF(M61&gt;0,N61*100/M61,0)</f>
        <v>93.111332378223494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558400</v>
      </c>
      <c r="M62" s="77">
        <f ca="1">M63+M64</f>
        <v>558400</v>
      </c>
      <c r="N62" s="77">
        <f ca="1">N63+N64</f>
        <v>519933.68</v>
      </c>
      <c r="O62" s="77">
        <f ca="1">IF(L62&gt;0,N62*100/L62,0)</f>
        <v>93.111332378223494</v>
      </c>
      <c r="P62" s="77">
        <f ca="1">IF(M62&gt;0,N62*100/M62,0)</f>
        <v>93.111332378223494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IFERROR(__xludf.DUMMYFUNCTION("IMPORTRANGE(""https://docs.google.com/spreadsheets/d/1-uDff_7J0KD5mKrp0Vvzr7lt3OU09vwQwhkpOPPYv2Y/edit?usp=sharing"",""งบพรบ!AC69"")"),558400)</f>
        <v>558400</v>
      </c>
      <c r="M64" s="77">
        <f ca="1">IFERROR(__xludf.DUMMYFUNCTION("IMPORTRANGE(""https://docs.google.com/spreadsheets/d/1-uDff_7J0KD5mKrp0Vvzr7lt3OU09vwQwhkpOPPYv2Y/edit?usp=sharing"",""งบพรบ!AH69"")"),558400)</f>
        <v>558400</v>
      </c>
      <c r="N64" s="77">
        <f ca="1">IFERROR(__xludf.DUMMYFUNCTION("IMPORTRANGE(""https://docs.google.com/spreadsheets/d/1-uDff_7J0KD5mKrp0Vvzr7lt3OU09vwQwhkpOPPYv2Y/edit?usp=sharing"",""งบพรบ!AJ69"")"),519933.68)</f>
        <v>519933.68</v>
      </c>
      <c r="O64" s="77">
        <f ca="1">IF(L64&gt;0,N64*100/L64,0)</f>
        <v>93.111332378223494</v>
      </c>
      <c r="P64" s="77">
        <f ca="1">IF(M64&gt;0,N64*100/M64,0)</f>
        <v>93.111332378223494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IFERROR(__xludf.DUMMYFUNCTION("IMPORTRANGE(""https://docs.google.com/spreadsheets/d/1-uDff_7J0KD5mKrp0Vvzr7lt3OU09vwQwhkpOPPYv2Y/edit?usp=sharing"",""งบพรบ!AF69"")"),0)</f>
        <v>0</v>
      </c>
      <c r="M67" s="185">
        <f ca="1">IFERROR(__xludf.DUMMYFUNCTION("IMPORTRANGE(""https://docs.google.com/spreadsheets/d/1-uDff_7J0KD5mKrp0Vvzr7lt3OU09vwQwhkpOPPYv2Y/edit?usp=sharing"",""งบพรบ!AI69"")"),0)</f>
        <v>0</v>
      </c>
      <c r="N67" s="185">
        <f ca="1">IFERROR(__xludf.DUMMYFUNCTION("IMPORTRANGE(""https://docs.google.com/spreadsheets/d/1-uDff_7J0KD5mKrp0Vvzr7lt3OU09vwQwhkpOPPYv2Y/edit?usp=sharing"",""งบพรบ!AK69"")"),0)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1</v>
      </c>
      <c r="J70" s="258">
        <f>J82</f>
        <v>1</v>
      </c>
      <c r="K70" s="62">
        <f ca="1">IF(I70&gt;0,J70*100/I70,0)</f>
        <v>100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69</v>
      </c>
      <c r="J71" s="258">
        <f>J83</f>
        <v>69</v>
      </c>
      <c r="K71" s="62">
        <f ca="1">IF(I71&gt;0,J71*100/I71,0)</f>
        <v>100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445100</v>
      </c>
      <c r="M72" s="266">
        <f ca="1">M73+M74</f>
        <v>445100</v>
      </c>
      <c r="N72" s="266">
        <f ca="1">N73+N74</f>
        <v>374232.36</v>
      </c>
      <c r="O72" s="266">
        <f ca="1">IF(L72&gt;0,N72*100/L72,0)</f>
        <v>84.07826555830151</v>
      </c>
      <c r="P72" s="266">
        <f ca="1">IF(M72&gt;0,N72*100/M72,0)</f>
        <v>84.07826555830151</v>
      </c>
      <c r="Q72" s="266">
        <f ca="1">Q73+Q74</f>
        <v>585080</v>
      </c>
      <c r="R72" s="266">
        <f ca="1">R73+R74</f>
        <v>585080</v>
      </c>
      <c r="S72" s="266">
        <f ca="1">S73+S74</f>
        <v>173030</v>
      </c>
      <c r="T72" s="266">
        <f ca="1">IF(Q72&gt;0,S72*100/Q72,0)</f>
        <v>29.57373350652902</v>
      </c>
      <c r="U72" s="266">
        <f ca="1">IF(R72&gt;0,S72*100/R72,0)</f>
        <v>29.57373350652902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445100</v>
      </c>
      <c r="M74" s="77">
        <f ca="1">M77+M80</f>
        <v>445100</v>
      </c>
      <c r="N74" s="77">
        <f ca="1">N77+N80</f>
        <v>374232.36</v>
      </c>
      <c r="O74" s="77">
        <f ca="1">IF(L74&gt;0,N74*100/L74,0)</f>
        <v>84.07826555830151</v>
      </c>
      <c r="P74" s="77">
        <f ca="1">IF(M74&gt;0,N74*100/M74,0)</f>
        <v>84.07826555830151</v>
      </c>
      <c r="Q74" s="77">
        <f ca="1">Q77+Q80</f>
        <v>585080</v>
      </c>
      <c r="R74" s="77">
        <f ca="1">R77+R80</f>
        <v>585080</v>
      </c>
      <c r="S74" s="77">
        <f ca="1">S77+S80</f>
        <v>173030</v>
      </c>
      <c r="T74" s="77">
        <f ca="1">IF(Q74&gt;0,S74*100/Q74,0)</f>
        <v>29.57373350652902</v>
      </c>
      <c r="U74" s="77">
        <f ca="1">IF(R74&gt;0,S74*100/R74,0)</f>
        <v>29.57373350652902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445100</v>
      </c>
      <c r="M75" s="77">
        <f ca="1">M76+M77</f>
        <v>445100</v>
      </c>
      <c r="N75" s="77">
        <f ca="1">N76+N77</f>
        <v>374232.36</v>
      </c>
      <c r="O75" s="77">
        <f ca="1">IF(L75&gt;0,N75*100/L75,0)</f>
        <v>84.07826555830151</v>
      </c>
      <c r="P75" s="77">
        <f ca="1">IF(M75&gt;0,N75*100/M75,0)</f>
        <v>84.07826555830151</v>
      </c>
      <c r="Q75" s="77">
        <f ca="1">Q76+Q77</f>
        <v>585080</v>
      </c>
      <c r="R75" s="77">
        <f ca="1">R76+R77</f>
        <v>585080</v>
      </c>
      <c r="S75" s="77">
        <f ca="1">S76+S77</f>
        <v>173030</v>
      </c>
      <c r="T75" s="77">
        <f ca="1">IF(Q75&gt;0,S75*100/Q75,0)</f>
        <v>29.57373350652902</v>
      </c>
      <c r="U75" s="77">
        <f ca="1">IF(R75&gt;0,S75*100/R75,0)</f>
        <v>29.57373350652902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IFERROR(__xludf.DUMMYFUNCTION("IMPORTRANGE(""https://docs.google.com/spreadsheets/d/1-uDff_7J0KD5mKrp0Vvzr7lt3OU09vwQwhkpOPPYv2Y/edit?usp=sharing"",""งบพรบ!AM69"")"),445100)</f>
        <v>445100</v>
      </c>
      <c r="M77" s="77">
        <f ca="1">IFERROR(__xludf.DUMMYFUNCTION("IMPORTRANGE(""https://docs.google.com/spreadsheets/d/1-uDff_7J0KD5mKrp0Vvzr7lt3OU09vwQwhkpOPPYv2Y/edit?usp=sharing"",""งบพรบ!AR69"")"),445100)</f>
        <v>445100</v>
      </c>
      <c r="N77" s="77">
        <f ca="1">IFERROR(__xludf.DUMMYFUNCTION("IMPORTRANGE(""https://docs.google.com/spreadsheets/d/1-uDff_7J0KD5mKrp0Vvzr7lt3OU09vwQwhkpOPPYv2Y/edit?usp=sharing"",""งบพรบ!AT69"")"),374232.36)</f>
        <v>374232.36</v>
      </c>
      <c r="O77" s="77">
        <f ca="1">IF(L77&gt;0,N77*100/L77,0)</f>
        <v>84.07826555830151</v>
      </c>
      <c r="P77" s="77">
        <f ca="1">IF(M77&gt;0,N77*100/M77,0)</f>
        <v>84.07826555830151</v>
      </c>
      <c r="Q77" s="77">
        <f ca="1">IFERROR(__xludf.DUMMYFUNCTION("IMPORTRANGE(""https://docs.google.com/spreadsheets/d/1ItG2mGa2ceCfYo0BwxsXqNm01IGEUdYcSSLTEv9YCik/edit?usp=sharing"",""เบิกจ่ายกองทุน!AS69"")"),585080)</f>
        <v>585080</v>
      </c>
      <c r="R77" s="77">
        <f ca="1">IFERROR(__xludf.DUMMYFUNCTION("IMPORTRANGE(""https://docs.google.com/spreadsheets/d/1ItG2mGa2ceCfYo0BwxsXqNm01IGEUdYcSSLTEv9YCik/edit?usp=sharing"",""เบิกจ่ายกองทุน!AT69"")"),585080)</f>
        <v>585080</v>
      </c>
      <c r="S77" s="77">
        <f ca="1">IFERROR(__xludf.DUMMYFUNCTION("IMPORTRANGE(""https://docs.google.com/spreadsheets/d/1ItG2mGa2ceCfYo0BwxsXqNm01IGEUdYcSSLTEv9YCik/edit?usp=sharing"",""เบิกจ่ายกองทุน!AU69"")"),173030)</f>
        <v>173030</v>
      </c>
      <c r="T77" s="77">
        <f ca="1">IF(Q77&gt;0,S77*100/Q77,0)</f>
        <v>29.57373350652902</v>
      </c>
      <c r="U77" s="77">
        <f ca="1">IF(R77&gt;0,S77*100/R77,0)</f>
        <v>29.57373350652902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IFERROR(__xludf.DUMMYFUNCTION("IMPORTRANGE(""https://docs.google.com/spreadsheets/d/1-uDff_7J0KD5mKrp0Vvzr7lt3OU09vwQwhkpOPPYv2Y/edit?usp=sharing"",""งบพรบ!AP69"")"),0)</f>
        <v>0</v>
      </c>
      <c r="M80" s="77">
        <f ca="1">IFERROR(__xludf.DUMMYFUNCTION("IMPORTRANGE(""https://docs.google.com/spreadsheets/d/1-uDff_7J0KD5mKrp0Vvzr7lt3OU09vwQwhkpOPPYv2Y/edit?usp=sharing"",""งบพรบ!AS69"")"),0)</f>
        <v>0</v>
      </c>
      <c r="N80" s="77">
        <f ca="1">IFERROR(__xludf.DUMMYFUNCTION("IMPORTRANGE(""https://docs.google.com/spreadsheets/d/1-uDff_7J0KD5mKrp0Vvzr7lt3OU09vwQwhkpOPPYv2Y/edit?usp=sharing"",""งบพรบ!AU69"")"),0)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1</v>
      </c>
      <c r="J82" s="603">
        <f>J84+J86+J88</f>
        <v>1</v>
      </c>
      <c r="K82" s="1125">
        <f ca="1">IF(I82&gt;0,J82*100/I82,0)</f>
        <v>100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69</v>
      </c>
      <c r="J83" s="603">
        <f>J85+J87+J89</f>
        <v>69</v>
      </c>
      <c r="K83" s="1125">
        <f ca="1">IF(I83&gt;0,J83*100/I83,0)</f>
        <v>100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IFERROR(__xludf.DUMMYFUNCTION("IMPORTRANGE(""https://docs.google.com/spreadsheets/d/1eHaY18a8A9IcSdp1K8H6x8fbOy06t2VsZHhMHf-1x7Y/edit?usp=sharing"",""แผน!H69"")"),0)</f>
        <v>0</v>
      </c>
      <c r="J84" s="296">
        <v>1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IFERROR(__xludf.DUMMYFUNCTION("IMPORTRANGE(""https://docs.google.com/spreadsheets/d/1eHaY18a8A9IcSdp1K8H6x8fbOy06t2VsZHhMHf-1x7Y/edit?usp=sharing"",""แผน!I69"")"),0)</f>
        <v>0</v>
      </c>
      <c r="J85" s="296">
        <v>69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IFERROR(__xludf.DUMMYFUNCTION("IMPORTRANGE(""https://docs.google.com/spreadsheets/d/1eHaY18a8A9IcSdp1K8H6x8fbOy06t2VsZHhMHf-1x7Y/edit?usp=sharing"",""แผน!F69"")"),0)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IFERROR(__xludf.DUMMYFUNCTION("IMPORTRANGE(""https://docs.google.com/spreadsheets/d/1eHaY18a8A9IcSdp1K8H6x8fbOy06t2VsZHhMHf-1x7Y/edit?usp=sharing"",""แผน!G69"")"),0)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IFERROR(__xludf.DUMMYFUNCTION("IMPORTRANGE(""https://docs.google.com/spreadsheets/d/1eHaY18a8A9IcSdp1K8H6x8fbOy06t2VsZHhMHf-1x7Y/edit?usp=sharing"",""แผน!D69"")"),1)</f>
        <v>1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IFERROR(__xludf.DUMMYFUNCTION("IMPORTRANGE(""https://docs.google.com/spreadsheets/d/1eHaY18a8A9IcSdp1K8H6x8fbOy06t2VsZHhMHf-1x7Y/edit?usp=sharing"",""แผน!E69"")"),69)</f>
        <v>69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IFERROR(__xludf.DUMMYFUNCTION("IMPORTRANGE(""https://docs.google.com/spreadsheets/d/1eHaY18a8A9IcSdp1K8H6x8fbOy06t2VsZHhMHf-1x7Y/edit?usp=sharing"",""แผน!J69"")"),1)</f>
        <v>1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IFERROR(__xludf.DUMMYFUNCTION("IMPORTRANGE(""https://docs.google.com/spreadsheets/d/1-uDff_7J0KD5mKrp0Vvzr7lt3OU09vwQwhkpOPPYv2Y/edit?usp=sharing"",""งบพรบ!AW69"")"),0)</f>
        <v>0</v>
      </c>
      <c r="M99" s="77">
        <f ca="1">IFERROR(__xludf.DUMMYFUNCTION("IMPORTRANGE(""https://docs.google.com/spreadsheets/d/1-uDff_7J0KD5mKrp0Vvzr7lt3OU09vwQwhkpOPPYv2Y/edit?usp=sharing"",""งบพรบ!BB69"")"),0)</f>
        <v>0</v>
      </c>
      <c r="N99" s="77">
        <f ca="1">IFERROR(__xludf.DUMMYFUNCTION("IMPORTRANGE(""https://docs.google.com/spreadsheets/d/1-uDff_7J0KD5mKrp0Vvzr7lt3OU09vwQwhkpOPPYv2Y/edit?usp=sharing"",""งบพรบ!BD69"")"),0)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IFERROR(__xludf.DUMMYFUNCTION("IMPORTRANGE(""https://docs.google.com/spreadsheets/d/1ItG2mGa2ceCfYo0BwxsXqNm01IGEUdYcSSLTEv9YCik/edit?usp=sharing"",""เบิกจ่ายกองทุน!AD69"")"),0)</f>
        <v>0</v>
      </c>
      <c r="R99" s="77">
        <f ca="1">IFERROR(__xludf.DUMMYFUNCTION("IMPORTRANGE(""https://docs.google.com/spreadsheets/d/1ItG2mGa2ceCfYo0BwxsXqNm01IGEUdYcSSLTEv9YCik/edit?usp=sharing"",""เบิกจ่ายกองทุน!AE69"")"),0)</f>
        <v>0</v>
      </c>
      <c r="S99" s="77">
        <f ca="1">IFERROR(__xludf.DUMMYFUNCTION("IMPORTRANGE(""https://docs.google.com/spreadsheets/d/1ItG2mGa2ceCfYo0BwxsXqNm01IGEUdYcSSLTEv9YCik/edit?usp=sharing"",""เบิกจ่ายกองทุน!AF69"")"),0)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IFERROR(__xludf.DUMMYFUNCTION("IMPORTRANGE(""https://docs.google.com/spreadsheets/d/1-uDff_7J0KD5mKrp0Vvzr7lt3OU09vwQwhkpOPPYv2Y/edit?usp=sharing"",""งบพรบ!AZ69"")"),0)</f>
        <v>0</v>
      </c>
      <c r="M102" s="77">
        <f ca="1">IFERROR(__xludf.DUMMYFUNCTION("IMPORTRANGE(""https://docs.google.com/spreadsheets/d/1-uDff_7J0KD5mKrp0Vvzr7lt3OU09vwQwhkpOPPYv2Y/edit?usp=sharing"",""งบพรบ!BC69"")"),0)</f>
        <v>0</v>
      </c>
      <c r="N102" s="77">
        <f ca="1">IFERROR(__xludf.DUMMYFUNCTION("IMPORTRANGE(""https://docs.google.com/spreadsheets/d/1-uDff_7J0KD5mKrp0Vvzr7lt3OU09vwQwhkpOPPYv2Y/edit?usp=sharing"",""งบพรบ!BE69"")"),0)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IFERROR(__xludf.DUMMYFUNCTION("IMPORTRANGE(""https://docs.google.com/spreadsheets/d/1eHaY18a8A9IcSdp1K8H6x8fbOy06t2VsZHhMHf-1x7Y/edit?usp=sharing"",""แผน!N69"")"),0)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IFERROR(__xludf.DUMMYFUNCTION("IMPORTRANGE(""https://docs.google.com/spreadsheets/d/1eHaY18a8A9IcSdp1K8H6x8fbOy06t2VsZHhMHf-1x7Y/edit?usp=sharing"",""แผน!O69"")"),0)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IFERROR(__xludf.DUMMYFUNCTION("IMPORTRANGE(""https://docs.google.com/spreadsheets/d/1eHaY18a8A9IcSdp1K8H6x8fbOy06t2VsZHhMHf-1x7Y/edit?usp=sharing"",""แผน!R69"")"),0)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20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112440</v>
      </c>
      <c r="T117" s="266">
        <f ca="1">IF(Q117&gt;0,S117*100/Q117,0)</f>
        <v>53.70653419946504</v>
      </c>
      <c r="U117" s="266">
        <f ca="1">IF(R117&gt;0,S117*100/R117,0)</f>
        <v>53.70653419946504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112440</v>
      </c>
      <c r="T119" s="77">
        <f ca="1">IF(Q119&gt;0,S119*100/Q119,0)</f>
        <v>53.70653419946504</v>
      </c>
      <c r="U119" s="77">
        <f ca="1">IF(R119&gt;0,S119*100/R119,0)</f>
        <v>53.70653419946504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112440</v>
      </c>
      <c r="T120" s="77">
        <f ca="1">IF(Q120&gt;0,S120*100/Q120,0)</f>
        <v>53.70653419946504</v>
      </c>
      <c r="U120" s="77">
        <f ca="1">IF(R120&gt;0,S120*100/R120,0)</f>
        <v>53.70653419946504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IFERROR(__xludf.DUMMYFUNCTION("IMPORTRANGE(""https://docs.google.com/spreadsheets/d/1-uDff_7J0KD5mKrp0Vvzr7lt3OU09vwQwhkpOPPYv2Y/edit?usp=sharing"",""งบพรบ!BG69"")"),0)</f>
        <v>0</v>
      </c>
      <c r="M122" s="77">
        <f ca="1">IFERROR(__xludf.DUMMYFUNCTION("IMPORTRANGE(""https://docs.google.com/spreadsheets/d/1-uDff_7J0KD5mKrp0Vvzr7lt3OU09vwQwhkpOPPYv2Y/edit?usp=sharing"",""งบพรบ!BL69"")"),0)</f>
        <v>0</v>
      </c>
      <c r="N122" s="77">
        <f ca="1">IFERROR(__xludf.DUMMYFUNCTION("IMPORTRANGE(""https://docs.google.com/spreadsheets/d/1-uDff_7J0KD5mKrp0Vvzr7lt3OU09vwQwhkpOPPYv2Y/edit?usp=sharing"",""งบพรบ!BN69"")"),0)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IFERROR(__xludf.DUMMYFUNCTION("IMPORTRANGE(""https://docs.google.com/spreadsheets/d/1ItG2mGa2ceCfYo0BwxsXqNm01IGEUdYcSSLTEv9YCik/edit?usp=sharing"",""เบิกจ่ายกองทุน!R69"")"),209360)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IFERROR(__xludf.DUMMYFUNCTION("IMPORTRANGE(""https://docs.google.com/spreadsheets/d/1ItG2mGa2ceCfYo0BwxsXqNm01IGEUdYcSSLTEv9YCik/edit?usp=sharing"",""เบิกจ่ายกองทุน!S69"")"),209360)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IFERROR(__xludf.DUMMYFUNCTION("IMPORTRANGE(""https://docs.google.com/spreadsheets/d/1ItG2mGa2ceCfYo0BwxsXqNm01IGEUdYcSSLTEv9YCik/edit?usp=sharing"",""เบิกจ่ายกองทุน!T69"")"),112440)</f>
        <v>112440</v>
      </c>
      <c r="T122" s="77">
        <f ca="1">IF(Q122&gt;0,S122*100/Q122,0)</f>
        <v>53.70653419946504</v>
      </c>
      <c r="U122" s="77">
        <f ca="1">IF(R122&gt;0,S122*100/R122,0)</f>
        <v>53.70653419946504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IFERROR(__xludf.DUMMYFUNCTION("IMPORTRANGE(""https://docs.google.com/spreadsheets/d/1-uDff_7J0KD5mKrp0Vvzr7lt3OU09vwQwhkpOPPYv2Y/edit?usp=sharing"",""งบพรบ!BJ69"")"),0)</f>
        <v>0</v>
      </c>
      <c r="M125" s="77">
        <f ca="1">IFERROR(__xludf.DUMMYFUNCTION("IMPORTRANGE(""https://docs.google.com/spreadsheets/d/1-uDff_7J0KD5mKrp0Vvzr7lt3OU09vwQwhkpOPPYv2Y/edit?usp=sharing"",""งบพรบ!BM69"")"),0)</f>
        <v>0</v>
      </c>
      <c r="N125" s="77">
        <f ca="1">IFERROR(__xludf.DUMMYFUNCTION("IMPORTRANGE(""https://docs.google.com/spreadsheets/d/1-uDff_7J0KD5mKrp0Vvzr7lt3OU09vwQwhkpOPPYv2Y/edit?usp=sharing"",""งบพรบ!BO69"")"),0)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IFERROR(__xludf.DUMMYFUNCTION("IMPORTRANGE(""https://docs.google.com/spreadsheets/d/1eHaY18a8A9IcSdp1K8H6x8fbOy06t2VsZHhMHf-1x7Y/edit?usp=sharing"",""แผน!FF69"")"),20)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IFERROR(__xludf.DUMMYFUNCTION("IMPORTRANGE(""https://docs.google.com/spreadsheets/d/1eHaY18a8A9IcSdp1K8H6x8fbOy06t2VsZHhMHf-1x7Y/edit?usp=sharing"",""แผน!FG69"")"),0)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IFERROR(__xludf.DUMMYFUNCTION("IMPORTRANGE(""https://docs.google.com/spreadsheets/d/1eHaY18a8A9IcSdp1K8H6x8fbOy06t2VsZHhMHf-1x7Y/edit?usp=sharing"",""แผน!FH69"")"),20)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IFERROR(__xludf.DUMMYFUNCTION("IMPORTRANGE(""https://docs.google.com/spreadsheets/d/1eHaY18a8A9IcSdp1K8H6x8fbOy06t2VsZHhMHf-1x7Y/edit?usp=sharing"",""แผน!FI69"")"),0)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IFERROR(__xludf.DUMMYFUNCTION("IMPORTRANGE(""https://docs.google.com/spreadsheets/d/1-uDff_7J0KD5mKrp0Vvzr7lt3OU09vwQwhkpOPPYv2Y/edit?usp=sharing"",""งบพรบ!BQ69"")"),0)</f>
        <v>0</v>
      </c>
      <c r="M144" s="77">
        <f ca="1">IFERROR(__xludf.DUMMYFUNCTION("IMPORTRANGE(""https://docs.google.com/spreadsheets/d/1-uDff_7J0KD5mKrp0Vvzr7lt3OU09vwQwhkpOPPYv2Y/edit?usp=sharing"",""งบพรบ!BV69"")"),0)</f>
        <v>0</v>
      </c>
      <c r="N144" s="77">
        <f ca="1">IFERROR(__xludf.DUMMYFUNCTION("IMPORTRANGE(""https://docs.google.com/spreadsheets/d/1-uDff_7J0KD5mKrp0Vvzr7lt3OU09vwQwhkpOPPYv2Y/edit?usp=sharing"",""งบพรบ!BX69"")"),0)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IFERROR(__xludf.DUMMYFUNCTION("IMPORTRANGE(""https://docs.google.com/spreadsheets/d/1ItG2mGa2ceCfYo0BwxsXqNm01IGEUdYcSSLTEv9YCik/edit?usp=sharing"",""เบิกจ่ายกองทุน!BB69"")"),0)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IFERROR(__xludf.DUMMYFUNCTION("IMPORTRANGE(""https://docs.google.com/spreadsheets/d/1ItG2mGa2ceCfYo0BwxsXqNm01IGEUdYcSSLTEv9YCik/edit?usp=sharing"",""เบิกจ่ายกองทุน!BC69"")"),0)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IFERROR(__xludf.DUMMYFUNCTION("IMPORTRANGE(""https://docs.google.com/spreadsheets/d/1ItG2mGa2ceCfYo0BwxsXqNm01IGEUdYcSSLTEv9YCik/edit?usp=sharing"",""เบิกจ่ายกองทุน!BD69"")"),0)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IFERROR(__xludf.DUMMYFUNCTION("IMPORTRANGE(""https://docs.google.com/spreadsheets/d/1-uDff_7J0KD5mKrp0Vvzr7lt3OU09vwQwhkpOPPYv2Y/edit?usp=sharing"",""งบพรบ!BT69"")"),0)</f>
        <v>0</v>
      </c>
      <c r="M147" s="77">
        <f ca="1">IFERROR(__xludf.DUMMYFUNCTION("IMPORTRANGE(""https://docs.google.com/spreadsheets/d/1-uDff_7J0KD5mKrp0Vvzr7lt3OU09vwQwhkpOPPYv2Y/edit?usp=sharing"",""งบพรบ!BW69"")"),0)</f>
        <v>0</v>
      </c>
      <c r="N147" s="77">
        <f ca="1">IFERROR(__xludf.DUMMYFUNCTION("IMPORTRANGE(""https://docs.google.com/spreadsheets/d/1-uDff_7J0KD5mKrp0Vvzr7lt3OU09vwQwhkpOPPYv2Y/edit?usp=sharing"",""งบพรบ!BY69"")"),0)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IFERROR(__xludf.DUMMYFUNCTION("IMPORTRANGE(""https://docs.google.com/spreadsheets/d/1eHaY18a8A9IcSdp1K8H6x8fbOy06t2VsZHhMHf-1x7Y/edit?usp=sharing"",""แผน!U69"")"),0)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IFERROR(__xludf.DUMMYFUNCTION("IMPORTRANGE(""https://docs.google.com/spreadsheets/d/1eHaY18a8A9IcSdp1K8H6x8fbOy06t2VsZHhMHf-1x7Y/edit?usp=sharing"",""แผน!V69"")"),0)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IFERROR(__xludf.DUMMYFUNCTION("IMPORTRANGE(""https://docs.google.com/spreadsheets/d/1eHaY18a8A9IcSdp1K8H6x8fbOy06t2VsZHhMHf-1x7Y/edit?usp=sharing"",""แผน!W69"")"),0)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IFERROR(__xludf.DUMMYFUNCTION("IMPORTRANGE(""https://docs.google.com/spreadsheets/d/1eHaY18a8A9IcSdp1K8H6x8fbOy06t2VsZHhMHf-1x7Y/edit?usp=sharing"",""แผน!X69"")"),0)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IFERROR(__xludf.DUMMYFUNCTION("IMPORTRANGE(""https://docs.google.com/spreadsheets/d/1eHaY18a8A9IcSdp1K8H6x8fbOy06t2VsZHhMHf-1x7Y/edit?usp=sharing"",""แผน!Y69"")"),0)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IFERROR(__xludf.DUMMYFUNCTION("IMPORTRANGE(""https://docs.google.com/spreadsheets/d/1-uDff_7J0KD5mKrp0Vvzr7lt3OU09vwQwhkpOPPYv2Y/edit?usp=sharing"",""งบพรบ!CA69"")"),0)</f>
        <v>0</v>
      </c>
      <c r="M162" s="77">
        <f ca="1">IFERROR(__xludf.DUMMYFUNCTION("IMPORTRANGE(""https://docs.google.com/spreadsheets/d/1-uDff_7J0KD5mKrp0Vvzr7lt3OU09vwQwhkpOPPYv2Y/edit?usp=sharing"",""งบพรบ!CF69"")"),0)</f>
        <v>0</v>
      </c>
      <c r="N162" s="77">
        <f ca="1">IFERROR(__xludf.DUMMYFUNCTION("IMPORTRANGE(""https://docs.google.com/spreadsheets/d/1-uDff_7J0KD5mKrp0Vvzr7lt3OU09vwQwhkpOPPYv2Y/edit?usp=sharing"",""งบพรบ!CH69"")"),0)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IFERROR(__xludf.DUMMYFUNCTION("IMPORTRANGE(""https://docs.google.com/spreadsheets/d/1ItG2mGa2ceCfYo0BwxsXqNm01IGEUdYcSSLTEv9YCik/edit?usp=sharing"",""เบิกจ่ายกองทุน!AG69"")"),0)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IFERROR(__xludf.DUMMYFUNCTION("IMPORTRANGE(""https://docs.google.com/spreadsheets/d/1ItG2mGa2ceCfYo0BwxsXqNm01IGEUdYcSSLTEv9YCik/edit?usp=sharing"",""เบิกจ่ายกองทุน!AH69"")"),0)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IFERROR(__xludf.DUMMYFUNCTION("IMPORTRANGE(""https://docs.google.com/spreadsheets/d/1ItG2mGa2ceCfYo0BwxsXqNm01IGEUdYcSSLTEv9YCik/edit?usp=sharing"",""เบิกจ่ายกองทุน!AI69"")"),0)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IFERROR(__xludf.DUMMYFUNCTION("IMPORTRANGE(""https://docs.google.com/spreadsheets/d/1-uDff_7J0KD5mKrp0Vvzr7lt3OU09vwQwhkpOPPYv2Y/edit?usp=sharing"",""งบพรบ!CD69"")"),0)</f>
        <v>0</v>
      </c>
      <c r="M165" s="77">
        <f ca="1">IFERROR(__xludf.DUMMYFUNCTION("IMPORTRANGE(""https://docs.google.com/spreadsheets/d/1-uDff_7J0KD5mKrp0Vvzr7lt3OU09vwQwhkpOPPYv2Y/edit?usp=sharing"",""งบพรบ!CG69"")"),0)</f>
        <v>0</v>
      </c>
      <c r="N165" s="77">
        <f ca="1">IFERROR(__xludf.DUMMYFUNCTION("IMPORTRANGE(""https://docs.google.com/spreadsheets/d/1-uDff_7J0KD5mKrp0Vvzr7lt3OU09vwQwhkpOPPYv2Y/edit?usp=sharing"",""งบพรบ!CI69"")"),0)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IFERROR(__xludf.DUMMYFUNCTION("IMPORTRANGE(""https://docs.google.com/spreadsheets/d/1eHaY18a8A9IcSdp1K8H6x8fbOy06t2VsZHhMHf-1x7Y/edit?usp=sharing"",""แผน!Z69"")"),0)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IFERROR(__xludf.DUMMYFUNCTION("IMPORTRANGE(""https://docs.google.com/spreadsheets/d/1eHaY18a8A9IcSdp1K8H6x8fbOy06t2VsZHhMHf-1x7Y/edit?usp=sharing"",""แผน!Z69"")"),0)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IFERROR(__xludf.DUMMYFUNCTION("IMPORTRANGE(""https://docs.google.com/spreadsheets/d/1eHaY18a8A9IcSdp1K8H6x8fbOy06t2VsZHhMHf-1x7Y/edit?usp=sharing"",""แผน!Z69"")"),0)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30480</v>
      </c>
      <c r="N173" s="266">
        <f ca="1">N174+N175</f>
        <v>27910</v>
      </c>
      <c r="O173" s="266">
        <f ca="1">IF(L173&gt;0,N173*100/L173,0)</f>
        <v>142.47064828994385</v>
      </c>
      <c r="P173" s="266">
        <f ca="1">IF(M173&gt;0,N173*100/M173,0)</f>
        <v>91.568241469816272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30480</v>
      </c>
      <c r="N175" s="77">
        <f ca="1">N178+N181</f>
        <v>27910</v>
      </c>
      <c r="O175" s="77">
        <f ca="1">IF(L175&gt;0,N175*100/L175,0)</f>
        <v>142.47064828994385</v>
      </c>
      <c r="P175" s="77">
        <f ca="1">IF(M175&gt;0,N175*100/M175,0)</f>
        <v>91.568241469816272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30480</v>
      </c>
      <c r="N176" s="77">
        <f ca="1">N177+N178</f>
        <v>27910</v>
      </c>
      <c r="O176" s="77">
        <f ca="1">IF(L176&gt;0,N176*100/L176,0)</f>
        <v>142.47064828994385</v>
      </c>
      <c r="P176" s="77">
        <f ca="1">IF(M176&gt;0,N176*100/M176,0)</f>
        <v>91.568241469816272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IFERROR(__xludf.DUMMYFUNCTION("IMPORTRANGE(""https://docs.google.com/spreadsheets/d/1-uDff_7J0KD5mKrp0Vvzr7lt3OU09vwQwhkpOPPYv2Y/edit?usp=sharing"",""งบพรบ!CK69"")"),19590)</f>
        <v>19590</v>
      </c>
      <c r="M178" s="77">
        <f ca="1">IFERROR(__xludf.DUMMYFUNCTION("IMPORTRANGE(""https://docs.google.com/spreadsheets/d/1-uDff_7J0KD5mKrp0Vvzr7lt3OU09vwQwhkpOPPYv2Y/edit?usp=sharing"",""งบพรบ!CP69"")"),30480)</f>
        <v>30480</v>
      </c>
      <c r="N178" s="77">
        <f ca="1">IFERROR(__xludf.DUMMYFUNCTION("IMPORTRANGE(""https://docs.google.com/spreadsheets/d/1-uDff_7J0KD5mKrp0Vvzr7lt3OU09vwQwhkpOPPYv2Y/edit?usp=sharing"",""งบพรบ!CR69"")"),27910)</f>
        <v>27910</v>
      </c>
      <c r="O178" s="77">
        <f ca="1">IF(L178&gt;0,N178*100/L178,0)</f>
        <v>142.47064828994385</v>
      </c>
      <c r="P178" s="77">
        <f ca="1">IF(M178&gt;0,N178*100/M178,0)</f>
        <v>91.568241469816272</v>
      </c>
      <c r="Q178" s="77">
        <f ca="1">IFERROR(__xludf.DUMMYFUNCTION("IMPORTRANGE(""https://docs.google.com/spreadsheets/d/1ItG2mGa2ceCfYo0BwxsXqNm01IGEUdYcSSLTEv9YCik/edit?usp=sharing"",""เบิกจ่ายกองทุน!BE69"")"),0)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IFERROR(__xludf.DUMMYFUNCTION("IMPORTRANGE(""https://docs.google.com/spreadsheets/d/1ItG2mGa2ceCfYo0BwxsXqNm01IGEUdYcSSLTEv9YCik/edit?usp=sharing"",""เบิกจ่ายกองทุน!BF69"")"),0)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IFERROR(__xludf.DUMMYFUNCTION("IMPORTRANGE(""https://docs.google.com/spreadsheets/d/1ItG2mGa2ceCfYo0BwxsXqNm01IGEUdYcSSLTEv9YCik/edit?usp=sharing"",""เบิกจ่ายกองทุน!BG69"")"),0)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IFERROR(__xludf.DUMMYFUNCTION("IMPORTRANGE(""https://docs.google.com/spreadsheets/d/1-uDff_7J0KD5mKrp0Vvzr7lt3OU09vwQwhkpOPPYv2Y/edit?usp=sharing"",""งบพรบ!CN69"")"),0)</f>
        <v>0</v>
      </c>
      <c r="M181" s="77">
        <f ca="1">IFERROR(__xludf.DUMMYFUNCTION("IMPORTRANGE(""https://docs.google.com/spreadsheets/d/1-uDff_7J0KD5mKrp0Vvzr7lt3OU09vwQwhkpOPPYv2Y/edit?usp=sharing"",""งบพรบ!CQ69"")"),0)</f>
        <v>0</v>
      </c>
      <c r="N181" s="77">
        <f ca="1">IFERROR(__xludf.DUMMYFUNCTION("IMPORTRANGE(""https://docs.google.com/spreadsheets/d/1-uDff_7J0KD5mKrp0Vvzr7lt3OU09vwQwhkpOPPYv2Y/edit?usp=sharing"",""งบพรบ!CS69"")"),0)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IFERROR(__xludf.DUMMYFUNCTION("IMPORTRANGE(""https://docs.google.com/spreadsheets/d/1eHaY18a8A9IcSdp1K8H6x8fbOy06t2VsZHhMHf-1x7Y/edit?usp=sharing"",""แผน!AA69"")"),7)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60</v>
      </c>
      <c r="J185" s="1165">
        <f>J230+J231</f>
        <v>60</v>
      </c>
      <c r="K185" s="11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269300</v>
      </c>
      <c r="M186" s="266">
        <f ca="1">M187+M188</f>
        <v>205500</v>
      </c>
      <c r="N186" s="266">
        <f ca="1">N187+N188</f>
        <v>99050</v>
      </c>
      <c r="O186" s="266">
        <f ca="1">IF(L186&gt;0,N186*100/L186,0)</f>
        <v>36.780542146305237</v>
      </c>
      <c r="P186" s="266">
        <f ca="1">IF(M186&gt;0,N186*100/M186,0)</f>
        <v>48.199513381995132</v>
      </c>
      <c r="Q186" s="266">
        <f ca="1">Q187+Q188</f>
        <v>340200</v>
      </c>
      <c r="R186" s="266">
        <f ca="1">R187+R188</f>
        <v>340200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269300</v>
      </c>
      <c r="M188" s="77">
        <f ca="1">M191+M194</f>
        <v>205500</v>
      </c>
      <c r="N188" s="77">
        <f ca="1">N191+N194</f>
        <v>99050</v>
      </c>
      <c r="O188" s="77">
        <f ca="1">IF(L188&gt;0,N188*100/L188,0)</f>
        <v>36.780542146305237</v>
      </c>
      <c r="P188" s="77">
        <f ca="1">IF(M188&gt;0,N188*100/M188,0)</f>
        <v>48.199513381995132</v>
      </c>
      <c r="Q188" s="77">
        <f ca="1">Q191+Q194</f>
        <v>340200</v>
      </c>
      <c r="R188" s="77">
        <f ca="1">R191+R194</f>
        <v>340200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269300</v>
      </c>
      <c r="M189" s="77">
        <f ca="1">M190+M191</f>
        <v>205500</v>
      </c>
      <c r="N189" s="77">
        <f ca="1">N190+N191</f>
        <v>99050</v>
      </c>
      <c r="O189" s="77">
        <f ca="1">IF(L189&gt;0,N189*100/L189,0)</f>
        <v>36.780542146305237</v>
      </c>
      <c r="P189" s="77">
        <f ca="1">IF(M189&gt;0,N189*100/M189,0)</f>
        <v>48.199513381995132</v>
      </c>
      <c r="Q189" s="77">
        <f ca="1">Q190+Q191</f>
        <v>340200</v>
      </c>
      <c r="R189" s="77">
        <f ca="1">R190+R191</f>
        <v>340200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IFERROR(__xludf.DUMMYFUNCTION("IMPORTRANGE(""https://docs.google.com/spreadsheets/d/1-uDff_7J0KD5mKrp0Vvzr7lt3OU09vwQwhkpOPPYv2Y/edit?usp=sharing"",""งบพรบ!CU69"")"),269300)</f>
        <v>269300</v>
      </c>
      <c r="M191" s="77">
        <f ca="1">IFERROR(__xludf.DUMMYFUNCTION("IMPORTRANGE(""https://docs.google.com/spreadsheets/d/1-uDff_7J0KD5mKrp0Vvzr7lt3OU09vwQwhkpOPPYv2Y/edit?usp=sharing"",""งบพรบ!CZ69"")"),205500)</f>
        <v>205500</v>
      </c>
      <c r="N191" s="77">
        <f ca="1">IFERROR(__xludf.DUMMYFUNCTION("IMPORTRANGE(""https://docs.google.com/spreadsheets/d/1-uDff_7J0KD5mKrp0Vvzr7lt3OU09vwQwhkpOPPYv2Y/edit?usp=sharing"",""งบพรบ!DB69"")"),99050)</f>
        <v>99050</v>
      </c>
      <c r="O191" s="77">
        <f ca="1">IF(L191&gt;0,N191*100/L191,0)</f>
        <v>36.780542146305237</v>
      </c>
      <c r="P191" s="77">
        <f ca="1">IF(M191&gt;0,N191*100/M191,0)</f>
        <v>48.199513381995132</v>
      </c>
      <c r="Q191" s="77">
        <f ca="1">IFERROR(__xludf.DUMMYFUNCTION("IMPORTRANGE(""https://docs.google.com/spreadsheets/d/1ItG2mGa2ceCfYo0BwxsXqNm01IGEUdYcSSLTEv9YCik/edit?usp=sharing"",""เบิกจ่ายกองทุน!AV69"")"),340200)</f>
        <v>340200</v>
      </c>
      <c r="R191" s="77">
        <f ca="1">IFERROR(__xludf.DUMMYFUNCTION("IMPORTRANGE(""https://docs.google.com/spreadsheets/d/1ItG2mGa2ceCfYo0BwxsXqNm01IGEUdYcSSLTEv9YCik/edit?usp=sharing"",""เบิกจ่ายกองทุน!AW69"")"),340200)</f>
        <v>340200</v>
      </c>
      <c r="S191" s="77">
        <f ca="1">IFERROR(__xludf.DUMMYFUNCTION("IMPORTRANGE(""https://docs.google.com/spreadsheets/d/1ItG2mGa2ceCfYo0BwxsXqNm01IGEUdYcSSLTEv9YCik/edit?usp=sharing"",""เบิกจ่ายกองทุน!AX69"")"),0)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IFERROR(__xludf.DUMMYFUNCTION("IMPORTRANGE(""https://docs.google.com/spreadsheets/d/1-uDff_7J0KD5mKrp0Vvzr7lt3OU09vwQwhkpOPPYv2Y/edit?usp=sharing"",""งบพรบ!CX69"")"),0)</f>
        <v>0</v>
      </c>
      <c r="M194" s="77">
        <f ca="1">IFERROR(__xludf.DUMMYFUNCTION("IMPORTRANGE(""https://docs.google.com/spreadsheets/d/1-uDff_7J0KD5mKrp0Vvzr7lt3OU09vwQwhkpOPPYv2Y/edit?usp=sharing"",""งบพรบ!DA69"")"),0)</f>
        <v>0</v>
      </c>
      <c r="N194" s="77">
        <f ca="1">IFERROR(__xludf.DUMMYFUNCTION("IMPORTRANGE(""https://docs.google.com/spreadsheets/d/1-uDff_7J0KD5mKrp0Vvzr7lt3OU09vwQwhkpOPPYv2Y/edit?usp=sharing"",""งบพรบ!DC69"")"),0)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IFERROR(__xludf.DUMMYFUNCTION("IMPORTRANGE(""https://docs.google.com/spreadsheets/d/1eHaY18a8A9IcSdp1K8H6x8fbOy06t2VsZHhMHf-1x7Y/edit?usp=sharing"",""แผน!AB69"")"),6000)</f>
        <v>6000</v>
      </c>
      <c r="M196" s="90"/>
      <c r="N196" s="959">
        <v>1500</v>
      </c>
      <c r="O196" s="266">
        <f ca="1">IF(L196&gt;0,N196*100/L196,0)</f>
        <v>25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IFERROR(__xludf.DUMMYFUNCTION("IMPORTRANGE(""https://docs.google.com/spreadsheets/d/1eHaY18a8A9IcSdp1K8H6x8fbOy06t2VsZHhMHf-1x7Y/edit?usp=sharing"",""แผน!AE69"")"),4)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IFERROR(__xludf.DUMMYFUNCTION("IMPORTRANGE(""https://docs.google.com/spreadsheets/d/1eHaY18a8A9IcSdp1K8H6x8fbOy06t2VsZHhMHf-1x7Y/edit?usp=sharing"",""แผน!AG69"")"),3000)</f>
        <v>3000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IFERROR(__xludf.DUMMYFUNCTION("IMPORTRANGE(""https://docs.google.com/spreadsheets/d/1eHaY18a8A9IcSdp1K8H6x8fbOy06t2VsZHhMHf-1x7Y/edit?usp=sharing"",""แผน!AH69"")"),0)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IFERROR(__xludf.DUMMYFUNCTION("IMPORTRANGE(""https://docs.google.com/spreadsheets/d/1eHaY18a8A9IcSdp1K8H6x8fbOy06t2VsZHhMHf-1x7Y/edit?usp=sharing"",""แผน!AI69"")"),0)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IFERROR(__xludf.DUMMYFUNCTION("IMPORTRANGE(""https://docs.google.com/spreadsheets/d/1eHaY18a8A9IcSdp1K8H6x8fbOy06t2VsZHhMHf-1x7Y/edit?usp=sharing"",""แผน!LV69"")"),42000)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972"/>
      <c r="B207" s="429"/>
      <c r="C207" s="431"/>
      <c r="D207" s="269" t="s">
        <v>89</v>
      </c>
      <c r="E207" s="431"/>
      <c r="F207" s="431"/>
      <c r="G207" s="432"/>
      <c r="H207" s="1002" t="s">
        <v>14</v>
      </c>
      <c r="I207" s="545"/>
      <c r="J207" s="545"/>
      <c r="K207" s="388"/>
      <c r="L207" s="76">
        <f ca="1">IFERROR(__xludf.DUMMYFUNCTION("IMPORTRANGE(""https://docs.google.com/spreadsheets/d/1eHaY18a8A9IcSdp1K8H6x8fbOy06t2VsZHhMHf-1x7Y/edit?usp=sharing"",""แผน!AJ69"")"),12000)</f>
        <v>12000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IFERROR(__xludf.DUMMYFUNCTION("IMPORTRANGE(""https://docs.google.com/spreadsheets/d/1eHaY18a8A9IcSdp1K8H6x8fbOy06t2VsZHhMHf-1x7Y/edit?usp=sharing"",""แผน!AK69"")"),3)</f>
        <v>3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IFERROR(__xludf.DUMMYFUNCTION("IMPORTRANGE(""https://docs.google.com/spreadsheets/d/1eHaY18a8A9IcSdp1K8H6x8fbOy06t2VsZHhMHf-1x7Y/edit?usp=sharing"",""แผน!JX69"")"),3)</f>
        <v>3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IFERROR(__xludf.DUMMYFUNCTION("IMPORTRANGE(""https://docs.google.com/spreadsheets/d/1eHaY18a8A9IcSdp1K8H6x8fbOy06t2VsZHhMHf-1x7Y/edit?usp=sharing"",""แผน!JY69"")"),0)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6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36000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298200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IFERROR(__xludf.DUMMYFUNCTION("IMPORTRANGE(""https://docs.google.com/spreadsheets/d/1eHaY18a8A9IcSdp1K8H6x8fbOy06t2VsZHhMHf-1x7Y/edit?usp=sharing"",""แผน!AM69"")"),6000)</f>
        <v>6000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IFERROR(__xludf.DUMMYFUNCTION("IMPORTRANGE(""https://docs.google.com/spreadsheets/d/1eHaY18a8A9IcSdp1K8H6x8fbOy06t2VsZHhMHf-1x7Y/edit?usp=sharing"",""แผน!AN69"")"),30000)</f>
        <v>30000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IFERROR(__xludf.DUMMYFUNCTION("IMPORTRANGE(""https://docs.google.com/spreadsheets/d/1eHaY18a8A9IcSdp1K8H6x8fbOy06t2VsZHhMHf-1x7Y/edit?usp=sharing"",""แผน!AO69"")"),0)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IFERROR(__xludf.DUMMYFUNCTION("IMPORTRANGE(""https://docs.google.com/spreadsheets/d/1eHaY18a8A9IcSdp1K8H6x8fbOy06t2VsZHhMHf-1x7Y/edit?usp=sharing"",""แผน!LY69"")"),298200)</f>
        <v>298200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IFERROR(__xludf.DUMMYFUNCTION("IMPORTRANGE(""https://docs.google.com/spreadsheets/d/1eHaY18a8A9IcSdp1K8H6x8fbOy06t2VsZHhMHf-1x7Y/edit?usp=sharing"",""แผน!AP69"")"),6)</f>
        <v>6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IFERROR(__xludf.DUMMYFUNCTION("IMPORTRANGE(""https://docs.google.com/spreadsheets/d/1eHaY18a8A9IcSdp1K8H6x8fbOy06t2VsZHhMHf-1x7Y/edit?usp=sharing"",""แผน!AP69"")"),6)</f>
        <v>6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40000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IFERROR(__xludf.DUMMYFUNCTION("IMPORTRANGE(""https://docs.google.com/spreadsheets/d/1eHaY18a8A9IcSdp1K8H6x8fbOy06t2VsZHhMHf-1x7Y/edit?usp=sharing"",""แผน!AR69"")"),2500)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IFERROR(__xludf.DUMMYFUNCTION("IMPORTRANGE(""https://docs.google.com/spreadsheets/d/1eHaY18a8A9IcSdp1K8H6x8fbOy06t2VsZHhMHf-1x7Y/edit?usp=sharing"",""แผน!AS69"")"),4000)</f>
        <v>4000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IFERROR(__xludf.DUMMYFUNCTION("IMPORTRANGE(""https://docs.google.com/spreadsheets/d/1eHaY18a8A9IcSdp1K8H6x8fbOy06t2VsZHhMHf-1x7Y/edit?usp=sharing"",""แผน!AT69"")"),0)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IFERROR(__xludf.DUMMYFUNCTION("IMPORTRANGE(""https://docs.google.com/spreadsheets/d/1eHaY18a8A9IcSdp1K8H6x8fbOy06t2VsZHhMHf-1x7Y/edit?usp=sharing"",""แผน!AV69"")"),40000)</f>
        <v>40000</v>
      </c>
      <c r="J228" s="296">
        <v>40000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IFERROR(__xludf.DUMMYFUNCTION("IMPORTRANGE(""https://docs.google.com/spreadsheets/d/1eHaY18a8A9IcSdp1K8H6x8fbOy06t2VsZHhMHf-1x7Y/edit?usp=sharing"",""แผน!AV69"")"),40000)</f>
        <v>40000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IFERROR(__xludf.DUMMYFUNCTION("IMPORTRANGE(""https://docs.google.com/spreadsheets/d/1eHaY18a8A9IcSdp1K8H6x8fbOy06t2VsZHhMHf-1x7Y/edit?usp=sharing"",""แผน!AU69"")"),0)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49"/>
      <c r="B231" s="948"/>
      <c r="C231" s="947" t="s">
        <v>105</v>
      </c>
      <c r="D231" s="946"/>
      <c r="E231" s="946"/>
      <c r="F231" s="946"/>
      <c r="G231" s="945"/>
      <c r="H231" s="944" t="s">
        <v>35</v>
      </c>
      <c r="I231" s="943">
        <f ca="1">I242+I253</f>
        <v>60</v>
      </c>
      <c r="J231" s="943">
        <f>J242+J253</f>
        <v>60</v>
      </c>
      <c r="K231" s="942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70"/>
      <c r="C232" s="853" t="s">
        <v>18</v>
      </c>
      <c r="D232" s="822" t="s">
        <v>19</v>
      </c>
      <c r="E232" s="870"/>
      <c r="F232" s="870"/>
      <c r="G232" s="869"/>
      <c r="H232" s="684" t="s">
        <v>14</v>
      </c>
      <c r="I232" s="876"/>
      <c r="J232" s="876"/>
      <c r="K232" s="881"/>
      <c r="L232" s="1310">
        <f ca="1">L243+L254</f>
        <v>133800</v>
      </c>
      <c r="M232" s="90"/>
      <c r="N232" s="1287">
        <f>N243+N254</f>
        <v>33210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882"/>
      <c r="B233" s="872"/>
      <c r="C233" s="870"/>
      <c r="D233" s="1154" t="s">
        <v>316</v>
      </c>
      <c r="E233" s="870"/>
      <c r="F233" s="870"/>
      <c r="G233" s="869"/>
      <c r="H233" s="275" t="s">
        <v>14</v>
      </c>
      <c r="I233" s="876"/>
      <c r="J233" s="876"/>
      <c r="K233" s="881"/>
      <c r="L233" s="79">
        <f ca="1">L244+L255</f>
        <v>18000</v>
      </c>
      <c r="M233" s="90"/>
      <c r="N233" s="80">
        <f>N244+N255</f>
        <v>7310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873"/>
      <c r="B234" s="872"/>
      <c r="C234" s="872"/>
      <c r="D234" s="571" t="s">
        <v>87</v>
      </c>
      <c r="E234" s="870"/>
      <c r="F234" s="870"/>
      <c r="G234" s="869"/>
      <c r="H234" s="275" t="s">
        <v>14</v>
      </c>
      <c r="I234" s="875"/>
      <c r="J234" s="875"/>
      <c r="K234" s="87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873"/>
      <c r="B235" s="872"/>
      <c r="C235" s="872"/>
      <c r="D235" s="571" t="s">
        <v>88</v>
      </c>
      <c r="E235" s="870"/>
      <c r="F235" s="870"/>
      <c r="G235" s="869"/>
      <c r="H235" s="275" t="s">
        <v>14</v>
      </c>
      <c r="I235" s="875"/>
      <c r="J235" s="875"/>
      <c r="K235" s="874"/>
      <c r="L235" s="79">
        <f ca="1">L246+L257</f>
        <v>47800</v>
      </c>
      <c r="M235" s="90"/>
      <c r="N235" s="80">
        <f>N246+N257</f>
        <v>25900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873"/>
      <c r="B236" s="872"/>
      <c r="C236" s="872"/>
      <c r="D236" s="269" t="s">
        <v>89</v>
      </c>
      <c r="E236" s="870"/>
      <c r="F236" s="870"/>
      <c r="G236" s="869"/>
      <c r="H236" s="275" t="s">
        <v>14</v>
      </c>
      <c r="I236" s="875"/>
      <c r="J236" s="875"/>
      <c r="K236" s="874"/>
      <c r="L236" s="79">
        <f ca="1">L247+L258</f>
        <v>68000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880"/>
      <c r="B237" s="871"/>
      <c r="C237" s="940" t="s">
        <v>18</v>
      </c>
      <c r="D237" s="846" t="s">
        <v>38</v>
      </c>
      <c r="E237" s="879"/>
      <c r="F237" s="879"/>
      <c r="G237" s="878"/>
      <c r="H237" s="877"/>
      <c r="I237" s="876"/>
      <c r="J237" s="875"/>
      <c r="K237" s="87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880"/>
      <c r="B238" s="871"/>
      <c r="C238" s="871"/>
      <c r="D238" s="310" t="s">
        <v>108</v>
      </c>
      <c r="E238" s="937"/>
      <c r="F238" s="937"/>
      <c r="G238" s="877"/>
      <c r="H238" s="936" t="s">
        <v>35</v>
      </c>
      <c r="I238" s="574">
        <f ca="1">I249+I260</f>
        <v>60</v>
      </c>
      <c r="J238" s="574">
        <f>J249+J260</f>
        <v>60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880"/>
      <c r="B239" s="871"/>
      <c r="C239" s="871"/>
      <c r="D239" s="939" t="s">
        <v>43</v>
      </c>
      <c r="E239" s="937"/>
      <c r="F239" s="937"/>
      <c r="G239" s="877"/>
      <c r="H239" s="877"/>
      <c r="I239" s="875"/>
      <c r="J239" s="875"/>
      <c r="K239" s="87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880"/>
      <c r="B240" s="871"/>
      <c r="C240" s="871"/>
      <c r="D240" s="871"/>
      <c r="E240" s="938" t="s">
        <v>109</v>
      </c>
      <c r="F240" s="937"/>
      <c r="G240" s="877"/>
      <c r="H240" s="936" t="s">
        <v>35</v>
      </c>
      <c r="I240" s="574">
        <f ca="1">I251+I262</f>
        <v>60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880"/>
      <c r="B241" s="871"/>
      <c r="C241" s="871"/>
      <c r="D241" s="871"/>
      <c r="E241" s="938" t="s">
        <v>110</v>
      </c>
      <c r="F241" s="937"/>
      <c r="G241" s="877"/>
      <c r="H241" s="936" t="s">
        <v>61</v>
      </c>
      <c r="I241" s="574">
        <f ca="1">I252+I263</f>
        <v>2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328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20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912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61600</v>
      </c>
      <c r="M243" s="90"/>
      <c r="N243" s="266">
        <f>N244+N245+N246+N247</f>
        <v>14230</v>
      </c>
      <c r="O243" s="266">
        <f ca="1">IF(L243&gt;0,N243*100/L243,0)</f>
        <v>23.100649350649352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154" t="s">
        <v>316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IFERROR(__xludf.DUMMYFUNCTION("IMPORTRANGE(""https://docs.google.com/spreadsheets/d/1eHaY18a8A9IcSdp1K8H6x8fbOy06t2VsZHhMHf-1x7Y/edit?usp=sharing"",""แผน!AX69"")"),10000)</f>
        <v>10000</v>
      </c>
      <c r="M244" s="90"/>
      <c r="N244" s="391">
        <v>4830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317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IFERROR(__xludf.DUMMYFUNCTION("IMPORTRANGE(""https://docs.google.com/spreadsheets/d/1eHaY18a8A9IcSdp1K8H6x8fbOy06t2VsZHhMHf-1x7Y/edit?usp=sharing"",""แผน!AY69"")"),0)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IFERROR(__xludf.DUMMYFUNCTION("IMPORTRANGE(""https://docs.google.com/spreadsheets/d/1eHaY18a8A9IcSdp1K8H6x8fbOy06t2VsZHhMHf-1x7Y/edit?usp=sharing"",""แผน!AZ69"")"),16600)</f>
        <v>16600</v>
      </c>
      <c r="M246" s="90"/>
      <c r="N246" s="391">
        <v>9400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IFERROR(__xludf.DUMMYFUNCTION("IMPORTRANGE(""https://docs.google.com/spreadsheets/d/1eHaY18a8A9IcSdp1K8H6x8fbOy06t2VsZHhMHf-1x7Y/edit?usp=sharing"",""แผน!BA69"")"),35000)</f>
        <v>35000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90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IFERROR(__xludf.DUMMYFUNCTION("IMPORTRANGE(""https://docs.google.com/spreadsheets/d/1eHaY18a8A9IcSdp1K8H6x8fbOy06t2VsZHhMHf-1x7Y/edit?usp=sharing"",""แผน!BG69"")"),20)</f>
        <v>20</v>
      </c>
      <c r="J249" s="816">
        <v>20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IFERROR(__xludf.DUMMYFUNCTION("IMPORTRANGE(""https://docs.google.com/spreadsheets/d/1eHaY18a8A9IcSdp1K8H6x8fbOy06t2VsZHhMHf-1x7Y/edit?usp=sharing"",""แผน!KD69"")"),20)</f>
        <v>20</v>
      </c>
      <c r="J251" s="816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IFERROR(__xludf.DUMMYFUNCTION("IMPORTRANGE(""https://docs.google.com/spreadsheets/d/1eHaY18a8A9IcSdp1K8H6x8fbOy06t2VsZHhMHf-1x7Y/edit?usp=sharing"",""แผน!KE69"")"),1)</f>
        <v>1</v>
      </c>
      <c r="J252" s="816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x14ac:dyDescent="0.3">
      <c r="A253" s="372"/>
      <c r="B253" s="373"/>
      <c r="C253" s="374" t="s">
        <v>355</v>
      </c>
      <c r="D253" s="375"/>
      <c r="E253" s="375"/>
      <c r="F253" s="375"/>
      <c r="G253" s="376"/>
      <c r="H253" s="377" t="s">
        <v>35</v>
      </c>
      <c r="I253" s="378">
        <f ca="1">I260</f>
        <v>40</v>
      </c>
      <c r="J253" s="378">
        <f>J260</f>
        <v>40</v>
      </c>
      <c r="K253" s="379">
        <f ca="1">IF(I253&gt;0,J253*100/I253,0)</f>
        <v>100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x14ac:dyDescent="0.3">
      <c r="A254" s="211"/>
      <c r="B254" s="70"/>
      <c r="C254" s="212" t="s">
        <v>18</v>
      </c>
      <c r="D254" s="958" t="s">
        <v>19</v>
      </c>
      <c r="E254" s="70"/>
      <c r="F254" s="70"/>
      <c r="G254" s="72"/>
      <c r="H254" s="384" t="s">
        <v>14</v>
      </c>
      <c r="I254" s="221"/>
      <c r="J254" s="221"/>
      <c r="K254" s="222"/>
      <c r="L254" s="393">
        <f ca="1">L255+L256+L257+L258</f>
        <v>72200</v>
      </c>
      <c r="M254" s="90"/>
      <c r="N254" s="266">
        <f>N255+N256+N257+N258</f>
        <v>18980</v>
      </c>
      <c r="O254" s="266">
        <f ca="1">IF(L254&gt;0,N254*100/L254,0)</f>
        <v>26.288088642659279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x14ac:dyDescent="0.25">
      <c r="A255" s="211"/>
      <c r="B255" s="371"/>
      <c r="C255" s="70"/>
      <c r="D255" s="1154" t="s">
        <v>316</v>
      </c>
      <c r="E255" s="70"/>
      <c r="F255" s="70"/>
      <c r="G255" s="72"/>
      <c r="H255" s="220" t="s">
        <v>14</v>
      </c>
      <c r="I255" s="221"/>
      <c r="J255" s="221"/>
      <c r="K255" s="222"/>
      <c r="L255" s="76">
        <f ca="1">IFERROR(__xludf.DUMMYFUNCTION("IMPORTRANGE(""https://docs.google.com/spreadsheets/d/1eHaY18a8A9IcSdp1K8H6x8fbOy06t2VsZHhMHf-1x7Y/edit?usp=sharing"",""แผน!BB69"")"),8000)</f>
        <v>8000</v>
      </c>
      <c r="M255" s="90"/>
      <c r="N255" s="391">
        <f>1000+1480</f>
        <v>2480</v>
      </c>
      <c r="O255" s="90"/>
      <c r="P255" s="90"/>
      <c r="Q255" s="90"/>
      <c r="R255" s="90"/>
      <c r="S255" s="90"/>
      <c r="T255" s="90"/>
      <c r="U255" s="90"/>
    </row>
    <row r="256" spans="1:21" ht="18.75" x14ac:dyDescent="0.25">
      <c r="A256" s="368"/>
      <c r="B256" s="371"/>
      <c r="C256" s="371"/>
      <c r="D256" s="571" t="s">
        <v>317</v>
      </c>
      <c r="E256" s="70"/>
      <c r="F256" s="70"/>
      <c r="G256" s="72"/>
      <c r="H256" s="220" t="s">
        <v>14</v>
      </c>
      <c r="I256" s="74"/>
      <c r="J256" s="74"/>
      <c r="K256" s="75"/>
      <c r="L256" s="76">
        <f ca="1">IFERROR(__xludf.DUMMYFUNCTION("IMPORTRANGE(""https://docs.google.com/spreadsheets/d/1eHaY18a8A9IcSdp1K8H6x8fbOy06t2VsZHhMHf-1x7Y/edit?usp=sharing"",""แผน!BC69"")"),0)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x14ac:dyDescent="0.25">
      <c r="A257" s="368"/>
      <c r="B257" s="371"/>
      <c r="C257" s="371"/>
      <c r="D257" s="571" t="s">
        <v>88</v>
      </c>
      <c r="E257" s="70"/>
      <c r="F257" s="70"/>
      <c r="G257" s="72"/>
      <c r="H257" s="220" t="s">
        <v>14</v>
      </c>
      <c r="I257" s="74"/>
      <c r="J257" s="74"/>
      <c r="K257" s="75"/>
      <c r="L257" s="76">
        <f ca="1">IFERROR(__xludf.DUMMYFUNCTION("IMPORTRANGE(""https://docs.google.com/spreadsheets/d/1eHaY18a8A9IcSdp1K8H6x8fbOy06t2VsZHhMHf-1x7Y/edit?usp=sharing"",""แผน!BD69"")"),31200)</f>
        <v>31200</v>
      </c>
      <c r="M257" s="90"/>
      <c r="N257" s="391">
        <f>4000+12500</f>
        <v>16500</v>
      </c>
      <c r="O257" s="90"/>
      <c r="P257" s="90"/>
      <c r="Q257" s="90"/>
      <c r="R257" s="90"/>
      <c r="S257" s="90"/>
      <c r="T257" s="90"/>
      <c r="U257" s="90"/>
    </row>
    <row r="258" spans="1:21" ht="18.75" x14ac:dyDescent="0.25">
      <c r="A258" s="368"/>
      <c r="B258" s="371"/>
      <c r="C258" s="371"/>
      <c r="D258" s="269" t="s">
        <v>89</v>
      </c>
      <c r="E258" s="70"/>
      <c r="F258" s="70"/>
      <c r="G258" s="72"/>
      <c r="H258" s="220" t="s">
        <v>14</v>
      </c>
      <c r="I258" s="74"/>
      <c r="J258" s="74"/>
      <c r="K258" s="75"/>
      <c r="L258" s="76">
        <f ca="1">IFERROR(__xludf.DUMMYFUNCTION("IMPORTRANGE(""https://docs.google.com/spreadsheets/d/1eHaY18a8A9IcSdp1K8H6x8fbOy06t2VsZHhMHf-1x7Y/edit?usp=sharing"",""แผน!BE69"")"),33000)</f>
        <v>33000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x14ac:dyDescent="0.3">
      <c r="A259" s="224"/>
      <c r="B259" s="225"/>
      <c r="C259" s="394" t="s">
        <v>18</v>
      </c>
      <c r="D259" s="909" t="s">
        <v>38</v>
      </c>
      <c r="E259" s="227"/>
      <c r="F259" s="227"/>
      <c r="G259" s="228"/>
      <c r="H259" s="229"/>
      <c r="I259" s="221"/>
      <c r="J259" s="74"/>
      <c r="K259" s="75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x14ac:dyDescent="0.25">
      <c r="A260" s="224"/>
      <c r="B260" s="225"/>
      <c r="C260" s="225"/>
      <c r="D260" s="238" t="s">
        <v>108</v>
      </c>
      <c r="E260" s="233"/>
      <c r="F260" s="233"/>
      <c r="G260" s="229"/>
      <c r="H260" s="239" t="s">
        <v>35</v>
      </c>
      <c r="I260" s="241">
        <f ca="1">IFERROR(__xludf.DUMMYFUNCTION("IMPORTRANGE(""https://docs.google.com/spreadsheets/d/1eHaY18a8A9IcSdp1K8H6x8fbOy06t2VsZHhMHf-1x7Y/edit?usp=sharing"",""แผน!BH69"")"),40)</f>
        <v>40</v>
      </c>
      <c r="J260" s="816">
        <v>40</v>
      </c>
      <c r="K260" s="91">
        <f ca="1">IF(I260&gt;0,J260*100/I260,0)</f>
        <v>100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x14ac:dyDescent="0.25">
      <c r="A261" s="224"/>
      <c r="B261" s="225"/>
      <c r="C261" s="225"/>
      <c r="D261" s="404" t="s">
        <v>43</v>
      </c>
      <c r="E261" s="233"/>
      <c r="F261" s="233"/>
      <c r="G261" s="229"/>
      <c r="H261" s="229"/>
      <c r="I261" s="74"/>
      <c r="J261" s="74"/>
      <c r="K261" s="75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x14ac:dyDescent="0.25">
      <c r="A262" s="224"/>
      <c r="B262" s="225"/>
      <c r="C262" s="225"/>
      <c r="D262" s="225"/>
      <c r="E262" s="232" t="s">
        <v>109</v>
      </c>
      <c r="F262" s="233"/>
      <c r="G262" s="229"/>
      <c r="H262" s="239" t="s">
        <v>35</v>
      </c>
      <c r="I262" s="241">
        <f ca="1">IFERROR(__xludf.DUMMYFUNCTION("IMPORTRANGE(""https://docs.google.com/spreadsheets/d/1eHaY18a8A9IcSdp1K8H6x8fbOy06t2VsZHhMHf-1x7Y/edit?usp=sharing"",""แผน!KF69"")"),40)</f>
        <v>40</v>
      </c>
      <c r="J262" s="816">
        <v>0</v>
      </c>
      <c r="K262" s="91">
        <f ca="1"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x14ac:dyDescent="0.25">
      <c r="A263" s="224"/>
      <c r="B263" s="225"/>
      <c r="C263" s="225"/>
      <c r="D263" s="225"/>
      <c r="E263" s="232" t="s">
        <v>110</v>
      </c>
      <c r="F263" s="233"/>
      <c r="G263" s="229"/>
      <c r="H263" s="239" t="s">
        <v>61</v>
      </c>
      <c r="I263" s="241">
        <f ca="1">IFERROR(__xludf.DUMMYFUNCTION("IMPORTRANGE(""https://docs.google.com/spreadsheets/d/1eHaY18a8A9IcSdp1K8H6x8fbOy06t2VsZHhMHf-1x7Y/edit?usp=sharing"",""แผน!KG69"")"),1)</f>
        <v>1</v>
      </c>
      <c r="J263" s="816">
        <v>0</v>
      </c>
      <c r="K263" s="91">
        <f ca="1"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1720</v>
      </c>
      <c r="T266" s="215">
        <f ca="1">IF(Q266&gt;0,S266*100/Q266,0)</f>
        <v>3.3951835767864194</v>
      </c>
      <c r="U266" s="215">
        <f ca="1">IF(R266&gt;0,S266*100/R266,0)</f>
        <v>3.3951835767864194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1720</v>
      </c>
      <c r="T268" s="91">
        <f ca="1">IF(Q268&gt;0,S268*100/Q268,0)</f>
        <v>3.3951835767864194</v>
      </c>
      <c r="U268" s="91">
        <f ca="1">IF(R268&gt;0,S268*100/R268,0)</f>
        <v>3.3951835767864194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1720</v>
      </c>
      <c r="T269" s="91">
        <f ca="1">IF(Q269&gt;0,S269*100/Q269,0)</f>
        <v>3.3951835767864194</v>
      </c>
      <c r="U269" s="91">
        <f ca="1">IF(R269&gt;0,S269*100/R269,0)</f>
        <v>3.3951835767864194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IFERROR(__xludf.DUMMYFUNCTION("IMPORTRANGE(""https://docs.google.com/spreadsheets/d/1-uDff_7J0KD5mKrp0Vvzr7lt3OU09vwQwhkpOPPYv2Y/edit?usp=sharing"",""งบพรบ!DE69"")"),0)</f>
        <v>0</v>
      </c>
      <c r="M271" s="91">
        <f ca="1">IFERROR(__xludf.DUMMYFUNCTION("IMPORTRANGE(""https://docs.google.com/spreadsheets/d/1-uDff_7J0KD5mKrp0Vvzr7lt3OU09vwQwhkpOPPYv2Y/edit?usp=sharing"",""งบพรบ!DJ69"")"),5000)</f>
        <v>5000</v>
      </c>
      <c r="N271" s="91">
        <f ca="1">IFERROR(__xludf.DUMMYFUNCTION("IMPORTRANGE(""https://docs.google.com/spreadsheets/d/1-uDff_7J0KD5mKrp0Vvzr7lt3OU09vwQwhkpOPPYv2Y/edit?usp=sharing"",""งบพรบ!DL69"")"),0)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IFERROR(__xludf.DUMMYFUNCTION("IMPORTRANGE(""https://docs.google.com/spreadsheets/d/1ItG2mGa2ceCfYo0BwxsXqNm01IGEUdYcSSLTEv9YCik/edit?usp=sharing"",""เบิกจ่ายกองทุน!AJ69"")"),50660)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IFERROR(__xludf.DUMMYFUNCTION("IMPORTRANGE(""https://docs.google.com/spreadsheets/d/1ItG2mGa2ceCfYo0BwxsXqNm01IGEUdYcSSLTEv9YCik/edit?usp=sharing"",""เบิกจ่ายกองทุน!AK69"")"),50660)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IFERROR(__xludf.DUMMYFUNCTION("IMPORTRANGE(""https://docs.google.com/spreadsheets/d/1ItG2mGa2ceCfYo0BwxsXqNm01IGEUdYcSSLTEv9YCik/edit?usp=sharing"",""เบิกจ่ายกองทุน!AL69"")"),1720)</f>
        <v>1720</v>
      </c>
      <c r="T271" s="91">
        <f ca="1">IF(Q271&gt;0,S271*100/Q271,0)</f>
        <v>3.3951835767864194</v>
      </c>
      <c r="U271" s="91">
        <f ca="1">IF(R271&gt;0,S271*100/R271,0)</f>
        <v>3.3951835767864194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IFERROR(__xludf.DUMMYFUNCTION("IMPORTRANGE(""https://docs.google.com/spreadsheets/d/1-uDff_7J0KD5mKrp0Vvzr7lt3OU09vwQwhkpOPPYv2Y/edit?usp=sharing"",""งบพรบ!DH69"")"),0)</f>
        <v>0</v>
      </c>
      <c r="M274" s="91">
        <f ca="1">IFERROR(__xludf.DUMMYFUNCTION("IMPORTRANGE(""https://docs.google.com/spreadsheets/d/1-uDff_7J0KD5mKrp0Vvzr7lt3OU09vwQwhkpOPPYv2Y/edit?usp=sharing"",""งบพรบ!DK69"")"),0)</f>
        <v>0</v>
      </c>
      <c r="N274" s="91">
        <f ca="1">IFERROR(__xludf.DUMMYFUNCTION("IMPORTRANGE(""https://docs.google.com/spreadsheets/d/1-uDff_7J0KD5mKrp0Vvzr7lt3OU09vwQwhkpOPPYv2Y/edit?usp=sharing"",""งบพรบ!DM69"")"),0)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93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IFERROR(__xludf.DUMMYFUNCTION("IMPORTRANGE(""https://docs.google.com/spreadsheets/d/1eHaY18a8A9IcSdp1K8H6x8fbOy06t2VsZHhMHf-1x7Y/edit?usp=sharing"",""แผน!EC69"")"),22)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IFERROR(__xludf.DUMMYFUNCTION("IMPORTRANGE(""https://docs.google.com/spreadsheets/d/1-uDff_7J0KD5mKrp0Vvzr7lt3OU09vwQwhkpOPPYv2Y/edit?usp=sharing"",""งบพรบ!DO69"")"),0)</f>
        <v>0</v>
      </c>
      <c r="M287" s="77">
        <f ca="1">IFERROR(__xludf.DUMMYFUNCTION("IMPORTRANGE(""https://docs.google.com/spreadsheets/d/1-uDff_7J0KD5mKrp0Vvzr7lt3OU09vwQwhkpOPPYv2Y/edit?usp=sharing"",""งบพรบ!DT69"")"),0)</f>
        <v>0</v>
      </c>
      <c r="N287" s="77">
        <f ca="1">IFERROR(__xludf.DUMMYFUNCTION("IMPORTRANGE(""https://docs.google.com/spreadsheets/d/1-uDff_7J0KD5mKrp0Vvzr7lt3OU09vwQwhkpOPPYv2Y/edit?usp=sharing"",""งบพรบ!DV69"")"),0)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IFERROR(__xludf.DUMMYFUNCTION("IMPORTRANGE(""https://docs.google.com/spreadsheets/d/1-uDff_7J0KD5mKrp0Vvzr7lt3OU09vwQwhkpOPPYv2Y/edit?usp=sharing"",""งบพรบ!DR69"")"),0)</f>
        <v>0</v>
      </c>
      <c r="M290" s="77">
        <f ca="1">IFERROR(__xludf.DUMMYFUNCTION("IMPORTRANGE(""https://docs.google.com/spreadsheets/d/1-uDff_7J0KD5mKrp0Vvzr7lt3OU09vwQwhkpOPPYv2Y/edit?usp=sharing"",""งบพรบ!DU69"")"),0)</f>
        <v>0</v>
      </c>
      <c r="N290" s="77">
        <f ca="1">IFERROR(__xludf.DUMMYFUNCTION("IMPORTRANGE(""https://docs.google.com/spreadsheets/d/1-uDff_7J0KD5mKrp0Vvzr7lt3OU09vwQwhkpOPPYv2Y/edit?usp=sharing"",""งบพรบ!DW69"")"),0)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IFERROR(__xludf.DUMMYFUNCTION("IMPORTRANGE(""https://docs.google.com/spreadsheets/d/1eHaY18a8A9IcSdp1K8H6x8fbOy06t2VsZHhMHf-1x7Y/edit?usp=sharing"",""แผน!EE69"")"),0)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IFERROR(__xludf.DUMMYFUNCTION("IMPORTRANGE(""https://docs.google.com/spreadsheets/d/1eHaY18a8A9IcSdp1K8H6x8fbOy06t2VsZHhMHf-1x7Y/edit?usp=sharing"",""แผน!ED69"")"),0)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IFERROR(__xludf.DUMMYFUNCTION("IMPORTRANGE(""https://docs.google.com/spreadsheets/d/1eHaY18a8A9IcSdp1K8H6x8fbOy06t2VsZHhMHf-1x7Y/edit?usp=sharing"",""แผน!ED69"")"),0)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IFERROR(__xludf.DUMMYFUNCTION("IMPORTRANGE(""https://docs.google.com/spreadsheets/d/1eHaY18a8A9IcSdp1K8H6x8fbOy06t2VsZHhMHf-1x7Y/edit?usp=sharing"",""แผน!ED69"")"),0)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IFERROR(__xludf.DUMMYFUNCTION("IMPORTRANGE(""https://docs.google.com/spreadsheets/d/1-uDff_7J0KD5mKrp0Vvzr7lt3OU09vwQwhkpOPPYv2Y/edit?usp=sharing"",""งบพรบ!DY69"")"),0)</f>
        <v>0</v>
      </c>
      <c r="M308" s="77">
        <f ca="1">IFERROR(__xludf.DUMMYFUNCTION("IMPORTRANGE(""https://docs.google.com/spreadsheets/d/1-uDff_7J0KD5mKrp0Vvzr7lt3OU09vwQwhkpOPPYv2Y/edit?usp=sharing"",""งบพรบ!ED69"")"),0)</f>
        <v>0</v>
      </c>
      <c r="N308" s="77">
        <f ca="1">IFERROR(__xludf.DUMMYFUNCTION("IMPORTRANGE(""https://docs.google.com/spreadsheets/d/1-uDff_7J0KD5mKrp0Vvzr7lt3OU09vwQwhkpOPPYv2Y/edit?usp=sharing"",""งบพรบ!EF69"")"),0)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IFERROR(__xludf.DUMMYFUNCTION("IMPORTRANGE(""https://docs.google.com/spreadsheets/d/1ItG2mGa2ceCfYo0BwxsXqNm01IGEUdYcSSLTEv9YCik/edit?usp=sharing"",""เบิกจ่ายกองทุน!AP69"")"),0)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IFERROR(__xludf.DUMMYFUNCTION("IMPORTRANGE(""https://docs.google.com/spreadsheets/d/1ItG2mGa2ceCfYo0BwxsXqNm01IGEUdYcSSLTEv9YCik/edit?usp=sharing"",""เบิกจ่ายกองทุน!AQ69"")"),0)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IFERROR(__xludf.DUMMYFUNCTION("IMPORTRANGE(""https://docs.google.com/spreadsheets/d/1ItG2mGa2ceCfYo0BwxsXqNm01IGEUdYcSSLTEv9YCik/edit?usp=sharing"",""เบิกจ่ายกองทุน!AR69"")"),0)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IFERROR(__xludf.DUMMYFUNCTION("IMPORTRANGE(""https://docs.google.com/spreadsheets/d/1-uDff_7J0KD5mKrp0Vvzr7lt3OU09vwQwhkpOPPYv2Y/edit?usp=sharing"",""งบพรบ!EB69"")"),0)</f>
        <v>0</v>
      </c>
      <c r="M311" s="77">
        <f ca="1">IFERROR(__xludf.DUMMYFUNCTION("IMPORTRANGE(""https://docs.google.com/spreadsheets/d/1-uDff_7J0KD5mKrp0Vvzr7lt3OU09vwQwhkpOPPYv2Y/edit?usp=sharing"",""งบพรบ!EE69"")"),0)</f>
        <v>0</v>
      </c>
      <c r="N311" s="77">
        <f ca="1">IFERROR(__xludf.DUMMYFUNCTION("IMPORTRANGE(""https://docs.google.com/spreadsheets/d/1-uDff_7J0KD5mKrp0Vvzr7lt3OU09vwQwhkpOPPYv2Y/edit?usp=sharing"",""งบพรบ!EG69"")"),0)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IFERROR(__xludf.DUMMYFUNCTION("IMPORTRANGE(""https://docs.google.com/spreadsheets/d/1eHaY18a8A9IcSdp1K8H6x8fbOy06t2VsZHhMHf-1x7Y/edit?usp=sharing"",""แผน!EF69"")"),0)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1</v>
      </c>
      <c r="J319" s="599">
        <f>J330</f>
        <v>1</v>
      </c>
      <c r="K319" s="593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40000</v>
      </c>
      <c r="M320" s="266">
        <f ca="1">M321+M322</f>
        <v>40000</v>
      </c>
      <c r="N320" s="266">
        <f ca="1">N321+N322</f>
        <v>3800</v>
      </c>
      <c r="O320" s="266">
        <f ca="1">IF(L320&gt;0,N320*100/L320,0)</f>
        <v>9.5</v>
      </c>
      <c r="P320" s="266">
        <f ca="1">IF(M320&gt;0,N320*100/M320,0)</f>
        <v>9.5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40000</v>
      </c>
      <c r="M322" s="77">
        <f ca="1">M325+M328</f>
        <v>40000</v>
      </c>
      <c r="N322" s="77">
        <f ca="1">N325+N328</f>
        <v>3800</v>
      </c>
      <c r="O322" s="77">
        <f ca="1">IF(L322&gt;0,N322*100/L322,0)</f>
        <v>9.5</v>
      </c>
      <c r="P322" s="77">
        <f ca="1">IF(M322&gt;0,N322*100/M322,0)</f>
        <v>9.5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40000</v>
      </c>
      <c r="M323" s="77">
        <f ca="1">M324+M325</f>
        <v>40000</v>
      </c>
      <c r="N323" s="77">
        <f ca="1">N324+N325</f>
        <v>3800</v>
      </c>
      <c r="O323" s="77">
        <f ca="1">IF(L323&gt;0,N323*100/L323,0)</f>
        <v>9.5</v>
      </c>
      <c r="P323" s="77">
        <f ca="1">IF(M323&gt;0,N323*100/M323,0)</f>
        <v>9.5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IFERROR(__xludf.DUMMYFUNCTION("IMPORTRANGE(""https://docs.google.com/spreadsheets/d/1-uDff_7J0KD5mKrp0Vvzr7lt3OU09vwQwhkpOPPYv2Y/edit?usp=sharing"",""งบพรบ!EI69"")"),40000)</f>
        <v>40000</v>
      </c>
      <c r="M325" s="77">
        <f ca="1">IFERROR(__xludf.DUMMYFUNCTION("IMPORTRANGE(""https://docs.google.com/spreadsheets/d/1-uDff_7J0KD5mKrp0Vvzr7lt3OU09vwQwhkpOPPYv2Y/edit?usp=sharing"",""งบพรบ!EN69"")"),40000)</f>
        <v>40000</v>
      </c>
      <c r="N325" s="77">
        <f ca="1">IFERROR(__xludf.DUMMYFUNCTION("IMPORTRANGE(""https://docs.google.com/spreadsheets/d/1-uDff_7J0KD5mKrp0Vvzr7lt3OU09vwQwhkpOPPYv2Y/edit?usp=sharing"",""งบพรบ!EP69"")"),3800)</f>
        <v>3800</v>
      </c>
      <c r="O325" s="77">
        <f ca="1">IF(L325&gt;0,N325*100/L325,0)</f>
        <v>9.5</v>
      </c>
      <c r="P325" s="77">
        <f ca="1">IF(M325&gt;0,N325*100/M325,0)</f>
        <v>9.5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IFERROR(__xludf.DUMMYFUNCTION("IMPORTRANGE(""https://docs.google.com/spreadsheets/d/1-uDff_7J0KD5mKrp0Vvzr7lt3OU09vwQwhkpOPPYv2Y/edit?usp=sharing"",""งบพรบ!EL69"")"),0)</f>
        <v>0</v>
      </c>
      <c r="M328" s="77">
        <f ca="1">IFERROR(__xludf.DUMMYFUNCTION("IMPORTRANGE(""https://docs.google.com/spreadsheets/d/1-uDff_7J0KD5mKrp0Vvzr7lt3OU09vwQwhkpOPPYv2Y/edit?usp=sharing"",""งบพรบ!EO69"")"),0)</f>
        <v>0</v>
      </c>
      <c r="N328" s="77">
        <f ca="1">IFERROR(__xludf.DUMMYFUNCTION("IMPORTRANGE(""https://docs.google.com/spreadsheets/d/1-uDff_7J0KD5mKrp0Vvzr7lt3OU09vwQwhkpOPPYv2Y/edit?usp=sharing"",""งบพรบ!EQ69"")"),0)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IFERROR(__xludf.DUMMYFUNCTION("IMPORTRANGE(""https://docs.google.com/spreadsheets/d/1eHaY18a8A9IcSdp1K8H6x8fbOy06t2VsZHhMHf-1x7Y/edit?usp=sharing"",""แผน!EJ69"")"),1)</f>
        <v>1</v>
      </c>
      <c r="J330" s="296">
        <v>1</v>
      </c>
      <c r="K330" s="77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3540</v>
      </c>
      <c r="J332" s="519">
        <f ca="1">J344+J347+J348+J349+J353+J354</f>
        <v>18467</v>
      </c>
      <c r="K332" s="520">
        <f ca="1">IF(I332&gt;0,J332*100/I332,0)</f>
        <v>521.66666666666663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116000</v>
      </c>
      <c r="M333" s="266">
        <f ca="1">M334+M335</f>
        <v>121000</v>
      </c>
      <c r="N333" s="266">
        <f ca="1">N334+N335</f>
        <v>103240</v>
      </c>
      <c r="O333" s="266">
        <f ca="1">IF(L333&gt;0,N333*100/L333,0)</f>
        <v>89</v>
      </c>
      <c r="P333" s="266">
        <f ca="1">IF(M333&gt;0,N333*100/M333,0)</f>
        <v>85.32231404958678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116000</v>
      </c>
      <c r="M335" s="77">
        <f ca="1">M338+M341</f>
        <v>121000</v>
      </c>
      <c r="N335" s="77">
        <f ca="1">N338+N341</f>
        <v>103240</v>
      </c>
      <c r="O335" s="77">
        <f ca="1">IF(L335&gt;0,N335*100/L335,0)</f>
        <v>89</v>
      </c>
      <c r="P335" s="77">
        <f ca="1">IF(M335&gt;0,N335*100/M335,0)</f>
        <v>85.32231404958678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116000</v>
      </c>
      <c r="M336" s="77">
        <f ca="1">M337+M338</f>
        <v>121000</v>
      </c>
      <c r="N336" s="77">
        <f ca="1">N337+N338</f>
        <v>103240</v>
      </c>
      <c r="O336" s="77">
        <f ca="1">IF(L336&gt;0,N336*100/L336,0)</f>
        <v>89</v>
      </c>
      <c r="P336" s="77">
        <f ca="1">IF(M336&gt;0,N336*100/M336,0)</f>
        <v>85.32231404958678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IFERROR(__xludf.DUMMYFUNCTION("IMPORTRANGE(""https://docs.google.com/spreadsheets/d/1-uDff_7J0KD5mKrp0Vvzr7lt3OU09vwQwhkpOPPYv2Y/edit?usp=sharing"",""งบพรบ!ES69"")"),116000)</f>
        <v>116000</v>
      </c>
      <c r="M338" s="77">
        <f ca="1">IFERROR(__xludf.DUMMYFUNCTION("IMPORTRANGE(""https://docs.google.com/spreadsheets/d/1-uDff_7J0KD5mKrp0Vvzr7lt3OU09vwQwhkpOPPYv2Y/edit?usp=sharing"",""งบพรบ!EX69"")"),121000)</f>
        <v>121000</v>
      </c>
      <c r="N338" s="77">
        <f ca="1">IFERROR(__xludf.DUMMYFUNCTION("IMPORTRANGE(""https://docs.google.com/spreadsheets/d/1-uDff_7J0KD5mKrp0Vvzr7lt3OU09vwQwhkpOPPYv2Y/edit?usp=sharing"",""งบพรบ!EZ69"")"),103240)</f>
        <v>103240</v>
      </c>
      <c r="O338" s="77">
        <f ca="1">IF(L338&gt;0,N338*100/L338,0)</f>
        <v>89</v>
      </c>
      <c r="P338" s="77">
        <f ca="1">IF(M338&gt;0,N338*100/M338,0)</f>
        <v>85.32231404958678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IFERROR(__xludf.DUMMYFUNCTION("IMPORTRANGE(""https://docs.google.com/spreadsheets/d/1-uDff_7J0KD5mKrp0Vvzr7lt3OU09vwQwhkpOPPYv2Y/edit?usp=sharing"",""งบพรบ!EV69"")"),0)</f>
        <v>0</v>
      </c>
      <c r="M341" s="77">
        <f ca="1">IFERROR(__xludf.DUMMYFUNCTION("IMPORTRANGE(""https://docs.google.com/spreadsheets/d/1-uDff_7J0KD5mKrp0Vvzr7lt3OU09vwQwhkpOPPYv2Y/edit?usp=sharing"",""งบพรบ!EY69"")"),0)</f>
        <v>0</v>
      </c>
      <c r="N341" s="77">
        <f ca="1">IFERROR(__xludf.DUMMYFUNCTION("IMPORTRANGE(""https://docs.google.com/spreadsheets/d/1-uDff_7J0KD5mKrp0Vvzr7lt3OU09vwQwhkpOPPYv2Y/edit?usp=sharing"",""งบพรบ!FA69"")"),0)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6890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IFERROR(__xludf.DUMMYFUNCTION("IMPORTRANGE(""https://docs.google.com/spreadsheets/d/1eHaY18a8A9IcSdp1K8H6x8fbOy06t2VsZHhMHf-1x7Y/edit?usp=sharing"",""แผน!EK69"")"),3540)</f>
        <v>3540</v>
      </c>
      <c r="J344" s="295">
        <f ca="1">IFERROR(__xludf.DUMMYFUNCTION("IMPORTRANGE(""https://docs.google.com/spreadsheets/d/1awYsYK3VOup2i3Pq_Yjnu8DRu_mYwSBnCR2QPthd0rU/edit?usp=sharing"",""ศูนย์ยกเว้นโฉนด!D69"")"),6551)</f>
        <v>6551</v>
      </c>
      <c r="K344" s="77">
        <f ca="1">IF(I344&gt;0,J344*100/I344,0)</f>
        <v>185.05649717514123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IFERROR(__xludf.DUMMYFUNCTION("IMPORTRANGE(""https://docs.google.com/spreadsheets/d/1eHaY18a8A9IcSdp1K8H6x8fbOy06t2VsZHhMHf-1x7Y/edit?usp=sharing"",""แผน!EL69"")"),5)</f>
        <v>5</v>
      </c>
      <c r="J346" s="295">
        <f ca="1">IFERROR(__xludf.DUMMYFUNCTION("IMPORTRANGE(""https://docs.google.com/spreadsheets/d/1awYsYK3VOup2i3Pq_Yjnu8DRu_mYwSBnCR2QPthd0rU/edit?usp=sharing"",""ศูนย์รวม!E69"")"),4)</f>
        <v>4</v>
      </c>
      <c r="K346" s="77">
        <f ca="1">IF(I346&gt;0,J346*100/I346,0)</f>
        <v>80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IFERROR(__xludf.DUMMYFUNCTION("IMPORTRANGE(""https://docs.google.com/spreadsheets/d/1awYsYK3VOup2i3Pq_Yjnu8DRu_mYwSBnCR2QPthd0rU/edit?usp=sharing"",""ศูนย์ยกเว้นโฉนด!F69"")"),148)</f>
        <v>148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IFERROR(__xludf.DUMMYFUNCTION("IMPORTRANGE(""https://docs.google.com/spreadsheets/d/1awYsYK3VOup2i3Pq_Yjnu8DRu_mYwSBnCR2QPthd0rU/edit?usp=sharing"",""ศูนย์ยกเว้นโฉนด!G69"")"),191)</f>
        <v>191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IFERROR(__xludf.DUMMYFUNCTION("IMPORTRANGE(""https://docs.google.com/spreadsheets/d/1awYsYK3VOup2i3Pq_Yjnu8DRu_mYwSBnCR2QPthd0rU/edit?usp=sharing"",""ศูนย์ยกเว้นโฉนด!H69"")"),0)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12018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IFERROR(__xludf.DUMMYFUNCTION("IMPORTRANGE(""https://docs.google.com/spreadsheets/d/1awYsYK3VOup2i3Pq_Yjnu8DRu_mYwSBnCR2QPthd0rU/edit?usp=sharing"",""โฉนดM3!G69"")"),441)</f>
        <v>441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IFERROR(__xludf.DUMMYFUNCTION("IMPORTRANGE(""https://docs.google.com/spreadsheets/d/1awYsYK3VOup2i3Pq_Yjnu8DRu_mYwSBnCR2QPthd0rU/edit?usp=sharing"",""โฉนดM3!H69"")"),11147)</f>
        <v>11147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IFERROR(__xludf.DUMMYFUNCTION("IMPORTRANGE(""https://docs.google.com/spreadsheets/d/1awYsYK3VOup2i3Pq_Yjnu8DRu_mYwSBnCR2QPthd0rU/edit?usp=sharing"",""โฉนดM3!I69"")"),430)</f>
        <v>430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693280</v>
      </c>
      <c r="M356" s="266">
        <f ca="1">M357+M358</f>
        <v>693280</v>
      </c>
      <c r="N356" s="266">
        <f ca="1">N357+N358</f>
        <v>460484.63</v>
      </c>
      <c r="O356" s="266">
        <f ca="1">IF(L356&gt;0,N356*100/L356,0)</f>
        <v>66.42116172397877</v>
      </c>
      <c r="P356" s="266">
        <f ca="1">IF(M356&gt;0,N356*100/M356,0)</f>
        <v>66.42116172397877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693280</v>
      </c>
      <c r="M358" s="77">
        <f ca="1">M361+M364</f>
        <v>693280</v>
      </c>
      <c r="N358" s="77">
        <f ca="1">N361+N364</f>
        <v>460484.63</v>
      </c>
      <c r="O358" s="77">
        <f ca="1">IF(L358&gt;0,N358*100/L358,0)</f>
        <v>66.42116172397877</v>
      </c>
      <c r="P358" s="77">
        <f ca="1">IF(M358&gt;0,N358*100/M358,0)</f>
        <v>66.42116172397877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693280</v>
      </c>
      <c r="M359" s="77">
        <f ca="1">M360+M361</f>
        <v>693280</v>
      </c>
      <c r="N359" s="77">
        <f ca="1">N360+N361</f>
        <v>460484.63</v>
      </c>
      <c r="O359" s="77">
        <f ca="1">IF(L359&gt;0,N359*100/L359,0)</f>
        <v>66.42116172397877</v>
      </c>
      <c r="P359" s="77">
        <f ca="1">IF(M359&gt;0,N359*100/M359,0)</f>
        <v>66.42116172397877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IFERROR(__xludf.DUMMYFUNCTION("IMPORTRANGE(""https://docs.google.com/spreadsheets/d/1-uDff_7J0KD5mKrp0Vvzr7lt3OU09vwQwhkpOPPYv2Y/edit?usp=sharing"",""งบพรบ!FC69"")"),693280)</f>
        <v>693280</v>
      </c>
      <c r="M361" s="77">
        <f ca="1">IFERROR(__xludf.DUMMYFUNCTION("IMPORTRANGE(""https://docs.google.com/spreadsheets/d/1-uDff_7J0KD5mKrp0Vvzr7lt3OU09vwQwhkpOPPYv2Y/edit?usp=sharing"",""งบพรบ!FH69"")"),693280)</f>
        <v>693280</v>
      </c>
      <c r="N361" s="77">
        <f ca="1">IFERROR(__xludf.DUMMYFUNCTION("IMPORTRANGE(""https://docs.google.com/spreadsheets/d/1-uDff_7J0KD5mKrp0Vvzr7lt3OU09vwQwhkpOPPYv2Y/edit?usp=sharing"",""งบพรบ!FJ69"")"),460484.63)</f>
        <v>460484.63</v>
      </c>
      <c r="O361" s="77">
        <f ca="1">IF(L361&gt;0,N361*100/L361,0)</f>
        <v>66.42116172397877</v>
      </c>
      <c r="P361" s="77">
        <f ca="1">IF(M361&gt;0,N361*100/M361,0)</f>
        <v>66.42116172397877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IFERROR(__xludf.DUMMYFUNCTION("IMPORTRANGE(""https://docs.google.com/spreadsheets/d/1-uDff_7J0KD5mKrp0Vvzr7lt3OU09vwQwhkpOPPYv2Y/edit?usp=sharing"",""งบพรบ!FF69"")"),0)</f>
        <v>0</v>
      </c>
      <c r="M364" s="77">
        <f ca="1">IFERROR(__xludf.DUMMYFUNCTION("IMPORTRANGE(""https://docs.google.com/spreadsheets/d/1-uDff_7J0KD5mKrp0Vvzr7lt3OU09vwQwhkpOPPYv2Y/edit?usp=sharing"",""งบพรบ!FI69"")"),0)</f>
        <v>0</v>
      </c>
      <c r="N364" s="77">
        <f ca="1">IFERROR(__xludf.DUMMYFUNCTION("IMPORTRANGE(""https://docs.google.com/spreadsheets/d/1-uDff_7J0KD5mKrp0Vvzr7lt3OU09vwQwhkpOPPYv2Y/edit?usp=sharing"",""งบพรบ!FK69"")"),0)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596</v>
      </c>
      <c r="J365" s="542">
        <f ca="1">J371</f>
        <v>432</v>
      </c>
      <c r="K365" s="543">
        <f ca="1">IF(I365&gt;0,J365*100/I365,0)</f>
        <v>72.483221476510067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IFERROR(__xludf.DUMMYFUNCTION("IMPORTRANGE(""https://docs.google.com/spreadsheets/d/1tdoBKaGub7dwA3U6UFTqxio9LNnvDCQjHKmttSEBsFQ/edit?usp=sharing"",""จัดที่ดิน!AB69"")"),207)</f>
        <v>207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IFERROR(__xludf.DUMMYFUNCTION("IMPORTRANGE(""https://docs.google.com/spreadsheets/d/1eHaY18a8A9IcSdp1K8H6x8fbOy06t2VsZHhMHf-1x7Y/edit?usp=sharing"",""แผน!EW69"")"),2090)</f>
        <v>2090</v>
      </c>
      <c r="J368" s="1094">
        <f ca="1">IFERROR(__xludf.DUMMYFUNCTION("IMPORTRANGE(""https://docs.google.com/spreadsheets/d/1tdoBKaGub7dwA3U6UFTqxio9LNnvDCQjHKmttSEBsFQ/edit?usp=sharing"",""จัดที่ดิน!AC69"")"),3041.22999999999)</f>
        <v>3041.22999999999</v>
      </c>
      <c r="K368" s="77">
        <f ca="1">IF(I368&gt;0,J368*100/I368,0)</f>
        <v>145.51339712918613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IFERROR(__xludf.DUMMYFUNCTION("IMPORTRANGE(""https://docs.google.com/spreadsheets/d/1eHaY18a8A9IcSdp1K8H6x8fbOy06t2VsZHhMHf-1x7Y/edit?usp=sharing"",""แผน!EX69"")"),596)</f>
        <v>596</v>
      </c>
      <c r="J369" s="295">
        <f ca="1">IFERROR(__xludf.DUMMYFUNCTION("IMPORTRANGE(""https://docs.google.com/spreadsheets/d/1tdoBKaGub7dwA3U6UFTqxio9LNnvDCQjHKmttSEBsFQ/edit?usp=sharing"",""จัดที่ดิน!AD69"")"),608)</f>
        <v>608</v>
      </c>
      <c r="K369" s="77">
        <f ca="1">IF(I369&gt;0,J369*100/I369,0)</f>
        <v>102.01342281879195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IFERROR(__xludf.DUMMYFUNCTION("IMPORTRANGE(""https://docs.google.com/spreadsheets/d/1tdoBKaGub7dwA3U6UFTqxio9LNnvDCQjHKmttSEBsFQ/edit?usp=sharing"",""จัดที่ดิน!AE69"")"),10321.15)</f>
        <v>10321.15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IFERROR(__xludf.DUMMYFUNCTION("IMPORTRANGE(""https://docs.google.com/spreadsheets/d/1eHaY18a8A9IcSdp1K8H6x8fbOy06t2VsZHhMHf-1x7Y/edit?usp=sharing"",""แผน!EY69"")"),596)</f>
        <v>596</v>
      </c>
      <c r="J371" s="295">
        <f ca="1">IFERROR(__xludf.DUMMYFUNCTION("IMPORTRANGE(""https://docs.google.com/spreadsheets/d/1tdoBKaGub7dwA3U6UFTqxio9LNnvDCQjHKmttSEBsFQ/edit?usp=sharing"",""จัดที่ดิน!AF69"")"),432)</f>
        <v>432</v>
      </c>
      <c r="K371" s="77">
        <f ca="1">IF(I371&gt;0,J371*100/I371,0)</f>
        <v>72.483221476510067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IFERROR(__xludf.DUMMYFUNCTION("IMPORTRANGE(""https://docs.google.com/spreadsheets/d/1tdoBKaGub7dwA3U6UFTqxio9LNnvDCQjHKmttSEBsFQ/edit?usp=sharing"",""จัดที่ดิน!AG69"")"),7791.9)</f>
        <v>7791.9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IFERROR(__xludf.DUMMYFUNCTION("IMPORTRANGE(""https://docs.google.com/spreadsheets/d/1ItG2mGa2ceCfYo0BwxsXqNm01IGEUdYcSSLTEv9YCik/edit?usp=sharing"",""เบิกจ่ายกองทุน!AY69"")"),0)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IFERROR(__xludf.DUMMYFUNCTION("IMPORTRANGE(""https://docs.google.com/spreadsheets/d/1ItG2mGa2ceCfYo0BwxsXqNm01IGEUdYcSSLTEv9YCik/edit?usp=sharing"",""เบิกจ่ายกองทุน!AZ69"")"),0)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IFERROR(__xludf.DUMMYFUNCTION("IMPORTRANGE(""https://docs.google.com/spreadsheets/d/1ItG2mGa2ceCfYo0BwxsXqNm01IGEUdYcSSLTEv9YCik/edit?usp=sharing"",""เบิกจ่ายกองทุน!BA69"")"),0)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IFERROR(__xludf.DUMMYFUNCTION("IMPORTRANGE(""https://docs.google.com/spreadsheets/d/1eHaY18a8A9IcSdp1K8H6x8fbOy06t2VsZHhMHf-1x7Y/edit?usp=sharing"",""แผน!JQ69"")"),0)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IFERROR(__xludf.DUMMYFUNCTION("IMPORTRANGE(""https://docs.google.com/spreadsheets/d/1eHaY18a8A9IcSdp1K8H6x8fbOy06t2VsZHhMHf-1x7Y/edit?usp=sharing"",""แผน!JQ69"")"),0)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IFERROR(__xludf.DUMMYFUNCTION("IMPORTRANGE(""https://docs.google.com/spreadsheets/d/1ItG2mGa2ceCfYo0BwxsXqNm01IGEUdYcSSLTEv9YCik/edit?usp=sharing"",""เบิกจ่ายกองทุน!BH69"")"),0)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IFERROR(__xludf.DUMMYFUNCTION("IMPORTRANGE(""https://docs.google.com/spreadsheets/d/1ItG2mGa2ceCfYo0BwxsXqNm01IGEUdYcSSLTEv9YCik/edit?usp=sharing"",""เบิกจ่ายกองทุน!BI69"")"),0)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IFERROR(__xludf.DUMMYFUNCTION("IMPORTRANGE(""https://docs.google.com/spreadsheets/d/1ItG2mGa2ceCfYo0BwxsXqNm01IGEUdYcSSLTEv9YCik/edit?usp=sharing"",""เบิกจ่ายกองทุน!BJ69"")"),0)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IFERROR(__xludf.DUMMYFUNCTION("IMPORTRANGE(""https://docs.google.com/spreadsheets/d/1eHaY18a8A9IcSdp1K8H6x8fbOy06t2VsZHhMHf-1x7Y/edit?usp=sharing"",""แผน!HJ69"")"),0)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IFERROR(__xludf.DUMMYFUNCTION("IMPORTRANGE(""https://docs.google.com/spreadsheets/d/1eHaY18a8A9IcSdp1K8H6x8fbOy06t2VsZHhMHf-1x7Y/edit?usp=sharing"",""แผน!HK69"")"),0)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IFERROR(__xludf.DUMMYFUNCTION("IMPORTRANGE(""https://docs.google.com/spreadsheets/d/1eHaY18a8A9IcSdp1K8H6x8fbOy06t2VsZHhMHf-1x7Y/edit?usp=sharing"",""แผน!HJ69"")"),0)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IFERROR(__xludf.DUMMYFUNCTION("IMPORTRANGE(""https://docs.google.com/spreadsheets/d/1eHaY18a8A9IcSdp1K8H6x8fbOy06t2VsZHhMHf-1x7Y/edit?usp=sharing"",""แผน!HK69"")"),0)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IFERROR(__xludf.DUMMYFUNCTION("IMPORTRANGE(""https://docs.google.com/spreadsheets/d/1eHaY18a8A9IcSdp1K8H6x8fbOy06t2VsZHhMHf-1x7Y/edit?usp=sharing"",""แผน!HJ69"")"),0)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IFERROR(__xludf.DUMMYFUNCTION("IMPORTRANGE(""https://docs.google.com/spreadsheets/d/1eHaY18a8A9IcSdp1K8H6x8fbOy06t2VsZHhMHf-1x7Y/edit?usp=sharing"",""แผน!HK69"")"),0)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IFERROR(__xludf.DUMMYFUNCTION("IMPORTRANGE(""https://docs.google.com/spreadsheets/d/1eHaY18a8A9IcSdp1K8H6x8fbOy06t2VsZHhMHf-1x7Y/edit?usp=sharing"",""แผน!HL69"")"),0)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IFERROR(__xludf.DUMMYFUNCTION("IMPORTRANGE(""https://docs.google.com/spreadsheets/d/1eHaY18a8A9IcSdp1K8H6x8fbOy06t2VsZHhMHf-1x7Y/edit?usp=sharing"",""แผน!HM69"")"),0)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IFERROR(__xludf.DUMMYFUNCTION("IMPORTRANGE(""https://docs.google.com/spreadsheets/d/1eHaY18a8A9IcSdp1K8H6x8fbOy06t2VsZHhMHf-1x7Y/edit?usp=sharing"",""แผน!HN69"")"),0)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IFERROR(__xludf.DUMMYFUNCTION("IMPORTRANGE(""https://docs.google.com/spreadsheets/d/1eHaY18a8A9IcSdp1K8H6x8fbOy06t2VsZHhMHf-1x7Y/edit?usp=sharing"",""แผน!HO69"")"),0)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80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1074460</v>
      </c>
      <c r="R493" s="266">
        <f ca="1">R494+R495</f>
        <v>1074460</v>
      </c>
      <c r="S493" s="266">
        <f ca="1">S494+S495</f>
        <v>138711.72</v>
      </c>
      <c r="T493" s="266">
        <f ca="1">IF(Q493&gt;0,S493*100/Q493,0)</f>
        <v>12.909900787372262</v>
      </c>
      <c r="U493" s="266">
        <f ca="1">IF(R493&gt;0,S493*100/R493,0)</f>
        <v>12.909900787372262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1074460</v>
      </c>
      <c r="R495" s="77">
        <f ca="1">R498+R501</f>
        <v>1074460</v>
      </c>
      <c r="S495" s="77">
        <f ca="1">S498+S501</f>
        <v>138711.72</v>
      </c>
      <c r="T495" s="77">
        <f ca="1">IF(Q495&gt;0,S495*100/Q495,0)</f>
        <v>12.909900787372262</v>
      </c>
      <c r="U495" s="77">
        <f ca="1">IF(R495&gt;0,S495*100/R495,0)</f>
        <v>12.909900787372262</v>
      </c>
    </row>
    <row r="496" spans="1:21" ht="18.75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1074460</v>
      </c>
      <c r="R496" s="77">
        <f ca="1">R497+R498</f>
        <v>1074460</v>
      </c>
      <c r="S496" s="77">
        <f ca="1">S497+S498</f>
        <v>138711.72</v>
      </c>
      <c r="T496" s="77">
        <f ca="1">IF(Q496&gt;0,S496*100/Q496,0)</f>
        <v>12.909900787372262</v>
      </c>
      <c r="U496" s="77">
        <f ca="1">IF(R496&gt;0,S496*100/R496,0)</f>
        <v>12.909900787372262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IFERROR(__xludf.DUMMYFUNCTION("IMPORTRANGE(""https://docs.google.com/spreadsheets/d/1ItG2mGa2ceCfYo0BwxsXqNm01IGEUdYcSSLTEv9YCik/edit?usp=sharing"",""เบิกจ่ายกองทุน!X69"")"),1074460)</f>
        <v>1074460</v>
      </c>
      <c r="R498" s="77">
        <f ca="1">IFERROR(__xludf.DUMMYFUNCTION("IMPORTRANGE(""https://docs.google.com/spreadsheets/d/1ItG2mGa2ceCfYo0BwxsXqNm01IGEUdYcSSLTEv9YCik/edit?usp=sharing"",""เบิกจ่ายกองทุน!Y69"")"),1074460)</f>
        <v>1074460</v>
      </c>
      <c r="S498" s="77">
        <f ca="1">IFERROR(__xludf.DUMMYFUNCTION("IMPORTRANGE(""https://docs.google.com/spreadsheets/d/1ItG2mGa2ceCfYo0BwxsXqNm01IGEUdYcSSLTEv9YCik/edit?usp=sharing"",""เบิกจ่ายกองทุน!Z69"")"),138711.72)</f>
        <v>138711.72</v>
      </c>
      <c r="T498" s="77">
        <f ca="1">IF(Q498&gt;0,S498*100/Q498,0)</f>
        <v>12.909900787372262</v>
      </c>
      <c r="U498" s="77">
        <f ca="1">IF(R498&gt;0,S498*100/R498,0)</f>
        <v>12.909900787372262</v>
      </c>
    </row>
    <row r="499" spans="1:21" ht="18.75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IFERROR(__xludf.DUMMYFUNCTION("IMPORTRANGE(""https://docs.google.com/spreadsheets/d/1eHaY18a8A9IcSdp1K8H6x8fbOy06t2VsZHhMHf-1x7Y/edit?usp=sharing"",""แผน!GX69"")"),80)</f>
        <v>80</v>
      </c>
      <c r="J503" s="603">
        <f ca="1">IF(AND(J504=I503,J505=I503,J506=I503,J507=I503),I503,0)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IFERROR(__xludf.DUMMYFUNCTION("IMPORTRANGE(""https://docs.google.com/spreadsheets/d/1eHaY18a8A9IcSdp1K8H6x8fbOy06t2VsZHhMHf-1x7Y/edit?usp=sharing"",""แผน!GY69"")"),0)</f>
        <v>0</v>
      </c>
      <c r="J504" s="296">
        <v>80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IFERROR(__xludf.DUMMYFUNCTION("IMPORTRANGE(""https://docs.google.com/spreadsheets/d/1eHaY18a8A9IcSdp1K8H6x8fbOy06t2VsZHhMHf-1x7Y/edit?usp=sharing"",""แผน!GZ69"")"),0)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IFERROR(__xludf.DUMMYFUNCTION("IMPORTRANGE(""https://docs.google.com/spreadsheets/d/1eHaY18a8A9IcSdp1K8H6x8fbOy06t2VsZHhMHf-1x7Y/edit?usp=sharing"",""แผน!HA69"")"),0)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IFERROR(__xludf.DUMMYFUNCTION("IMPORTRANGE(""https://docs.google.com/spreadsheets/d/1eHaY18a8A9IcSdp1K8H6x8fbOy06t2VsZHhMHf-1x7Y/edit?usp=sharing"",""แผน!HB69"")"),0)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IFERROR(__xludf.DUMMYFUNCTION("IMPORTRANGE(""https://docs.google.com/spreadsheets/d/1eHaY18a8A9IcSdp1K8H6x8fbOy06t2VsZHhMHf-1x7Y/edit?usp=sharing"",""แผน!HC69"")"),0)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IFERROR(__xludf.DUMMYFUNCTION("IMPORTRANGE(""https://docs.google.com/spreadsheets/d/1-uDff_7J0KD5mKrp0Vvzr7lt3OU09vwQwhkpOPPYv2Y/edit?usp=sharing"",""งบพรบ!FM69"")"),0)</f>
        <v>0</v>
      </c>
      <c r="M518" s="77">
        <f ca="1">IFERROR(__xludf.DUMMYFUNCTION("IMPORTRANGE(""https://docs.google.com/spreadsheets/d/1-uDff_7J0KD5mKrp0Vvzr7lt3OU09vwQwhkpOPPYv2Y/edit?usp=sharing"",""งบพรบ!FR69"")"),0)</f>
        <v>0</v>
      </c>
      <c r="N518" s="77">
        <f ca="1">IFERROR(__xludf.DUMMYFUNCTION("IMPORTRANGE(""https://docs.google.com/spreadsheets/d/1-uDff_7J0KD5mKrp0Vvzr7lt3OU09vwQwhkpOPPYv2Y/edit?usp=sharing"",""งบพรบ!FT69"")"),0)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IFERROR(__xludf.DUMMYFUNCTION("IMPORTRANGE(""https://docs.google.com/spreadsheets/d/1-uDff_7J0KD5mKrp0Vvzr7lt3OU09vwQwhkpOPPYv2Y/edit?usp=sharing"",""งบพรบ!FP69"")"),0)</f>
        <v>0</v>
      </c>
      <c r="M521" s="77">
        <f ca="1">IFERROR(__xludf.DUMMYFUNCTION("IMPORTRANGE(""https://docs.google.com/spreadsheets/d/1-uDff_7J0KD5mKrp0Vvzr7lt3OU09vwQwhkpOPPYv2Y/edit?usp=sharing"",""งบพรบ!FS69"")"),0)</f>
        <v>0</v>
      </c>
      <c r="N521" s="77">
        <f ca="1">IFERROR(__xludf.DUMMYFUNCTION("IMPORTRANGE(""https://docs.google.com/spreadsheets/d/1-uDff_7J0KD5mKrp0Vvzr7lt3OU09vwQwhkpOPPYv2Y/edit?usp=sharing"",""งบพรบ!FU69"")"),0)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100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11725</v>
      </c>
      <c r="R616" s="266">
        <f ca="1">R617+R618</f>
        <v>11725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11725</v>
      </c>
      <c r="R618" s="77">
        <f ca="1">R621+R624</f>
        <v>11725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11725</v>
      </c>
      <c r="R619" s="77">
        <f ca="1">R620+R621</f>
        <v>11725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IFERROR(__xludf.DUMMYFUNCTION("IMPORTRANGE(""https://docs.google.com/spreadsheets/d/1ItG2mGa2ceCfYo0BwxsXqNm01IGEUdYcSSLTEv9YCik/edit?usp=sharing"",""เบิกจ่ายกองทุน!F69"")"),11725)</f>
        <v>11725</v>
      </c>
      <c r="R621" s="77">
        <f ca="1">IFERROR(__xludf.DUMMYFUNCTION("IMPORTRANGE(""https://docs.google.com/spreadsheets/d/1ItG2mGa2ceCfYo0BwxsXqNm01IGEUdYcSSLTEv9YCik/edit?usp=sharing"",""เบิกจ่ายกองทุน!G69"")"),11725)</f>
        <v>11725</v>
      </c>
      <c r="S621" s="77">
        <f ca="1">IFERROR(__xludf.DUMMYFUNCTION("IMPORTRANGE(""https://docs.google.com/spreadsheets/d/1ItG2mGa2ceCfYo0BwxsXqNm01IGEUdYcSSLTEv9YCik/edit?usp=sharing"",""เบิกจ่ายกองทุน!H69"")"),0)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IFERROR(__xludf.DUMMYFUNCTION("IMPORTRANGE(""https://docs.google.com/spreadsheets/d/1eHaY18a8A9IcSdp1K8H6x8fbOy06t2VsZHhMHf-1x7Y/edit?usp=sharing"",""แผน!ID69"")"),100)</f>
        <v>100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IFERROR(__xludf.DUMMYFUNCTION("IMPORTRANGE(""https://docs.google.com/spreadsheets/d/1eHaY18a8A9IcSdp1K8H6x8fbOy06t2VsZHhMHf-1x7Y/edit?usp=sharing"",""แผน!IC69"")"),0)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IFERROR(__xludf.DUMMYFUNCTION("IMPORTRANGE(""https://docs.google.com/spreadsheets/d/1eHaY18a8A9IcSdp1K8H6x8fbOy06t2VsZHhMHf-1x7Y/edit?usp=sharing"",""แผน!IC69"")"),0)</f>
        <v>0</v>
      </c>
      <c r="J628" s="296">
        <v>9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IFERROR(__xludf.DUMMYFUNCTION("IMPORTRANGE(""https://docs.google.com/spreadsheets/d/1eHaY18a8A9IcSdp1K8H6x8fbOy06t2VsZHhMHf-1x7Y/edit?usp=sharing"",""แผน!IE69"")"),0)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hidden="1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IFERROR(__xludf.DUMMYFUNCTION("IMPORTRANGE(""https://docs.google.com/spreadsheets/d/1ItG2mGa2ceCfYo0BwxsXqNm01IGEUdYcSSLTEv9YCik/edit?usp=sharing"",""เบิกจ่ายกองทุน!I69"")"),0)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IFERROR(__xludf.DUMMYFUNCTION("IMPORTRANGE(""https://docs.google.com/spreadsheets/d/1ItG2mGa2ceCfYo0BwxsXqNm01IGEUdYcSSLTEv9YCik/edit?usp=sharing"",""เบิกจ่ายกองทุน!J69"")"),0)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IFERROR(__xludf.DUMMYFUNCTION("IMPORTRANGE(""https://docs.google.com/spreadsheets/d/1ItG2mGa2ceCfYo0BwxsXqNm01IGEUdYcSSLTEv9YCik/edit?usp=sharing"",""เบิกจ่ายกองทุน!K69"")"),0)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IFERROR(__xludf.DUMMYFUNCTION("IMPORTRANGE(""https://docs.google.com/spreadsheets/d/1eHaY18a8A9IcSdp1K8H6x8fbOy06t2VsZHhMHf-1x7Y/edit?usp=sharing"",""แผน!IF69"")"),0)</f>
        <v>0</v>
      </c>
      <c r="J652" s="295">
        <f ca="1">IFERROR(__xludf.DUMMYFUNCTION("IMPORTRANGE(""https://docs.google.com/spreadsheets/d/1tdoBKaGub7dwA3U6UFTqxio9LNnvDCQjHKmttSEBsFQ/edit?usp=sharing"",""จัดที่ดิน!AU69"")"),0)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IFERROR(__xludf.DUMMYFUNCTION("IMPORTRANGE(""https://docs.google.com/spreadsheets/d/1eHaY18a8A9IcSdp1K8H6x8fbOy06t2VsZHhMHf-1x7Y/edit?usp=sharing"",""แผน!IG69"")"),0)</f>
        <v>0</v>
      </c>
      <c r="J653" s="295">
        <f ca="1">IFERROR(__xludf.DUMMYFUNCTION("IMPORTRANGE(""https://docs.google.com/spreadsheets/d/1tdoBKaGub7dwA3U6UFTqxio9LNnvDCQjHKmttSEBsFQ/edit?usp=sharing"",""จัดที่ดิน!AW69"")"),0)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IFERROR(__xludf.DUMMYFUNCTION("IMPORTRANGE(""https://docs.google.com/spreadsheets/d/1eHaY18a8A9IcSdp1K8H6x8fbOy06t2VsZHhMHf-1x7Y/edit?usp=sharing"",""แผน!IH69"")"),0)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IFERROR(__xludf.DUMMYFUNCTION("IMPORTRANGE(""https://docs.google.com/spreadsheets/d/1eHaY18a8A9IcSdp1K8H6x8fbOy06t2VsZHhMHf-1x7Y/edit?usp=sharing"",""แผน!II69"")"),0)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IFERROR(__xludf.DUMMYFUNCTION("IMPORTRANGE(""https://docs.google.com/spreadsheets/d/1eHaY18a8A9IcSdp1K8H6x8fbOy06t2VsZHhMHf-1x7Y/edit?usp=sharing"",""แผน!IJ69"")"),0)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IFERROR(__xludf.DUMMYFUNCTION("IMPORTRANGE(""https://docs.google.com/spreadsheets/d/1eHaY18a8A9IcSdp1K8H6x8fbOy06t2VsZHhMHf-1x7Y/edit?usp=sharing"",""แผน!IK69"")"),0)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IFERROR(__xludf.DUMMYFUNCTION("IMPORTRANGE(""https://docs.google.com/spreadsheets/d/1tdoBKaGub7dwA3U6UFTqxio9LNnvDCQjHKmttSEBsFQ/edit?usp=sharing"",""จัดที่ดิน!AY69"")"),0)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IFERROR(__xludf.DUMMYFUNCTION("IMPORTRANGE(""https://docs.google.com/spreadsheets/d/1tdoBKaGub7dwA3U6UFTqxio9LNnvDCQjHKmttSEBsFQ/edit?usp=sharing"",""จัดที่ดิน!AZ69"")"),0)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IFERROR(__xludf.DUMMYFUNCTION("IMPORTRANGE(""https://docs.google.com/spreadsheets/d/1eHaY18a8A9IcSdp1K8H6x8fbOy06t2VsZHhMHf-1x7Y/edit?usp=sharing"",""แผน!IL69"")"),0)</f>
        <v>0</v>
      </c>
      <c r="J673" s="295">
        <f ca="1">IFERROR(__xludf.DUMMYFUNCTION("IMPORTRANGE(""https://docs.google.com/spreadsheets/d/1tdoBKaGub7dwA3U6UFTqxio9LNnvDCQjHKmttSEBsFQ/edit?usp=sharing"",""จัดที่ดิน!BA69"")"),0)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hidden="1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IFERROR(__xludf.DUMMYFUNCTION("IMPORTRANGE(""https://docs.google.com/spreadsheets/d/1eHaY18a8A9IcSdp1K8H6x8fbOy06t2VsZHhMHf-1x7Y/edit?usp=sharing"",""แผน!IM69"")"),0)</f>
        <v>0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IFERROR(__xludf.DUMMYFUNCTION("IMPORTRANGE(""https://docs.google.com/spreadsheets/d/1eHaY18a8A9IcSdp1K8H6x8fbOy06t2VsZHhMHf-1x7Y/edit?usp=sharing"",""แผน!IN69"")"),0)</f>
        <v>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IFERROR(__xludf.DUMMYFUNCTION("IMPORTRANGE(""https://docs.google.com/spreadsheets/d/1eHaY18a8A9IcSdp1K8H6x8fbOy06t2VsZHhMHf-1x7Y/edit?usp=sharing"",""แผน!IO69"")"),0)</f>
        <v>0</v>
      </c>
      <c r="J676" s="295">
        <f ca="1">IFERROR(__xludf.DUMMYFUNCTION("IMPORTRANGE(""https://docs.google.com/spreadsheets/d/1tdoBKaGub7dwA3U6UFTqxio9LNnvDCQjHKmttSEBsFQ/edit?usp=sharing"",""จัดที่ดิน!BF69"")"),0)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IFERROR(__xludf.DUMMYFUNCTION("IMPORTRANGE(""https://docs.google.com/spreadsheets/d/1tdoBKaGub7dwA3U6UFTqxio9LNnvDCQjHKmttSEBsFQ/edit?usp=sharing"",""จัดที่ดิน!BG69"")"),0)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IFERROR(__xludf.DUMMYFUNCTION("IMPORTRANGE(""https://docs.google.com/spreadsheets/d/1eHaY18a8A9IcSdp1K8H6x8fbOy06t2VsZHhMHf-1x7Y/edit?usp=sharing"",""แผน!IP69"")"),0)</f>
        <v>0</v>
      </c>
      <c r="J678" s="295">
        <f ca="1">IFERROR(__xludf.DUMMYFUNCTION("IMPORTRANGE(""https://docs.google.com/spreadsheets/d/1tdoBKaGub7dwA3U6UFTqxio9LNnvDCQjHKmttSEBsFQ/edit?usp=sharing"",""จัดที่ดิน!BH69"")"),0)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IFERROR(__xludf.DUMMYFUNCTION("IMPORTRANGE(""https://docs.google.com/spreadsheets/d/1eHaY18a8A9IcSdp1K8H6x8fbOy06t2VsZHhMHf-1x7Y/edit?usp=sharing"",""แผน!IQ69"")"),0)</f>
        <v>0</v>
      </c>
      <c r="J679" s="295">
        <f ca="1">IFERROR(__xludf.DUMMYFUNCTION("IMPORTRANGE(""https://docs.google.com/spreadsheets/d/1tdoBKaGub7dwA3U6UFTqxio9LNnvDCQjHKmttSEBsFQ/edit?usp=sharing"",""จัดที่ดิน!BK69"")"),0)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IFERROR(__xludf.DUMMYFUNCTION("IMPORTRANGE(""https://docs.google.com/spreadsheets/d/1tdoBKaGub7dwA3U6UFTqxio9LNnvDCQjHKmttSEBsFQ/edit?usp=sharing"",""จัดที่ดิน!BL69"")"),0)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IFERROR(__xludf.DUMMYFUNCTION("IMPORTRANGE(""https://docs.google.com/spreadsheets/d/1eHaY18a8A9IcSdp1K8H6x8fbOy06t2VsZHhMHf-1x7Y/edit?usp=sharing"",""แผน!IR69"")"),0)</f>
        <v>0</v>
      </c>
      <c r="J681" s="295">
        <f ca="1">IFERROR(__xludf.DUMMYFUNCTION("IMPORTRANGE(""https://docs.google.com/spreadsheets/d/1tdoBKaGub7dwA3U6UFTqxio9LNnvDCQjHKmttSEBsFQ/edit?usp=sharing"",""จัดที่ดิน!BM69"")"),0)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IFERROR(__xludf.DUMMYFUNCTION("IMPORTRANGE(""https://docs.google.com/spreadsheets/d/1eHaY18a8A9IcSdp1K8H6x8fbOy06t2VsZHhMHf-1x7Y/edit?usp=sharing"",""แผน!IS69"")"),0)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60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181480</v>
      </c>
      <c r="R690" s="266">
        <f ca="1">R691+R692</f>
        <v>181480</v>
      </c>
      <c r="S690" s="266">
        <f ca="1">S691+S692</f>
        <v>5800</v>
      </c>
      <c r="T690" s="266">
        <f ca="1">IF(Q690&gt;0,S690*100/Q690,0)</f>
        <v>3.1959444566894422</v>
      </c>
      <c r="U690" s="266">
        <f ca="1">IF(R690&gt;0,S690*100/R690,0)</f>
        <v>3.1959444566894422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181480</v>
      </c>
      <c r="R692" s="77">
        <f ca="1">R695+R698</f>
        <v>181480</v>
      </c>
      <c r="S692" s="77">
        <f ca="1">S695+S698</f>
        <v>5800</v>
      </c>
      <c r="T692" s="77">
        <f ca="1">IF(Q692&gt;0,S692*100/Q692,0)</f>
        <v>3.1959444566894422</v>
      </c>
      <c r="U692" s="77">
        <f ca="1">IF(R692&gt;0,S692*100/R692,0)</f>
        <v>3.1959444566894422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181480</v>
      </c>
      <c r="R693" s="77">
        <f ca="1">R694+R695</f>
        <v>181480</v>
      </c>
      <c r="S693" s="77">
        <f ca="1">S694+S695</f>
        <v>5800</v>
      </c>
      <c r="T693" s="77">
        <f ca="1">IF(Q693&gt;0,S693*100/Q693,0)</f>
        <v>3.1959444566894422</v>
      </c>
      <c r="U693" s="77">
        <f ca="1">IF(R693&gt;0,S693*100/R693,0)</f>
        <v>3.1959444566894422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IFERROR(__xludf.DUMMYFUNCTION("IMPORTRANGE(""https://docs.google.com/spreadsheets/d/1ItG2mGa2ceCfYo0BwxsXqNm01IGEUdYcSSLTEv9YCik/edit?usp=sharing"",""เบิกจ่ายกองทุน!L69"")"),181480)</f>
        <v>181480</v>
      </c>
      <c r="R695" s="77">
        <f ca="1">IFERROR(__xludf.DUMMYFUNCTION("IMPORTRANGE(""https://docs.google.com/spreadsheets/d/1ItG2mGa2ceCfYo0BwxsXqNm01IGEUdYcSSLTEv9YCik/edit?usp=sharing"",""เบิกจ่ายกองทุน!M69"")"),181480)</f>
        <v>181480</v>
      </c>
      <c r="S695" s="77">
        <f ca="1">IFERROR(__xludf.DUMMYFUNCTION("IMPORTRANGE(""https://docs.google.com/spreadsheets/d/1ItG2mGa2ceCfYo0BwxsXqNm01IGEUdYcSSLTEv9YCik/edit?usp=sharing"",""เบิกจ่ายกองทุน!N69"")"),5800)</f>
        <v>5800</v>
      </c>
      <c r="T695" s="77">
        <f ca="1">IF(Q695&gt;0,S695*100/Q695,0)</f>
        <v>3.1959444566894422</v>
      </c>
      <c r="U695" s="77">
        <f ca="1">IF(R695&gt;0,S695*100/R695,0)</f>
        <v>3.1959444566894422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IFERROR(__xludf.DUMMYFUNCTION("IMPORTRANGE(""https://docs.google.com/spreadsheets/d/1eHaY18a8A9IcSdp1K8H6x8fbOy06t2VsZHhMHf-1x7Y/edit?usp=sharing"",""แผน!LC69"")"),0)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64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IFERROR(__xludf.DUMMYFUNCTION("IMPORTRANGE(""https://docs.google.com/spreadsheets/d/1eHaY18a8A9IcSdp1K8H6x8fbOy06t2VsZHhMHf-1x7Y/edit?usp=sharing"",""แผน!LJ69"")"),60)</f>
        <v>60</v>
      </c>
      <c r="J703" s="295">
        <f ca="1">IFERROR(__xludf.DUMMYFUNCTION("IMPORTRANGE(""https://docs.google.com/spreadsheets/d/1tdoBKaGub7dwA3U6UFTqxio9LNnvDCQjHKmttSEBsFQ/edit?usp=sharing"",""จัดที่ดิน!AP69"")"),0)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IFERROR(__xludf.DUMMYFUNCTION("IMPORTRANGE(""https://docs.google.com/spreadsheets/d/1tdoBKaGub7dwA3U6UFTqxio9LNnvDCQjHKmttSEBsFQ/edit?usp=sharing"",""จัดที่ดิน!AQ69"")"),0)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IFERROR(__xludf.DUMMYFUNCTION("IMPORTRANGE(""https://docs.google.com/spreadsheets/d/1eHaY18a8A9IcSdp1K8H6x8fbOy06t2VsZHhMHf-1x7Y/edit?usp=sharing"",""แผน!LK69"")"),4)</f>
        <v>4</v>
      </c>
      <c r="J705" s="295">
        <f ca="1">IFERROR(__xludf.DUMMYFUNCTION("IMPORTRANGE(""https://docs.google.com/spreadsheets/d/1tdoBKaGub7dwA3U6UFTqxio9LNnvDCQjHKmttSEBsFQ/edit?usp=sharing"",""จัดที่ดิน!AR69"")"),0)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IFERROR(__xludf.DUMMYFUNCTION("IMPORTRANGE(""https://docs.google.com/spreadsheets/d/1tdoBKaGub7dwA3U6UFTqxio9LNnvDCQjHKmttSEBsFQ/edit?usp=sharing"",""จัดที่ดิน!AS69"")"),0)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IFERROR(__xludf.DUMMYFUNCTION("IMPORTRANGE(""https://docs.google.com/spreadsheets/d/1eHaY18a8A9IcSdp1K8H6x8fbOy06t2VsZHhMHf-1x7Y/edit?usp=sharing"",""แผน!LJ69"")"),60)</f>
        <v>60</v>
      </c>
      <c r="J707" s="295">
        <f ca="1">IFERROR(__xludf.DUMMYFUNCTION("IMPORTRANGE(""https://docs.google.com/spreadsheets/d/1tdoBKaGub7dwA3U6UFTqxio9LNnvDCQjHKmttSEBsFQ/edit?usp=sharing"",""จัดที่ดิน!BN69"")"),0)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IFERROR(__xludf.DUMMYFUNCTION("IMPORTRANGE(""https://docs.google.com/spreadsheets/d/1tdoBKaGub7dwA3U6UFTqxio9LNnvDCQjHKmttSEBsFQ/edit?usp=sharing"",""จัดที่ดิน!BO69"")"),0)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IFERROR(__xludf.DUMMYFUNCTION("IMPORTRANGE(""https://docs.google.com/spreadsheets/d/1eHaY18a8A9IcSdp1K8H6x8fbOy06t2VsZHhMHf-1x7Y/edit?usp=sharing"",""แผน!LK69"")"),4)</f>
        <v>4</v>
      </c>
      <c r="J709" s="295">
        <f ca="1">IFERROR(__xludf.DUMMYFUNCTION("IMPORTRANGE(""https://docs.google.com/spreadsheets/d/1tdoBKaGub7dwA3U6UFTqxio9LNnvDCQjHKmttSEBsFQ/edit?usp=sharing"",""จัดที่ดิน!BP69"")"),0)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IFERROR(__xludf.DUMMYFUNCTION("IMPORTRANGE(""https://docs.google.com/spreadsheets/d/1tdoBKaGub7dwA3U6UFTqxio9LNnvDCQjHKmttSEBsFQ/edit?usp=sharing"",""จัดที่ดิน!BQ69"")"),0)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IFERROR(__xludf.DUMMYFUNCTION("IMPORTRANGE(""https://docs.google.com/spreadsheets/d/1eHaY18a8A9IcSdp1K8H6x8fbOy06t2VsZHhMHf-1x7Y/edit?usp=sharing"",""แผน!GA69"")"),52)</f>
        <v>52</v>
      </c>
      <c r="J726" s="760">
        <f>J742+J746+J749</f>
        <v>50</v>
      </c>
      <c r="K726" s="746">
        <f ca="1">IF(I726&gt;0,J726*100/I726,0)</f>
        <v>96.15384615384616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IFERROR(__xludf.DUMMYFUNCTION("IMPORTRANGE(""https://docs.google.com/spreadsheets/d/1eHaY18a8A9IcSdp1K8H6x8fbOy06t2VsZHhMHf-1x7Y/edit?usp=sharing"",""แผน!FZ69"")"),500)</f>
        <v>500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391730</v>
      </c>
      <c r="R728" s="266">
        <f ca="1">R729+R730</f>
        <v>391730</v>
      </c>
      <c r="S728" s="266">
        <f ca="1">S729+S730</f>
        <v>72330</v>
      </c>
      <c r="T728" s="266">
        <f ca="1">IF(Q728&gt;0,S728*100/Q728,0)</f>
        <v>18.464248334311897</v>
      </c>
      <c r="U728" s="266">
        <f ca="1">IF(R728&gt;0,S728*100/R728,0)</f>
        <v>18.464248334311897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391730</v>
      </c>
      <c r="R730" s="77">
        <f ca="1">R733+R736</f>
        <v>391730</v>
      </c>
      <c r="S730" s="77">
        <f ca="1">S733+S736</f>
        <v>72330</v>
      </c>
      <c r="T730" s="77">
        <f ca="1">IF(Q730&gt;0,S730*100/Q730,0)</f>
        <v>18.464248334311897</v>
      </c>
      <c r="U730" s="77">
        <f ca="1">IF(R730&gt;0,S730*100/R730,0)</f>
        <v>18.464248334311897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391730</v>
      </c>
      <c r="R731" s="77">
        <f ca="1">R732+R733</f>
        <v>391730</v>
      </c>
      <c r="S731" s="77">
        <f ca="1">S732+S733</f>
        <v>72330</v>
      </c>
      <c r="T731" s="77">
        <f ca="1">IF(Q731&gt;0,S731*100/Q731,0)</f>
        <v>18.464248334311897</v>
      </c>
      <c r="U731" s="77">
        <f ca="1">IF(R731&gt;0,S731*100/R731,0)</f>
        <v>18.464248334311897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IFERROR(__xludf.DUMMYFUNCTION("IMPORTRANGE(""https://docs.google.com/spreadsheets/d/1ItG2mGa2ceCfYo0BwxsXqNm01IGEUdYcSSLTEv9YCik/edit?usp=sharing"",""เบิกจ่ายกองทุน!O69"")"),391730)</f>
        <v>391730</v>
      </c>
      <c r="R733" s="77">
        <f ca="1">IFERROR(__xludf.DUMMYFUNCTION("IMPORTRANGE(""https://docs.google.com/spreadsheets/d/1ItG2mGa2ceCfYo0BwxsXqNm01IGEUdYcSSLTEv9YCik/edit?usp=sharing"",""เบิกจ่ายกองทุน!P69"")"),391730)</f>
        <v>391730</v>
      </c>
      <c r="S733" s="77">
        <f ca="1">IFERROR(__xludf.DUMMYFUNCTION("IMPORTRANGE(""https://docs.google.com/spreadsheets/d/1ItG2mGa2ceCfYo0BwxsXqNm01IGEUdYcSSLTEv9YCik/edit?usp=sharing"",""เบิกจ่ายกองทุน!Q69"")"),72330)</f>
        <v>72330</v>
      </c>
      <c r="T733" s="77">
        <f ca="1">IF(Q733&gt;0,S733*100/Q733,0)</f>
        <v>18.464248334311897</v>
      </c>
      <c r="U733" s="77">
        <f ca="1">IF(R733&gt;0,S733*100/R733,0)</f>
        <v>18.464248334311897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IFERROR(__xludf.DUMMYFUNCTION("IMPORTRANGE(""https://docs.google.com/spreadsheets/d/1eHaY18a8A9IcSdp1K8H6x8fbOy06t2VsZHhMHf-1x7Y/edit?usp=sharing"",""แผน!GB69"")"),400)</f>
        <v>400</v>
      </c>
      <c r="J740" s="816">
        <v>400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IFERROR(__xludf.DUMMYFUNCTION("IMPORTRANGE(""https://docs.google.com/spreadsheets/d/1eHaY18a8A9IcSdp1K8H6x8fbOy06t2VsZHhMHf-1x7Y/edit?usp=sharing"",""แผน!GC69"")"),40)</f>
        <v>40</v>
      </c>
      <c r="J742" s="816">
        <v>40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IFERROR(__xludf.DUMMYFUNCTION("IMPORTRANGE(""https://docs.google.com/spreadsheets/d/1eHaY18a8A9IcSdp1K8H6x8fbOy06t2VsZHhMHf-1x7Y/edit?usp=sharing"",""แผน!GD69"")"),100)</f>
        <v>100</v>
      </c>
      <c r="J744" s="816">
        <v>100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IFERROR(__xludf.DUMMYFUNCTION("IMPORTRANGE(""https://docs.google.com/spreadsheets/d/1eHaY18a8A9IcSdp1K8H6x8fbOy06t2VsZHhMHf-1x7Y/edit?usp=sharing"",""แผน!GE69"")"),10)</f>
        <v>10</v>
      </c>
      <c r="J746" s="816">
        <v>10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IFERROR(__xludf.DUMMYFUNCTION("IMPORTRANGE(""https://docs.google.com/spreadsheets/d/1eHaY18a8A9IcSdp1K8H6x8fbOy06t2VsZHhMHf-1x7Y/edit?usp=sharing"",""แผน!GF69"")"),2)</f>
        <v>2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IFERROR(__xludf.DUMMYFUNCTION("IMPORTRANGE(""https://docs.google.com/spreadsheets/d/1eHaY18a8A9IcSdp1K8H6x8fbOy06t2VsZHhMHf-1x7Y/edit?usp=sharing"",""แผน!GB69"")"),400)</f>
        <v>400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IFERROR(__xludf.DUMMYFUNCTION("IMPORTRANGE(""https://docs.google.com/spreadsheets/d/1eHaY18a8A9IcSdp1K8H6x8fbOy06t2VsZHhMHf-1x7Y/edit?usp=sharing"",""แผน!GD69"")"),100)</f>
        <v>100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IFERROR(__xludf.DUMMYFUNCTION("IMPORTRANGE(""https://docs.google.com/spreadsheets/d/1ItG2mGa2ceCfYo0BwxsXqNm01IGEUdYcSSLTEv9YCik/edit?usp=sharing"",""เบิกจ่ายกองทุน!U69"")"),0)</f>
        <v>0</v>
      </c>
      <c r="R765" s="77">
        <f ca="1">IFERROR(__xludf.DUMMYFUNCTION("IMPORTRANGE(""https://docs.google.com/spreadsheets/d/1ItG2mGa2ceCfYo0BwxsXqNm01IGEUdYcSSLTEv9YCik/edit?usp=sharing"",""เบิกจ่ายกองทุน!V69"")"),0)</f>
        <v>0</v>
      </c>
      <c r="S765" s="77">
        <f ca="1">IFERROR(__xludf.DUMMYFUNCTION("IMPORTRANGE(""https://docs.google.com/spreadsheets/d/1ItG2mGa2ceCfYo0BwxsXqNm01IGEUdYcSSLTEv9YCik/edit?usp=sharing"",""เบิกจ่ายกองทุน!W69"")"),0)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IFERROR(__xludf.DUMMYFUNCTION("IMPORTRANGE(""https://docs.google.com/spreadsheets/d/1eHaY18a8A9IcSdp1K8H6x8fbOy06t2VsZHhMHf-1x7Y/edit?usp=sharing"",""แผน!FI69"")"),0)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IFERROR(__xludf.DUMMYFUNCTION("IMPORTRANGE(""https://docs.google.com/spreadsheets/d/1eHaY18a8A9IcSdp1K8H6x8fbOy06t2VsZHhMHf-1x7Y/edit?usp=sharing"",""แผน!FQ69"")"),0)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IFERROR(__xludf.DUMMYFUNCTION("IMPORTRANGE(""https://docs.google.com/spreadsheets/d/1eHaY18a8A9IcSdp1K8H6x8fbOy06t2VsZHhMHf-1x7Y/edit?usp=sharing"",""แผน!FR69"")"),0)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IFERROR(__xludf.DUMMYFUNCTION("IMPORTRANGE(""https://docs.google.com/spreadsheets/d/1eHaY18a8A9IcSdp1K8H6x8fbOy06t2VsZHhMHf-1x7Y/edit?usp=sharing"",""แผน!FS69"")"),0)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IFERROR(__xludf.DUMMYFUNCTION("IMPORTRANGE(""https://docs.google.com/spreadsheets/d/1eHaY18a8A9IcSdp1K8H6x8fbOy06t2VsZHhMHf-1x7Y/edit?usp=sharing"",""แผน!FT69"")"),0)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IFERROR(__xludf.DUMMYFUNCTION("IMPORTRANGE(""https://docs.google.com/spreadsheets/d/10OvvATaaLtwErnr3qtWFcTmtbfpFEt5Bsqel9sXx0uE/edit?usp=sharing"",""งานกองทุน!D69"")"),8611220.44)</f>
        <v>8611220.4399999995</v>
      </c>
      <c r="J778" s="295">
        <f ca="1">IFERROR(__xludf.DUMMYFUNCTION("IMPORTRANGE(""https://docs.google.com/spreadsheets/d/10OvvATaaLtwErnr3qtWFcTmtbfpFEt5Bsqel9sXx0uE/edit?usp=sharing"",""งานกองทุน!F69"")"),4312586.96)</f>
        <v>4312586.96</v>
      </c>
      <c r="K778" s="77">
        <f ca="1">IF(I778&gt;0,J778*100/I778,0)</f>
        <v>50.081019177811228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IFERROR(__xludf.DUMMYFUNCTION("IMPORTRANGE(""https://docs.google.com/spreadsheets/d/10OvvATaaLtwErnr3qtWFcTmtbfpFEt5Bsqel9sXx0uE/edit?usp=sharing"",""งานกองทุน!C69"")"),590)</f>
        <v>590</v>
      </c>
      <c r="J779" s="295">
        <f ca="1">IFERROR(__xludf.DUMMYFUNCTION("IMPORTRANGE(""https://docs.google.com/spreadsheets/d/10OvvATaaLtwErnr3qtWFcTmtbfpFEt5Bsqel9sXx0uE/edit?usp=sharing"",""งานกองทุน!E69"")"),275)</f>
        <v>275</v>
      </c>
      <c r="K779" s="77">
        <f ca="1">IF(I779&gt;0,J779*100/I779,0)</f>
        <v>46.610169491525426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IFERROR(__xludf.DUMMYFUNCTION("IMPORTRANGE(""https://docs.google.com/spreadsheets/d/10OvvATaaLtwErnr3qtWFcTmtbfpFEt5Bsqel9sXx0uE/edit?usp=sharing"",""งานกองทุน!I69"")"),5203811.49)</f>
        <v>5203811.49</v>
      </c>
      <c r="J780" s="295">
        <f ca="1">IFERROR(__xludf.DUMMYFUNCTION("IMPORTRANGE(""https://docs.google.com/spreadsheets/d/10OvvATaaLtwErnr3qtWFcTmtbfpFEt5Bsqel9sXx0uE/edit?usp=sharing"",""งานกองทุน!K69"")"),1024132.4)</f>
        <v>1024132.4</v>
      </c>
      <c r="K780" s="77">
        <f ca="1">IF(I780&gt;0,J780*100/I780,0)</f>
        <v>19.680428508373964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IFERROR(__xludf.DUMMYFUNCTION("IMPORTRANGE(""https://docs.google.com/spreadsheets/d/10OvvATaaLtwErnr3qtWFcTmtbfpFEt5Bsqel9sXx0uE/edit?usp=sharing"",""งานกองทุน!H69"")"),208)</f>
        <v>208</v>
      </c>
      <c r="J781" s="295">
        <f ca="1">IFERROR(__xludf.DUMMYFUNCTION("IMPORTRANGE(""https://docs.google.com/spreadsheets/d/10OvvATaaLtwErnr3qtWFcTmtbfpFEt5Bsqel9sXx0uE/edit?usp=sharing"",""งานกองทุน!J69"")"),107)</f>
        <v>107</v>
      </c>
      <c r="K781" s="77">
        <f ca="1">IF(I781&gt;0,J781*100/I781,0)</f>
        <v>51.442307692307693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IFERROR(__xludf.DUMMYFUNCTION("IMPORTRANGE(""https://docs.google.com/spreadsheets/d/10OvvATaaLtwErnr3qtWFcTmtbfpFEt5Bsqel9sXx0uE/edit?usp=sharing"",""งานกองทุน!N69"")"),63028)</f>
        <v>63028</v>
      </c>
      <c r="J782" s="295">
        <f ca="1">IFERROR(__xludf.DUMMYFUNCTION("IMPORTRANGE(""https://docs.google.com/spreadsheets/d/10OvvATaaLtwErnr3qtWFcTmtbfpFEt5Bsqel9sXx0uE/edit?usp=sharing"",""งานกองทุน!P69"")"),63028)</f>
        <v>63028</v>
      </c>
      <c r="K782" s="77">
        <f ca="1">IF(I782&gt;0,J782*100/I782,0)</f>
        <v>100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IFERROR(__xludf.DUMMYFUNCTION("IMPORTRANGE(""https://docs.google.com/spreadsheets/d/10OvvATaaLtwErnr3qtWFcTmtbfpFEt5Bsqel9sXx0uE/edit?usp=sharing"",""งานกองทุน!M69"")"),42)</f>
        <v>42</v>
      </c>
      <c r="J783" s="295">
        <f ca="1">IFERROR(__xludf.DUMMYFUNCTION("IMPORTRANGE(""https://docs.google.com/spreadsheets/d/10OvvATaaLtwErnr3qtWFcTmtbfpFEt5Bsqel9sXx0uE/edit?usp=sharing"",""งานกองทุน!O69"")"),42)</f>
        <v>42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IFERROR(__xludf.DUMMYFUNCTION("IMPORTRANGE(""https://docs.google.com/spreadsheets/d/10OvvATaaLtwErnr3qtWFcTmtbfpFEt5Bsqel9sXx0uE/edit?usp=sharing"",""งานกองทุน!S69"")"),12488000)</f>
        <v>12488000</v>
      </c>
      <c r="J784" s="295">
        <f ca="1">IFERROR(__xludf.DUMMYFUNCTION("IMPORTRANGE(""https://docs.google.com/spreadsheets/d/10OvvATaaLtwErnr3qtWFcTmtbfpFEt5Bsqel9sXx0uE/edit?usp=sharing"",""งานกองทุน!U69"")"),7110000)</f>
        <v>7110000</v>
      </c>
      <c r="K784" s="77">
        <f ca="1">IF(I784&gt;0,J784*100/I784,0)</f>
        <v>56.934657270980139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IFERROR(__xludf.DUMMYFUNCTION("IMPORTRANGE(""https://docs.google.com/spreadsheets/d/10OvvATaaLtwErnr3qtWFcTmtbfpFEt5Bsqel9sXx0uE/edit?usp=sharing"",""งานกองทุน!R69"")"),446)</f>
        <v>446</v>
      </c>
      <c r="J785" s="773">
        <f ca="1">IFERROR(__xludf.DUMMYFUNCTION("IMPORTRANGE(""https://docs.google.com/spreadsheets/d/10OvvATaaLtwErnr3qtWFcTmtbfpFEt5Bsqel9sXx0uE/edit?usp=sharing"",""งานกองทุน!T69"")"),165)</f>
        <v>165</v>
      </c>
      <c r="K785" s="185">
        <f ca="1">IF(I785&gt;0,J785*100/I785,0)</f>
        <v>36.995515695067262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365B-5011-4822-B277-FCB026CAC142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5" width="3.28515625" customWidth="1"/>
    <col min="6" max="6" width="61.42578125" customWidth="1"/>
    <col min="8" max="8" width="9.42578125" customWidth="1"/>
    <col min="9" max="9" width="18.71093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7" width="21.28515625" bestFit="1" customWidth="1"/>
    <col min="18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357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1591512</v>
      </c>
      <c r="M18" s="62">
        <f ca="1">M19+M20</f>
        <v>1633421.1</v>
      </c>
      <c r="N18" s="62">
        <f ca="1">N19+N20</f>
        <v>1267571.17</v>
      </c>
      <c r="O18" s="62">
        <f ca="1">IF(L18&gt;0,N18*100/L18,0)</f>
        <v>79.645718662504592</v>
      </c>
      <c r="P18" s="62">
        <f ca="1">IF(M18&gt;0,N18*100/M18,0)</f>
        <v>77.602228231287071</v>
      </c>
      <c r="Q18" s="62">
        <f ca="1">Q19+Q20</f>
        <v>1011655.39</v>
      </c>
      <c r="R18" s="62">
        <f ca="1">R19+R20</f>
        <v>886655</v>
      </c>
      <c r="S18" s="62">
        <f ca="1">S19+S20</f>
        <v>136559</v>
      </c>
      <c r="T18" s="62">
        <f ca="1">IF(Q18&gt;0,S18*100/Q18,0)</f>
        <v>13.498568914855483</v>
      </c>
      <c r="U18" s="62">
        <f ca="1">IF(R18&gt;0,S18*100/R18,0)</f>
        <v>15.401593629991373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1591512</v>
      </c>
      <c r="M20" s="68">
        <f ca="1">M23+M26</f>
        <v>1633421.1</v>
      </c>
      <c r="N20" s="68">
        <f ca="1">N23+N26</f>
        <v>1267571.17</v>
      </c>
      <c r="O20" s="68">
        <f ca="1">IF(L20&gt;0,N20*100/L20,0)</f>
        <v>79.645718662504592</v>
      </c>
      <c r="P20" s="68">
        <f ca="1">IF(M20&gt;0,N20*100/M20,0)</f>
        <v>77.602228231287071</v>
      </c>
      <c r="Q20" s="68">
        <f ca="1">Q23+Q26</f>
        <v>1011655.39</v>
      </c>
      <c r="R20" s="68">
        <f ca="1">R23+R26</f>
        <v>886655</v>
      </c>
      <c r="S20" s="68">
        <f ca="1">S23+S26</f>
        <v>136559</v>
      </c>
      <c r="T20" s="68">
        <f ca="1">IF(Q20&gt;0,S20*100/Q20,0)</f>
        <v>13.498568914855483</v>
      </c>
      <c r="U20" s="68">
        <f ca="1">IF(R20&gt;0,S20*100/R20,0)</f>
        <v>15.401593629991373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1591512</v>
      </c>
      <c r="M21" s="77">
        <f ca="1">M22+M23</f>
        <v>1633421.1</v>
      </c>
      <c r="N21" s="77">
        <f ca="1">N22+N23</f>
        <v>1267571.17</v>
      </c>
      <c r="O21" s="77">
        <f ca="1">IF(L21&gt;0,N21*100/L21,0)</f>
        <v>79.645718662504592</v>
      </c>
      <c r="P21" s="77">
        <f ca="1">IF(M21&gt;0,N21*100/M21,0)</f>
        <v>77.602228231287071</v>
      </c>
      <c r="Q21" s="77">
        <f ca="1">Q22+Q23</f>
        <v>1011655.39</v>
      </c>
      <c r="R21" s="77">
        <f ca="1">R22+R23</f>
        <v>886655</v>
      </c>
      <c r="S21" s="77">
        <f ca="1">S22+S23</f>
        <v>136559</v>
      </c>
      <c r="T21" s="77">
        <f ca="1">IF(Q21&gt;0,S21*100/Q21,0)</f>
        <v>13.498568914855483</v>
      </c>
      <c r="U21" s="77">
        <f ca="1">IF(R21&gt;0,S21*100/R21,0)</f>
        <v>15.401593629991373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1591512</v>
      </c>
      <c r="M23" s="77">
        <f ca="1">M49+M64+M77+M99+M130+M144+M162+M191+M178+M271+M287+M308+M325+M338+M361+M518</f>
        <v>1633421.1</v>
      </c>
      <c r="N23" s="77">
        <f ca="1">N49+N64+N77+N99+N130+N144+N162+N191+N178+N271+N287+N308+N325+N338+N361+N518</f>
        <v>1267571.17</v>
      </c>
      <c r="O23" s="77">
        <f ca="1">IF(L23&gt;0,N23*100/L23,0)</f>
        <v>79.645718662504592</v>
      </c>
      <c r="P23" s="77">
        <f ca="1">IF(M23&gt;0,N23*100/M23,0)</f>
        <v>77.602228231287071</v>
      </c>
      <c r="Q23" s="77">
        <f ca="1">Q77+Q99+Q122+Q144+Q162+Q178+Q191+Q271+Q287+Q308+Q338+Q380+Q397+Q418+Q498+Q604+Q621+Q647+Q695+Q719+Q733+Q765</f>
        <v>1011655.39</v>
      </c>
      <c r="R23" s="77">
        <f ca="1">R77+R99+R122+R144+R162+R178+R191+R271+R287+R308+R338+R380+R397+R418+R498+R604+R621+R647+R695+R719+R733+R765</f>
        <v>886655</v>
      </c>
      <c r="S23" s="77">
        <f ca="1">S77+S99+S122+S144+S162+S178+S191+S271+S287+S308+S338+S380+S397+S418+S498+S604+S621+S647+S695+S719+S733+S765</f>
        <v>136559</v>
      </c>
      <c r="T23" s="77">
        <f ca="1">IF(Q23&gt;0,S23*100/Q23,0)</f>
        <v>13.498568914855483</v>
      </c>
      <c r="U23" s="77">
        <f ca="1">IF(R23&gt;0,S23*100/R23,0)</f>
        <v>15.401593629991373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1591512</v>
      </c>
      <c r="M40" s="1308">
        <f ca="1">M44+M59+M72+M94+M125+M139+M157+M173+M186+M266+M282+M303+M320+M333+M356</f>
        <v>1633421.1</v>
      </c>
      <c r="N40" s="1308">
        <f ca="1">N44+N59+N72+N94+N125+N139+N157+N173+N186+N266+N282+N303+N320+N333+N356</f>
        <v>1267571.17</v>
      </c>
      <c r="O40" s="1308">
        <f ca="1">IF(L40&gt;0,N40*100/L40,0)</f>
        <v>79.645718662504592</v>
      </c>
      <c r="P40" s="1308">
        <f ca="1">IF(M40&gt;0,N40*100/M40,0)</f>
        <v>77.602228231287071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320492</v>
      </c>
      <c r="M44" s="1304">
        <f ca="1">M45+M46</f>
        <v>367211.1</v>
      </c>
      <c r="N44" s="1304">
        <f ca="1">N45+N46</f>
        <v>315348.09999999998</v>
      </c>
      <c r="O44" s="1304">
        <f ca="1">IF(L44&gt;0,N44*100/L44,0)</f>
        <v>98.394998939131071</v>
      </c>
      <c r="P44" s="1304">
        <f ca="1">IF(M44&gt;0,N44*100/M44,0)</f>
        <v>85.876516259993224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320492</v>
      </c>
      <c r="M46" s="1300">
        <f ca="1">M49+M52</f>
        <v>367211.1</v>
      </c>
      <c r="N46" s="1300">
        <f ca="1">N49+N52</f>
        <v>315348.09999999998</v>
      </c>
      <c r="O46" s="1300">
        <f ca="1">IF(L46&gt;0,N46*100/L46,0)</f>
        <v>98.394998939131071</v>
      </c>
      <c r="P46" s="1300">
        <f ca="1">IF(M46&gt;0,N46*100/M46,0)</f>
        <v>85.876516259993224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320492</v>
      </c>
      <c r="M47" s="77">
        <f ca="1">M48+M49</f>
        <v>367211.1</v>
      </c>
      <c r="N47" s="77">
        <f ca="1">N48+N49</f>
        <v>315348.09999999998</v>
      </c>
      <c r="O47" s="77">
        <f ca="1">IF(L47&gt;0,N47*100/L47,0)</f>
        <v>98.394998939131071</v>
      </c>
      <c r="P47" s="77">
        <f ca="1">IF(M47&gt;0,N47*100/M47,0)</f>
        <v>85.876516259993224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IFERROR(__xludf.DUMMYFUNCTION("IMPORTRANGE(""https://docs.google.com/spreadsheets/d/1-uDff_7J0KD5mKrp0Vvzr7lt3OU09vwQwhkpOPPYv2Y/edit?usp=sharing"",""งบพรบ!P70"")"),320492)</f>
        <v>320492</v>
      </c>
      <c r="M49" s="77">
        <f ca="1">IFERROR(__xludf.DUMMYFUNCTION("IMPORTRANGE(""https://docs.google.com/spreadsheets/d/1-uDff_7J0KD5mKrp0Vvzr7lt3OU09vwQwhkpOPPYv2Y/edit?usp=sharing"",""งบพรบ!V70"")"),367211.1)</f>
        <v>367211.1</v>
      </c>
      <c r="N49" s="77">
        <f ca="1">IFERROR(__xludf.DUMMYFUNCTION("IMPORTRANGE(""https://docs.google.com/spreadsheets/d/1-uDff_7J0KD5mKrp0Vvzr7lt3OU09vwQwhkpOPPYv2Y/edit?usp=sharing"",""งบพรบ!Y70"")"),315348.1)</f>
        <v>315348.09999999998</v>
      </c>
      <c r="O49" s="77">
        <f ca="1">IF(L49&gt;0,N49*100/L49,0)</f>
        <v>98.394998939131071</v>
      </c>
      <c r="P49" s="77">
        <f ca="1">IF(M49&gt;0,N49*100/M49,0)</f>
        <v>85.876516259993224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IFERROR(__xludf.DUMMYFUNCTION("IMPORTRANGE(""https://docs.google.com/spreadsheets/d/1-uDff_7J0KD5mKrp0Vvzr7lt3OU09vwQwhkpOPPYv2Y/edit?usp=sharing"",""งบพรบ!S70"")"),0)</f>
        <v>0</v>
      </c>
      <c r="M52" s="77">
        <f ca="1">IFERROR(__xludf.DUMMYFUNCTION("IMPORTRANGE(""https://docs.google.com/spreadsheets/d/1-uDff_7J0KD5mKrp0Vvzr7lt3OU09vwQwhkpOPPYv2Y/edit?usp=sharing"",""งบพรบ!W70"")"),0)</f>
        <v>0</v>
      </c>
      <c r="N52" s="77">
        <f ca="1">IFERROR(__xludf.DUMMYFUNCTION("IMPORTRANGE(""https://docs.google.com/spreadsheets/d/1-uDff_7J0KD5mKrp0Vvzr7lt3OU09vwQwhkpOPPYv2Y/edit?usp=sharing"",""งบพรบ!Z70"")"),0)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436200</v>
      </c>
      <c r="M59" s="1297">
        <f ca="1">M60+M61</f>
        <v>436200</v>
      </c>
      <c r="N59" s="1297">
        <f ca="1">N60+N61</f>
        <v>411386.1</v>
      </c>
      <c r="O59" s="1297">
        <f ca="1">IF(L59&gt;0,N59*100/L59,0)</f>
        <v>94.311348005502069</v>
      </c>
      <c r="P59" s="1297">
        <f ca="1">IF(M59&gt;0,N59*100/M59,0)</f>
        <v>94.311348005502069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436200</v>
      </c>
      <c r="M61" s="1293">
        <f ca="1">M64+M67</f>
        <v>436200</v>
      </c>
      <c r="N61" s="1293">
        <f ca="1">N64+N67</f>
        <v>411386.1</v>
      </c>
      <c r="O61" s="1293">
        <f ca="1">IF(L61&gt;0,N61*100/L61,0)</f>
        <v>94.311348005502069</v>
      </c>
      <c r="P61" s="1293">
        <f ca="1">IF(M61&gt;0,N61*100/M61,0)</f>
        <v>94.311348005502069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436200</v>
      </c>
      <c r="M62" s="77">
        <f ca="1">M63+M64</f>
        <v>436200</v>
      </c>
      <c r="N62" s="77">
        <f ca="1">N63+N64</f>
        <v>411386.1</v>
      </c>
      <c r="O62" s="77">
        <f ca="1">IF(L62&gt;0,N62*100/L62,0)</f>
        <v>94.311348005502069</v>
      </c>
      <c r="P62" s="77">
        <f ca="1">IF(M62&gt;0,N62*100/M62,0)</f>
        <v>94.311348005502069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IFERROR(__xludf.DUMMYFUNCTION("IMPORTRANGE(""https://docs.google.com/spreadsheets/d/1-uDff_7J0KD5mKrp0Vvzr7lt3OU09vwQwhkpOPPYv2Y/edit?usp=sharing"",""งบพรบ!AC70"")"),436200)</f>
        <v>436200</v>
      </c>
      <c r="M64" s="77">
        <f ca="1">IFERROR(__xludf.DUMMYFUNCTION("IMPORTRANGE(""https://docs.google.com/spreadsheets/d/1-uDff_7J0KD5mKrp0Vvzr7lt3OU09vwQwhkpOPPYv2Y/edit?usp=sharing"",""งบพรบ!AH70"")"),436200)</f>
        <v>436200</v>
      </c>
      <c r="N64" s="77">
        <f ca="1">IFERROR(__xludf.DUMMYFUNCTION("IMPORTRANGE(""https://docs.google.com/spreadsheets/d/1-uDff_7J0KD5mKrp0Vvzr7lt3OU09vwQwhkpOPPYv2Y/edit?usp=sharing"",""งบพรบ!AJ70"")"),411386.1)</f>
        <v>411386.1</v>
      </c>
      <c r="O64" s="77">
        <f ca="1">IF(L64&gt;0,N64*100/L64,0)</f>
        <v>94.311348005502069</v>
      </c>
      <c r="P64" s="77">
        <f ca="1">IF(M64&gt;0,N64*100/M64,0)</f>
        <v>94.311348005502069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IFERROR(__xludf.DUMMYFUNCTION("IMPORTRANGE(""https://docs.google.com/spreadsheets/d/1-uDff_7J0KD5mKrp0Vvzr7lt3OU09vwQwhkpOPPYv2Y/edit?usp=sharing"",""งบพรบ!AF70"")"),0)</f>
        <v>0</v>
      </c>
      <c r="M67" s="185">
        <f ca="1">IFERROR(__xludf.DUMMYFUNCTION("IMPORTRANGE(""https://docs.google.com/spreadsheets/d/1-uDff_7J0KD5mKrp0Vvzr7lt3OU09vwQwhkpOPPYv2Y/edit?usp=sharing"",""งบพรบ!AI70"")"),0)</f>
        <v>0</v>
      </c>
      <c r="N67" s="185">
        <f ca="1">IFERROR(__xludf.DUMMYFUNCTION("IMPORTRANGE(""https://docs.google.com/spreadsheets/d/1-uDff_7J0KD5mKrp0Vvzr7lt3OU09vwQwhkpOPPYv2Y/edit?usp=sharing"",""งบพรบ!AK70"")"),0)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IFERROR(__xludf.DUMMYFUNCTION("IMPORTRANGE(""https://docs.google.com/spreadsheets/d/1-uDff_7J0KD5mKrp0Vvzr7lt3OU09vwQwhkpOPPYv2Y/edit?usp=sharing"",""งบพรบ!AM70"")"),0)</f>
        <v>0</v>
      </c>
      <c r="M77" s="77">
        <f ca="1">IFERROR(__xludf.DUMMYFUNCTION("IMPORTRANGE(""https://docs.google.com/spreadsheets/d/1-uDff_7J0KD5mKrp0Vvzr7lt3OU09vwQwhkpOPPYv2Y/edit?usp=sharing"",""งบพรบ!AR70"")"),0)</f>
        <v>0</v>
      </c>
      <c r="N77" s="77">
        <f ca="1">IFERROR(__xludf.DUMMYFUNCTION("IMPORTRANGE(""https://docs.google.com/spreadsheets/d/1-uDff_7J0KD5mKrp0Vvzr7lt3OU09vwQwhkpOPPYv2Y/edit?usp=sharing"",""งบพรบ!AT70"")"),0)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IFERROR(__xludf.DUMMYFUNCTION("IMPORTRANGE(""https://docs.google.com/spreadsheets/d/1ItG2mGa2ceCfYo0BwxsXqNm01IGEUdYcSSLTEv9YCik/edit?usp=sharing"",""เบิกจ่ายกองทุน!AS70"")"),0)</f>
        <v>0</v>
      </c>
      <c r="R77" s="77">
        <f ca="1">IFERROR(__xludf.DUMMYFUNCTION("IMPORTRANGE(""https://docs.google.com/spreadsheets/d/1ItG2mGa2ceCfYo0BwxsXqNm01IGEUdYcSSLTEv9YCik/edit?usp=sharing"",""เบิกจ่ายกองทุน!AT70"")"),0)</f>
        <v>0</v>
      </c>
      <c r="S77" s="77">
        <f ca="1">IFERROR(__xludf.DUMMYFUNCTION("IMPORTRANGE(""https://docs.google.com/spreadsheets/d/1ItG2mGa2ceCfYo0BwxsXqNm01IGEUdYcSSLTEv9YCik/edit?usp=sharing"",""เบิกจ่ายกองทุน!AU70"")"),0)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IFERROR(__xludf.DUMMYFUNCTION("IMPORTRANGE(""https://docs.google.com/spreadsheets/d/1-uDff_7J0KD5mKrp0Vvzr7lt3OU09vwQwhkpOPPYv2Y/edit?usp=sharing"",""งบพรบ!AP70"")"),0)</f>
        <v>0</v>
      </c>
      <c r="M80" s="77">
        <f ca="1">IFERROR(__xludf.DUMMYFUNCTION("IMPORTRANGE(""https://docs.google.com/spreadsheets/d/1-uDff_7J0KD5mKrp0Vvzr7lt3OU09vwQwhkpOPPYv2Y/edit?usp=sharing"",""งบพรบ!AS70"")"),0)</f>
        <v>0</v>
      </c>
      <c r="N80" s="77">
        <f ca="1">IFERROR(__xludf.DUMMYFUNCTION("IMPORTRANGE(""https://docs.google.com/spreadsheets/d/1-uDff_7J0KD5mKrp0Vvzr7lt3OU09vwQwhkpOPPYv2Y/edit?usp=sharing"",""งบพรบ!AU70"")"),0)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IFERROR(__xludf.DUMMYFUNCTION("IMPORTRANGE(""https://docs.google.com/spreadsheets/d/1eHaY18a8A9IcSdp1K8H6x8fbOy06t2VsZHhMHf-1x7Y/edit?usp=sharing"",""แผน!H70"")"),0)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IFERROR(__xludf.DUMMYFUNCTION("IMPORTRANGE(""https://docs.google.com/spreadsheets/d/1eHaY18a8A9IcSdp1K8H6x8fbOy06t2VsZHhMHf-1x7Y/edit?usp=sharing"",""แผน!I70"")"),0)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IFERROR(__xludf.DUMMYFUNCTION("IMPORTRANGE(""https://docs.google.com/spreadsheets/d/1eHaY18a8A9IcSdp1K8H6x8fbOy06t2VsZHhMHf-1x7Y/edit?usp=sharing"",""แผน!F70"")"),0)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IFERROR(__xludf.DUMMYFUNCTION("IMPORTRANGE(""https://docs.google.com/spreadsheets/d/1eHaY18a8A9IcSdp1K8H6x8fbOy06t2VsZHhMHf-1x7Y/edit?usp=sharing"",""แผน!G70"")"),0)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IFERROR(__xludf.DUMMYFUNCTION("IMPORTRANGE(""https://docs.google.com/spreadsheets/d/1eHaY18a8A9IcSdp1K8H6x8fbOy06t2VsZHhMHf-1x7Y/edit?usp=sharing"",""แผน!D70"")"),0)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IFERROR(__xludf.DUMMYFUNCTION("IMPORTRANGE(""https://docs.google.com/spreadsheets/d/1eHaY18a8A9IcSdp1K8H6x8fbOy06t2VsZHhMHf-1x7Y/edit?usp=sharing"",""แผน!E70"")"),0)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IFERROR(__xludf.DUMMYFUNCTION("IMPORTRANGE(""https://docs.google.com/spreadsheets/d/1eHaY18a8A9IcSdp1K8H6x8fbOy06t2VsZHhMHf-1x7Y/edit?usp=sharing"",""แผน!J70"")"),0)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IFERROR(__xludf.DUMMYFUNCTION("IMPORTRANGE(""https://docs.google.com/spreadsheets/d/1-uDff_7J0KD5mKrp0Vvzr7lt3OU09vwQwhkpOPPYv2Y/edit?usp=sharing"",""งบพรบ!AW70"")"),0)</f>
        <v>0</v>
      </c>
      <c r="M99" s="77">
        <f ca="1">IFERROR(__xludf.DUMMYFUNCTION("IMPORTRANGE(""https://docs.google.com/spreadsheets/d/1-uDff_7J0KD5mKrp0Vvzr7lt3OU09vwQwhkpOPPYv2Y/edit?usp=sharing"",""งบพรบ!BB70"")"),0)</f>
        <v>0</v>
      </c>
      <c r="N99" s="77">
        <f ca="1">IFERROR(__xludf.DUMMYFUNCTION("IMPORTRANGE(""https://docs.google.com/spreadsheets/d/1-uDff_7J0KD5mKrp0Vvzr7lt3OU09vwQwhkpOPPYv2Y/edit?usp=sharing"",""งบพรบ!BD70"")"),0)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IFERROR(__xludf.DUMMYFUNCTION("IMPORTRANGE(""https://docs.google.com/spreadsheets/d/1ItG2mGa2ceCfYo0BwxsXqNm01IGEUdYcSSLTEv9YCik/edit?usp=sharing"",""เบิกจ่ายกองทุน!AD70"")"),0)</f>
        <v>0</v>
      </c>
      <c r="R99" s="77">
        <f ca="1">IFERROR(__xludf.DUMMYFUNCTION("IMPORTRANGE(""https://docs.google.com/spreadsheets/d/1ItG2mGa2ceCfYo0BwxsXqNm01IGEUdYcSSLTEv9YCik/edit?usp=sharing"",""เบิกจ่ายกองทุน!AE70"")"),0)</f>
        <v>0</v>
      </c>
      <c r="S99" s="77">
        <f ca="1">IFERROR(__xludf.DUMMYFUNCTION("IMPORTRANGE(""https://docs.google.com/spreadsheets/d/1ItG2mGa2ceCfYo0BwxsXqNm01IGEUdYcSSLTEv9YCik/edit?usp=sharing"",""เบิกจ่ายกองทุน!AF70"")"),0)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IFERROR(__xludf.DUMMYFUNCTION("IMPORTRANGE(""https://docs.google.com/spreadsheets/d/1-uDff_7J0KD5mKrp0Vvzr7lt3OU09vwQwhkpOPPYv2Y/edit?usp=sharing"",""งบพรบ!AZ70"")"),0)</f>
        <v>0</v>
      </c>
      <c r="M102" s="77">
        <f ca="1">IFERROR(__xludf.DUMMYFUNCTION("IMPORTRANGE(""https://docs.google.com/spreadsheets/d/1-uDff_7J0KD5mKrp0Vvzr7lt3OU09vwQwhkpOPPYv2Y/edit?usp=sharing"",""งบพรบ!BC70"")"),0)</f>
        <v>0</v>
      </c>
      <c r="N102" s="77">
        <f ca="1">IFERROR(__xludf.DUMMYFUNCTION("IMPORTRANGE(""https://docs.google.com/spreadsheets/d/1-uDff_7J0KD5mKrp0Vvzr7lt3OU09vwQwhkpOPPYv2Y/edit?usp=sharing"",""งบพรบ!BE70"")"),0)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IFERROR(__xludf.DUMMYFUNCTION("IMPORTRANGE(""https://docs.google.com/spreadsheets/d/1eHaY18a8A9IcSdp1K8H6x8fbOy06t2VsZHhMHf-1x7Y/edit?usp=sharing"",""แผน!N70"")"),0)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IFERROR(__xludf.DUMMYFUNCTION("IMPORTRANGE(""https://docs.google.com/spreadsheets/d/1eHaY18a8A9IcSdp1K8H6x8fbOy06t2VsZHhMHf-1x7Y/edit?usp=sharing"",""แผน!O70"")"),0)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IFERROR(__xludf.DUMMYFUNCTION("IMPORTRANGE(""https://docs.google.com/spreadsheets/d/1eHaY18a8A9IcSdp1K8H6x8fbOy06t2VsZHhMHf-1x7Y/edit?usp=sharing"",""แผน!R70"")"),0)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59609</v>
      </c>
      <c r="T117" s="266">
        <f ca="1">IF(Q117&gt;0,S117*100/Q117,0)</f>
        <v>34.325118046758035</v>
      </c>
      <c r="U117" s="266">
        <f ca="1">IF(R117&gt;0,S117*100/R117,0)</f>
        <v>34.325118046758035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59609</v>
      </c>
      <c r="T119" s="77">
        <f ca="1">IF(Q119&gt;0,S119*100/Q119,0)</f>
        <v>34.325118046758035</v>
      </c>
      <c r="U119" s="77">
        <f ca="1">IF(R119&gt;0,S119*100/R119,0)</f>
        <v>34.325118046758035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59609</v>
      </c>
      <c r="T120" s="77">
        <f ca="1">IF(Q120&gt;0,S120*100/Q120,0)</f>
        <v>34.325118046758035</v>
      </c>
      <c r="U120" s="77">
        <f ca="1">IF(R120&gt;0,S120*100/R120,0)</f>
        <v>34.325118046758035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IFERROR(__xludf.DUMMYFUNCTION("IMPORTRANGE(""https://docs.google.com/spreadsheets/d/1-uDff_7J0KD5mKrp0Vvzr7lt3OU09vwQwhkpOPPYv2Y/edit?usp=sharing"",""งบพรบ!BG70"")"),0)</f>
        <v>0</v>
      </c>
      <c r="M122" s="77">
        <f ca="1">IFERROR(__xludf.DUMMYFUNCTION("IMPORTRANGE(""https://docs.google.com/spreadsheets/d/1-uDff_7J0KD5mKrp0Vvzr7lt3OU09vwQwhkpOPPYv2Y/edit?usp=sharing"",""งบพรบ!BL70"")"),0)</f>
        <v>0</v>
      </c>
      <c r="N122" s="77">
        <f ca="1">IFERROR(__xludf.DUMMYFUNCTION("IMPORTRANGE(""https://docs.google.com/spreadsheets/d/1-uDff_7J0KD5mKrp0Vvzr7lt3OU09vwQwhkpOPPYv2Y/edit?usp=sharing"",""งบพรบ!BN70"")"),0)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IFERROR(__xludf.DUMMYFUNCTION("IMPORTRANGE(""https://docs.google.com/spreadsheets/d/1ItG2mGa2ceCfYo0BwxsXqNm01IGEUdYcSSLTEv9YCik/edit?usp=sharing"",""เบิกจ่ายกองทุน!R70"")"),173660)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IFERROR(__xludf.DUMMYFUNCTION("IMPORTRANGE(""https://docs.google.com/spreadsheets/d/1ItG2mGa2ceCfYo0BwxsXqNm01IGEUdYcSSLTEv9YCik/edit?usp=sharing"",""เบิกจ่ายกองทุน!S70"")"),173660)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IFERROR(__xludf.DUMMYFUNCTION("IMPORTRANGE(""https://docs.google.com/spreadsheets/d/1ItG2mGa2ceCfYo0BwxsXqNm01IGEUdYcSSLTEv9YCik/edit?usp=sharing"",""เบิกจ่ายกองทุน!T70"")"),59609)</f>
        <v>59609</v>
      </c>
      <c r="T122" s="77">
        <f ca="1">IF(Q122&gt;0,S122*100/Q122,0)</f>
        <v>34.325118046758035</v>
      </c>
      <c r="U122" s="77">
        <f ca="1">IF(R122&gt;0,S122*100/R122,0)</f>
        <v>34.325118046758035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IFERROR(__xludf.DUMMYFUNCTION("IMPORTRANGE(""https://docs.google.com/spreadsheets/d/1-uDff_7J0KD5mKrp0Vvzr7lt3OU09vwQwhkpOPPYv2Y/edit?usp=sharing"",""งบพรบ!BJ70"")"),0)</f>
        <v>0</v>
      </c>
      <c r="M125" s="77">
        <f ca="1">IFERROR(__xludf.DUMMYFUNCTION("IMPORTRANGE(""https://docs.google.com/spreadsheets/d/1-uDff_7J0KD5mKrp0Vvzr7lt3OU09vwQwhkpOPPYv2Y/edit?usp=sharing"",""งบพรบ!BM70"")"),0)</f>
        <v>0</v>
      </c>
      <c r="N125" s="77">
        <f ca="1">IFERROR(__xludf.DUMMYFUNCTION("IMPORTRANGE(""https://docs.google.com/spreadsheets/d/1-uDff_7J0KD5mKrp0Vvzr7lt3OU09vwQwhkpOPPYv2Y/edit?usp=sharing"",""งบพรบ!BO70"")"),0)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IFERROR(__xludf.DUMMYFUNCTION("IMPORTRANGE(""https://docs.google.com/spreadsheets/d/1eHaY18a8A9IcSdp1K8H6x8fbOy06t2VsZHhMHf-1x7Y/edit?usp=sharing"",""แผน!FF70"")"),10)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IFERROR(__xludf.DUMMYFUNCTION("IMPORTRANGE(""https://docs.google.com/spreadsheets/d/1eHaY18a8A9IcSdp1K8H6x8fbOy06t2VsZHhMHf-1x7Y/edit?usp=sharing"",""แผน!FG70"")"),0)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IFERROR(__xludf.DUMMYFUNCTION("IMPORTRANGE(""https://docs.google.com/spreadsheets/d/1eHaY18a8A9IcSdp1K8H6x8fbOy06t2VsZHhMHf-1x7Y/edit?usp=sharing"",""แผน!FH70"")"),10)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IFERROR(__xludf.DUMMYFUNCTION("IMPORTRANGE(""https://docs.google.com/spreadsheets/d/1eHaY18a8A9IcSdp1K8H6x8fbOy06t2VsZHhMHf-1x7Y/edit?usp=sharing"",""แผน!FI70"")"),0)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10</v>
      </c>
      <c r="J137" s="258">
        <f>J152</f>
        <v>10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1</v>
      </c>
      <c r="J138" s="258">
        <f>J153</f>
        <v>1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98000</v>
      </c>
      <c r="M139" s="266">
        <f ca="1">M140+M141</f>
        <v>93000</v>
      </c>
      <c r="N139" s="266">
        <f ca="1">N140+N141</f>
        <v>56155.98</v>
      </c>
      <c r="O139" s="266">
        <f ca="1">IF(L139&gt;0,N139*100/L139,0)</f>
        <v>57.302020408163266</v>
      </c>
      <c r="P139" s="266">
        <f ca="1">IF(M139&gt;0,N139*100/M139,0)</f>
        <v>60.382774193548386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98000</v>
      </c>
      <c r="M141" s="77">
        <f ca="1">M144+M147</f>
        <v>93000</v>
      </c>
      <c r="N141" s="77">
        <f ca="1">N144+N147</f>
        <v>56155.98</v>
      </c>
      <c r="O141" s="77">
        <f ca="1">IF(L141&gt;0,N141*100/L141,0)</f>
        <v>57.302020408163266</v>
      </c>
      <c r="P141" s="77">
        <f ca="1">IF(M141&gt;0,N141*100/M141,0)</f>
        <v>60.382774193548386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98000</v>
      </c>
      <c r="M142" s="77">
        <f ca="1">M143+M144</f>
        <v>93000</v>
      </c>
      <c r="N142" s="77">
        <f ca="1">N143+N144</f>
        <v>56155.98</v>
      </c>
      <c r="O142" s="77">
        <f ca="1">IF(L142&gt;0,N142*100/L142,0)</f>
        <v>57.302020408163266</v>
      </c>
      <c r="P142" s="77">
        <f ca="1">IF(M142&gt;0,N142*100/M142,0)</f>
        <v>60.382774193548386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IFERROR(__xludf.DUMMYFUNCTION("IMPORTRANGE(""https://docs.google.com/spreadsheets/d/1-uDff_7J0KD5mKrp0Vvzr7lt3OU09vwQwhkpOPPYv2Y/edit?usp=sharing"",""งบพรบ!BQ70"")"),98000)</f>
        <v>98000</v>
      </c>
      <c r="M144" s="77">
        <f ca="1">IFERROR(__xludf.DUMMYFUNCTION("IMPORTRANGE(""https://docs.google.com/spreadsheets/d/1-uDff_7J0KD5mKrp0Vvzr7lt3OU09vwQwhkpOPPYv2Y/edit?usp=sharing"",""งบพรบ!BV70"")"),93000)</f>
        <v>93000</v>
      </c>
      <c r="N144" s="77">
        <f ca="1">IFERROR(__xludf.DUMMYFUNCTION("IMPORTRANGE(""https://docs.google.com/spreadsheets/d/1-uDff_7J0KD5mKrp0Vvzr7lt3OU09vwQwhkpOPPYv2Y/edit?usp=sharing"",""งบพรบ!BX70"")"),56155.98)</f>
        <v>56155.98</v>
      </c>
      <c r="O144" s="77">
        <f ca="1">IF(L144&gt;0,N144*100/L144,0)</f>
        <v>57.302020408163266</v>
      </c>
      <c r="P144" s="77">
        <f ca="1">IF(M144&gt;0,N144*100/M144,0)</f>
        <v>60.382774193548386</v>
      </c>
      <c r="Q144" s="77">
        <f ca="1">IFERROR(__xludf.DUMMYFUNCTION("IMPORTRANGE(""https://docs.google.com/spreadsheets/d/1ItG2mGa2ceCfYo0BwxsXqNm01IGEUdYcSSLTEv9YCik/edit?usp=sharing"",""เบิกจ่ายกองทุน!BB70"")"),0)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IFERROR(__xludf.DUMMYFUNCTION("IMPORTRANGE(""https://docs.google.com/spreadsheets/d/1ItG2mGa2ceCfYo0BwxsXqNm01IGEUdYcSSLTEv9YCik/edit?usp=sharing"",""เบิกจ่ายกองทุน!BC70"")"),0)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IFERROR(__xludf.DUMMYFUNCTION("IMPORTRANGE(""https://docs.google.com/spreadsheets/d/1ItG2mGa2ceCfYo0BwxsXqNm01IGEUdYcSSLTEv9YCik/edit?usp=sharing"",""เบิกจ่ายกองทุน!BD70"")"),0)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IFERROR(__xludf.DUMMYFUNCTION("IMPORTRANGE(""https://docs.google.com/spreadsheets/d/1-uDff_7J0KD5mKrp0Vvzr7lt3OU09vwQwhkpOPPYv2Y/edit?usp=sharing"",""งบพรบ!BT70"")"),0)</f>
        <v>0</v>
      </c>
      <c r="M147" s="77">
        <f ca="1">IFERROR(__xludf.DUMMYFUNCTION("IMPORTRANGE(""https://docs.google.com/spreadsheets/d/1-uDff_7J0KD5mKrp0Vvzr7lt3OU09vwQwhkpOPPYv2Y/edit?usp=sharing"",""งบพรบ!BW70"")"),0)</f>
        <v>0</v>
      </c>
      <c r="N147" s="77">
        <f ca="1">IFERROR(__xludf.DUMMYFUNCTION("IMPORTRANGE(""https://docs.google.com/spreadsheets/d/1-uDff_7J0KD5mKrp0Vvzr7lt3OU09vwQwhkpOPPYv2Y/edit?usp=sharing"",""งบพรบ!BY70"")"),0)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IFERROR(__xludf.DUMMYFUNCTION("IMPORTRANGE(""https://docs.google.com/spreadsheets/d/1eHaY18a8A9IcSdp1K8H6x8fbOy06t2VsZHhMHf-1x7Y/edit?usp=sharing"",""แผน!U70"")"),0)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IFERROR(__xludf.DUMMYFUNCTION("IMPORTRANGE(""https://docs.google.com/spreadsheets/d/1eHaY18a8A9IcSdp1K8H6x8fbOy06t2VsZHhMHf-1x7Y/edit?usp=sharing"",""แผน!V70"")"),0)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IFERROR(__xludf.DUMMYFUNCTION("IMPORTRANGE(""https://docs.google.com/spreadsheets/d/1eHaY18a8A9IcSdp1K8H6x8fbOy06t2VsZHhMHf-1x7Y/edit?usp=sharing"",""แผน!W70"")"),10)</f>
        <v>10</v>
      </c>
      <c r="J152" s="296">
        <v>10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IFERROR(__xludf.DUMMYFUNCTION("IMPORTRANGE(""https://docs.google.com/spreadsheets/d/1eHaY18a8A9IcSdp1K8H6x8fbOy06t2VsZHhMHf-1x7Y/edit?usp=sharing"",""แผน!X70"")"),1)</f>
        <v>1</v>
      </c>
      <c r="J153" s="296">
        <v>1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IFERROR(__xludf.DUMMYFUNCTION("IMPORTRANGE(""https://docs.google.com/spreadsheets/d/1eHaY18a8A9IcSdp1K8H6x8fbOy06t2VsZHhMHf-1x7Y/edit?usp=sharing"",""แผน!Y70"")"),0)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5690</v>
      </c>
      <c r="N157" s="266">
        <f ca="1">N158+N159</f>
        <v>1920</v>
      </c>
      <c r="O157" s="266">
        <f ca="1">IF(L157&gt;0,N157*100/L157,0)</f>
        <v>42.666666666666664</v>
      </c>
      <c r="P157" s="266">
        <f ca="1">IF(M157&gt;0,N157*100/M157,0)</f>
        <v>33.743409490333917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5690</v>
      </c>
      <c r="N159" s="77">
        <f ca="1">N162+N165</f>
        <v>1920</v>
      </c>
      <c r="O159" s="77">
        <f ca="1">IF(L159&gt;0,N159*100/L159,0)</f>
        <v>42.666666666666664</v>
      </c>
      <c r="P159" s="77">
        <f ca="1">IF(M159&gt;0,N159*100/M159,0)</f>
        <v>33.743409490333917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5690</v>
      </c>
      <c r="N160" s="77">
        <f ca="1">N161+N162</f>
        <v>1920</v>
      </c>
      <c r="O160" s="77">
        <f ca="1">IF(L160&gt;0,N160*100/L160,0)</f>
        <v>42.666666666666664</v>
      </c>
      <c r="P160" s="77">
        <f ca="1">IF(M160&gt;0,N160*100/M160,0)</f>
        <v>33.743409490333917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IFERROR(__xludf.DUMMYFUNCTION("IMPORTRANGE(""https://docs.google.com/spreadsheets/d/1-uDff_7J0KD5mKrp0Vvzr7lt3OU09vwQwhkpOPPYv2Y/edit?usp=sharing"",""งบพรบ!CA70"")"),4500)</f>
        <v>4500</v>
      </c>
      <c r="M162" s="77">
        <f ca="1">IFERROR(__xludf.DUMMYFUNCTION("IMPORTRANGE(""https://docs.google.com/spreadsheets/d/1-uDff_7J0KD5mKrp0Vvzr7lt3OU09vwQwhkpOPPYv2Y/edit?usp=sharing"",""งบพรบ!CF70"")"),5690)</f>
        <v>5690</v>
      </c>
      <c r="N162" s="77">
        <f ca="1">IFERROR(__xludf.DUMMYFUNCTION("IMPORTRANGE(""https://docs.google.com/spreadsheets/d/1-uDff_7J0KD5mKrp0Vvzr7lt3OU09vwQwhkpOPPYv2Y/edit?usp=sharing"",""งบพรบ!CH70"")"),1920)</f>
        <v>1920</v>
      </c>
      <c r="O162" s="77">
        <f ca="1">IF(L162&gt;0,N162*100/L162,0)</f>
        <v>42.666666666666664</v>
      </c>
      <c r="P162" s="77">
        <f ca="1">IF(M162&gt;0,N162*100/M162,0)</f>
        <v>33.743409490333917</v>
      </c>
      <c r="Q162" s="77">
        <f ca="1">IFERROR(__xludf.DUMMYFUNCTION("IMPORTRANGE(""https://docs.google.com/spreadsheets/d/1ItG2mGa2ceCfYo0BwxsXqNm01IGEUdYcSSLTEv9YCik/edit?usp=sharing"",""เบิกจ่ายกองทุน!AG70"")"),0)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IFERROR(__xludf.DUMMYFUNCTION("IMPORTRANGE(""https://docs.google.com/spreadsheets/d/1ItG2mGa2ceCfYo0BwxsXqNm01IGEUdYcSSLTEv9YCik/edit?usp=sharing"",""เบิกจ่ายกองทุน!AH70"")"),0)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IFERROR(__xludf.DUMMYFUNCTION("IMPORTRANGE(""https://docs.google.com/spreadsheets/d/1ItG2mGa2ceCfYo0BwxsXqNm01IGEUdYcSSLTEv9YCik/edit?usp=sharing"",""เบิกจ่ายกองทุน!AI70"")"),0)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IFERROR(__xludf.DUMMYFUNCTION("IMPORTRANGE(""https://docs.google.com/spreadsheets/d/1-uDff_7J0KD5mKrp0Vvzr7lt3OU09vwQwhkpOPPYv2Y/edit?usp=sharing"",""งบพรบ!CD70"")"),0)</f>
        <v>0</v>
      </c>
      <c r="M165" s="77">
        <f ca="1">IFERROR(__xludf.DUMMYFUNCTION("IMPORTRANGE(""https://docs.google.com/spreadsheets/d/1-uDff_7J0KD5mKrp0Vvzr7lt3OU09vwQwhkpOPPYv2Y/edit?usp=sharing"",""งบพรบ!CG70"")"),0)</f>
        <v>0</v>
      </c>
      <c r="N165" s="77">
        <f ca="1">IFERROR(__xludf.DUMMYFUNCTION("IMPORTRANGE(""https://docs.google.com/spreadsheets/d/1-uDff_7J0KD5mKrp0Vvzr7lt3OU09vwQwhkpOPPYv2Y/edit?usp=sharing"",""งบพรบ!CI70"")"),0)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IFERROR(__xludf.DUMMYFUNCTION("IMPORTRANGE(""https://docs.google.com/spreadsheets/d/1eHaY18a8A9IcSdp1K8H6x8fbOy06t2VsZHhMHf-1x7Y/edit?usp=sharing"",""แผน!Z70"")"),15)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29630</v>
      </c>
      <c r="N173" s="266">
        <f ca="1">N174+N175</f>
        <v>29090</v>
      </c>
      <c r="O173" s="266">
        <f ca="1">IF(L173&gt;0,N173*100/L173,0)</f>
        <v>148.49412965798876</v>
      </c>
      <c r="P173" s="266">
        <f ca="1">IF(M173&gt;0,N173*100/M173,0)</f>
        <v>98.177522780965234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29630</v>
      </c>
      <c r="N175" s="77">
        <f ca="1">N178+N181</f>
        <v>29090</v>
      </c>
      <c r="O175" s="77">
        <f ca="1">IF(L175&gt;0,N175*100/L175,0)</f>
        <v>148.49412965798876</v>
      </c>
      <c r="P175" s="77">
        <f ca="1">IF(M175&gt;0,N175*100/M175,0)</f>
        <v>98.177522780965234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29630</v>
      </c>
      <c r="N176" s="77">
        <f ca="1">N177+N178</f>
        <v>29090</v>
      </c>
      <c r="O176" s="77">
        <f ca="1">IF(L176&gt;0,N176*100/L176,0)</f>
        <v>148.49412965798876</v>
      </c>
      <c r="P176" s="77">
        <f ca="1">IF(M176&gt;0,N176*100/M176,0)</f>
        <v>98.177522780965234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IFERROR(__xludf.DUMMYFUNCTION("IMPORTRANGE(""https://docs.google.com/spreadsheets/d/1-uDff_7J0KD5mKrp0Vvzr7lt3OU09vwQwhkpOPPYv2Y/edit?usp=sharing"",""งบพรบ!CK70"")"),19590)</f>
        <v>19590</v>
      </c>
      <c r="M178" s="77">
        <f ca="1">IFERROR(__xludf.DUMMYFUNCTION("IMPORTRANGE(""https://docs.google.com/spreadsheets/d/1-uDff_7J0KD5mKrp0Vvzr7lt3OU09vwQwhkpOPPYv2Y/edit?usp=sharing"",""งบพรบ!CP70"")"),29630)</f>
        <v>29630</v>
      </c>
      <c r="N178" s="77">
        <f ca="1">IFERROR(__xludf.DUMMYFUNCTION("IMPORTRANGE(""https://docs.google.com/spreadsheets/d/1-uDff_7J0KD5mKrp0Vvzr7lt3OU09vwQwhkpOPPYv2Y/edit?usp=sharing"",""งบพรบ!CR70"")"),29090)</f>
        <v>29090</v>
      </c>
      <c r="O178" s="77">
        <f ca="1">IF(L178&gt;0,N178*100/L178,0)</f>
        <v>148.49412965798876</v>
      </c>
      <c r="P178" s="77">
        <f ca="1">IF(M178&gt;0,N178*100/M178,0)</f>
        <v>98.177522780965234</v>
      </c>
      <c r="Q178" s="77">
        <f ca="1">IFERROR(__xludf.DUMMYFUNCTION("IMPORTRANGE(""https://docs.google.com/spreadsheets/d/1ItG2mGa2ceCfYo0BwxsXqNm01IGEUdYcSSLTEv9YCik/edit?usp=sharing"",""เบิกจ่ายกองทุน!BE70"")"),0)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IFERROR(__xludf.DUMMYFUNCTION("IMPORTRANGE(""https://docs.google.com/spreadsheets/d/1ItG2mGa2ceCfYo0BwxsXqNm01IGEUdYcSSLTEv9YCik/edit?usp=sharing"",""เบิกจ่ายกองทุน!BF70"")"),0)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IFERROR(__xludf.DUMMYFUNCTION("IMPORTRANGE(""https://docs.google.com/spreadsheets/d/1ItG2mGa2ceCfYo0BwxsXqNm01IGEUdYcSSLTEv9YCik/edit?usp=sharing"",""เบิกจ่ายกองทุน!BG70"")"),0)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IFERROR(__xludf.DUMMYFUNCTION("IMPORTRANGE(""https://docs.google.com/spreadsheets/d/1-uDff_7J0KD5mKrp0Vvzr7lt3OU09vwQwhkpOPPYv2Y/edit?usp=sharing"",""งบพรบ!CN70"")"),0)</f>
        <v>0</v>
      </c>
      <c r="M181" s="77">
        <f ca="1">IFERROR(__xludf.DUMMYFUNCTION("IMPORTRANGE(""https://docs.google.com/spreadsheets/d/1-uDff_7J0KD5mKrp0Vvzr7lt3OU09vwQwhkpOPPYv2Y/edit?usp=sharing"",""งบพรบ!CQ70"")"),0)</f>
        <v>0</v>
      </c>
      <c r="N181" s="77">
        <f ca="1">IFERROR(__xludf.DUMMYFUNCTION("IMPORTRANGE(""https://docs.google.com/spreadsheets/d/1-uDff_7J0KD5mKrp0Vvzr7lt3OU09vwQwhkpOPPYv2Y/edit?usp=sharing"",""งบพรบ!CS70"")"),0)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IFERROR(__xludf.DUMMYFUNCTION("IMPORTRANGE(""https://docs.google.com/spreadsheets/d/1eHaY18a8A9IcSdp1K8H6x8fbOy06t2VsZHhMHf-1x7Y/edit?usp=sharing"",""แผน!AA70"")"),7)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49500</v>
      </c>
      <c r="M186" s="266">
        <f ca="1">M187+M188</f>
        <v>28460</v>
      </c>
      <c r="N186" s="266">
        <f ca="1">N187+N188</f>
        <v>2840</v>
      </c>
      <c r="O186" s="266">
        <f ca="1">IF(L186&gt;0,N186*100/L186,0)</f>
        <v>5.737373737373737</v>
      </c>
      <c r="P186" s="266">
        <f ca="1">IF(M186&gt;0,N186*100/M186,0)</f>
        <v>9.9789177793394241</v>
      </c>
      <c r="Q186" s="266">
        <f ca="1">Q187+Q188</f>
        <v>42000</v>
      </c>
      <c r="R186" s="266">
        <f ca="1">R187+R188</f>
        <v>42000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49500</v>
      </c>
      <c r="M188" s="77">
        <f ca="1">M191+M194</f>
        <v>28460</v>
      </c>
      <c r="N188" s="77">
        <f ca="1">N191+N194</f>
        <v>2840</v>
      </c>
      <c r="O188" s="77">
        <f ca="1">IF(L188&gt;0,N188*100/L188,0)</f>
        <v>5.737373737373737</v>
      </c>
      <c r="P188" s="77">
        <f ca="1">IF(M188&gt;0,N188*100/M188,0)</f>
        <v>9.9789177793394241</v>
      </c>
      <c r="Q188" s="77">
        <f ca="1">Q191+Q194</f>
        <v>42000</v>
      </c>
      <c r="R188" s="77">
        <f ca="1">R191+R194</f>
        <v>42000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49500</v>
      </c>
      <c r="M189" s="77">
        <f ca="1">M190+M191</f>
        <v>28460</v>
      </c>
      <c r="N189" s="77">
        <f ca="1">N190+N191</f>
        <v>2840</v>
      </c>
      <c r="O189" s="77">
        <f ca="1">IF(L189&gt;0,N189*100/L189,0)</f>
        <v>5.737373737373737</v>
      </c>
      <c r="P189" s="77">
        <f ca="1">IF(M189&gt;0,N189*100/M189,0)</f>
        <v>9.9789177793394241</v>
      </c>
      <c r="Q189" s="77">
        <f ca="1">Q190+Q191</f>
        <v>42000</v>
      </c>
      <c r="R189" s="77">
        <f ca="1">R190+R191</f>
        <v>42000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IFERROR(__xludf.DUMMYFUNCTION("IMPORTRANGE(""https://docs.google.com/spreadsheets/d/1-uDff_7J0KD5mKrp0Vvzr7lt3OU09vwQwhkpOPPYv2Y/edit?usp=sharing"",""งบพรบ!CU70"")"),49500)</f>
        <v>49500</v>
      </c>
      <c r="M191" s="77">
        <f ca="1">IFERROR(__xludf.DUMMYFUNCTION("IMPORTRANGE(""https://docs.google.com/spreadsheets/d/1-uDff_7J0KD5mKrp0Vvzr7lt3OU09vwQwhkpOPPYv2Y/edit?usp=sharing"",""งบพรบ!CZ70"")"),28460)</f>
        <v>28460</v>
      </c>
      <c r="N191" s="77">
        <f ca="1">IFERROR(__xludf.DUMMYFUNCTION("IMPORTRANGE(""https://docs.google.com/spreadsheets/d/1-uDff_7J0KD5mKrp0Vvzr7lt3OU09vwQwhkpOPPYv2Y/edit?usp=sharing"",""งบพรบ!DB70"")"),2840)</f>
        <v>2840</v>
      </c>
      <c r="O191" s="77">
        <f ca="1">IF(L191&gt;0,N191*100/L191,0)</f>
        <v>5.737373737373737</v>
      </c>
      <c r="P191" s="77">
        <f ca="1">IF(M191&gt;0,N191*100/M191,0)</f>
        <v>9.9789177793394241</v>
      </c>
      <c r="Q191" s="77">
        <f ca="1">IFERROR(__xludf.DUMMYFUNCTION("IMPORTRANGE(""https://docs.google.com/spreadsheets/d/1ItG2mGa2ceCfYo0BwxsXqNm01IGEUdYcSSLTEv9YCik/edit?usp=sharing"",""เบิกจ่ายกองทุน!AV70"")"),42000)</f>
        <v>42000</v>
      </c>
      <c r="R191" s="77">
        <f ca="1">IFERROR(__xludf.DUMMYFUNCTION("IMPORTRANGE(""https://docs.google.com/spreadsheets/d/1ItG2mGa2ceCfYo0BwxsXqNm01IGEUdYcSSLTEv9YCik/edit?usp=sharing"",""เบิกจ่ายกองทุน!AW70"")"),42000)</f>
        <v>42000</v>
      </c>
      <c r="S191" s="77">
        <f ca="1">IFERROR(__xludf.DUMMYFUNCTION("IMPORTRANGE(""https://docs.google.com/spreadsheets/d/1ItG2mGa2ceCfYo0BwxsXqNm01IGEUdYcSSLTEv9YCik/edit?usp=sharing"",""เบิกจ่ายกองทุน!AX70"")"),0)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IFERROR(__xludf.DUMMYFUNCTION("IMPORTRANGE(""https://docs.google.com/spreadsheets/d/1-uDff_7J0KD5mKrp0Vvzr7lt3OU09vwQwhkpOPPYv2Y/edit?usp=sharing"",""งบพรบ!CX70"")"),0)</f>
        <v>0</v>
      </c>
      <c r="M194" s="77">
        <f ca="1">IFERROR(__xludf.DUMMYFUNCTION("IMPORTRANGE(""https://docs.google.com/spreadsheets/d/1-uDff_7J0KD5mKrp0Vvzr7lt3OU09vwQwhkpOPPYv2Y/edit?usp=sharing"",""งบพรบ!DA70"")"),0)</f>
        <v>0</v>
      </c>
      <c r="N194" s="77">
        <f ca="1">IFERROR(__xludf.DUMMYFUNCTION("IMPORTRANGE(""https://docs.google.com/spreadsheets/d/1-uDff_7J0KD5mKrp0Vvzr7lt3OU09vwQwhkpOPPYv2Y/edit?usp=sharing"",""งบพรบ!DC70"")"),0)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IFERROR(__xludf.DUMMYFUNCTION("IMPORTRANGE(""https://docs.google.com/spreadsheets/d/1eHaY18a8A9IcSdp1K8H6x8fbOy06t2VsZHhMHf-1x7Y/edit?usp=sharing"",""แผน!AB70"")"),6000)</f>
        <v>6000</v>
      </c>
      <c r="M196" s="90"/>
      <c r="N196" s="959">
        <v>1600</v>
      </c>
      <c r="O196" s="266">
        <f ca="1">IF(L196&gt;0,N196*100/L196,0)</f>
        <v>26.666666666666668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IFERROR(__xludf.DUMMYFUNCTION("IMPORTRANGE(""https://docs.google.com/spreadsheets/d/1eHaY18a8A9IcSdp1K8H6x8fbOy06t2VsZHhMHf-1x7Y/edit?usp=sharing"",""แผน!AE70"")"),4)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15000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IFERROR(__xludf.DUMMYFUNCTION("IMPORTRANGE(""https://docs.google.com/spreadsheets/d/1eHaY18a8A9IcSdp1K8H6x8fbOy06t2VsZHhMHf-1x7Y/edit?usp=sharing"",""แผน!AG70"")"),3000)</f>
        <v>3000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IFERROR(__xludf.DUMMYFUNCTION("IMPORTRANGE(""https://docs.google.com/spreadsheets/d/1eHaY18a8A9IcSdp1K8H6x8fbOy06t2VsZHhMHf-1x7Y/edit?usp=sharing"",""แผน!AH70"")"),0)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IFERROR(__xludf.DUMMYFUNCTION("IMPORTRANGE(""https://docs.google.com/spreadsheets/d/1eHaY18a8A9IcSdp1K8H6x8fbOy06t2VsZHhMHf-1x7Y/edit?usp=sharing"",""แผน!AI70"")"),0)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IFERROR(__xludf.DUMMYFUNCTION("IMPORTRANGE(""https://docs.google.com/spreadsheets/d/1eHaY18a8A9IcSdp1K8H6x8fbOy06t2VsZHhMHf-1x7Y/edit?usp=sharing"",""แผน!LV70"")"),42000)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IFERROR(__xludf.DUMMYFUNCTION("IMPORTRANGE(""https://docs.google.com/spreadsheets/d/1eHaY18a8A9IcSdp1K8H6x8fbOy06t2VsZHhMHf-1x7Y/edit?usp=sharing"",""แผน!AJ70"")"),12000)</f>
        <v>12000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IFERROR(__xludf.DUMMYFUNCTION("IMPORTRANGE(""https://docs.google.com/spreadsheets/d/1eHaY18a8A9IcSdp1K8H6x8fbOy06t2VsZHhMHf-1x7Y/edit?usp=sharing"",""แผน!AK70"")"),3)</f>
        <v>3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IFERROR(__xludf.DUMMYFUNCTION("IMPORTRANGE(""https://docs.google.com/spreadsheets/d/1eHaY18a8A9IcSdp1K8H6x8fbOy06t2VsZHhMHf-1x7Y/edit?usp=sharing"",""แผน!JX70"")"),3)</f>
        <v>3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IFERROR(__xludf.DUMMYFUNCTION("IMPORTRANGE(""https://docs.google.com/spreadsheets/d/1eHaY18a8A9IcSdp1K8H6x8fbOy06t2VsZHhMHf-1x7Y/edit?usp=sharing"",""แผน!JY70"")"),0)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IFERROR(__xludf.DUMMYFUNCTION("IMPORTRANGE(""https://docs.google.com/spreadsheets/d/1eHaY18a8A9IcSdp1K8H6x8fbOy06t2VsZHhMHf-1x7Y/edit?usp=sharing"",""แผน!AM70"")"),0)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IFERROR(__xludf.DUMMYFUNCTION("IMPORTRANGE(""https://docs.google.com/spreadsheets/d/1eHaY18a8A9IcSdp1K8H6x8fbOy06t2VsZHhMHf-1x7Y/edit?usp=sharing"",""แผน!AN70"")"),0)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IFERROR(__xludf.DUMMYFUNCTION("IMPORTRANGE(""https://docs.google.com/spreadsheets/d/1eHaY18a8A9IcSdp1K8H6x8fbOy06t2VsZHhMHf-1x7Y/edit?usp=sharing"",""แผน!AO70"")"),0)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IFERROR(__xludf.DUMMYFUNCTION("IMPORTRANGE(""https://docs.google.com/spreadsheets/d/1eHaY18a8A9IcSdp1K8H6x8fbOy06t2VsZHhMHf-1x7Y/edit?usp=sharing"",""แผน!LY70"")"),0)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IFERROR(__xludf.DUMMYFUNCTION("IMPORTRANGE(""https://docs.google.com/spreadsheets/d/1eHaY18a8A9IcSdp1K8H6x8fbOy06t2VsZHhMHf-1x7Y/edit?usp=sharing"",""แผน!AP70"")"),0)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IFERROR(__xludf.DUMMYFUNCTION("IMPORTRANGE(""https://docs.google.com/spreadsheets/d/1eHaY18a8A9IcSdp1K8H6x8fbOy06t2VsZHhMHf-1x7Y/edit?usp=sharing"",""แผน!AP70"")"),0)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IFERROR(__xludf.DUMMYFUNCTION("IMPORTRANGE(""https://docs.google.com/spreadsheets/d/1eHaY18a8A9IcSdp1K8H6x8fbOy06t2VsZHhMHf-1x7Y/edit?usp=sharing"",""แผน!AR70"")"),2500)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IFERROR(__xludf.DUMMYFUNCTION("IMPORTRANGE(""https://docs.google.com/spreadsheets/d/1eHaY18a8A9IcSdp1K8H6x8fbOy06t2VsZHhMHf-1x7Y/edit?usp=sharing"",""แผน!AS70"")"),2000)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IFERROR(__xludf.DUMMYFUNCTION("IMPORTRANGE(""https://docs.google.com/spreadsheets/d/1eHaY18a8A9IcSdp1K8H6x8fbOy06t2VsZHhMHf-1x7Y/edit?usp=sharing"",""แผน!AT70"")"),0)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IFERROR(__xludf.DUMMYFUNCTION("IMPORTRANGE(""https://docs.google.com/spreadsheets/d/1eHaY18a8A9IcSdp1K8H6x8fbOy06t2VsZHhMHf-1x7Y/edit?usp=sharing"",""แผน!AV70"")"),20000)</f>
        <v>20000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IFERROR(__xludf.DUMMYFUNCTION("IMPORTRANGE(""https://docs.google.com/spreadsheets/d/1eHaY18a8A9IcSdp1K8H6x8fbOy06t2VsZHhMHf-1x7Y/edit?usp=sharing"",""แผน!AV70"")"),20000)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IFERROR(__xludf.DUMMYFUNCTION("IMPORTRANGE(""https://docs.google.com/spreadsheets/d/1eHaY18a8A9IcSdp1K8H6x8fbOy06t2VsZHhMHf-1x7Y/edit?usp=sharing"",""แผน!AU70"")"),0)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IFERROR(__xludf.DUMMYFUNCTION("IMPORTRANGE(""https://docs.google.com/spreadsheets/d/1eHaY18a8A9IcSdp1K8H6x8fbOy06t2VsZHhMHf-1x7Y/edit?usp=sharing"",""แผน!AX70"")"),0)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IFERROR(__xludf.DUMMYFUNCTION("IMPORTRANGE(""https://docs.google.com/spreadsheets/d/1eHaY18a8A9IcSdp1K8H6x8fbOy06t2VsZHhMHf-1x7Y/edit?usp=sharing"",""แผน!AY70"")"),0)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IFERROR(__xludf.DUMMYFUNCTION("IMPORTRANGE(""https://docs.google.com/spreadsheets/d/1eHaY18a8A9IcSdp1K8H6x8fbOy06t2VsZHhMHf-1x7Y/edit?usp=sharing"",""แผน!AZ70"")"),0)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IFERROR(__xludf.DUMMYFUNCTION("IMPORTRANGE(""https://docs.google.com/spreadsheets/d/1eHaY18a8A9IcSdp1K8H6x8fbOy06t2VsZHhMHf-1x7Y/edit?usp=sharing"",""แผน!BA70"")"),0)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IFERROR(__xludf.DUMMYFUNCTION("IMPORTRANGE(""https://docs.google.com/spreadsheets/d/1eHaY18a8A9IcSdp1K8H6x8fbOy06t2VsZHhMHf-1x7Y/edit?usp=sharing"",""แผน!BG70"")"),0)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IFERROR(__xludf.DUMMYFUNCTION("IMPORTRANGE(""https://docs.google.com/spreadsheets/d/1eHaY18a8A9IcSdp1K8H6x8fbOy06t2VsZHhMHf-1x7Y/edit?usp=sharing"",""แผน!BB70"")"),0)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IFERROR(__xludf.DUMMYFUNCTION("IMPORTRANGE(""https://docs.google.com/spreadsheets/d/1eHaY18a8A9IcSdp1K8H6x8fbOy06t2VsZHhMHf-1x7Y/edit?usp=sharing"",""แผน!BC70"")"),0)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IFERROR(__xludf.DUMMYFUNCTION("IMPORTRANGE(""https://docs.google.com/spreadsheets/d/1eHaY18a8A9IcSdp1K8H6x8fbOy06t2VsZHhMHf-1x7Y/edit?usp=sharing"",""แผน!BD70"")"),0)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IFERROR(__xludf.DUMMYFUNCTION("IMPORTRANGE(""https://docs.google.com/spreadsheets/d/1eHaY18a8A9IcSdp1K8H6x8fbOy06t2VsZHhMHf-1x7Y/edit?usp=sharing"",""แผน!BE70"")"),0)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IFERROR(__xludf.DUMMYFUNCTION("IMPORTRANGE(""https://docs.google.com/spreadsheets/d/1eHaY18a8A9IcSdp1K8H6x8fbOy06t2VsZHhMHf-1x7Y/edit?usp=sharing"",""แผน!BH70"")"),0)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4080</v>
      </c>
      <c r="T266" s="215">
        <f ca="1">IF(Q266&gt;0,S266*100/Q266,0)</f>
        <v>8.053691275167786</v>
      </c>
      <c r="U266" s="215">
        <f ca="1">IF(R266&gt;0,S266*100/R266,0)</f>
        <v>8.053691275167786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4080</v>
      </c>
      <c r="T268" s="91">
        <f ca="1">IF(Q268&gt;0,S268*100/Q268,0)</f>
        <v>8.053691275167786</v>
      </c>
      <c r="U268" s="91">
        <f ca="1">IF(R268&gt;0,S268*100/R268,0)</f>
        <v>8.053691275167786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4080</v>
      </c>
      <c r="T269" s="91">
        <f ca="1">IF(Q269&gt;0,S269*100/Q269,0)</f>
        <v>8.053691275167786</v>
      </c>
      <c r="U269" s="91">
        <f ca="1">IF(R269&gt;0,S269*100/R269,0)</f>
        <v>8.053691275167786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IFERROR(__xludf.DUMMYFUNCTION("IMPORTRANGE(""https://docs.google.com/spreadsheets/d/1-uDff_7J0KD5mKrp0Vvzr7lt3OU09vwQwhkpOPPYv2Y/edit?usp=sharing"",""งบพรบ!DE70"")"),0)</f>
        <v>0</v>
      </c>
      <c r="M271" s="91">
        <f ca="1">IFERROR(__xludf.DUMMYFUNCTION("IMPORTRANGE(""https://docs.google.com/spreadsheets/d/1-uDff_7J0KD5mKrp0Vvzr7lt3OU09vwQwhkpOPPYv2Y/edit?usp=sharing"",""งบพรบ!DJ70"")"),5000)</f>
        <v>5000</v>
      </c>
      <c r="N271" s="91">
        <f ca="1">IFERROR(__xludf.DUMMYFUNCTION("IMPORTRANGE(""https://docs.google.com/spreadsheets/d/1-uDff_7J0KD5mKrp0Vvzr7lt3OU09vwQwhkpOPPYv2Y/edit?usp=sharing"",""งบพรบ!DL70"")"),0)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IFERROR(__xludf.DUMMYFUNCTION("IMPORTRANGE(""https://docs.google.com/spreadsheets/d/1ItG2mGa2ceCfYo0BwxsXqNm01IGEUdYcSSLTEv9YCik/edit?usp=sharing"",""เบิกจ่ายกองทุน!AJ70"")"),50660)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IFERROR(__xludf.DUMMYFUNCTION("IMPORTRANGE(""https://docs.google.com/spreadsheets/d/1ItG2mGa2ceCfYo0BwxsXqNm01IGEUdYcSSLTEv9YCik/edit?usp=sharing"",""เบิกจ่ายกองทุน!AK70"")"),50660)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IFERROR(__xludf.DUMMYFUNCTION("IMPORTRANGE(""https://docs.google.com/spreadsheets/d/1ItG2mGa2ceCfYo0BwxsXqNm01IGEUdYcSSLTEv9YCik/edit?usp=sharing"",""เบิกจ่ายกองทุน!AL70"")"),4080)</f>
        <v>4080</v>
      </c>
      <c r="T271" s="91">
        <f ca="1">IF(Q271&gt;0,S271*100/Q271,0)</f>
        <v>8.053691275167786</v>
      </c>
      <c r="U271" s="91">
        <f ca="1">IF(R271&gt;0,S271*100/R271,0)</f>
        <v>8.053691275167786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IFERROR(__xludf.DUMMYFUNCTION("IMPORTRANGE(""https://docs.google.com/spreadsheets/d/1-uDff_7J0KD5mKrp0Vvzr7lt3OU09vwQwhkpOPPYv2Y/edit?usp=sharing"",""งบพรบ!DH70"")"),0)</f>
        <v>0</v>
      </c>
      <c r="M274" s="91">
        <f ca="1">IFERROR(__xludf.DUMMYFUNCTION("IMPORTRANGE(""https://docs.google.com/spreadsheets/d/1-uDff_7J0KD5mKrp0Vvzr7lt3OU09vwQwhkpOPPYv2Y/edit?usp=sharing"",""งบพรบ!DK70"")"),0)</f>
        <v>0</v>
      </c>
      <c r="N274" s="91">
        <f ca="1">IFERROR(__xludf.DUMMYFUNCTION("IMPORTRANGE(""https://docs.google.com/spreadsheets/d/1-uDff_7J0KD5mKrp0Vvzr7lt3OU09vwQwhkpOPPYv2Y/edit?usp=sharing"",""งบพรบ!DM70"")"),0)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37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IFERROR(__xludf.DUMMYFUNCTION("IMPORTRANGE(""https://docs.google.com/spreadsheets/d/1eHaY18a8A9IcSdp1K8H6x8fbOy06t2VsZHhMHf-1x7Y/edit?usp=sharing"",""แผน!EC70"")"),22)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IFERROR(__xludf.DUMMYFUNCTION("IMPORTRANGE(""https://docs.google.com/spreadsheets/d/1-uDff_7J0KD5mKrp0Vvzr7lt3OU09vwQwhkpOPPYv2Y/edit?usp=sharing"",""งบพรบ!DO70"")"),0)</f>
        <v>0</v>
      </c>
      <c r="M287" s="77">
        <f ca="1">IFERROR(__xludf.DUMMYFUNCTION("IMPORTRANGE(""https://docs.google.com/spreadsheets/d/1-uDff_7J0KD5mKrp0Vvzr7lt3OU09vwQwhkpOPPYv2Y/edit?usp=sharing"",""งบพรบ!DT70"")"),0)</f>
        <v>0</v>
      </c>
      <c r="N287" s="77">
        <f ca="1">IFERROR(__xludf.DUMMYFUNCTION("IMPORTRANGE(""https://docs.google.com/spreadsheets/d/1-uDff_7J0KD5mKrp0Vvzr7lt3OU09vwQwhkpOPPYv2Y/edit?usp=sharing"",""งบพรบ!DV70"")"),0)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IFERROR(__xludf.DUMMYFUNCTION("IMPORTRANGE(""https://docs.google.com/spreadsheets/d/1-uDff_7J0KD5mKrp0Vvzr7lt3OU09vwQwhkpOPPYv2Y/edit?usp=sharing"",""งบพรบ!DR70"")"),0)</f>
        <v>0</v>
      </c>
      <c r="M290" s="77">
        <f ca="1">IFERROR(__xludf.DUMMYFUNCTION("IMPORTRANGE(""https://docs.google.com/spreadsheets/d/1-uDff_7J0KD5mKrp0Vvzr7lt3OU09vwQwhkpOPPYv2Y/edit?usp=sharing"",""งบพรบ!DU70"")"),0)</f>
        <v>0</v>
      </c>
      <c r="N290" s="77">
        <f ca="1">IFERROR(__xludf.DUMMYFUNCTION("IMPORTRANGE(""https://docs.google.com/spreadsheets/d/1-uDff_7J0KD5mKrp0Vvzr7lt3OU09vwQwhkpOPPYv2Y/edit?usp=sharing"",""งบพรบ!DW70"")"),0)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IFERROR(__xludf.DUMMYFUNCTION("IMPORTRANGE(""https://docs.google.com/spreadsheets/d/1eHaY18a8A9IcSdp1K8H6x8fbOy06t2VsZHhMHf-1x7Y/edit?usp=sharing"",""แผน!EE70"")"),0)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IFERROR(__xludf.DUMMYFUNCTION("IMPORTRANGE(""https://docs.google.com/spreadsheets/d/1eHaY18a8A9IcSdp1K8H6x8fbOy06t2VsZHhMHf-1x7Y/edit?usp=sharing"",""แผน!ED70"")"),0)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IFERROR(__xludf.DUMMYFUNCTION("IMPORTRANGE(""https://docs.google.com/spreadsheets/d/1eHaY18a8A9IcSdp1K8H6x8fbOy06t2VsZHhMHf-1x7Y/edit?usp=sharing"",""แผน!ED70"")"),0)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IFERROR(__xludf.DUMMYFUNCTION("IMPORTRANGE(""https://docs.google.com/spreadsheets/d/1eHaY18a8A9IcSdp1K8H6x8fbOy06t2VsZHhMHf-1x7Y/edit?usp=sharing"",""แผน!ED70"")"),0)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30</v>
      </c>
      <c r="J302" s="599">
        <f>J314</f>
        <v>30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51020</v>
      </c>
      <c r="T303" s="266">
        <f ca="1">IF(Q303&gt;0,S303*100/Q303,0)</f>
        <v>19.551009645637375</v>
      </c>
      <c r="U303" s="266">
        <f ca="1">IF(R303&gt;0,S303*100/R303,0)</f>
        <v>19.551038864491606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51020</v>
      </c>
      <c r="T305" s="77">
        <f ca="1">IF(Q305&gt;0,S305*100/Q305,0)</f>
        <v>19.551009645637375</v>
      </c>
      <c r="U305" s="77">
        <f ca="1">IF(R305&gt;0,S305*100/R305,0)</f>
        <v>19.551038864491606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51020</v>
      </c>
      <c r="T306" s="77">
        <f ca="1">IF(Q306&gt;0,S306*100/Q306,0)</f>
        <v>19.551009645637375</v>
      </c>
      <c r="U306" s="77">
        <f ca="1">IF(R306&gt;0,S306*100/R306,0)</f>
        <v>19.551038864491606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IFERROR(__xludf.DUMMYFUNCTION("IMPORTRANGE(""https://docs.google.com/spreadsheets/d/1-uDff_7J0KD5mKrp0Vvzr7lt3OU09vwQwhkpOPPYv2Y/edit?usp=sharing"",""งบพรบ!DY70"")"),0)</f>
        <v>0</v>
      </c>
      <c r="M308" s="77">
        <f ca="1">IFERROR(__xludf.DUMMYFUNCTION("IMPORTRANGE(""https://docs.google.com/spreadsheets/d/1-uDff_7J0KD5mKrp0Vvzr7lt3OU09vwQwhkpOPPYv2Y/edit?usp=sharing"",""งบพรบ!ED70"")"),0)</f>
        <v>0</v>
      </c>
      <c r="N308" s="77">
        <f ca="1">IFERROR(__xludf.DUMMYFUNCTION("IMPORTRANGE(""https://docs.google.com/spreadsheets/d/1-uDff_7J0KD5mKrp0Vvzr7lt3OU09vwQwhkpOPPYv2Y/edit?usp=sharing"",""งบพรบ!EF70"")"),0)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IFERROR(__xludf.DUMMYFUNCTION("IMPORTRANGE(""https://docs.google.com/spreadsheets/d/1ItG2mGa2ceCfYo0BwxsXqNm01IGEUdYcSSLTEv9YCik/edit?usp=sharing"",""เบิกจ่ายกองทุน!AP70"")"),260958.39)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IFERROR(__xludf.DUMMYFUNCTION("IMPORTRANGE(""https://docs.google.com/spreadsheets/d/1ItG2mGa2ceCfYo0BwxsXqNm01IGEUdYcSSLTEv9YCik/edit?usp=sharing"",""เบิกจ่ายกองทุน!AQ70"")"),260958)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IFERROR(__xludf.DUMMYFUNCTION("IMPORTRANGE(""https://docs.google.com/spreadsheets/d/1ItG2mGa2ceCfYo0BwxsXqNm01IGEUdYcSSLTEv9YCik/edit?usp=sharing"",""เบิกจ่ายกองทุน!AR70"")"),51020)</f>
        <v>51020</v>
      </c>
      <c r="T308" s="77">
        <f ca="1">IF(Q308&gt;0,S308*100/Q308,0)</f>
        <v>19.551009645637375</v>
      </c>
      <c r="U308" s="77">
        <f ca="1">IF(R308&gt;0,S308*100/R308,0)</f>
        <v>19.551038864491606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IFERROR(__xludf.DUMMYFUNCTION("IMPORTRANGE(""https://docs.google.com/spreadsheets/d/1-uDff_7J0KD5mKrp0Vvzr7lt3OU09vwQwhkpOPPYv2Y/edit?usp=sharing"",""งบพรบ!EB70"")"),0)</f>
        <v>0</v>
      </c>
      <c r="M311" s="77">
        <f ca="1">IFERROR(__xludf.DUMMYFUNCTION("IMPORTRANGE(""https://docs.google.com/spreadsheets/d/1-uDff_7J0KD5mKrp0Vvzr7lt3OU09vwQwhkpOPPYv2Y/edit?usp=sharing"",""งบพรบ!EE70"")"),0)</f>
        <v>0</v>
      </c>
      <c r="N311" s="77">
        <f ca="1">IFERROR(__xludf.DUMMYFUNCTION("IMPORTRANGE(""https://docs.google.com/spreadsheets/d/1-uDff_7J0KD5mKrp0Vvzr7lt3OU09vwQwhkpOPPYv2Y/edit?usp=sharing"",""งบพรบ!EG70"")"),0)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IFERROR(__xludf.DUMMYFUNCTION("IMPORTRANGE(""https://docs.google.com/spreadsheets/d/1eHaY18a8A9IcSdp1K8H6x8fbOy06t2VsZHhMHf-1x7Y/edit?usp=sharing"",""แผน!EF70"")"),30)</f>
        <v>30</v>
      </c>
      <c r="J314" s="296">
        <v>30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IFERROR(__xludf.DUMMYFUNCTION("IMPORTRANGE(""https://docs.google.com/spreadsheets/d/1-uDff_7J0KD5mKrp0Vvzr7lt3OU09vwQwhkpOPPYv2Y/edit?usp=sharing"",""งบพรบ!EI70"")"),0)</f>
        <v>0</v>
      </c>
      <c r="M325" s="77">
        <f ca="1">IFERROR(__xludf.DUMMYFUNCTION("IMPORTRANGE(""https://docs.google.com/spreadsheets/d/1-uDff_7J0KD5mKrp0Vvzr7lt3OU09vwQwhkpOPPYv2Y/edit?usp=sharing"",""งบพรบ!EN70"")"),0)</f>
        <v>0</v>
      </c>
      <c r="N325" s="77">
        <f ca="1">IFERROR(__xludf.DUMMYFUNCTION("IMPORTRANGE(""https://docs.google.com/spreadsheets/d/1-uDff_7J0KD5mKrp0Vvzr7lt3OU09vwQwhkpOPPYv2Y/edit?usp=sharing"",""งบพรบ!EP70"")"),0)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IFERROR(__xludf.DUMMYFUNCTION("IMPORTRANGE(""https://docs.google.com/spreadsheets/d/1-uDff_7J0KD5mKrp0Vvzr7lt3OU09vwQwhkpOPPYv2Y/edit?usp=sharing"",""งบพรบ!EL70"")"),0)</f>
        <v>0</v>
      </c>
      <c r="M328" s="77">
        <f ca="1">IFERROR(__xludf.DUMMYFUNCTION("IMPORTRANGE(""https://docs.google.com/spreadsheets/d/1-uDff_7J0KD5mKrp0Vvzr7lt3OU09vwQwhkpOPPYv2Y/edit?usp=sharing"",""งบพรบ!EO70"")"),0)</f>
        <v>0</v>
      </c>
      <c r="N328" s="77">
        <f ca="1">IFERROR(__xludf.DUMMYFUNCTION("IMPORTRANGE(""https://docs.google.com/spreadsheets/d/1-uDff_7J0KD5mKrp0Vvzr7lt3OU09vwQwhkpOPPYv2Y/edit?usp=sharing"",""งบพรบ!EQ70"")"),0)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IFERROR(__xludf.DUMMYFUNCTION("IMPORTRANGE(""https://docs.google.com/spreadsheets/d/1eHaY18a8A9IcSdp1K8H6x8fbOy06t2VsZHhMHf-1x7Y/edit?usp=sharing"",""แผน!EJ70"")"),0)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1000</v>
      </c>
      <c r="J332" s="519">
        <f ca="1">J344+J347+J348+J349+J353+J354</f>
        <v>3179</v>
      </c>
      <c r="K332" s="520">
        <f ca="1">IF(I332&gt;0,J332*100/I332,0)</f>
        <v>317.89999999999998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104000</v>
      </c>
      <c r="M333" s="266">
        <f ca="1">M334+M335</f>
        <v>109000</v>
      </c>
      <c r="N333" s="266">
        <f ca="1">N334+N335</f>
        <v>78461</v>
      </c>
      <c r="O333" s="266">
        <f ca="1">IF(L333&gt;0,N333*100/L333,0)</f>
        <v>75.443269230769232</v>
      </c>
      <c r="P333" s="266">
        <f ca="1">IF(M333&gt;0,N333*100/M333,0)</f>
        <v>71.982568807339447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104000</v>
      </c>
      <c r="M335" s="77">
        <f ca="1">M338+M341</f>
        <v>109000</v>
      </c>
      <c r="N335" s="77">
        <f ca="1">N338+N341</f>
        <v>78461</v>
      </c>
      <c r="O335" s="77">
        <f ca="1">IF(L335&gt;0,N335*100/L335,0)</f>
        <v>75.443269230769232</v>
      </c>
      <c r="P335" s="77">
        <f ca="1">IF(M335&gt;0,N335*100/M335,0)</f>
        <v>71.982568807339447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104000</v>
      </c>
      <c r="M336" s="77">
        <f ca="1">M337+M338</f>
        <v>109000</v>
      </c>
      <c r="N336" s="77">
        <f ca="1">N337+N338</f>
        <v>78461</v>
      </c>
      <c r="O336" s="77">
        <f ca="1">IF(L336&gt;0,N336*100/L336,0)</f>
        <v>75.443269230769232</v>
      </c>
      <c r="P336" s="77">
        <f ca="1">IF(M336&gt;0,N336*100/M336,0)</f>
        <v>71.982568807339447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IFERROR(__xludf.DUMMYFUNCTION("IMPORTRANGE(""https://docs.google.com/spreadsheets/d/1-uDff_7J0KD5mKrp0Vvzr7lt3OU09vwQwhkpOPPYv2Y/edit?usp=sharing"",""งบพรบ!ES70"")"),104000)</f>
        <v>104000</v>
      </c>
      <c r="M338" s="77">
        <f ca="1">IFERROR(__xludf.DUMMYFUNCTION("IMPORTRANGE(""https://docs.google.com/spreadsheets/d/1-uDff_7J0KD5mKrp0Vvzr7lt3OU09vwQwhkpOPPYv2Y/edit?usp=sharing"",""งบพรบ!EX70"")"),109000)</f>
        <v>109000</v>
      </c>
      <c r="N338" s="77">
        <f ca="1">IFERROR(__xludf.DUMMYFUNCTION("IMPORTRANGE(""https://docs.google.com/spreadsheets/d/1-uDff_7J0KD5mKrp0Vvzr7lt3OU09vwQwhkpOPPYv2Y/edit?usp=sharing"",""งบพรบ!EZ70"")"),78461)</f>
        <v>78461</v>
      </c>
      <c r="O338" s="77">
        <f ca="1">IF(L338&gt;0,N338*100/L338,0)</f>
        <v>75.443269230769232</v>
      </c>
      <c r="P338" s="77">
        <f ca="1">IF(M338&gt;0,N338*100/M338,0)</f>
        <v>71.982568807339447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IFERROR(__xludf.DUMMYFUNCTION("IMPORTRANGE(""https://docs.google.com/spreadsheets/d/1-uDff_7J0KD5mKrp0Vvzr7lt3OU09vwQwhkpOPPYv2Y/edit?usp=sharing"",""งบพรบ!EV70"")"),0)</f>
        <v>0</v>
      </c>
      <c r="M341" s="77">
        <f ca="1">IFERROR(__xludf.DUMMYFUNCTION("IMPORTRANGE(""https://docs.google.com/spreadsheets/d/1-uDff_7J0KD5mKrp0Vvzr7lt3OU09vwQwhkpOPPYv2Y/edit?usp=sharing"",""งบพรบ!EY70"")"),0)</f>
        <v>0</v>
      </c>
      <c r="N341" s="77">
        <f ca="1">IFERROR(__xludf.DUMMYFUNCTION("IMPORTRANGE(""https://docs.google.com/spreadsheets/d/1-uDff_7J0KD5mKrp0Vvzr7lt3OU09vwQwhkpOPPYv2Y/edit?usp=sharing"",""งบพรบ!FA70"")"),0)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1298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IFERROR(__xludf.DUMMYFUNCTION("IMPORTRANGE(""https://docs.google.com/spreadsheets/d/1eHaY18a8A9IcSdp1K8H6x8fbOy06t2VsZHhMHf-1x7Y/edit?usp=sharing"",""แผน!EK70"")"),1000)</f>
        <v>1000</v>
      </c>
      <c r="J344" s="295">
        <f ca="1">IFERROR(__xludf.DUMMYFUNCTION("IMPORTRANGE(""https://docs.google.com/spreadsheets/d/1awYsYK3VOup2i3Pq_Yjnu8DRu_mYwSBnCR2QPthd0rU/edit?usp=sharing"",""ศูนย์ยกเว้นโฉนด!D70"")"),1226)</f>
        <v>1226</v>
      </c>
      <c r="K344" s="77">
        <f ca="1">IF(I344&gt;0,J344*100/I344,0)</f>
        <v>122.6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IFERROR(__xludf.DUMMYFUNCTION("IMPORTRANGE(""https://docs.google.com/spreadsheets/d/1eHaY18a8A9IcSdp1K8H6x8fbOy06t2VsZHhMHf-1x7Y/edit?usp=sharing"",""แผน!EL70"")"),2)</f>
        <v>2</v>
      </c>
      <c r="J346" s="295">
        <f ca="1">IFERROR(__xludf.DUMMYFUNCTION("IMPORTRANGE(""https://docs.google.com/spreadsheets/d/1awYsYK3VOup2i3Pq_Yjnu8DRu_mYwSBnCR2QPthd0rU/edit?usp=sharing"",""ศูนย์รวม!E70"")"),0)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IFERROR(__xludf.DUMMYFUNCTION("IMPORTRANGE(""https://docs.google.com/spreadsheets/d/1awYsYK3VOup2i3Pq_Yjnu8DRu_mYwSBnCR2QPthd0rU/edit?usp=sharing"",""ศูนย์ยกเว้นโฉนด!F70"")"),4)</f>
        <v>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IFERROR(__xludf.DUMMYFUNCTION("IMPORTRANGE(""https://docs.google.com/spreadsheets/d/1awYsYK3VOup2i3Pq_Yjnu8DRu_mYwSBnCR2QPthd0rU/edit?usp=sharing"",""ศูนย์ยกเว้นโฉนด!G70"")"),42)</f>
        <v>42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IFERROR(__xludf.DUMMYFUNCTION("IMPORTRANGE(""https://docs.google.com/spreadsheets/d/1awYsYK3VOup2i3Pq_Yjnu8DRu_mYwSBnCR2QPthd0rU/edit?usp=sharing"",""ศูนย์ยกเว้นโฉนด!H70"")"),26)</f>
        <v>26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2616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IFERROR(__xludf.DUMMYFUNCTION("IMPORTRANGE(""https://docs.google.com/spreadsheets/d/1awYsYK3VOup2i3Pq_Yjnu8DRu_mYwSBnCR2QPthd0rU/edit?usp=sharing"",""โฉนดM3!G70"")"),735)</f>
        <v>735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IFERROR(__xludf.DUMMYFUNCTION("IMPORTRANGE(""https://docs.google.com/spreadsheets/d/1awYsYK3VOup2i3Pq_Yjnu8DRu_mYwSBnCR2QPthd0rU/edit?usp=sharing"",""โฉนดM3!H70"")"),1756)</f>
        <v>1756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IFERROR(__xludf.DUMMYFUNCTION("IMPORTRANGE(""https://docs.google.com/spreadsheets/d/1awYsYK3VOup2i3Pq_Yjnu8DRu_mYwSBnCR2QPthd0rU/edit?usp=sharing"",""โฉนดM3!I70"")"),125)</f>
        <v>125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559230</v>
      </c>
      <c r="M356" s="266">
        <f ca="1">M357+M358</f>
        <v>559230</v>
      </c>
      <c r="N356" s="266">
        <f ca="1">N357+N358</f>
        <v>372369.99</v>
      </c>
      <c r="O356" s="266">
        <f ca="1">IF(L356&gt;0,N356*100/L356,0)</f>
        <v>66.586197092430666</v>
      </c>
      <c r="P356" s="266">
        <f ca="1">IF(M356&gt;0,N356*100/M356,0)</f>
        <v>66.586197092430666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559230</v>
      </c>
      <c r="M358" s="77">
        <f ca="1">M361+M364</f>
        <v>559230</v>
      </c>
      <c r="N358" s="77">
        <f ca="1">N361+N364</f>
        <v>372369.99</v>
      </c>
      <c r="O358" s="77">
        <f ca="1">IF(L358&gt;0,N358*100/L358,0)</f>
        <v>66.586197092430666</v>
      </c>
      <c r="P358" s="77">
        <f ca="1">IF(M358&gt;0,N358*100/M358,0)</f>
        <v>66.586197092430666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559230</v>
      </c>
      <c r="M359" s="77">
        <f ca="1">M360+M361</f>
        <v>559230</v>
      </c>
      <c r="N359" s="77">
        <f ca="1">N360+N361</f>
        <v>372369.99</v>
      </c>
      <c r="O359" s="77">
        <f ca="1">IF(L359&gt;0,N359*100/L359,0)</f>
        <v>66.586197092430666</v>
      </c>
      <c r="P359" s="77">
        <f ca="1">IF(M359&gt;0,N359*100/M359,0)</f>
        <v>66.586197092430666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IFERROR(__xludf.DUMMYFUNCTION("IMPORTRANGE(""https://docs.google.com/spreadsheets/d/1-uDff_7J0KD5mKrp0Vvzr7lt3OU09vwQwhkpOPPYv2Y/edit?usp=sharing"",""งบพรบ!FC70"")"),559230)</f>
        <v>559230</v>
      </c>
      <c r="M361" s="77">
        <f ca="1">IFERROR(__xludf.DUMMYFUNCTION("IMPORTRANGE(""https://docs.google.com/spreadsheets/d/1-uDff_7J0KD5mKrp0Vvzr7lt3OU09vwQwhkpOPPYv2Y/edit?usp=sharing"",""งบพรบ!FH70"")"),559230)</f>
        <v>559230</v>
      </c>
      <c r="N361" s="77">
        <f ca="1">IFERROR(__xludf.DUMMYFUNCTION("IMPORTRANGE(""https://docs.google.com/spreadsheets/d/1-uDff_7J0KD5mKrp0Vvzr7lt3OU09vwQwhkpOPPYv2Y/edit?usp=sharing"",""งบพรบ!FJ70"")"),372369.99)</f>
        <v>372369.99</v>
      </c>
      <c r="O361" s="77">
        <f ca="1">IF(L361&gt;0,N361*100/L361,0)</f>
        <v>66.586197092430666</v>
      </c>
      <c r="P361" s="77">
        <f ca="1">IF(M361&gt;0,N361*100/M361,0)</f>
        <v>66.586197092430666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IFERROR(__xludf.DUMMYFUNCTION("IMPORTRANGE(""https://docs.google.com/spreadsheets/d/1-uDff_7J0KD5mKrp0Vvzr7lt3OU09vwQwhkpOPPYv2Y/edit?usp=sharing"",""งบพรบ!FF70"")"),0)</f>
        <v>0</v>
      </c>
      <c r="M364" s="77">
        <f ca="1">IFERROR(__xludf.DUMMYFUNCTION("IMPORTRANGE(""https://docs.google.com/spreadsheets/d/1-uDff_7J0KD5mKrp0Vvzr7lt3OU09vwQwhkpOPPYv2Y/edit?usp=sharing"",""งบพรบ!FI70"")"),0)</f>
        <v>0</v>
      </c>
      <c r="N364" s="77">
        <f ca="1">IFERROR(__xludf.DUMMYFUNCTION("IMPORTRANGE(""https://docs.google.com/spreadsheets/d/1-uDff_7J0KD5mKrp0Vvzr7lt3OU09vwQwhkpOPPYv2Y/edit?usp=sharing"",""งบพรบ!FK70"")"),0)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103</v>
      </c>
      <c r="J365" s="542">
        <f ca="1">J371</f>
        <v>60</v>
      </c>
      <c r="K365" s="543">
        <f ca="1">IF(I365&gt;0,J365*100/I365,0)</f>
        <v>58.252427184466022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IFERROR(__xludf.DUMMYFUNCTION("IMPORTRANGE(""https://docs.google.com/spreadsheets/d/1tdoBKaGub7dwA3U6UFTqxio9LNnvDCQjHKmttSEBsFQ/edit?usp=sharing"",""จัดที่ดิน!AB70"")"),125)</f>
        <v>125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IFERROR(__xludf.DUMMYFUNCTION("IMPORTRANGE(""https://docs.google.com/spreadsheets/d/1eHaY18a8A9IcSdp1K8H6x8fbOy06t2VsZHhMHf-1x7Y/edit?usp=sharing"",""แผน!EW70"")"),245)</f>
        <v>245</v>
      </c>
      <c r="J368" s="1094">
        <f ca="1">IFERROR(__xludf.DUMMYFUNCTION("IMPORTRANGE(""https://docs.google.com/spreadsheets/d/1tdoBKaGub7dwA3U6UFTqxio9LNnvDCQjHKmttSEBsFQ/edit?usp=sharing"",""จัดที่ดิน!AC70"")"),1265.11)</f>
        <v>1265.1099999999999</v>
      </c>
      <c r="K368" s="77">
        <f ca="1">IF(I368&gt;0,J368*100/I368,0)</f>
        <v>516.37142857142851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IFERROR(__xludf.DUMMYFUNCTION("IMPORTRANGE(""https://docs.google.com/spreadsheets/d/1eHaY18a8A9IcSdp1K8H6x8fbOy06t2VsZHhMHf-1x7Y/edit?usp=sharing"",""แผน!EX70"")"),103)</f>
        <v>103</v>
      </c>
      <c r="J369" s="295">
        <f ca="1">IFERROR(__xludf.DUMMYFUNCTION("IMPORTRANGE(""https://docs.google.com/spreadsheets/d/1tdoBKaGub7dwA3U6UFTqxio9LNnvDCQjHKmttSEBsFQ/edit?usp=sharing"",""จัดที่ดิน!AD70"")"),59)</f>
        <v>59</v>
      </c>
      <c r="K369" s="77">
        <f ca="1">IF(I369&gt;0,J369*100/I369,0)</f>
        <v>57.28155339805825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IFERROR(__xludf.DUMMYFUNCTION("IMPORTRANGE(""https://docs.google.com/spreadsheets/d/1tdoBKaGub7dwA3U6UFTqxio9LNnvDCQjHKmttSEBsFQ/edit?usp=sharing"",""จัดที่ดิน!AE70"")"),924.5)</f>
        <v>924.5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IFERROR(__xludf.DUMMYFUNCTION("IMPORTRANGE(""https://docs.google.com/spreadsheets/d/1eHaY18a8A9IcSdp1K8H6x8fbOy06t2VsZHhMHf-1x7Y/edit?usp=sharing"",""แผน!EY70"")"),103)</f>
        <v>103</v>
      </c>
      <c r="J371" s="295">
        <f ca="1">IFERROR(__xludf.DUMMYFUNCTION("IMPORTRANGE(""https://docs.google.com/spreadsheets/d/1tdoBKaGub7dwA3U6UFTqxio9LNnvDCQjHKmttSEBsFQ/edit?usp=sharing"",""จัดที่ดิน!AF70"")"),60)</f>
        <v>60</v>
      </c>
      <c r="K371" s="77">
        <f ca="1">IF(I371&gt;0,J371*100/I371,0)</f>
        <v>58.252427184466022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IFERROR(__xludf.DUMMYFUNCTION("IMPORTRANGE(""https://docs.google.com/spreadsheets/d/1tdoBKaGub7dwA3U6UFTqxio9LNnvDCQjHKmttSEBsFQ/edit?usp=sharing"",""จัดที่ดิน!AG70"")"),927.7)</f>
        <v>927.7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2000</v>
      </c>
      <c r="J374" s="567">
        <f ca="1">J386+J388</f>
        <v>32</v>
      </c>
      <c r="K374" s="568">
        <f ca="1">IF(I374&gt;0,J374*100/I374,0)</f>
        <v>1.6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125000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125000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125000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IFERROR(__xludf.DUMMYFUNCTION("IMPORTRANGE(""https://docs.google.com/spreadsheets/d/1ItG2mGa2ceCfYo0BwxsXqNm01IGEUdYcSSLTEv9YCik/edit?usp=sharing"",""เบิกจ่ายกองทุน!AY70"")"),125000)</f>
        <v>125000</v>
      </c>
      <c r="R380" s="77">
        <f ca="1">IFERROR(__xludf.DUMMYFUNCTION("IMPORTRANGE(""https://docs.google.com/spreadsheets/d/1ItG2mGa2ceCfYo0BwxsXqNm01IGEUdYcSSLTEv9YCik/edit?usp=sharing"",""เบิกจ่ายกองทุน!AZ70"")"),0)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IFERROR(__xludf.DUMMYFUNCTION("IMPORTRANGE(""https://docs.google.com/spreadsheets/d/1ItG2mGa2ceCfYo0BwxsXqNm01IGEUdYcSSLTEv9YCik/edit?usp=sharing"",""เบิกจ่ายกองทุน!BA70"")"),0)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IFERROR(__xludf.DUMMYFUNCTION("IMPORTRANGE(""https://docs.google.com/spreadsheets/d/1w5rwWK1o49a35cNtocGL0gxDwhFSTZUQu90BiH9_zqM/edit?usp=sharing"",""RTK!H70"")"),3)</f>
        <v>3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IFERROR(__xludf.DUMMYFUNCTION("IMPORTRANGE(""https://docs.google.com/spreadsheets/d/1w5rwWK1o49a35cNtocGL0gxDwhFSTZUQu90BiH9_zqM/edit?usp=sharing"",""RTK!G70"")"),2000)</f>
        <v>2000</v>
      </c>
      <c r="J386" s="295">
        <f ca="1">IFERROR(__xludf.DUMMYFUNCTION("IMPORTRANGE(""https://docs.google.com/spreadsheets/d/1w5rwWK1o49a35cNtocGL0gxDwhFSTZUQu90BiH9_zqM/edit?usp=sharing"",""RTK!I70"")"),32)</f>
        <v>32</v>
      </c>
      <c r="K386" s="77">
        <f ca="1">IF(I386&gt;0,J386*100/I386,0)</f>
        <v>1.6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IFERROR(__xludf.DUMMYFUNCTION("IMPORTRANGE(""https://docs.google.com/spreadsheets/d/1w5rwWK1o49a35cNtocGL0gxDwhFSTZUQu90BiH9_zqM/edit?usp=sharing"",""RTK!L70"")"),0)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IFERROR(__xludf.DUMMYFUNCTION("IMPORTRANGE(""https://docs.google.com/spreadsheets/d/1w5rwWK1o49a35cNtocGL0gxDwhFSTZUQu90BiH9_zqM/edit?usp=sharing"",""RTK!K70"")"),0)</f>
        <v>0</v>
      </c>
      <c r="J388" s="241">
        <f ca="1">IFERROR(__xludf.DUMMYFUNCTION("IMPORTRANGE(""https://docs.google.com/spreadsheets/d/1w5rwWK1o49a35cNtocGL0gxDwhFSTZUQu90BiH9_zqM/edit?usp=sharing"",""RTK!M70"")"),0)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IFERROR(__xludf.DUMMYFUNCTION("IMPORTRANGE(""https://docs.google.com/spreadsheets/d/1ItG2mGa2ceCfYo0BwxsXqNm01IGEUdYcSSLTEv9YCik/edit?usp=sharing"",""เบิกจ่ายกองทุน!BH70"")"),0)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IFERROR(__xludf.DUMMYFUNCTION("IMPORTRANGE(""https://docs.google.com/spreadsheets/d/1ItG2mGa2ceCfYo0BwxsXqNm01IGEUdYcSSLTEv9YCik/edit?usp=sharing"",""เบิกจ่ายกองทุน!BI70"")"),0)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IFERROR(__xludf.DUMMYFUNCTION("IMPORTRANGE(""https://docs.google.com/spreadsheets/d/1ItG2mGa2ceCfYo0BwxsXqNm01IGEUdYcSSLTEv9YCik/edit?usp=sharing"",""เบิกจ่ายกองทุน!BJ70"")"),0)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IFERROR(__xludf.DUMMYFUNCTION("IMPORTRANGE(""https://docs.google.com/spreadsheets/d/1eHaY18a8A9IcSdp1K8H6x8fbOy06t2VsZHhMHf-1x7Y/edit?usp=sharing"",""แผน!HJ70"")"),0)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IFERROR(__xludf.DUMMYFUNCTION("IMPORTRANGE(""https://docs.google.com/spreadsheets/d/1eHaY18a8A9IcSdp1K8H6x8fbOy06t2VsZHhMHf-1x7Y/edit?usp=sharing"",""แผน!HK70"")"),0)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IFERROR(__xludf.DUMMYFUNCTION("IMPORTRANGE(""https://docs.google.com/spreadsheets/d/1eHaY18a8A9IcSdp1K8H6x8fbOy06t2VsZHhMHf-1x7Y/edit?usp=sharing"",""แผน!HJ70"")"),0)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IFERROR(__xludf.DUMMYFUNCTION("IMPORTRANGE(""https://docs.google.com/spreadsheets/d/1eHaY18a8A9IcSdp1K8H6x8fbOy06t2VsZHhMHf-1x7Y/edit?usp=sharing"",""แผน!HK70"")"),0)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IFERROR(__xludf.DUMMYFUNCTION("IMPORTRANGE(""https://docs.google.com/spreadsheets/d/1eHaY18a8A9IcSdp1K8H6x8fbOy06t2VsZHhMHf-1x7Y/edit?usp=sharing"",""แผน!HJ70"")"),0)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IFERROR(__xludf.DUMMYFUNCTION("IMPORTRANGE(""https://docs.google.com/spreadsheets/d/1eHaY18a8A9IcSdp1K8H6x8fbOy06t2VsZHhMHf-1x7Y/edit?usp=sharing"",""แผน!HK70"")"),0)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IFERROR(__xludf.DUMMYFUNCTION("IMPORTRANGE(""https://docs.google.com/spreadsheets/d/1eHaY18a8A9IcSdp1K8H6x8fbOy06t2VsZHhMHf-1x7Y/edit?usp=sharing"",""แผน!HL70"")"),0)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IFERROR(__xludf.DUMMYFUNCTION("IMPORTRANGE(""https://docs.google.com/spreadsheets/d/1eHaY18a8A9IcSdp1K8H6x8fbOy06t2VsZHhMHf-1x7Y/edit?usp=sharing"",""แผน!HM70"")"),0)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IFERROR(__xludf.DUMMYFUNCTION("IMPORTRANGE(""https://docs.google.com/spreadsheets/d/1eHaY18a8A9IcSdp1K8H6x8fbOy06t2VsZHhMHf-1x7Y/edit?usp=sharing"",""แผน!HN70"")"),0)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IFERROR(__xludf.DUMMYFUNCTION("IMPORTRANGE(""https://docs.google.com/spreadsheets/d/1eHaY18a8A9IcSdp1K8H6x8fbOy06t2VsZHhMHf-1x7Y/edit?usp=sharing"",""แผน!HO70"")"),0)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IFERROR(__xludf.DUMMYFUNCTION("IMPORTRANGE(""https://docs.google.com/spreadsheets/d/1ItG2mGa2ceCfYo0BwxsXqNm01IGEUdYcSSLTEv9YCik/edit?usp=sharing"",""เบิกจ่ายกองทุน!X70"")"),0)</f>
        <v>0</v>
      </c>
      <c r="R498" s="77">
        <f ca="1">IFERROR(__xludf.DUMMYFUNCTION("IMPORTRANGE(""https://docs.google.com/spreadsheets/d/1ItG2mGa2ceCfYo0BwxsXqNm01IGEUdYcSSLTEv9YCik/edit?usp=sharing"",""เบิกจ่ายกองทุน!Y70"")"),0)</f>
        <v>0</v>
      </c>
      <c r="S498" s="77">
        <f ca="1">IFERROR(__xludf.DUMMYFUNCTION("IMPORTRANGE(""https://docs.google.com/spreadsheets/d/1ItG2mGa2ceCfYo0BwxsXqNm01IGEUdYcSSLTEv9YCik/edit?usp=sharing"",""เบิกจ่ายกองทุน!Z70"")"),0)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IFERROR(__xludf.DUMMYFUNCTION("IMPORTRANGE(""https://docs.google.com/spreadsheets/d/1eHaY18a8A9IcSdp1K8H6x8fbOy06t2VsZHhMHf-1x7Y/edit?usp=sharing"",""แผน!GX70"")"),0)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IFERROR(__xludf.DUMMYFUNCTION("IMPORTRANGE(""https://docs.google.com/spreadsheets/d/1eHaY18a8A9IcSdp1K8H6x8fbOy06t2VsZHhMHf-1x7Y/edit?usp=sharing"",""แผน!GY70"")"),0)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IFERROR(__xludf.DUMMYFUNCTION("IMPORTRANGE(""https://docs.google.com/spreadsheets/d/1eHaY18a8A9IcSdp1K8H6x8fbOy06t2VsZHhMHf-1x7Y/edit?usp=sharing"",""แผน!GZ70"")"),0)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IFERROR(__xludf.DUMMYFUNCTION("IMPORTRANGE(""https://docs.google.com/spreadsheets/d/1eHaY18a8A9IcSdp1K8H6x8fbOy06t2VsZHhMHf-1x7Y/edit?usp=sharing"",""แผน!HA70"")"),0)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IFERROR(__xludf.DUMMYFUNCTION("IMPORTRANGE(""https://docs.google.com/spreadsheets/d/1eHaY18a8A9IcSdp1K8H6x8fbOy06t2VsZHhMHf-1x7Y/edit?usp=sharing"",""แผน!HB70"")"),0)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IFERROR(__xludf.DUMMYFUNCTION("IMPORTRANGE(""https://docs.google.com/spreadsheets/d/1eHaY18a8A9IcSdp1K8H6x8fbOy06t2VsZHhMHf-1x7Y/edit?usp=sharing"",""แผน!HC70"")"),0)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IFERROR(__xludf.DUMMYFUNCTION("IMPORTRANGE(""https://docs.google.com/spreadsheets/d/1-uDff_7J0KD5mKrp0Vvzr7lt3OU09vwQwhkpOPPYv2Y/edit?usp=sharing"",""งบพรบ!FM70"")"),0)</f>
        <v>0</v>
      </c>
      <c r="M518" s="77">
        <f ca="1">IFERROR(__xludf.DUMMYFUNCTION("IMPORTRANGE(""https://docs.google.com/spreadsheets/d/1-uDff_7J0KD5mKrp0Vvzr7lt3OU09vwQwhkpOPPYv2Y/edit?usp=sharing"",""งบพรบ!FR70"")"),0)</f>
        <v>0</v>
      </c>
      <c r="N518" s="77">
        <f ca="1">IFERROR(__xludf.DUMMYFUNCTION("IMPORTRANGE(""https://docs.google.com/spreadsheets/d/1-uDff_7J0KD5mKrp0Vvzr7lt3OU09vwQwhkpOPPYv2Y/edit?usp=sharing"",""งบพรบ!FT70"")"),0)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IFERROR(__xludf.DUMMYFUNCTION("IMPORTRANGE(""https://docs.google.com/spreadsheets/d/1-uDff_7J0KD5mKrp0Vvzr7lt3OU09vwQwhkpOPPYv2Y/edit?usp=sharing"",""งบพรบ!FP70"")"),0)</f>
        <v>0</v>
      </c>
      <c r="M521" s="77">
        <f ca="1">IFERROR(__xludf.DUMMYFUNCTION("IMPORTRANGE(""https://docs.google.com/spreadsheets/d/1-uDff_7J0KD5mKrp0Vvzr7lt3OU09vwQwhkpOPPYv2Y/edit?usp=sharing"",""งบพรบ!FS70"")"),0)</f>
        <v>0</v>
      </c>
      <c r="N521" s="77">
        <f ca="1">IFERROR(__xludf.DUMMYFUNCTION("IMPORTRANGE(""https://docs.google.com/spreadsheets/d/1-uDff_7J0KD5mKrp0Vvzr7lt3OU09vwQwhkpOPPYv2Y/edit?usp=sharing"",""งบพรบ!FU70"")"),0)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50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6825</v>
      </c>
      <c r="R616" s="266">
        <f ca="1">R617+R618</f>
        <v>6825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6825</v>
      </c>
      <c r="R618" s="77">
        <f ca="1">R621+R624</f>
        <v>6825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6825</v>
      </c>
      <c r="R619" s="77">
        <f ca="1">R620+R621</f>
        <v>6825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IFERROR(__xludf.DUMMYFUNCTION("IMPORTRANGE(""https://docs.google.com/spreadsheets/d/1ItG2mGa2ceCfYo0BwxsXqNm01IGEUdYcSSLTEv9YCik/edit?usp=sharing"",""เบิกจ่ายกองทุน!F70"")"),6825)</f>
        <v>6825</v>
      </c>
      <c r="R621" s="77">
        <f ca="1">IFERROR(__xludf.DUMMYFUNCTION("IMPORTRANGE(""https://docs.google.com/spreadsheets/d/1ItG2mGa2ceCfYo0BwxsXqNm01IGEUdYcSSLTEv9YCik/edit?usp=sharing"",""เบิกจ่ายกองทุน!G70"")"),6825)</f>
        <v>6825</v>
      </c>
      <c r="S621" s="77">
        <f ca="1">IFERROR(__xludf.DUMMYFUNCTION("IMPORTRANGE(""https://docs.google.com/spreadsheets/d/1ItG2mGa2ceCfYo0BwxsXqNm01IGEUdYcSSLTEv9YCik/edit?usp=sharing"",""เบิกจ่ายกองทุน!H70"")"),0)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IFERROR(__xludf.DUMMYFUNCTION("IMPORTRANGE(""https://docs.google.com/spreadsheets/d/1eHaY18a8A9IcSdp1K8H6x8fbOy06t2VsZHhMHf-1x7Y/edit?usp=sharing"",""แผน!ID70"")"),50)</f>
        <v>50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IFERROR(__xludf.DUMMYFUNCTION("IMPORTRANGE(""https://docs.google.com/spreadsheets/d/1eHaY18a8A9IcSdp1K8H6x8fbOy06t2VsZHhMHf-1x7Y/edit?usp=sharing"",""แผน!IC70"")"),0)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IFERROR(__xludf.DUMMYFUNCTION("IMPORTRANGE(""https://docs.google.com/spreadsheets/d/1eHaY18a8A9IcSdp1K8H6x8fbOy06t2VsZHhMHf-1x7Y/edit?usp=sharing"",""แผน!IC70"")"),0)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IFERROR(__xludf.DUMMYFUNCTION("IMPORTRANGE(""https://docs.google.com/spreadsheets/d/1eHaY18a8A9IcSdp1K8H6x8fbOy06t2VsZHhMHf-1x7Y/edit?usp=sharing"",""แผน!IE70"")"),0)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1600</v>
      </c>
      <c r="R642" s="266">
        <f ca="1">R643+R644</f>
        <v>1600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1600</v>
      </c>
      <c r="R644" s="77">
        <f ca="1">R647+R650</f>
        <v>1600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1600</v>
      </c>
      <c r="R645" s="77">
        <f ca="1">R646+R647</f>
        <v>1600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IFERROR(__xludf.DUMMYFUNCTION("IMPORTRANGE(""https://docs.google.com/spreadsheets/d/1ItG2mGa2ceCfYo0BwxsXqNm01IGEUdYcSSLTEv9YCik/edit?usp=sharing"",""เบิกจ่ายกองทุน!I70"")"),1600)</f>
        <v>1600</v>
      </c>
      <c r="R647" s="77">
        <f ca="1">IFERROR(__xludf.DUMMYFUNCTION("IMPORTRANGE(""https://docs.google.com/spreadsheets/d/1ItG2mGa2ceCfYo0BwxsXqNm01IGEUdYcSSLTEv9YCik/edit?usp=sharing"",""เบิกจ่ายกองทุน!J70"")"),1600)</f>
        <v>1600</v>
      </c>
      <c r="S647" s="77">
        <f ca="1">IFERROR(__xludf.DUMMYFUNCTION("IMPORTRANGE(""https://docs.google.com/spreadsheets/d/1ItG2mGa2ceCfYo0BwxsXqNm01IGEUdYcSSLTEv9YCik/edit?usp=sharing"",""เบิกจ่ายกองทุน!K70"")"),0)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IFERROR(__xludf.DUMMYFUNCTION("IMPORTRANGE(""https://docs.google.com/spreadsheets/d/1eHaY18a8A9IcSdp1K8H6x8fbOy06t2VsZHhMHf-1x7Y/edit?usp=sharing"",""แผน!IF70"")"),0)</f>
        <v>0</v>
      </c>
      <c r="J652" s="295">
        <f ca="1">IFERROR(__xludf.DUMMYFUNCTION("IMPORTRANGE(""https://docs.google.com/spreadsheets/d/1tdoBKaGub7dwA3U6UFTqxio9LNnvDCQjHKmttSEBsFQ/edit?usp=sharing"",""จัดที่ดิน!AU70"")"),0)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IFERROR(__xludf.DUMMYFUNCTION("IMPORTRANGE(""https://docs.google.com/spreadsheets/d/1eHaY18a8A9IcSdp1K8H6x8fbOy06t2VsZHhMHf-1x7Y/edit?usp=sharing"",""แผน!IG70"")"),0)</f>
        <v>0</v>
      </c>
      <c r="J653" s="295">
        <f ca="1">IFERROR(__xludf.DUMMYFUNCTION("IMPORTRANGE(""https://docs.google.com/spreadsheets/d/1tdoBKaGub7dwA3U6UFTqxio9LNnvDCQjHKmttSEBsFQ/edit?usp=sharing"",""จัดที่ดิน!AW70"")"),0)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IFERROR(__xludf.DUMMYFUNCTION("IMPORTRANGE(""https://docs.google.com/spreadsheets/d/1eHaY18a8A9IcSdp1K8H6x8fbOy06t2VsZHhMHf-1x7Y/edit?usp=sharing"",""แผน!IH70"")"),0)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IFERROR(__xludf.DUMMYFUNCTION("IMPORTRANGE(""https://docs.google.com/spreadsheets/d/1eHaY18a8A9IcSdp1K8H6x8fbOy06t2VsZHhMHf-1x7Y/edit?usp=sharing"",""แผน!II70"")"),0)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IFERROR(__xludf.DUMMYFUNCTION("IMPORTRANGE(""https://docs.google.com/spreadsheets/d/1eHaY18a8A9IcSdp1K8H6x8fbOy06t2VsZHhMHf-1x7Y/edit?usp=sharing"",""แผน!IJ70"")"),0)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IFERROR(__xludf.DUMMYFUNCTION("IMPORTRANGE(""https://docs.google.com/spreadsheets/d/1eHaY18a8A9IcSdp1K8H6x8fbOy06t2VsZHhMHf-1x7Y/edit?usp=sharing"",""แผน!IK70"")"),0)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IFERROR(__xludf.DUMMYFUNCTION("IMPORTRANGE(""https://docs.google.com/spreadsheets/d/1tdoBKaGub7dwA3U6UFTqxio9LNnvDCQjHKmttSEBsFQ/edit?usp=sharing"",""จัดที่ดิน!AY70"")"),0)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IFERROR(__xludf.DUMMYFUNCTION("IMPORTRANGE(""https://docs.google.com/spreadsheets/d/1tdoBKaGub7dwA3U6UFTqxio9LNnvDCQjHKmttSEBsFQ/edit?usp=sharing"",""จัดที่ดิน!AZ70"")"),0)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IFERROR(__xludf.DUMMYFUNCTION("IMPORTRANGE(""https://docs.google.com/spreadsheets/d/1eHaY18a8A9IcSdp1K8H6x8fbOy06t2VsZHhMHf-1x7Y/edit?usp=sharing"",""แผน!IL70"")"),0)</f>
        <v>0</v>
      </c>
      <c r="J673" s="295">
        <f ca="1">IFERROR(__xludf.DUMMYFUNCTION("IMPORTRANGE(""https://docs.google.com/spreadsheets/d/1tdoBKaGub7dwA3U6UFTqxio9LNnvDCQjHKmttSEBsFQ/edit?usp=sharing"",""จัดที่ดิน!BA70"")"),0)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IFERROR(__xludf.DUMMYFUNCTION("IMPORTRANGE(""https://docs.google.com/spreadsheets/d/1eHaY18a8A9IcSdp1K8H6x8fbOy06t2VsZHhMHf-1x7Y/edit?usp=sharing"",""แผน!IM70"")"),5)</f>
        <v>5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IFERROR(__xludf.DUMMYFUNCTION("IMPORTRANGE(""https://docs.google.com/spreadsheets/d/1eHaY18a8A9IcSdp1K8H6x8fbOy06t2VsZHhMHf-1x7Y/edit?usp=sharing"",""แผน!IN70"")"),30)</f>
        <v>30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IFERROR(__xludf.DUMMYFUNCTION("IMPORTRANGE(""https://docs.google.com/spreadsheets/d/1eHaY18a8A9IcSdp1K8H6x8fbOy06t2VsZHhMHf-1x7Y/edit?usp=sharing"",""แผน!IO70"")"),5)</f>
        <v>5</v>
      </c>
      <c r="J676" s="295">
        <f ca="1">IFERROR(__xludf.DUMMYFUNCTION("IMPORTRANGE(""https://docs.google.com/spreadsheets/d/1tdoBKaGub7dwA3U6UFTqxio9LNnvDCQjHKmttSEBsFQ/edit?usp=sharing"",""จัดที่ดิน!BF70"")"),0)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IFERROR(__xludf.DUMMYFUNCTION("IMPORTRANGE(""https://docs.google.com/spreadsheets/d/1tdoBKaGub7dwA3U6UFTqxio9LNnvDCQjHKmttSEBsFQ/edit?usp=sharing"",""จัดที่ดิน!BG70"")"),0)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IFERROR(__xludf.DUMMYFUNCTION("IMPORTRANGE(""https://docs.google.com/spreadsheets/d/1eHaY18a8A9IcSdp1K8H6x8fbOy06t2VsZHhMHf-1x7Y/edit?usp=sharing"",""แผน!IP70"")"),30)</f>
        <v>30</v>
      </c>
      <c r="J678" s="295">
        <f ca="1">IFERROR(__xludf.DUMMYFUNCTION("IMPORTRANGE(""https://docs.google.com/spreadsheets/d/1tdoBKaGub7dwA3U6UFTqxio9LNnvDCQjHKmttSEBsFQ/edit?usp=sharing"",""จัดที่ดิน!BH70"")"),0)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IFERROR(__xludf.DUMMYFUNCTION("IMPORTRANGE(""https://docs.google.com/spreadsheets/d/1eHaY18a8A9IcSdp1K8H6x8fbOy06t2VsZHhMHf-1x7Y/edit?usp=sharing"",""แผน!IQ70"")"),0)</f>
        <v>0</v>
      </c>
      <c r="J679" s="295">
        <f ca="1">IFERROR(__xludf.DUMMYFUNCTION("IMPORTRANGE(""https://docs.google.com/spreadsheets/d/1tdoBKaGub7dwA3U6UFTqxio9LNnvDCQjHKmttSEBsFQ/edit?usp=sharing"",""จัดที่ดิน!BK70"")"),0)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IFERROR(__xludf.DUMMYFUNCTION("IMPORTRANGE(""https://docs.google.com/spreadsheets/d/1tdoBKaGub7dwA3U6UFTqxio9LNnvDCQjHKmttSEBsFQ/edit?usp=sharing"",""จัดที่ดิน!BL70"")"),0)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IFERROR(__xludf.DUMMYFUNCTION("IMPORTRANGE(""https://docs.google.com/spreadsheets/d/1eHaY18a8A9IcSdp1K8H6x8fbOy06t2VsZHhMHf-1x7Y/edit?usp=sharing"",""แผน!IR70"")"),0)</f>
        <v>0</v>
      </c>
      <c r="J681" s="295">
        <f ca="1">IFERROR(__xludf.DUMMYFUNCTION("IMPORTRANGE(""https://docs.google.com/spreadsheets/d/1tdoBKaGub7dwA3U6UFTqxio9LNnvDCQjHKmttSEBsFQ/edit?usp=sharing"",""จัดที่ดิน!BM70"")"),0)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IFERROR(__xludf.DUMMYFUNCTION("IMPORTRANGE(""https://docs.google.com/spreadsheets/d/1eHaY18a8A9IcSdp1K8H6x8fbOy06t2VsZHhMHf-1x7Y/edit?usp=sharing"",""แผน!IS70"")"),0)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59" t="s">
        <v>35</v>
      </c>
      <c r="I689" s="760">
        <f ca="1">I707</f>
        <v>30</v>
      </c>
      <c r="J689" s="760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121560</v>
      </c>
      <c r="R690" s="266">
        <f ca="1">R691+R692</f>
        <v>121560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121560</v>
      </c>
      <c r="R692" s="77">
        <f ca="1">R695+R698</f>
        <v>121560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121560</v>
      </c>
      <c r="R693" s="77">
        <f ca="1">R694+R695</f>
        <v>121560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IFERROR(__xludf.DUMMYFUNCTION("IMPORTRANGE(""https://docs.google.com/spreadsheets/d/1ItG2mGa2ceCfYo0BwxsXqNm01IGEUdYcSSLTEv9YCik/edit?usp=sharing"",""เบิกจ่ายกองทุน!L70"")"),121560)</f>
        <v>121560</v>
      </c>
      <c r="R695" s="77">
        <f ca="1">IFERROR(__xludf.DUMMYFUNCTION("IMPORTRANGE(""https://docs.google.com/spreadsheets/d/1ItG2mGa2ceCfYo0BwxsXqNm01IGEUdYcSSLTEv9YCik/edit?usp=sharing"",""เบิกจ่ายกองทุน!M70"")"),121560)</f>
        <v>121560</v>
      </c>
      <c r="S695" s="77">
        <f ca="1">IFERROR(__xludf.DUMMYFUNCTION("IMPORTRANGE(""https://docs.google.com/spreadsheets/d/1ItG2mGa2ceCfYo0BwxsXqNm01IGEUdYcSSLTEv9YCik/edit?usp=sharing"",""เบิกจ่ายกองทุน!N70"")"),0)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IFERROR(__xludf.DUMMYFUNCTION("IMPORTRANGE(""https://docs.google.com/spreadsheets/d/1eHaY18a8A9IcSdp1K8H6x8fbOy06t2VsZHhMHf-1x7Y/edit?usp=sharing"",""แผน!LC70"")"),0)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32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IFERROR(__xludf.DUMMYFUNCTION("IMPORTRANGE(""https://docs.google.com/spreadsheets/d/1eHaY18a8A9IcSdp1K8H6x8fbOy06t2VsZHhMHf-1x7Y/edit?usp=sharing"",""แผน!LJ70"")"),30)</f>
        <v>30</v>
      </c>
      <c r="J703" s="295">
        <f ca="1">IFERROR(__xludf.DUMMYFUNCTION("IMPORTRANGE(""https://docs.google.com/spreadsheets/d/1tdoBKaGub7dwA3U6UFTqxio9LNnvDCQjHKmttSEBsFQ/edit?usp=sharing"",""จัดที่ดิน!AP70"")"),0)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IFERROR(__xludf.DUMMYFUNCTION("IMPORTRANGE(""https://docs.google.com/spreadsheets/d/1tdoBKaGub7dwA3U6UFTqxio9LNnvDCQjHKmttSEBsFQ/edit?usp=sharing"",""จัดที่ดิน!AQ70"")"),0)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IFERROR(__xludf.DUMMYFUNCTION("IMPORTRANGE(""https://docs.google.com/spreadsheets/d/1eHaY18a8A9IcSdp1K8H6x8fbOy06t2VsZHhMHf-1x7Y/edit?usp=sharing"",""แผน!LK70"")"),2)</f>
        <v>2</v>
      </c>
      <c r="J705" s="295">
        <f ca="1">IFERROR(__xludf.DUMMYFUNCTION("IMPORTRANGE(""https://docs.google.com/spreadsheets/d/1tdoBKaGub7dwA3U6UFTqxio9LNnvDCQjHKmttSEBsFQ/edit?usp=sharing"",""จัดที่ดิน!AR70"")"),0)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IFERROR(__xludf.DUMMYFUNCTION("IMPORTRANGE(""https://docs.google.com/spreadsheets/d/1tdoBKaGub7dwA3U6UFTqxio9LNnvDCQjHKmttSEBsFQ/edit?usp=sharing"",""จัดที่ดิน!AS70"")"),0)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IFERROR(__xludf.DUMMYFUNCTION("IMPORTRANGE(""https://docs.google.com/spreadsheets/d/1eHaY18a8A9IcSdp1K8H6x8fbOy06t2VsZHhMHf-1x7Y/edit?usp=sharing"",""แผน!LJ70"")"),30)</f>
        <v>30</v>
      </c>
      <c r="J707" s="295">
        <f ca="1">IFERROR(__xludf.DUMMYFUNCTION("IMPORTRANGE(""https://docs.google.com/spreadsheets/d/1tdoBKaGub7dwA3U6UFTqxio9LNnvDCQjHKmttSEBsFQ/edit?usp=sharing"",""จัดที่ดิน!BN70"")"),0)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IFERROR(__xludf.DUMMYFUNCTION("IMPORTRANGE(""https://docs.google.com/spreadsheets/d/1tdoBKaGub7dwA3U6UFTqxio9LNnvDCQjHKmttSEBsFQ/edit?usp=sharing"",""จัดที่ดิน!BO70"")"),0)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IFERROR(__xludf.DUMMYFUNCTION("IMPORTRANGE(""https://docs.google.com/spreadsheets/d/1eHaY18a8A9IcSdp1K8H6x8fbOy06t2VsZHhMHf-1x7Y/edit?usp=sharing"",""แผน!LK70"")"),2)</f>
        <v>2</v>
      </c>
      <c r="J709" s="295">
        <f ca="1">IFERROR(__xludf.DUMMYFUNCTION("IMPORTRANGE(""https://docs.google.com/spreadsheets/d/1tdoBKaGub7dwA3U6UFTqxio9LNnvDCQjHKmttSEBsFQ/edit?usp=sharing"",""จัดที่ดิน!BP70"")"),0)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IFERROR(__xludf.DUMMYFUNCTION("IMPORTRANGE(""https://docs.google.com/spreadsheets/d/1tdoBKaGub7dwA3U6UFTqxio9LNnvDCQjHKmttSEBsFQ/edit?usp=sharing"",""จัดที่ดิน!BQ70"")"),0)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IFERROR(__xludf.DUMMYFUNCTION("IMPORTRANGE(""https://docs.google.com/spreadsheets/d/1eHaY18a8A9IcSdp1K8H6x8fbOy06t2VsZHhMHf-1x7Y/edit?usp=sharing"",""แผน!GA70"")"),11)</f>
        <v>11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IFERROR(__xludf.DUMMYFUNCTION("IMPORTRANGE(""https://docs.google.com/spreadsheets/d/1eHaY18a8A9IcSdp1K8H6x8fbOy06t2VsZHhMHf-1x7Y/edit?usp=sharing"",""แผน!FZ70"")"),100)</f>
        <v>100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111882</v>
      </c>
      <c r="R728" s="266">
        <f ca="1">R729+R730</f>
        <v>111882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111882</v>
      </c>
      <c r="R730" s="77">
        <f ca="1">R733+R736</f>
        <v>111882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111882</v>
      </c>
      <c r="R731" s="77">
        <f ca="1">R732+R733</f>
        <v>111882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IFERROR(__xludf.DUMMYFUNCTION("IMPORTRANGE(""https://docs.google.com/spreadsheets/d/1ItG2mGa2ceCfYo0BwxsXqNm01IGEUdYcSSLTEv9YCik/edit?usp=sharing"",""เบิกจ่ายกองทุน!O70"")"),111882)</f>
        <v>111882</v>
      </c>
      <c r="R733" s="77">
        <f ca="1">IFERROR(__xludf.DUMMYFUNCTION("IMPORTRANGE(""https://docs.google.com/spreadsheets/d/1ItG2mGa2ceCfYo0BwxsXqNm01IGEUdYcSSLTEv9YCik/edit?usp=sharing"",""เบิกจ่ายกองทุน!P70"")"),111882)</f>
        <v>111882</v>
      </c>
      <c r="S733" s="77">
        <f ca="1">IFERROR(__xludf.DUMMYFUNCTION("IMPORTRANGE(""https://docs.google.com/spreadsheets/d/1ItG2mGa2ceCfYo0BwxsXqNm01IGEUdYcSSLTEv9YCik/edit?usp=sharing"",""เบิกจ่ายกองทุน!Q70"")"),0)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IFERROR(__xludf.DUMMYFUNCTION("IMPORTRANGE(""https://docs.google.com/spreadsheets/d/1eHaY18a8A9IcSdp1K8H6x8fbOy06t2VsZHhMHf-1x7Y/edit?usp=sharing"",""แผน!GB70"")"),80)</f>
        <v>80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IFERROR(__xludf.DUMMYFUNCTION("IMPORTRANGE(""https://docs.google.com/spreadsheets/d/1eHaY18a8A9IcSdp1K8H6x8fbOy06t2VsZHhMHf-1x7Y/edit?usp=sharing"",""แผน!GC70"")"),8)</f>
        <v>8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IFERROR(__xludf.DUMMYFUNCTION("IMPORTRANGE(""https://docs.google.com/spreadsheets/d/1eHaY18a8A9IcSdp1K8H6x8fbOy06t2VsZHhMHf-1x7Y/edit?usp=sharing"",""แผน!GD70"")"),20)</f>
        <v>20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IFERROR(__xludf.DUMMYFUNCTION("IMPORTRANGE(""https://docs.google.com/spreadsheets/d/1eHaY18a8A9IcSdp1K8H6x8fbOy06t2VsZHhMHf-1x7Y/edit?usp=sharing"",""แผน!GE70"")"),2)</f>
        <v>2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IFERROR(__xludf.DUMMYFUNCTION("IMPORTRANGE(""https://docs.google.com/spreadsheets/d/1eHaY18a8A9IcSdp1K8H6x8fbOy06t2VsZHhMHf-1x7Y/edit?usp=sharing"",""แผน!GF70"")"),1)</f>
        <v>1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IFERROR(__xludf.DUMMYFUNCTION("IMPORTRANGE(""https://docs.google.com/spreadsheets/d/1eHaY18a8A9IcSdp1K8H6x8fbOy06t2VsZHhMHf-1x7Y/edit?usp=sharing"",""แผน!GB70"")"),80)</f>
        <v>80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IFERROR(__xludf.DUMMYFUNCTION("IMPORTRANGE(""https://docs.google.com/spreadsheets/d/1eHaY18a8A9IcSdp1K8H6x8fbOy06t2VsZHhMHf-1x7Y/edit?usp=sharing"",""แผน!GD70"")"),20)</f>
        <v>20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15</v>
      </c>
      <c r="J758" s="760">
        <f>J772</f>
        <v>15</v>
      </c>
      <c r="K758" s="746">
        <f ca="1">IF(I758&gt;0,J758*100/I758,0)</f>
        <v>100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30</v>
      </c>
      <c r="J759" s="760">
        <f>J774</f>
        <v>30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117510</v>
      </c>
      <c r="R760" s="266">
        <f ca="1">R761+R762</f>
        <v>117510</v>
      </c>
      <c r="S760" s="266">
        <f ca="1">S761+S762</f>
        <v>21850</v>
      </c>
      <c r="T760" s="266">
        <f ca="1">IF(Q760&gt;0,S760*100/Q760,0)</f>
        <v>18.59416219896179</v>
      </c>
      <c r="U760" s="266">
        <f ca="1">IF(R760&gt;0,S760*100/R760,0)</f>
        <v>18.59416219896179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117510</v>
      </c>
      <c r="R762" s="77">
        <f ca="1">R765+R768</f>
        <v>117510</v>
      </c>
      <c r="S762" s="77">
        <f ca="1">S765+S768</f>
        <v>21850</v>
      </c>
      <c r="T762" s="77">
        <f ca="1">IF(Q762&gt;0,S762*100/Q762,0)</f>
        <v>18.59416219896179</v>
      </c>
      <c r="U762" s="77">
        <f ca="1">IF(R762&gt;0,S762*100/R762,0)</f>
        <v>18.59416219896179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117510</v>
      </c>
      <c r="R763" s="77">
        <f ca="1">R764+R765</f>
        <v>117510</v>
      </c>
      <c r="S763" s="77">
        <f ca="1">S764+S765</f>
        <v>21850</v>
      </c>
      <c r="T763" s="77">
        <f ca="1">IF(Q763&gt;0,S763*100/Q763,0)</f>
        <v>18.59416219896179</v>
      </c>
      <c r="U763" s="77">
        <f ca="1">IF(R763&gt;0,S763*100/R763,0)</f>
        <v>18.59416219896179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IFERROR(__xludf.DUMMYFUNCTION("IMPORTRANGE(""https://docs.google.com/spreadsheets/d/1ItG2mGa2ceCfYo0BwxsXqNm01IGEUdYcSSLTEv9YCik/edit?usp=sharing"",""เบิกจ่ายกองทุน!U70"")"),117510)</f>
        <v>117510</v>
      </c>
      <c r="R765" s="77">
        <f ca="1">IFERROR(__xludf.DUMMYFUNCTION("IMPORTRANGE(""https://docs.google.com/spreadsheets/d/1ItG2mGa2ceCfYo0BwxsXqNm01IGEUdYcSSLTEv9YCik/edit?usp=sharing"",""เบิกจ่ายกองทุน!V70"")"),117510)</f>
        <v>117510</v>
      </c>
      <c r="S765" s="77">
        <f ca="1">IFERROR(__xludf.DUMMYFUNCTION("IMPORTRANGE(""https://docs.google.com/spreadsheets/d/1ItG2mGa2ceCfYo0BwxsXqNm01IGEUdYcSSLTEv9YCik/edit?usp=sharing"",""เบิกจ่ายกองทุน!W70"")"),21850)</f>
        <v>21850</v>
      </c>
      <c r="T765" s="77">
        <f ca="1">IF(Q765&gt;0,S765*100/Q765,0)</f>
        <v>18.59416219896179</v>
      </c>
      <c r="U765" s="77">
        <f ca="1">IF(R765&gt;0,S765*100/R765,0)</f>
        <v>18.59416219896179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IFERROR(__xludf.DUMMYFUNCTION("IMPORTRANGE(""https://docs.google.com/spreadsheets/d/1eHaY18a8A9IcSdp1K8H6x8fbOy06t2VsZHhMHf-1x7Y/edit?usp=sharing"",""แผน!FI70"")"),0)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IFERROR(__xludf.DUMMYFUNCTION("IMPORTRANGE(""https://docs.google.com/spreadsheets/d/1eHaY18a8A9IcSdp1K8H6x8fbOy06t2VsZHhMHf-1x7Y/edit?usp=sharing"",""แผน!FQ70"")"),15)</f>
        <v>15</v>
      </c>
      <c r="J772" s="296">
        <v>15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IFERROR(__xludf.DUMMYFUNCTION("IMPORTRANGE(""https://docs.google.com/spreadsheets/d/1eHaY18a8A9IcSdp1K8H6x8fbOy06t2VsZHhMHf-1x7Y/edit?usp=sharing"",""แผน!FR70"")"),30)</f>
        <v>30</v>
      </c>
      <c r="J774" s="296">
        <v>30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IFERROR(__xludf.DUMMYFUNCTION("IMPORTRANGE(""https://docs.google.com/spreadsheets/d/1eHaY18a8A9IcSdp1K8H6x8fbOy06t2VsZHhMHf-1x7Y/edit?usp=sharing"",""แผน!FS70"")"),30)</f>
        <v>30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IFERROR(__xludf.DUMMYFUNCTION("IMPORTRANGE(""https://docs.google.com/spreadsheets/d/1eHaY18a8A9IcSdp1K8H6x8fbOy06t2VsZHhMHf-1x7Y/edit?usp=sharing"",""แผน!FT70"")"),15)</f>
        <v>15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IFERROR(__xludf.DUMMYFUNCTION("IMPORTRANGE(""https://docs.google.com/spreadsheets/d/10OvvATaaLtwErnr3qtWFcTmtbfpFEt5Bsqel9sXx0uE/edit?usp=sharing"",""งานกองทุน!D70"")"),2447378.02)</f>
        <v>2447378.02</v>
      </c>
      <c r="J778" s="295">
        <f ca="1">IFERROR(__xludf.DUMMYFUNCTION("IMPORTRANGE(""https://docs.google.com/spreadsheets/d/10OvvATaaLtwErnr3qtWFcTmtbfpFEt5Bsqel9sXx0uE/edit?usp=sharing"",""งานกองทุน!F70"")"),564460.13)</f>
        <v>564460.13</v>
      </c>
      <c r="K778" s="77">
        <f ca="1">IF(I778&gt;0,J778*100/I778,0)</f>
        <v>23.063871841097928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IFERROR(__xludf.DUMMYFUNCTION("IMPORTRANGE(""https://docs.google.com/spreadsheets/d/10OvvATaaLtwErnr3qtWFcTmtbfpFEt5Bsqel9sXx0uE/edit?usp=sharing"",""งานกองทุน!C70"")"),126)</f>
        <v>126</v>
      </c>
      <c r="J779" s="295">
        <f ca="1">IFERROR(__xludf.DUMMYFUNCTION("IMPORTRANGE(""https://docs.google.com/spreadsheets/d/10OvvATaaLtwErnr3qtWFcTmtbfpFEt5Bsqel9sXx0uE/edit?usp=sharing"",""งานกองทุน!E70"")"),62)</f>
        <v>62</v>
      </c>
      <c r="K779" s="77">
        <f ca="1">IF(I779&gt;0,J779*100/I779,0)</f>
        <v>49.206349206349209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IFERROR(__xludf.DUMMYFUNCTION("IMPORTRANGE(""https://docs.google.com/spreadsheets/d/10OvvATaaLtwErnr3qtWFcTmtbfpFEt5Bsqel9sXx0uE/edit?usp=sharing"",""งานกองทุน!I70"")"),19410912.42)</f>
        <v>19410912.420000002</v>
      </c>
      <c r="J780" s="295">
        <f ca="1">IFERROR(__xludf.DUMMYFUNCTION("IMPORTRANGE(""https://docs.google.com/spreadsheets/d/10OvvATaaLtwErnr3qtWFcTmtbfpFEt5Bsqel9sXx0uE/edit?usp=sharing"",""งานกองทุน!K70"")"),14402.38)</f>
        <v>14402.38</v>
      </c>
      <c r="K780" s="77">
        <f ca="1">IF(I780&gt;0,J780*100/I780,0)</f>
        <v>7.4197336469152941E-2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IFERROR(__xludf.DUMMYFUNCTION("IMPORTRANGE(""https://docs.google.com/spreadsheets/d/10OvvATaaLtwErnr3qtWFcTmtbfpFEt5Bsqel9sXx0uE/edit?usp=sharing"",""งานกองทุน!H70"")"),300)</f>
        <v>300</v>
      </c>
      <c r="J781" s="295">
        <f ca="1">IFERROR(__xludf.DUMMYFUNCTION("IMPORTRANGE(""https://docs.google.com/spreadsheets/d/10OvvATaaLtwErnr3qtWFcTmtbfpFEt5Bsqel9sXx0uE/edit?usp=sharing"",""งานกองทุน!J70"")"),1)</f>
        <v>1</v>
      </c>
      <c r="K781" s="77">
        <f ca="1">IF(I781&gt;0,J781*100/I781,0)</f>
        <v>0.33333333333333331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IFERROR(__xludf.DUMMYFUNCTION("IMPORTRANGE(""https://docs.google.com/spreadsheets/d/10OvvATaaLtwErnr3qtWFcTmtbfpFEt5Bsqel9sXx0uE/edit?usp=sharing"",""งานกองทุน!N70"")"),2378011.96)</f>
        <v>2378011.96</v>
      </c>
      <c r="J782" s="295">
        <f ca="1">IFERROR(__xludf.DUMMYFUNCTION("IMPORTRANGE(""https://docs.google.com/spreadsheets/d/10OvvATaaLtwErnr3qtWFcTmtbfpFEt5Bsqel9sXx0uE/edit?usp=sharing"",""งานกองทุน!P70"")"),259790.08)</f>
        <v>259790.07999999999</v>
      </c>
      <c r="K782" s="77">
        <f ca="1">IF(I782&gt;0,J782*100/I782,0)</f>
        <v>10.924675080271674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IFERROR(__xludf.DUMMYFUNCTION("IMPORTRANGE(""https://docs.google.com/spreadsheets/d/10OvvATaaLtwErnr3qtWFcTmtbfpFEt5Bsqel9sXx0uE/edit?usp=sharing"",""งานกองทุน!M70"")"),86)</f>
        <v>86</v>
      </c>
      <c r="J783" s="295">
        <f ca="1">IFERROR(__xludf.DUMMYFUNCTION("IMPORTRANGE(""https://docs.google.com/spreadsheets/d/10OvvATaaLtwErnr3qtWFcTmtbfpFEt5Bsqel9sXx0uE/edit?usp=sharing"",""งานกองทุน!O70"")"),96)</f>
        <v>96</v>
      </c>
      <c r="K783" s="77">
        <f ca="1">IF(I783&gt;0,J783*100/I783,0)</f>
        <v>111.62790697674419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IFERROR(__xludf.DUMMYFUNCTION("IMPORTRANGE(""https://docs.google.com/spreadsheets/d/10OvvATaaLtwErnr3qtWFcTmtbfpFEt5Bsqel9sXx0uE/edit?usp=sharing"",""งานกองทุน!S70"")"),2492000)</f>
        <v>2492000</v>
      </c>
      <c r="J784" s="295">
        <f ca="1">IFERROR(__xludf.DUMMYFUNCTION("IMPORTRANGE(""https://docs.google.com/spreadsheets/d/10OvvATaaLtwErnr3qtWFcTmtbfpFEt5Bsqel9sXx0uE/edit?usp=sharing"",""งานกองทุน!U70"")"),0)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IFERROR(__xludf.DUMMYFUNCTION("IMPORTRANGE(""https://docs.google.com/spreadsheets/d/10OvvATaaLtwErnr3qtWFcTmtbfpFEt5Bsqel9sXx0uE/edit?usp=sharing"",""งานกองทุน!R70"")"),89)</f>
        <v>89</v>
      </c>
      <c r="J785" s="773">
        <f ca="1">IFERROR(__xludf.DUMMYFUNCTION("IMPORTRANGE(""https://docs.google.com/spreadsheets/d/10OvvATaaLtwErnr3qtWFcTmtbfpFEt5Bsqel9sXx0uE/edit?usp=sharing"",""งานกองทุน!T70"")"),0)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8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83DD-AD7C-451F-BE9D-9AC22CBB1CDC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  <col min="17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358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377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1234275</v>
      </c>
      <c r="M18" s="62">
        <f ca="1">M19+M20</f>
        <v>1257369</v>
      </c>
      <c r="N18" s="62">
        <f ca="1">N19+N20</f>
        <v>1072912.6099999999</v>
      </c>
      <c r="O18" s="62">
        <f ca="1">IF(L18&gt;0,N18*100/L18,0)</f>
        <v>86.926544732737824</v>
      </c>
      <c r="P18" s="62">
        <f ca="1">IF(M18&gt;0,N18*100/M18,0)</f>
        <v>85.329971551708354</v>
      </c>
      <c r="Q18" s="62">
        <f ca="1">Q19+Q20</f>
        <v>222630</v>
      </c>
      <c r="R18" s="62">
        <f ca="1">R19+R20</f>
        <v>222630</v>
      </c>
      <c r="S18" s="62">
        <f ca="1">S19+S20</f>
        <v>116147.5</v>
      </c>
      <c r="T18" s="62">
        <f ca="1">IF(Q18&gt;0,S18*100/Q18,0)</f>
        <v>52.17064187216458</v>
      </c>
      <c r="U18" s="62">
        <f ca="1">IF(R18&gt;0,S18*100/R18,0)</f>
        <v>52.17064187216458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1234275</v>
      </c>
      <c r="M20" s="68">
        <f ca="1">M23+M26</f>
        <v>1257369</v>
      </c>
      <c r="N20" s="68">
        <f ca="1">N23+N26</f>
        <v>1072912.6099999999</v>
      </c>
      <c r="O20" s="68">
        <f ca="1">IF(L20&gt;0,N20*100/L20,0)</f>
        <v>86.926544732737824</v>
      </c>
      <c r="P20" s="68">
        <f ca="1">IF(M20&gt;0,N20*100/M20,0)</f>
        <v>85.329971551708354</v>
      </c>
      <c r="Q20" s="68">
        <f ca="1">Q23+Q26</f>
        <v>222630</v>
      </c>
      <c r="R20" s="68">
        <f ca="1">R23+R26</f>
        <v>222630</v>
      </c>
      <c r="S20" s="68">
        <f ca="1">S23+S26</f>
        <v>116147.5</v>
      </c>
      <c r="T20" s="68">
        <f ca="1">IF(Q20&gt;0,S20*100/Q20,0)</f>
        <v>52.17064187216458</v>
      </c>
      <c r="U20" s="68">
        <f ca="1">IF(R20&gt;0,S20*100/R20,0)</f>
        <v>52.17064187216458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1234275</v>
      </c>
      <c r="M21" s="77">
        <f ca="1">M22+M23</f>
        <v>1257369</v>
      </c>
      <c r="N21" s="77">
        <f ca="1">N22+N23</f>
        <v>1072912.6099999999</v>
      </c>
      <c r="O21" s="77">
        <f ca="1">IF(L21&gt;0,N21*100/L21,0)</f>
        <v>86.926544732737824</v>
      </c>
      <c r="P21" s="77">
        <f ca="1">IF(M21&gt;0,N21*100/M21,0)</f>
        <v>85.329971551708354</v>
      </c>
      <c r="Q21" s="77">
        <f ca="1">Q22+Q23</f>
        <v>222630</v>
      </c>
      <c r="R21" s="77">
        <f ca="1">R22+R23</f>
        <v>222630</v>
      </c>
      <c r="S21" s="77">
        <f ca="1">S22+S23</f>
        <v>116147.5</v>
      </c>
      <c r="T21" s="77">
        <f ca="1">IF(Q21&gt;0,S21*100/Q21,0)</f>
        <v>52.17064187216458</v>
      </c>
      <c r="U21" s="77">
        <f ca="1">IF(R21&gt;0,S21*100/R21,0)</f>
        <v>52.17064187216458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1234275</v>
      </c>
      <c r="M23" s="77">
        <f ca="1">M49+M64+M77+M99+M130+M144+M162+M191+M178+M271+M287+M308+M325+M338+M361+M518</f>
        <v>1257369</v>
      </c>
      <c r="N23" s="77">
        <f ca="1">N49+N64+N77+N99+N130+N144+N162+N191+N178+N271+N287+N308+N325+N338+N361+N518</f>
        <v>1072912.6099999999</v>
      </c>
      <c r="O23" s="77">
        <f ca="1">IF(L23&gt;0,N23*100/L23,0)</f>
        <v>86.926544732737824</v>
      </c>
      <c r="P23" s="77">
        <f ca="1">IF(M23&gt;0,N23*100/M23,0)</f>
        <v>85.329971551708354</v>
      </c>
      <c r="Q23" s="77">
        <f ca="1">Q77+Q99+Q122+Q144+Q162+Q178+Q191+Q271+Q287+Q308+Q338+Q380+Q397+Q418+Q498+Q604+Q621+Q647+Q695+Q719+Q733+Q765</f>
        <v>222630</v>
      </c>
      <c r="R23" s="77">
        <f ca="1">R77+R99+R122+R144+R162+R178+R191+R271+R287+R308+R338+R380+R397+R418+R498+R604+R621+R647+R695+R719+R733+R765</f>
        <v>222630</v>
      </c>
      <c r="S23" s="77">
        <f ca="1">S77+S99+S122+S144+S162+S178+S191+S271+S287+S308+S338+S380+S397+S418+S498+S604+S621+S647+S695+S719+S733+S765</f>
        <v>116147.5</v>
      </c>
      <c r="T23" s="77">
        <f ca="1">IF(Q23&gt;0,S23*100/Q23,0)</f>
        <v>52.17064187216458</v>
      </c>
      <c r="U23" s="77">
        <f ca="1">IF(R23&gt;0,S23*100/R23,0)</f>
        <v>52.17064187216458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4.25" hidden="1" x14ac:dyDescent="0.2">
      <c r="A30" s="1376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1234275</v>
      </c>
      <c r="M40" s="1308">
        <f ca="1">M44+M59+M72+M94+M125+M139+M157+M173+M186+M266+M282+M303+M320+M333+M356</f>
        <v>1257369</v>
      </c>
      <c r="N40" s="1308">
        <f ca="1">N44+N59+N72+N94+N125+N139+N157+N173+N186+N266+N282+N303+N320+N333+N356</f>
        <v>1072912.6099999999</v>
      </c>
      <c r="O40" s="1308">
        <f ca="1">IF(L40&gt;0,N40*100/L40,0)</f>
        <v>86.926544732737824</v>
      </c>
      <c r="P40" s="1308">
        <f ca="1">IF(M40&gt;0,N40*100/M40,0)</f>
        <v>85.329971551708354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204500</v>
      </c>
      <c r="M44" s="1304">
        <f ca="1">M45+M46</f>
        <v>212324</v>
      </c>
      <c r="N44" s="1304">
        <f ca="1">N45+N46</f>
        <v>162494.5</v>
      </c>
      <c r="O44" s="1304">
        <f ca="1">IF(L44&gt;0,N44*100/L44,0)</f>
        <v>79.459413202933987</v>
      </c>
      <c r="P44" s="1304">
        <f ca="1">IF(M44&gt;0,N44*100/M44,0)</f>
        <v>76.531385994988796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204500</v>
      </c>
      <c r="M46" s="1300">
        <f ca="1">M49+M52</f>
        <v>212324</v>
      </c>
      <c r="N46" s="1300">
        <f ca="1">N49+N52</f>
        <v>162494.5</v>
      </c>
      <c r="O46" s="1300">
        <f ca="1">IF(L46&gt;0,N46*100/L46,0)</f>
        <v>79.459413202933987</v>
      </c>
      <c r="P46" s="1300">
        <f ca="1">IF(M46&gt;0,N46*100/M46,0)</f>
        <v>76.531385994988796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204500</v>
      </c>
      <c r="M47" s="77">
        <f ca="1">M48+M49</f>
        <v>212324</v>
      </c>
      <c r="N47" s="77">
        <f ca="1">N48+N49</f>
        <v>162494.5</v>
      </c>
      <c r="O47" s="77">
        <f ca="1">IF(L47&gt;0,N47*100/L47,0)</f>
        <v>79.459413202933987</v>
      </c>
      <c r="P47" s="77">
        <f ca="1">IF(M47&gt;0,N47*100/M47,0)</f>
        <v>76.531385994988796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IFERROR(__xludf.DUMMYFUNCTION("IMPORTRANGE(""https://docs.google.com/spreadsheets/d/1-uDff_7J0KD5mKrp0Vvzr7lt3OU09vwQwhkpOPPYv2Y/edit?usp=sharing"",""งบพรบ!P71"")"),204500)</f>
        <v>204500</v>
      </c>
      <c r="M49" s="77">
        <f ca="1">IFERROR(__xludf.DUMMYFUNCTION("IMPORTRANGE(""https://docs.google.com/spreadsheets/d/1-uDff_7J0KD5mKrp0Vvzr7lt3OU09vwQwhkpOPPYv2Y/edit?usp=sharing"",""งบพรบ!V71"")"),212324)</f>
        <v>212324</v>
      </c>
      <c r="N49" s="77">
        <f ca="1">IFERROR(__xludf.DUMMYFUNCTION("IMPORTRANGE(""https://docs.google.com/spreadsheets/d/1-uDff_7J0KD5mKrp0Vvzr7lt3OU09vwQwhkpOPPYv2Y/edit?usp=sharing"",""งบพรบ!Y71"")"),162494.5)</f>
        <v>162494.5</v>
      </c>
      <c r="O49" s="77">
        <f ca="1">IF(L49&gt;0,N49*100/L49,0)</f>
        <v>79.459413202933987</v>
      </c>
      <c r="P49" s="77">
        <f ca="1">IF(M49&gt;0,N49*100/M49,0)</f>
        <v>76.531385994988796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IFERROR(__xludf.DUMMYFUNCTION("IMPORTRANGE(""https://docs.google.com/spreadsheets/d/1-uDff_7J0KD5mKrp0Vvzr7lt3OU09vwQwhkpOPPYv2Y/edit?usp=sharing"",""งบพรบ!S71"")"),0)</f>
        <v>0</v>
      </c>
      <c r="M52" s="77">
        <f ca="1">IFERROR(__xludf.DUMMYFUNCTION("IMPORTRANGE(""https://docs.google.com/spreadsheets/d/1-uDff_7J0KD5mKrp0Vvzr7lt3OU09vwQwhkpOPPYv2Y/edit?usp=sharing"",""งบพรบ!W71"")"),0)</f>
        <v>0</v>
      </c>
      <c r="N52" s="77">
        <f ca="1">IFERROR(__xludf.DUMMYFUNCTION("IMPORTRANGE(""https://docs.google.com/spreadsheets/d/1-uDff_7J0KD5mKrp0Vvzr7lt3OU09vwQwhkpOPPYv2Y/edit?usp=sharing"",""งบพรบ!Z71"")"),0)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599400</v>
      </c>
      <c r="M59" s="1297">
        <f ca="1">M60+M61</f>
        <v>599400</v>
      </c>
      <c r="N59" s="1297">
        <f ca="1">N60+N61</f>
        <v>567592.89</v>
      </c>
      <c r="O59" s="1297">
        <f ca="1">IF(L59&gt;0,N59*100/L59,0)</f>
        <v>94.693508508508515</v>
      </c>
      <c r="P59" s="1297">
        <f ca="1">IF(M59&gt;0,N59*100/M59,0)</f>
        <v>94.693508508508515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599400</v>
      </c>
      <c r="M61" s="1293">
        <f ca="1">M64+M67</f>
        <v>599400</v>
      </c>
      <c r="N61" s="1293">
        <f ca="1">N64+N67</f>
        <v>567592.89</v>
      </c>
      <c r="O61" s="1293">
        <f ca="1">IF(L61&gt;0,N61*100/L61,0)</f>
        <v>94.693508508508515</v>
      </c>
      <c r="P61" s="1293">
        <f ca="1">IF(M61&gt;0,N61*100/M61,0)</f>
        <v>94.693508508508515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599400</v>
      </c>
      <c r="M62" s="77">
        <f ca="1">M63+M64</f>
        <v>599400</v>
      </c>
      <c r="N62" s="77">
        <f ca="1">N63+N64</f>
        <v>567592.89</v>
      </c>
      <c r="O62" s="77">
        <f ca="1">IF(L62&gt;0,N62*100/L62,0)</f>
        <v>94.693508508508515</v>
      </c>
      <c r="P62" s="77">
        <f ca="1">IF(M62&gt;0,N62*100/M62,0)</f>
        <v>94.693508508508515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IFERROR(__xludf.DUMMYFUNCTION("IMPORTRANGE(""https://docs.google.com/spreadsheets/d/1-uDff_7J0KD5mKrp0Vvzr7lt3OU09vwQwhkpOPPYv2Y/edit?usp=sharing"",""งบพรบ!AC71"")"),599400)</f>
        <v>599400</v>
      </c>
      <c r="M64" s="77">
        <f ca="1">IFERROR(__xludf.DUMMYFUNCTION("IMPORTRANGE(""https://docs.google.com/spreadsheets/d/1-uDff_7J0KD5mKrp0Vvzr7lt3OU09vwQwhkpOPPYv2Y/edit?usp=sharing"",""งบพรบ!AH71"")"),599400)</f>
        <v>599400</v>
      </c>
      <c r="N64" s="77">
        <f ca="1">IFERROR(__xludf.DUMMYFUNCTION("IMPORTRANGE(""https://docs.google.com/spreadsheets/d/1-uDff_7J0KD5mKrp0Vvzr7lt3OU09vwQwhkpOPPYv2Y/edit?usp=sharing"",""งบพรบ!AJ71"")"),567592.89)</f>
        <v>567592.89</v>
      </c>
      <c r="O64" s="77">
        <f ca="1">IF(L64&gt;0,N64*100/L64,0)</f>
        <v>94.693508508508515</v>
      </c>
      <c r="P64" s="77">
        <f ca="1">IF(M64&gt;0,N64*100/M64,0)</f>
        <v>94.693508508508515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IFERROR(__xludf.DUMMYFUNCTION("IMPORTRANGE(""https://docs.google.com/spreadsheets/d/1-uDff_7J0KD5mKrp0Vvzr7lt3OU09vwQwhkpOPPYv2Y/edit?usp=sharing"",""งบพรบ!AF71"")"),0)</f>
        <v>0</v>
      </c>
      <c r="M67" s="185">
        <f ca="1">IFERROR(__xludf.DUMMYFUNCTION("IMPORTRANGE(""https://docs.google.com/spreadsheets/d/1-uDff_7J0KD5mKrp0Vvzr7lt3OU09vwQwhkpOPPYv2Y/edit?usp=sharing"",""งบพรบ!AI71"")"),0)</f>
        <v>0</v>
      </c>
      <c r="N67" s="185">
        <f ca="1">IFERROR(__xludf.DUMMYFUNCTION("IMPORTRANGE(""https://docs.google.com/spreadsheets/d/1-uDff_7J0KD5mKrp0Vvzr7lt3OU09vwQwhkpOPPYv2Y/edit?usp=sharing"",""งบพรบ!AK71"")"),0)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IFERROR(__xludf.DUMMYFUNCTION("IMPORTRANGE(""https://docs.google.com/spreadsheets/d/1-uDff_7J0KD5mKrp0Vvzr7lt3OU09vwQwhkpOPPYv2Y/edit?usp=sharing"",""งบพรบ!AM71"")"),0)</f>
        <v>0</v>
      </c>
      <c r="M77" s="77">
        <f ca="1">IFERROR(__xludf.DUMMYFUNCTION("IMPORTRANGE(""https://docs.google.com/spreadsheets/d/1-uDff_7J0KD5mKrp0Vvzr7lt3OU09vwQwhkpOPPYv2Y/edit?usp=sharing"",""งบพรบ!AR71"")"),0)</f>
        <v>0</v>
      </c>
      <c r="N77" s="77">
        <f ca="1">IFERROR(__xludf.DUMMYFUNCTION("IMPORTRANGE(""https://docs.google.com/spreadsheets/d/1-uDff_7J0KD5mKrp0Vvzr7lt3OU09vwQwhkpOPPYv2Y/edit?usp=sharing"",""งบพรบ!AT71"")"),0)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IFERROR(__xludf.DUMMYFUNCTION("IMPORTRANGE(""https://docs.google.com/spreadsheets/d/1ItG2mGa2ceCfYo0BwxsXqNm01IGEUdYcSSLTEv9YCik/edit?usp=sharing"",""เบิกจ่ายกองทุน!AS71"")"),0)</f>
        <v>0</v>
      </c>
      <c r="R77" s="77">
        <f ca="1">IFERROR(__xludf.DUMMYFUNCTION("IMPORTRANGE(""https://docs.google.com/spreadsheets/d/1ItG2mGa2ceCfYo0BwxsXqNm01IGEUdYcSSLTEv9YCik/edit?usp=sharing"",""เบิกจ่ายกองทุน!AT71"")"),0)</f>
        <v>0</v>
      </c>
      <c r="S77" s="77">
        <f ca="1">IFERROR(__xludf.DUMMYFUNCTION("IMPORTRANGE(""https://docs.google.com/spreadsheets/d/1ItG2mGa2ceCfYo0BwxsXqNm01IGEUdYcSSLTEv9YCik/edit?usp=sharing"",""เบิกจ่ายกองทุน!AU71"")"),0)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IFERROR(__xludf.DUMMYFUNCTION("IMPORTRANGE(""https://docs.google.com/spreadsheets/d/1-uDff_7J0KD5mKrp0Vvzr7lt3OU09vwQwhkpOPPYv2Y/edit?usp=sharing"",""งบพรบ!AP71"")"),0)</f>
        <v>0</v>
      </c>
      <c r="M80" s="77">
        <f ca="1">IFERROR(__xludf.DUMMYFUNCTION("IMPORTRANGE(""https://docs.google.com/spreadsheets/d/1-uDff_7J0KD5mKrp0Vvzr7lt3OU09vwQwhkpOPPYv2Y/edit?usp=sharing"",""งบพรบ!AS71"")"),0)</f>
        <v>0</v>
      </c>
      <c r="N80" s="77">
        <f ca="1">IFERROR(__xludf.DUMMYFUNCTION("IMPORTRANGE(""https://docs.google.com/spreadsheets/d/1-uDff_7J0KD5mKrp0Vvzr7lt3OU09vwQwhkpOPPYv2Y/edit?usp=sharing"",""งบพรบ!AU71"")"),0)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IFERROR(__xludf.DUMMYFUNCTION("IMPORTRANGE(""https://docs.google.com/spreadsheets/d/1eHaY18a8A9IcSdp1K8H6x8fbOy06t2VsZHhMHf-1x7Y/edit?usp=sharing"",""แผน!H71"")"),0)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IFERROR(__xludf.DUMMYFUNCTION("IMPORTRANGE(""https://docs.google.com/spreadsheets/d/1eHaY18a8A9IcSdp1K8H6x8fbOy06t2VsZHhMHf-1x7Y/edit?usp=sharing"",""แผน!I71"")"),0)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IFERROR(__xludf.DUMMYFUNCTION("IMPORTRANGE(""https://docs.google.com/spreadsheets/d/1eHaY18a8A9IcSdp1K8H6x8fbOy06t2VsZHhMHf-1x7Y/edit?usp=sharing"",""แผน!F71"")"),0)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IFERROR(__xludf.DUMMYFUNCTION("IMPORTRANGE(""https://docs.google.com/spreadsheets/d/1eHaY18a8A9IcSdp1K8H6x8fbOy06t2VsZHhMHf-1x7Y/edit?usp=sharing"",""แผน!G71"")"),0)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IFERROR(__xludf.DUMMYFUNCTION("IMPORTRANGE(""https://docs.google.com/spreadsheets/d/1eHaY18a8A9IcSdp1K8H6x8fbOy06t2VsZHhMHf-1x7Y/edit?usp=sharing"",""แผน!D71"")"),0)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IFERROR(__xludf.DUMMYFUNCTION("IMPORTRANGE(""https://docs.google.com/spreadsheets/d/1eHaY18a8A9IcSdp1K8H6x8fbOy06t2VsZHhMHf-1x7Y/edit?usp=sharing"",""แผน!E71"")"),0)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IFERROR(__xludf.DUMMYFUNCTION("IMPORTRANGE(""https://docs.google.com/spreadsheets/d/1eHaY18a8A9IcSdp1K8H6x8fbOy06t2VsZHhMHf-1x7Y/edit?usp=sharing"",""แผน!J71"")"),0)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IFERROR(__xludf.DUMMYFUNCTION("IMPORTRANGE(""https://docs.google.com/spreadsheets/d/1-uDff_7J0KD5mKrp0Vvzr7lt3OU09vwQwhkpOPPYv2Y/edit?usp=sharing"",""งบพรบ!AW71"")"),0)</f>
        <v>0</v>
      </c>
      <c r="M99" s="77">
        <f ca="1">IFERROR(__xludf.DUMMYFUNCTION("IMPORTRANGE(""https://docs.google.com/spreadsheets/d/1-uDff_7J0KD5mKrp0Vvzr7lt3OU09vwQwhkpOPPYv2Y/edit?usp=sharing"",""งบพรบ!BB71"")"),0)</f>
        <v>0</v>
      </c>
      <c r="N99" s="77">
        <f ca="1">IFERROR(__xludf.DUMMYFUNCTION("IMPORTRANGE(""https://docs.google.com/spreadsheets/d/1-uDff_7J0KD5mKrp0Vvzr7lt3OU09vwQwhkpOPPYv2Y/edit?usp=sharing"",""งบพรบ!BD71"")"),0)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IFERROR(__xludf.DUMMYFUNCTION("IMPORTRANGE(""https://docs.google.com/spreadsheets/d/1ItG2mGa2ceCfYo0BwxsXqNm01IGEUdYcSSLTEv9YCik/edit?usp=sharing"",""เบิกจ่ายกองทุน!AD71"")"),0)</f>
        <v>0</v>
      </c>
      <c r="R99" s="77">
        <f ca="1">IFERROR(__xludf.DUMMYFUNCTION("IMPORTRANGE(""https://docs.google.com/spreadsheets/d/1ItG2mGa2ceCfYo0BwxsXqNm01IGEUdYcSSLTEv9YCik/edit?usp=sharing"",""เบิกจ่ายกองทุน!AE71"")"),0)</f>
        <v>0</v>
      </c>
      <c r="S99" s="77">
        <f ca="1">IFERROR(__xludf.DUMMYFUNCTION("IMPORTRANGE(""https://docs.google.com/spreadsheets/d/1ItG2mGa2ceCfYo0BwxsXqNm01IGEUdYcSSLTEv9YCik/edit?usp=sharing"",""เบิกจ่ายกองทุน!AF71"")"),0)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IFERROR(__xludf.DUMMYFUNCTION("IMPORTRANGE(""https://docs.google.com/spreadsheets/d/1-uDff_7J0KD5mKrp0Vvzr7lt3OU09vwQwhkpOPPYv2Y/edit?usp=sharing"",""งบพรบ!AZ71"")"),0)</f>
        <v>0</v>
      </c>
      <c r="M102" s="77">
        <f ca="1">IFERROR(__xludf.DUMMYFUNCTION("IMPORTRANGE(""https://docs.google.com/spreadsheets/d/1-uDff_7J0KD5mKrp0Vvzr7lt3OU09vwQwhkpOPPYv2Y/edit?usp=sharing"",""งบพรบ!BC71"")"),0)</f>
        <v>0</v>
      </c>
      <c r="N102" s="77">
        <f ca="1">IFERROR(__xludf.DUMMYFUNCTION("IMPORTRANGE(""https://docs.google.com/spreadsheets/d/1-uDff_7J0KD5mKrp0Vvzr7lt3OU09vwQwhkpOPPYv2Y/edit?usp=sharing"",""งบพรบ!BE71"")"),0)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IFERROR(__xludf.DUMMYFUNCTION("IMPORTRANGE(""https://docs.google.com/spreadsheets/d/1eHaY18a8A9IcSdp1K8H6x8fbOy06t2VsZHhMHf-1x7Y/edit?usp=sharing"",""แผน!N71"")"),0)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IFERROR(__xludf.DUMMYFUNCTION("IMPORTRANGE(""https://docs.google.com/spreadsheets/d/1eHaY18a8A9IcSdp1K8H6x8fbOy06t2VsZHhMHf-1x7Y/edit?usp=sharing"",""แผน!O71"")"),0)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IFERROR(__xludf.DUMMYFUNCTION("IMPORTRANGE(""https://docs.google.com/spreadsheets/d/1eHaY18a8A9IcSdp1K8H6x8fbOy06t2VsZHhMHf-1x7Y/edit?usp=sharing"",""แผน!R71"")"),0)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90604.5</v>
      </c>
      <c r="T117" s="266">
        <f ca="1">IF(Q117&gt;0,S117*100/Q117,0)</f>
        <v>52.173499942416214</v>
      </c>
      <c r="U117" s="266">
        <f ca="1">IF(R117&gt;0,S117*100/R117,0)</f>
        <v>52.173499942416214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90604.5</v>
      </c>
      <c r="T119" s="77">
        <f ca="1">IF(Q119&gt;0,S119*100/Q119,0)</f>
        <v>52.173499942416214</v>
      </c>
      <c r="U119" s="77">
        <f ca="1">IF(R119&gt;0,S119*100/R119,0)</f>
        <v>52.173499942416214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90604.5</v>
      </c>
      <c r="T120" s="77">
        <f ca="1">IF(Q120&gt;0,S120*100/Q120,0)</f>
        <v>52.173499942416214</v>
      </c>
      <c r="U120" s="77">
        <f ca="1">IF(R120&gt;0,S120*100/R120,0)</f>
        <v>52.173499942416214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IFERROR(__xludf.DUMMYFUNCTION("IMPORTRANGE(""https://docs.google.com/spreadsheets/d/1-uDff_7J0KD5mKrp0Vvzr7lt3OU09vwQwhkpOPPYv2Y/edit?usp=sharing"",""งบพรบ!BG71"")"),0)</f>
        <v>0</v>
      </c>
      <c r="M122" s="77">
        <f ca="1">IFERROR(__xludf.DUMMYFUNCTION("IMPORTRANGE(""https://docs.google.com/spreadsheets/d/1-uDff_7J0KD5mKrp0Vvzr7lt3OU09vwQwhkpOPPYv2Y/edit?usp=sharing"",""งบพรบ!BL71"")"),0)</f>
        <v>0</v>
      </c>
      <c r="N122" s="77">
        <f ca="1">IFERROR(__xludf.DUMMYFUNCTION("IMPORTRANGE(""https://docs.google.com/spreadsheets/d/1-uDff_7J0KD5mKrp0Vvzr7lt3OU09vwQwhkpOPPYv2Y/edit?usp=sharing"",""งบพรบ!BN71"")"),0)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IFERROR(__xludf.DUMMYFUNCTION("IMPORTRANGE(""https://docs.google.com/spreadsheets/d/1ItG2mGa2ceCfYo0BwxsXqNm01IGEUdYcSSLTEv9YCik/edit?usp=sharing"",""เบิกจ่ายกองทุน!R71"")"),173660)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IFERROR(__xludf.DUMMYFUNCTION("IMPORTRANGE(""https://docs.google.com/spreadsheets/d/1ItG2mGa2ceCfYo0BwxsXqNm01IGEUdYcSSLTEv9YCik/edit?usp=sharing"",""เบิกจ่ายกองทุน!S71"")"),173660)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IFERROR(__xludf.DUMMYFUNCTION("IMPORTRANGE(""https://docs.google.com/spreadsheets/d/1ItG2mGa2ceCfYo0BwxsXqNm01IGEUdYcSSLTEv9YCik/edit?usp=sharing"",""เบิกจ่ายกองทุน!T71"")"),90604.5)</f>
        <v>90604.5</v>
      </c>
      <c r="T122" s="77">
        <f ca="1">IF(Q122&gt;0,S122*100/Q122,0)</f>
        <v>52.173499942416214</v>
      </c>
      <c r="U122" s="77">
        <f ca="1">IF(R122&gt;0,S122*100/R122,0)</f>
        <v>52.173499942416214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IFERROR(__xludf.DUMMYFUNCTION("IMPORTRANGE(""https://docs.google.com/spreadsheets/d/1-uDff_7J0KD5mKrp0Vvzr7lt3OU09vwQwhkpOPPYv2Y/edit?usp=sharing"",""งบพรบ!BJ71"")"),0)</f>
        <v>0</v>
      </c>
      <c r="M125" s="77">
        <f ca="1">IFERROR(__xludf.DUMMYFUNCTION("IMPORTRANGE(""https://docs.google.com/spreadsheets/d/1-uDff_7J0KD5mKrp0Vvzr7lt3OU09vwQwhkpOPPYv2Y/edit?usp=sharing"",""งบพรบ!BM71"")"),0)</f>
        <v>0</v>
      </c>
      <c r="N125" s="77">
        <f ca="1">IFERROR(__xludf.DUMMYFUNCTION("IMPORTRANGE(""https://docs.google.com/spreadsheets/d/1-uDff_7J0KD5mKrp0Vvzr7lt3OU09vwQwhkpOPPYv2Y/edit?usp=sharing"",""งบพรบ!BO71"")"),0)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IFERROR(__xludf.DUMMYFUNCTION("IMPORTRANGE(""https://docs.google.com/spreadsheets/d/1eHaY18a8A9IcSdp1K8H6x8fbOy06t2VsZHhMHf-1x7Y/edit?usp=sharing"",""แผน!FF71"")"),10)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IFERROR(__xludf.DUMMYFUNCTION("IMPORTRANGE(""https://docs.google.com/spreadsheets/d/1eHaY18a8A9IcSdp1K8H6x8fbOy06t2VsZHhMHf-1x7Y/edit?usp=sharing"",""แผน!FG71"")"),0)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IFERROR(__xludf.DUMMYFUNCTION("IMPORTRANGE(""https://docs.google.com/spreadsheets/d/1eHaY18a8A9IcSdp1K8H6x8fbOy06t2VsZHhMHf-1x7Y/edit?usp=sharing"",""แผน!FH71"")"),10)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IFERROR(__xludf.DUMMYFUNCTION("IMPORTRANGE(""https://docs.google.com/spreadsheets/d/1eHaY18a8A9IcSdp1K8H6x8fbOy06t2VsZHhMHf-1x7Y/edit?usp=sharing"",""แผน!FI71"")"),0)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IFERROR(__xludf.DUMMYFUNCTION("IMPORTRANGE(""https://docs.google.com/spreadsheets/d/1-uDff_7J0KD5mKrp0Vvzr7lt3OU09vwQwhkpOPPYv2Y/edit?usp=sharing"",""งบพรบ!BQ71"")"),0)</f>
        <v>0</v>
      </c>
      <c r="M144" s="77">
        <f ca="1">IFERROR(__xludf.DUMMYFUNCTION("IMPORTRANGE(""https://docs.google.com/spreadsheets/d/1-uDff_7J0KD5mKrp0Vvzr7lt3OU09vwQwhkpOPPYv2Y/edit?usp=sharing"",""งบพรบ!BV71"")"),0)</f>
        <v>0</v>
      </c>
      <c r="N144" s="77">
        <f ca="1">IFERROR(__xludf.DUMMYFUNCTION("IMPORTRANGE(""https://docs.google.com/spreadsheets/d/1-uDff_7J0KD5mKrp0Vvzr7lt3OU09vwQwhkpOPPYv2Y/edit?usp=sharing"",""งบพรบ!BX71"")"),0)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IFERROR(__xludf.DUMMYFUNCTION("IMPORTRANGE(""https://docs.google.com/spreadsheets/d/1ItG2mGa2ceCfYo0BwxsXqNm01IGEUdYcSSLTEv9YCik/edit?usp=sharing"",""เบิกจ่ายกองทุน!BB71"")"),0)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IFERROR(__xludf.DUMMYFUNCTION("IMPORTRANGE(""https://docs.google.com/spreadsheets/d/1ItG2mGa2ceCfYo0BwxsXqNm01IGEUdYcSSLTEv9YCik/edit?usp=sharing"",""เบิกจ่ายกองทุน!BC71"")"),0)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IFERROR(__xludf.DUMMYFUNCTION("IMPORTRANGE(""https://docs.google.com/spreadsheets/d/1ItG2mGa2ceCfYo0BwxsXqNm01IGEUdYcSSLTEv9YCik/edit?usp=sharing"",""เบิกจ่ายกองทุน!BD71"")"),0)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IFERROR(__xludf.DUMMYFUNCTION("IMPORTRANGE(""https://docs.google.com/spreadsheets/d/1-uDff_7J0KD5mKrp0Vvzr7lt3OU09vwQwhkpOPPYv2Y/edit?usp=sharing"",""งบพรบ!BT71"")"),0)</f>
        <v>0</v>
      </c>
      <c r="M147" s="77">
        <f ca="1">IFERROR(__xludf.DUMMYFUNCTION("IMPORTRANGE(""https://docs.google.com/spreadsheets/d/1-uDff_7J0KD5mKrp0Vvzr7lt3OU09vwQwhkpOPPYv2Y/edit?usp=sharing"",""งบพรบ!BW71"")"),0)</f>
        <v>0</v>
      </c>
      <c r="N147" s="77">
        <f ca="1">IFERROR(__xludf.DUMMYFUNCTION("IMPORTRANGE(""https://docs.google.com/spreadsheets/d/1-uDff_7J0KD5mKrp0Vvzr7lt3OU09vwQwhkpOPPYv2Y/edit?usp=sharing"",""งบพรบ!BY71"")"),0)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IFERROR(__xludf.DUMMYFUNCTION("IMPORTRANGE(""https://docs.google.com/spreadsheets/d/1eHaY18a8A9IcSdp1K8H6x8fbOy06t2VsZHhMHf-1x7Y/edit?usp=sharing"",""แผน!U71"")"),0)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IFERROR(__xludf.DUMMYFUNCTION("IMPORTRANGE(""https://docs.google.com/spreadsheets/d/1eHaY18a8A9IcSdp1K8H6x8fbOy06t2VsZHhMHf-1x7Y/edit?usp=sharing"",""แผน!V71"")"),0)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IFERROR(__xludf.DUMMYFUNCTION("IMPORTRANGE(""https://docs.google.com/spreadsheets/d/1eHaY18a8A9IcSdp1K8H6x8fbOy06t2VsZHhMHf-1x7Y/edit?usp=sharing"",""แผน!W71"")"),0)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IFERROR(__xludf.DUMMYFUNCTION("IMPORTRANGE(""https://docs.google.com/spreadsheets/d/1eHaY18a8A9IcSdp1K8H6x8fbOy06t2VsZHhMHf-1x7Y/edit?usp=sharing"",""แผน!X71"")"),0)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IFERROR(__xludf.DUMMYFUNCTION("IMPORTRANGE(""https://docs.google.com/spreadsheets/d/1eHaY18a8A9IcSdp1K8H6x8fbOy06t2VsZHhMHf-1x7Y/edit?usp=sharing"",""แผน!Y71"")"),0)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IFERROR(__xludf.DUMMYFUNCTION("IMPORTRANGE(""https://docs.google.com/spreadsheets/d/1-uDff_7J0KD5mKrp0Vvzr7lt3OU09vwQwhkpOPPYv2Y/edit?usp=sharing"",""งบพรบ!CA71"")"),0)</f>
        <v>0</v>
      </c>
      <c r="M162" s="77">
        <f ca="1">IFERROR(__xludf.DUMMYFUNCTION("IMPORTRANGE(""https://docs.google.com/spreadsheets/d/1-uDff_7J0KD5mKrp0Vvzr7lt3OU09vwQwhkpOPPYv2Y/edit?usp=sharing"",""งบพรบ!CF71"")"),0)</f>
        <v>0</v>
      </c>
      <c r="N162" s="77">
        <f ca="1">IFERROR(__xludf.DUMMYFUNCTION("IMPORTRANGE(""https://docs.google.com/spreadsheets/d/1-uDff_7J0KD5mKrp0Vvzr7lt3OU09vwQwhkpOPPYv2Y/edit?usp=sharing"",""งบพรบ!CH71"")"),0)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IFERROR(__xludf.DUMMYFUNCTION("IMPORTRANGE(""https://docs.google.com/spreadsheets/d/1ItG2mGa2ceCfYo0BwxsXqNm01IGEUdYcSSLTEv9YCik/edit?usp=sharing"",""เบิกจ่ายกองทุน!AG71"")"),0)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IFERROR(__xludf.DUMMYFUNCTION("IMPORTRANGE(""https://docs.google.com/spreadsheets/d/1ItG2mGa2ceCfYo0BwxsXqNm01IGEUdYcSSLTEv9YCik/edit?usp=sharing"",""เบิกจ่ายกองทุน!AH71"")"),0)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IFERROR(__xludf.DUMMYFUNCTION("IMPORTRANGE(""https://docs.google.com/spreadsheets/d/1ItG2mGa2ceCfYo0BwxsXqNm01IGEUdYcSSLTEv9YCik/edit?usp=sharing"",""เบิกจ่ายกองทุน!AI71"")"),0)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IFERROR(__xludf.DUMMYFUNCTION("IMPORTRANGE(""https://docs.google.com/spreadsheets/d/1-uDff_7J0KD5mKrp0Vvzr7lt3OU09vwQwhkpOPPYv2Y/edit?usp=sharing"",""งบพรบ!CD71"")"),0)</f>
        <v>0</v>
      </c>
      <c r="M165" s="77">
        <f ca="1">IFERROR(__xludf.DUMMYFUNCTION("IMPORTRANGE(""https://docs.google.com/spreadsheets/d/1-uDff_7J0KD5mKrp0Vvzr7lt3OU09vwQwhkpOPPYv2Y/edit?usp=sharing"",""งบพรบ!CG71"")"),0)</f>
        <v>0</v>
      </c>
      <c r="N165" s="77">
        <f ca="1">IFERROR(__xludf.DUMMYFUNCTION("IMPORTRANGE(""https://docs.google.com/spreadsheets/d/1-uDff_7J0KD5mKrp0Vvzr7lt3OU09vwQwhkpOPPYv2Y/edit?usp=sharing"",""งบพรบ!CI71"")"),0)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IFERROR(__xludf.DUMMYFUNCTION("IMPORTRANGE(""https://docs.google.com/spreadsheets/d/1eHaY18a8A9IcSdp1K8H6x8fbOy06t2VsZHhMHf-1x7Y/edit?usp=sharing"",""แผน!Z71"")"),0)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IFERROR(__xludf.DUMMYFUNCTION("IMPORTRANGE(""https://docs.google.com/spreadsheets/d/1eHaY18a8A9IcSdp1K8H6x8fbOy06t2VsZHhMHf-1x7Y/edit?usp=sharing"",""แผน!Z71"")"),0)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IFERROR(__xludf.DUMMYFUNCTION("IMPORTRANGE(""https://docs.google.com/spreadsheets/d/1eHaY18a8A9IcSdp1K8H6x8fbOy06t2VsZHhMHf-1x7Y/edit?usp=sharing"",""แผน!Z71"")"),0)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29860</v>
      </c>
      <c r="N173" s="266">
        <f ca="1">N174+N175</f>
        <v>29860</v>
      </c>
      <c r="O173" s="266">
        <f ca="1">IF(L173&gt;0,N173*100/L173,0)</f>
        <v>152.42470648289944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29860</v>
      </c>
      <c r="N175" s="77">
        <f ca="1">N178+N181</f>
        <v>29860</v>
      </c>
      <c r="O175" s="77">
        <f ca="1">IF(L175&gt;0,N175*100/L175,0)</f>
        <v>152.42470648289944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29860</v>
      </c>
      <c r="N176" s="77">
        <f ca="1">N177+N178</f>
        <v>29860</v>
      </c>
      <c r="O176" s="77">
        <f ca="1">IF(L176&gt;0,N176*100/L176,0)</f>
        <v>152.42470648289944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IFERROR(__xludf.DUMMYFUNCTION("IMPORTRANGE(""https://docs.google.com/spreadsheets/d/1-uDff_7J0KD5mKrp0Vvzr7lt3OU09vwQwhkpOPPYv2Y/edit?usp=sharing"",""งบพรบ!CK71"")"),19590)</f>
        <v>19590</v>
      </c>
      <c r="M178" s="77">
        <f ca="1">IFERROR(__xludf.DUMMYFUNCTION("IMPORTRANGE(""https://docs.google.com/spreadsheets/d/1-uDff_7J0KD5mKrp0Vvzr7lt3OU09vwQwhkpOPPYv2Y/edit?usp=sharing"",""งบพรบ!CP71"")"),29860)</f>
        <v>29860</v>
      </c>
      <c r="N178" s="77">
        <f ca="1">IFERROR(__xludf.DUMMYFUNCTION("IMPORTRANGE(""https://docs.google.com/spreadsheets/d/1-uDff_7J0KD5mKrp0Vvzr7lt3OU09vwQwhkpOPPYv2Y/edit?usp=sharing"",""งบพรบ!CR71"")"),29860)</f>
        <v>29860</v>
      </c>
      <c r="O178" s="77">
        <f ca="1">IF(L178&gt;0,N178*100/L178,0)</f>
        <v>152.42470648289944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IFERROR(__xludf.DUMMYFUNCTION("IMPORTRANGE(""https://docs.google.com/spreadsheets/d/1ItG2mGa2ceCfYo0BwxsXqNm01IGEUdYcSSLTEv9YCik/edit?usp=sharing"",""เบิกจ่ายกองทุน!BE71"")"),0)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IFERROR(__xludf.DUMMYFUNCTION("IMPORTRANGE(""https://docs.google.com/spreadsheets/d/1ItG2mGa2ceCfYo0BwxsXqNm01IGEUdYcSSLTEv9YCik/edit?usp=sharing"",""เบิกจ่ายกองทุน!BF71"")"),0)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IFERROR(__xludf.DUMMYFUNCTION("IMPORTRANGE(""https://docs.google.com/spreadsheets/d/1ItG2mGa2ceCfYo0BwxsXqNm01IGEUdYcSSLTEv9YCik/edit?usp=sharing"",""เบิกจ่ายกองทุน!BG71"")"),0)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IFERROR(__xludf.DUMMYFUNCTION("IMPORTRANGE(""https://docs.google.com/spreadsheets/d/1-uDff_7J0KD5mKrp0Vvzr7lt3OU09vwQwhkpOPPYv2Y/edit?usp=sharing"",""งบพรบ!CN71"")"),0)</f>
        <v>0</v>
      </c>
      <c r="M181" s="77">
        <f ca="1">IFERROR(__xludf.DUMMYFUNCTION("IMPORTRANGE(""https://docs.google.com/spreadsheets/d/1-uDff_7J0KD5mKrp0Vvzr7lt3OU09vwQwhkpOPPYv2Y/edit?usp=sharing"",""งบพรบ!CQ71"")"),0)</f>
        <v>0</v>
      </c>
      <c r="N181" s="77">
        <f ca="1">IFERROR(__xludf.DUMMYFUNCTION("IMPORTRANGE(""https://docs.google.com/spreadsheets/d/1-uDff_7J0KD5mKrp0Vvzr7lt3OU09vwQwhkpOPPYv2Y/edit?usp=sharing"",""งบพรบ!CS71"")"),0)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IFERROR(__xludf.DUMMYFUNCTION("IMPORTRANGE(""https://docs.google.com/spreadsheets/d/1eHaY18a8A9IcSdp1K8H6x8fbOy06t2VsZHhMHf-1x7Y/edit?usp=sharing"",""แผน!AA71"")"),7)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84200</v>
      </c>
      <c r="M186" s="266">
        <f ca="1">M187+M188</f>
        <v>84200</v>
      </c>
      <c r="N186" s="266">
        <f ca="1">N187+N188</f>
        <v>74098.570000000007</v>
      </c>
      <c r="O186" s="266">
        <f ca="1">IF(L186&gt;0,N186*100/L186,0)</f>
        <v>88.003052256532072</v>
      </c>
      <c r="P186" s="266">
        <f ca="1">IF(M186&gt;0,N186*100/M186,0)</f>
        <v>88.003052256532072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84200</v>
      </c>
      <c r="M188" s="77">
        <f ca="1">M191+M194</f>
        <v>84200</v>
      </c>
      <c r="N188" s="77">
        <f ca="1">N191+N194</f>
        <v>74098.570000000007</v>
      </c>
      <c r="O188" s="77">
        <f ca="1">IF(L188&gt;0,N188*100/L188,0)</f>
        <v>88.003052256532072</v>
      </c>
      <c r="P188" s="77">
        <f ca="1">IF(M188&gt;0,N188*100/M188,0)</f>
        <v>88.003052256532072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84200</v>
      </c>
      <c r="M189" s="77">
        <f ca="1">M190+M191</f>
        <v>84200</v>
      </c>
      <c r="N189" s="77">
        <f ca="1">N190+N191</f>
        <v>74098.570000000007</v>
      </c>
      <c r="O189" s="77">
        <f ca="1">IF(L189&gt;0,N189*100/L189,0)</f>
        <v>88.003052256532072</v>
      </c>
      <c r="P189" s="77">
        <f ca="1">IF(M189&gt;0,N189*100/M189,0)</f>
        <v>88.003052256532072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IFERROR(__xludf.DUMMYFUNCTION("IMPORTRANGE(""https://docs.google.com/spreadsheets/d/1-uDff_7J0KD5mKrp0Vvzr7lt3OU09vwQwhkpOPPYv2Y/edit?usp=sharing"",""งบพรบ!CU71"")"),84200)</f>
        <v>84200</v>
      </c>
      <c r="M191" s="77">
        <f ca="1">IFERROR(__xludf.DUMMYFUNCTION("IMPORTRANGE(""https://docs.google.com/spreadsheets/d/1-uDff_7J0KD5mKrp0Vvzr7lt3OU09vwQwhkpOPPYv2Y/edit?usp=sharing"",""งบพรบ!CZ71"")"),84200)</f>
        <v>84200</v>
      </c>
      <c r="N191" s="77">
        <f ca="1">IFERROR(__xludf.DUMMYFUNCTION("IMPORTRANGE(""https://docs.google.com/spreadsheets/d/1-uDff_7J0KD5mKrp0Vvzr7lt3OU09vwQwhkpOPPYv2Y/edit?usp=sharing"",""งบพรบ!DB71"")"),74098.57)</f>
        <v>74098.570000000007</v>
      </c>
      <c r="O191" s="77">
        <f ca="1">IF(L191&gt;0,N191*100/L191,0)</f>
        <v>88.003052256532072</v>
      </c>
      <c r="P191" s="77">
        <f ca="1">IF(M191&gt;0,N191*100/M191,0)</f>
        <v>88.003052256532072</v>
      </c>
      <c r="Q191" s="77">
        <f ca="1">IFERROR(__xludf.DUMMYFUNCTION("IMPORTRANGE(""https://docs.google.com/spreadsheets/d/1ItG2mGa2ceCfYo0BwxsXqNm01IGEUdYcSSLTEv9YCik/edit?usp=sharing"",""เบิกจ่ายกองทุน!AV71"")"),0)</f>
        <v>0</v>
      </c>
      <c r="R191" s="77">
        <f ca="1">IFERROR(__xludf.DUMMYFUNCTION("IMPORTRANGE(""https://docs.google.com/spreadsheets/d/1ItG2mGa2ceCfYo0BwxsXqNm01IGEUdYcSSLTEv9YCik/edit?usp=sharing"",""เบิกจ่ายกองทุน!AW71"")"),0)</f>
        <v>0</v>
      </c>
      <c r="S191" s="77">
        <f ca="1">IFERROR(__xludf.DUMMYFUNCTION("IMPORTRANGE(""https://docs.google.com/spreadsheets/d/1ItG2mGa2ceCfYo0BwxsXqNm01IGEUdYcSSLTEv9YCik/edit?usp=sharing"",""เบิกจ่ายกองทุน!AX71"")"),0)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IFERROR(__xludf.DUMMYFUNCTION("IMPORTRANGE(""https://docs.google.com/spreadsheets/d/1-uDff_7J0KD5mKrp0Vvzr7lt3OU09vwQwhkpOPPYv2Y/edit?usp=sharing"",""งบพรบ!CX71"")"),0)</f>
        <v>0</v>
      </c>
      <c r="M194" s="77">
        <f ca="1">IFERROR(__xludf.DUMMYFUNCTION("IMPORTRANGE(""https://docs.google.com/spreadsheets/d/1-uDff_7J0KD5mKrp0Vvzr7lt3OU09vwQwhkpOPPYv2Y/edit?usp=sharing"",""งบพรบ!DA71"")"),0)</f>
        <v>0</v>
      </c>
      <c r="N194" s="77">
        <f ca="1">IFERROR(__xludf.DUMMYFUNCTION("IMPORTRANGE(""https://docs.google.com/spreadsheets/d/1-uDff_7J0KD5mKrp0Vvzr7lt3OU09vwQwhkpOPPYv2Y/edit?usp=sharing"",""งบพรบ!DC71"")"),0)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IFERROR(__xludf.DUMMYFUNCTION("IMPORTRANGE(""https://docs.google.com/spreadsheets/d/1eHaY18a8A9IcSdp1K8H6x8fbOy06t2VsZHhMHf-1x7Y/edit?usp=sharing"",""แผน!AB71"")"),6000)</f>
        <v>6000</v>
      </c>
      <c r="M196" s="90"/>
      <c r="N196" s="959">
        <v>6000</v>
      </c>
      <c r="O196" s="266">
        <f ca="1">IF(L196&gt;0,N196*100/L196,0)</f>
        <v>100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IFERROR(__xludf.DUMMYFUNCTION("IMPORTRANGE(""https://docs.google.com/spreadsheets/d/1eHaY18a8A9IcSdp1K8H6x8fbOy06t2VsZHhMHf-1x7Y/edit?usp=sharing"",""แผน!AE71"")"),4)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60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IFERROR(__xludf.DUMMYFUNCTION("IMPORTRANGE(""https://docs.google.com/spreadsheets/d/1eHaY18a8A9IcSdp1K8H6x8fbOy06t2VsZHhMHf-1x7Y/edit?usp=sharing"",""แผน!AG71"")"),0)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60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IFERROR(__xludf.DUMMYFUNCTION("IMPORTRANGE(""https://docs.google.com/spreadsheets/d/1eHaY18a8A9IcSdp1K8H6x8fbOy06t2VsZHhMHf-1x7Y/edit?usp=sharing"",""แผน!AH71"")"),0)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60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IFERROR(__xludf.DUMMYFUNCTION("IMPORTRANGE(""https://docs.google.com/spreadsheets/d/1eHaY18a8A9IcSdp1K8H6x8fbOy06t2VsZHhMHf-1x7Y/edit?usp=sharing"",""แผน!AI71"")"),0)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IFERROR(__xludf.DUMMYFUNCTION("IMPORTRANGE(""https://docs.google.com/spreadsheets/d/1eHaY18a8A9IcSdp1K8H6x8fbOy06t2VsZHhMHf-1x7Y/edit?usp=sharing"",""แผน!LV71"")"),0)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IFERROR(__xludf.DUMMYFUNCTION("IMPORTRANGE(""https://docs.google.com/spreadsheets/d/1eHaY18a8A9IcSdp1K8H6x8fbOy06t2VsZHhMHf-1x7Y/edit?usp=sharing"",""แผน!AJ71"")"),0)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IFERROR(__xludf.DUMMYFUNCTION("IMPORTRANGE(""https://docs.google.com/spreadsheets/d/1eHaY18a8A9IcSdp1K8H6x8fbOy06t2VsZHhMHf-1x7Y/edit?usp=sharing"",""แผน!AK71"")"),0)</f>
        <v>0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IFERROR(__xludf.DUMMYFUNCTION("IMPORTRANGE(""https://docs.google.com/spreadsheets/d/1eHaY18a8A9IcSdp1K8H6x8fbOy06t2VsZHhMHf-1x7Y/edit?usp=sharing"",""แผน!AK71"")"),0)</f>
        <v>0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IFERROR(__xludf.DUMMYFUNCTION("IMPORTRANGE(""https://docs.google.com/spreadsheets/d/1eHaY18a8A9IcSdp1K8H6x8fbOy06t2VsZHhMHf-1x7Y/edit?usp=sharing"",""แผน!AK71"")"),0)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IFERROR(__xludf.DUMMYFUNCTION("IMPORTRANGE(""https://docs.google.com/spreadsheets/d/1eHaY18a8A9IcSdp1K8H6x8fbOy06t2VsZHhMHf-1x7Y/edit?usp=sharing"",""แผน!AM71"")"),0)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IFERROR(__xludf.DUMMYFUNCTION("IMPORTRANGE(""https://docs.google.com/spreadsheets/d/1eHaY18a8A9IcSdp1K8H6x8fbOy06t2VsZHhMHf-1x7Y/edit?usp=sharing"",""แผน!AN71"")"),0)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IFERROR(__xludf.DUMMYFUNCTION("IMPORTRANGE(""https://docs.google.com/spreadsheets/d/1eHaY18a8A9IcSdp1K8H6x8fbOy06t2VsZHhMHf-1x7Y/edit?usp=sharing"",""แผน!AO71"")"),0)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IFERROR(__xludf.DUMMYFUNCTION("IMPORTRANGE(""https://docs.google.com/spreadsheets/d/1eHaY18a8A9IcSdp1K8H6x8fbOy06t2VsZHhMHf-1x7Y/edit?usp=sharing"",""แผน!LY71"")"),0)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IFERROR(__xludf.DUMMYFUNCTION("IMPORTRANGE(""https://docs.google.com/spreadsheets/d/1eHaY18a8A9IcSdp1K8H6x8fbOy06t2VsZHhMHf-1x7Y/edit?usp=sharing"",""แผน!AP71"")"),0)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IFERROR(__xludf.DUMMYFUNCTION("IMPORTRANGE(""https://docs.google.com/spreadsheets/d/1eHaY18a8A9IcSdp1K8H6x8fbOy06t2VsZHhMHf-1x7Y/edit?usp=sharing"",""แผน!AP71"")"),0)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12000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IFERROR(__xludf.DUMMYFUNCTION("IMPORTRANGE(""https://docs.google.com/spreadsheets/d/1eHaY18a8A9IcSdp1K8H6x8fbOy06t2VsZHhMHf-1x7Y/edit?usp=sharing"",""แผน!AR71"")"),2500)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IFERROR(__xludf.DUMMYFUNCTION("IMPORTRANGE(""https://docs.google.com/spreadsheets/d/1eHaY18a8A9IcSdp1K8H6x8fbOy06t2VsZHhMHf-1x7Y/edit?usp=sharing"",""แผน!AS71"")"),2000)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IFERROR(__xludf.DUMMYFUNCTION("IMPORTRANGE(""https://docs.google.com/spreadsheets/d/1eHaY18a8A9IcSdp1K8H6x8fbOy06t2VsZHhMHf-1x7Y/edit?usp=sharing"",""แผน!AT71"")"),0)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IFERROR(__xludf.DUMMYFUNCTION("IMPORTRANGE(""https://docs.google.com/spreadsheets/d/1eHaY18a8A9IcSdp1K8H6x8fbOy06t2VsZHhMHf-1x7Y/edit?usp=sharing"",""แผน!AV71"")"),12000)</f>
        <v>12000</v>
      </c>
      <c r="J228" s="296">
        <v>0</v>
      </c>
      <c r="K228" s="748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IFERROR(__xludf.DUMMYFUNCTION("IMPORTRANGE(""https://docs.google.com/spreadsheets/d/1eHaY18a8A9IcSdp1K8H6x8fbOy06t2VsZHhMHf-1x7Y/edit?usp=sharing"",""แผน!AV71"")"),12000)</f>
        <v>12000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IFERROR(__xludf.DUMMYFUNCTION("IMPORTRANGE(""https://docs.google.com/spreadsheets/d/1eHaY18a8A9IcSdp1K8H6x8fbOy06t2VsZHhMHf-1x7Y/edit?usp=sharing"",""แผน!AU71"")"),0)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IFERROR(__xludf.DUMMYFUNCTION("IMPORTRANGE(""https://docs.google.com/spreadsheets/d/1eHaY18a8A9IcSdp1K8H6x8fbOy06t2VsZHhMHf-1x7Y/edit?usp=sharing"",""แผน!AX71"")"),0)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IFERROR(__xludf.DUMMYFUNCTION("IMPORTRANGE(""https://docs.google.com/spreadsheets/d/1eHaY18a8A9IcSdp1K8H6x8fbOy06t2VsZHhMHf-1x7Y/edit?usp=sharing"",""แผน!AY71"")"),0)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IFERROR(__xludf.DUMMYFUNCTION("IMPORTRANGE(""https://docs.google.com/spreadsheets/d/1eHaY18a8A9IcSdp1K8H6x8fbOy06t2VsZHhMHf-1x7Y/edit?usp=sharing"",""แผน!AZ71"")"),0)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IFERROR(__xludf.DUMMYFUNCTION("IMPORTRANGE(""https://docs.google.com/spreadsheets/d/1eHaY18a8A9IcSdp1K8H6x8fbOy06t2VsZHhMHf-1x7Y/edit?usp=sharing"",""แผน!BA71"")"),0)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IFERROR(__xludf.DUMMYFUNCTION("IMPORTRANGE(""https://docs.google.com/spreadsheets/d/1eHaY18a8A9IcSdp1K8H6x8fbOy06t2VsZHhMHf-1x7Y/edit?usp=sharing"",""แผน!BG71"")"),0)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IFERROR(__xludf.DUMMYFUNCTION("IMPORTRANGE(""https://docs.google.com/spreadsheets/d/1eHaY18a8A9IcSdp1K8H6x8fbOy06t2VsZHhMHf-1x7Y/edit?usp=sharing"",""แผน!BB71"")"),0)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IFERROR(__xludf.DUMMYFUNCTION("IMPORTRANGE(""https://docs.google.com/spreadsheets/d/1eHaY18a8A9IcSdp1K8H6x8fbOy06t2VsZHhMHf-1x7Y/edit?usp=sharing"",""แผน!BC71"")"),0)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IFERROR(__xludf.DUMMYFUNCTION("IMPORTRANGE(""https://docs.google.com/spreadsheets/d/1eHaY18a8A9IcSdp1K8H6x8fbOy06t2VsZHhMHf-1x7Y/edit?usp=sharing"",""แผน!BD71"")"),0)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IFERROR(__xludf.DUMMYFUNCTION("IMPORTRANGE(""https://docs.google.com/spreadsheets/d/1eHaY18a8A9IcSdp1K8H6x8fbOy06t2VsZHhMHf-1x7Y/edit?usp=sharing"",""แผน!BE71"")"),0)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IFERROR(__xludf.DUMMYFUNCTION("IMPORTRANGE(""https://docs.google.com/spreadsheets/d/1eHaY18a8A9IcSdp1K8H6x8fbOy06t2VsZHhMHf-1x7Y/edit?usp=sharing"",""แผน!BH71"")"),0)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12</v>
      </c>
      <c r="J265" s="1151">
        <f>J276</f>
        <v>12</v>
      </c>
      <c r="K265" s="364">
        <f ca="1">IF(I265&gt;0,J265*100/I265,0)</f>
        <v>100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36760</v>
      </c>
      <c r="R266" s="215">
        <f ca="1">R267+R268</f>
        <v>36760</v>
      </c>
      <c r="S266" s="215">
        <f ca="1">S267+S268</f>
        <v>23893</v>
      </c>
      <c r="T266" s="215">
        <f ca="1">IF(Q266&gt;0,S266*100/Q266,0)</f>
        <v>64.997279651795424</v>
      </c>
      <c r="U266" s="215">
        <f ca="1">IF(R266&gt;0,S266*100/R266,0)</f>
        <v>64.997279651795424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36760</v>
      </c>
      <c r="R268" s="91">
        <f ca="1">R271+R274</f>
        <v>36760</v>
      </c>
      <c r="S268" s="91">
        <f ca="1">S271+S274</f>
        <v>23893</v>
      </c>
      <c r="T268" s="91">
        <f ca="1">IF(Q268&gt;0,S268*100/Q268,0)</f>
        <v>64.997279651795424</v>
      </c>
      <c r="U268" s="91">
        <f ca="1">IF(R268&gt;0,S268*100/R268,0)</f>
        <v>64.997279651795424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36760</v>
      </c>
      <c r="R269" s="91">
        <f ca="1">R270+R271</f>
        <v>36760</v>
      </c>
      <c r="S269" s="91">
        <f ca="1">S270+S271</f>
        <v>23893</v>
      </c>
      <c r="T269" s="91">
        <f ca="1">IF(Q269&gt;0,S269*100/Q269,0)</f>
        <v>64.997279651795424</v>
      </c>
      <c r="U269" s="91">
        <f ca="1">IF(R269&gt;0,S269*100/R269,0)</f>
        <v>64.997279651795424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IFERROR(__xludf.DUMMYFUNCTION("IMPORTRANGE(""https://docs.google.com/spreadsheets/d/1-uDff_7J0KD5mKrp0Vvzr7lt3OU09vwQwhkpOPPYv2Y/edit?usp=sharing"",""งบพรบ!DE71"")"),0)</f>
        <v>0</v>
      </c>
      <c r="M271" s="91">
        <f ca="1">IFERROR(__xludf.DUMMYFUNCTION("IMPORTRANGE(""https://docs.google.com/spreadsheets/d/1-uDff_7J0KD5mKrp0Vvzr7lt3OU09vwQwhkpOPPYv2Y/edit?usp=sharing"",""งบพรบ!DJ71"")"),5000)</f>
        <v>5000</v>
      </c>
      <c r="N271" s="91">
        <f ca="1">IFERROR(__xludf.DUMMYFUNCTION("IMPORTRANGE(""https://docs.google.com/spreadsheets/d/1-uDff_7J0KD5mKrp0Vvzr7lt3OU09vwQwhkpOPPYv2Y/edit?usp=sharing"",""งบพรบ!DL71"")"),0)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IFERROR(__xludf.DUMMYFUNCTION("IMPORTRANGE(""https://docs.google.com/spreadsheets/d/1ItG2mGa2ceCfYo0BwxsXqNm01IGEUdYcSSLTEv9YCik/edit?usp=sharing"",""เบิกจ่ายกองทุน!AJ71"")"),36760)</f>
        <v>36760</v>
      </c>
      <c r="R271" s="91">
        <f ca="1">IFERROR(__xludf.DUMMYFUNCTION("IMPORTRANGE(""https://docs.google.com/spreadsheets/d/1ItG2mGa2ceCfYo0BwxsXqNm01IGEUdYcSSLTEv9YCik/edit?usp=sharing"",""เบิกจ่ายกองทุน!AK71"")"),36760)</f>
        <v>36760</v>
      </c>
      <c r="S271" s="91">
        <f ca="1">IFERROR(__xludf.DUMMYFUNCTION("IMPORTRANGE(""https://docs.google.com/spreadsheets/d/1ItG2mGa2ceCfYo0BwxsXqNm01IGEUdYcSSLTEv9YCik/edit?usp=sharing"",""เบิกจ่ายกองทุน!AL71"")"),23893)</f>
        <v>23893</v>
      </c>
      <c r="T271" s="91">
        <f ca="1">IF(Q271&gt;0,S271*100/Q271,0)</f>
        <v>64.997279651795424</v>
      </c>
      <c r="U271" s="91">
        <f ca="1">IF(R271&gt;0,S271*100/R271,0)</f>
        <v>64.997279651795424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IFERROR(__xludf.DUMMYFUNCTION("IMPORTRANGE(""https://docs.google.com/spreadsheets/d/1-uDff_7J0KD5mKrp0Vvzr7lt3OU09vwQwhkpOPPYv2Y/edit?usp=sharing"",""งบพรบ!DH71"")"),0)</f>
        <v>0</v>
      </c>
      <c r="M274" s="91">
        <f ca="1">IFERROR(__xludf.DUMMYFUNCTION("IMPORTRANGE(""https://docs.google.com/spreadsheets/d/1-uDff_7J0KD5mKrp0Vvzr7lt3OU09vwQwhkpOPPYv2Y/edit?usp=sharing"",""งบพรบ!DK71"")"),0)</f>
        <v>0</v>
      </c>
      <c r="N274" s="91">
        <f ca="1">IFERROR(__xludf.DUMMYFUNCTION("IMPORTRANGE(""https://docs.google.com/spreadsheets/d/1-uDff_7J0KD5mKrp0Vvzr7lt3OU09vwQwhkpOPPYv2Y/edit?usp=sharing"",""งบพรบ!DM71"")"),0)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37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IFERROR(__xludf.DUMMYFUNCTION("IMPORTRANGE(""https://docs.google.com/spreadsheets/d/1eHaY18a8A9IcSdp1K8H6x8fbOy06t2VsZHhMHf-1x7Y/edit?usp=sharing"",""แผน!EC71"")"),12)</f>
        <v>12</v>
      </c>
      <c r="J276" s="931">
        <v>12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IFERROR(__xludf.DUMMYFUNCTION("IMPORTRANGE(""https://docs.google.com/spreadsheets/d/1-uDff_7J0KD5mKrp0Vvzr7lt3OU09vwQwhkpOPPYv2Y/edit?usp=sharing"",""งบพรบ!DO71"")"),0)</f>
        <v>0</v>
      </c>
      <c r="M287" s="77">
        <f ca="1">IFERROR(__xludf.DUMMYFUNCTION("IMPORTRANGE(""https://docs.google.com/spreadsheets/d/1-uDff_7J0KD5mKrp0Vvzr7lt3OU09vwQwhkpOPPYv2Y/edit?usp=sharing"",""งบพรบ!DT71"")"),0)</f>
        <v>0</v>
      </c>
      <c r="N287" s="77">
        <f ca="1">IFERROR(__xludf.DUMMYFUNCTION("IMPORTRANGE(""https://docs.google.com/spreadsheets/d/1-uDff_7J0KD5mKrp0Vvzr7lt3OU09vwQwhkpOPPYv2Y/edit?usp=sharing"",""งบพรบ!DV71"")"),0)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IFERROR(__xludf.DUMMYFUNCTION("IMPORTRANGE(""https://docs.google.com/spreadsheets/d/1-uDff_7J0KD5mKrp0Vvzr7lt3OU09vwQwhkpOPPYv2Y/edit?usp=sharing"",""งบพรบ!DR71"")"),0)</f>
        <v>0</v>
      </c>
      <c r="M290" s="77">
        <f ca="1">IFERROR(__xludf.DUMMYFUNCTION("IMPORTRANGE(""https://docs.google.com/spreadsheets/d/1-uDff_7J0KD5mKrp0Vvzr7lt3OU09vwQwhkpOPPYv2Y/edit?usp=sharing"",""งบพรบ!DU71"")"),0)</f>
        <v>0</v>
      </c>
      <c r="N290" s="77">
        <f ca="1">IFERROR(__xludf.DUMMYFUNCTION("IMPORTRANGE(""https://docs.google.com/spreadsheets/d/1-uDff_7J0KD5mKrp0Vvzr7lt3OU09vwQwhkpOPPYv2Y/edit?usp=sharing"",""งบพรบ!DW71"")"),0)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IFERROR(__xludf.DUMMYFUNCTION("IMPORTRANGE(""https://docs.google.com/spreadsheets/d/1eHaY18a8A9IcSdp1K8H6x8fbOy06t2VsZHhMHf-1x7Y/edit?usp=sharing"",""แผน!EE71"")"),0)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IFERROR(__xludf.DUMMYFUNCTION("IMPORTRANGE(""https://docs.google.com/spreadsheets/d/1eHaY18a8A9IcSdp1K8H6x8fbOy06t2VsZHhMHf-1x7Y/edit?usp=sharing"",""แผน!ED71"")"),0)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IFERROR(__xludf.DUMMYFUNCTION("IMPORTRANGE(""https://docs.google.com/spreadsheets/d/1eHaY18a8A9IcSdp1K8H6x8fbOy06t2VsZHhMHf-1x7Y/edit?usp=sharing"",""แผน!ED71"")"),0)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IFERROR(__xludf.DUMMYFUNCTION("IMPORTRANGE(""https://docs.google.com/spreadsheets/d/1eHaY18a8A9IcSdp1K8H6x8fbOy06t2VsZHhMHf-1x7Y/edit?usp=sharing"",""แผน!ED71"")"),0)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IFERROR(__xludf.DUMMYFUNCTION("IMPORTRANGE(""https://docs.google.com/spreadsheets/d/1-uDff_7J0KD5mKrp0Vvzr7lt3OU09vwQwhkpOPPYv2Y/edit?usp=sharing"",""งบพรบ!DY71"")"),0)</f>
        <v>0</v>
      </c>
      <c r="M308" s="77">
        <f ca="1">IFERROR(__xludf.DUMMYFUNCTION("IMPORTRANGE(""https://docs.google.com/spreadsheets/d/1-uDff_7J0KD5mKrp0Vvzr7lt3OU09vwQwhkpOPPYv2Y/edit?usp=sharing"",""งบพรบ!ED71"")"),0)</f>
        <v>0</v>
      </c>
      <c r="N308" s="77">
        <f ca="1">IFERROR(__xludf.DUMMYFUNCTION("IMPORTRANGE(""https://docs.google.com/spreadsheets/d/1-uDff_7J0KD5mKrp0Vvzr7lt3OU09vwQwhkpOPPYv2Y/edit?usp=sharing"",""งบพรบ!EF71"")"),0)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IFERROR(__xludf.DUMMYFUNCTION("IMPORTRANGE(""https://docs.google.com/spreadsheets/d/1ItG2mGa2ceCfYo0BwxsXqNm01IGEUdYcSSLTEv9YCik/edit?usp=sharing"",""เบิกจ่ายกองทุน!AP71"")"),0)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IFERROR(__xludf.DUMMYFUNCTION("IMPORTRANGE(""https://docs.google.com/spreadsheets/d/1ItG2mGa2ceCfYo0BwxsXqNm01IGEUdYcSSLTEv9YCik/edit?usp=sharing"",""เบิกจ่ายกองทุน!AQ71"")"),0)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IFERROR(__xludf.DUMMYFUNCTION("IMPORTRANGE(""https://docs.google.com/spreadsheets/d/1ItG2mGa2ceCfYo0BwxsXqNm01IGEUdYcSSLTEv9YCik/edit?usp=sharing"",""เบิกจ่ายกองทุน!AR71"")"),0)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IFERROR(__xludf.DUMMYFUNCTION("IMPORTRANGE(""https://docs.google.com/spreadsheets/d/1-uDff_7J0KD5mKrp0Vvzr7lt3OU09vwQwhkpOPPYv2Y/edit?usp=sharing"",""งบพรบ!EB71"")"),0)</f>
        <v>0</v>
      </c>
      <c r="M311" s="77">
        <f ca="1">IFERROR(__xludf.DUMMYFUNCTION("IMPORTRANGE(""https://docs.google.com/spreadsheets/d/1-uDff_7J0KD5mKrp0Vvzr7lt3OU09vwQwhkpOPPYv2Y/edit?usp=sharing"",""งบพรบ!EE71"")"),0)</f>
        <v>0</v>
      </c>
      <c r="N311" s="77">
        <f ca="1">IFERROR(__xludf.DUMMYFUNCTION("IMPORTRANGE(""https://docs.google.com/spreadsheets/d/1-uDff_7J0KD5mKrp0Vvzr7lt3OU09vwQwhkpOPPYv2Y/edit?usp=sharing"",""งบพรบ!EG71"")"),0)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IFERROR(__xludf.DUMMYFUNCTION("IMPORTRANGE(""https://docs.google.com/spreadsheets/d/1eHaY18a8A9IcSdp1K8H6x8fbOy06t2VsZHhMHf-1x7Y/edit?usp=sharing"",""แผน!EF71"")"),0)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IFERROR(__xludf.DUMMYFUNCTION("IMPORTRANGE(""https://docs.google.com/spreadsheets/d/1-uDff_7J0KD5mKrp0Vvzr7lt3OU09vwQwhkpOPPYv2Y/edit?usp=sharing"",""งบพรบ!EI71"")"),0)</f>
        <v>0</v>
      </c>
      <c r="M325" s="77">
        <f ca="1">IFERROR(__xludf.DUMMYFUNCTION("IMPORTRANGE(""https://docs.google.com/spreadsheets/d/1-uDff_7J0KD5mKrp0Vvzr7lt3OU09vwQwhkpOPPYv2Y/edit?usp=sharing"",""งบพรบ!EN71"")"),0)</f>
        <v>0</v>
      </c>
      <c r="N325" s="77">
        <f ca="1">IFERROR(__xludf.DUMMYFUNCTION("IMPORTRANGE(""https://docs.google.com/spreadsheets/d/1-uDff_7J0KD5mKrp0Vvzr7lt3OU09vwQwhkpOPPYv2Y/edit?usp=sharing"",""งบพรบ!EP71"")"),0)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IFERROR(__xludf.DUMMYFUNCTION("IMPORTRANGE(""https://docs.google.com/spreadsheets/d/1-uDff_7J0KD5mKrp0Vvzr7lt3OU09vwQwhkpOPPYv2Y/edit?usp=sharing"",""งบพรบ!EL71"")"),0)</f>
        <v>0</v>
      </c>
      <c r="M328" s="77">
        <f ca="1">IFERROR(__xludf.DUMMYFUNCTION("IMPORTRANGE(""https://docs.google.com/spreadsheets/d/1-uDff_7J0KD5mKrp0Vvzr7lt3OU09vwQwhkpOPPYv2Y/edit?usp=sharing"",""งบพรบ!EO71"")"),0)</f>
        <v>0</v>
      </c>
      <c r="N328" s="77">
        <f ca="1">IFERROR(__xludf.DUMMYFUNCTION("IMPORTRANGE(""https://docs.google.com/spreadsheets/d/1-uDff_7J0KD5mKrp0Vvzr7lt3OU09vwQwhkpOPPYv2Y/edit?usp=sharing"",""งบพรบ!EQ71"")"),0)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IFERROR(__xludf.DUMMYFUNCTION("IMPORTRANGE(""https://docs.google.com/spreadsheets/d/1eHaY18a8A9IcSdp1K8H6x8fbOy06t2VsZHhMHf-1x7Y/edit?usp=sharing"",""แผน!EJ71"")"),0)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213600</v>
      </c>
      <c r="M333" s="266">
        <f ca="1">M334+M335</f>
        <v>213600</v>
      </c>
      <c r="N333" s="266">
        <f ca="1">N334+N335</f>
        <v>152686.65</v>
      </c>
      <c r="O333" s="266">
        <f ca="1">IF(L333&gt;0,N333*100/L333,0)</f>
        <v>71.482514044943827</v>
      </c>
      <c r="P333" s="266">
        <f ca="1">IF(M333&gt;0,N333*100/M333,0)</f>
        <v>71.482514044943827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213600</v>
      </c>
      <c r="M335" s="77">
        <f ca="1">M338+M341</f>
        <v>213600</v>
      </c>
      <c r="N335" s="77">
        <f ca="1">N338+N341</f>
        <v>152686.65</v>
      </c>
      <c r="O335" s="77">
        <f ca="1">IF(L335&gt;0,N335*100/L335,0)</f>
        <v>71.482514044943827</v>
      </c>
      <c r="P335" s="77">
        <f ca="1">IF(M335&gt;0,N335*100/M335,0)</f>
        <v>71.482514044943827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213600</v>
      </c>
      <c r="M336" s="77">
        <f ca="1">M337+M338</f>
        <v>213600</v>
      </c>
      <c r="N336" s="77">
        <f ca="1">N337+N338</f>
        <v>152686.65</v>
      </c>
      <c r="O336" s="77">
        <f ca="1">IF(L336&gt;0,N336*100/L336,0)</f>
        <v>71.482514044943827</v>
      </c>
      <c r="P336" s="77">
        <f ca="1">IF(M336&gt;0,N336*100/M336,0)</f>
        <v>71.482514044943827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IFERROR(__xludf.DUMMYFUNCTION("IMPORTRANGE(""https://docs.google.com/spreadsheets/d/1-uDff_7J0KD5mKrp0Vvzr7lt3OU09vwQwhkpOPPYv2Y/edit?usp=sharing"",""งบพรบ!ES71"")"),213600)</f>
        <v>213600</v>
      </c>
      <c r="M338" s="77">
        <f ca="1">IFERROR(__xludf.DUMMYFUNCTION("IMPORTRANGE(""https://docs.google.com/spreadsheets/d/1-uDff_7J0KD5mKrp0Vvzr7lt3OU09vwQwhkpOPPYv2Y/edit?usp=sharing"",""งบพรบ!EX71"")"),213600)</f>
        <v>213600</v>
      </c>
      <c r="N338" s="77">
        <f ca="1">IFERROR(__xludf.DUMMYFUNCTION("IMPORTRANGE(""https://docs.google.com/spreadsheets/d/1-uDff_7J0KD5mKrp0Vvzr7lt3OU09vwQwhkpOPPYv2Y/edit?usp=sharing"",""งบพรบ!EZ71"")"),152686.65)</f>
        <v>152686.65</v>
      </c>
      <c r="O338" s="77">
        <f ca="1">IF(L338&gt;0,N338*100/L338,0)</f>
        <v>71.482514044943827</v>
      </c>
      <c r="P338" s="77">
        <f ca="1">IF(M338&gt;0,N338*100/M338,0)</f>
        <v>71.482514044943827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IFERROR(__xludf.DUMMYFUNCTION("IMPORTRANGE(""https://docs.google.com/spreadsheets/d/1-uDff_7J0KD5mKrp0Vvzr7lt3OU09vwQwhkpOPPYv2Y/edit?usp=sharing"",""งบพรบ!EV71"")"),0)</f>
        <v>0</v>
      </c>
      <c r="M341" s="77">
        <f ca="1">IFERROR(__xludf.DUMMYFUNCTION("IMPORTRANGE(""https://docs.google.com/spreadsheets/d/1-uDff_7J0KD5mKrp0Vvzr7lt3OU09vwQwhkpOPPYv2Y/edit?usp=sharing"",""งบพรบ!EY71"")"),0)</f>
        <v>0</v>
      </c>
      <c r="N341" s="77">
        <f ca="1">IFERROR(__xludf.DUMMYFUNCTION("IMPORTRANGE(""https://docs.google.com/spreadsheets/d/1-uDff_7J0KD5mKrp0Vvzr7lt3OU09vwQwhkpOPPYv2Y/edit?usp=sharing"",""งบพรบ!FA71"")"),0)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41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IFERROR(__xludf.DUMMYFUNCTION("IMPORTRANGE(""https://docs.google.com/spreadsheets/d/1eHaY18a8A9IcSdp1K8H6x8fbOy06t2VsZHhMHf-1x7Y/edit?usp=sharing"",""แผน!EK71"")"),40)</f>
        <v>40</v>
      </c>
      <c r="J344" s="295">
        <f ca="1">IFERROR(__xludf.DUMMYFUNCTION("IMPORTRANGE(""https://docs.google.com/spreadsheets/d/1awYsYK3VOup2i3Pq_Yjnu8DRu_mYwSBnCR2QPthd0rU/edit?usp=sharing"",""ศูนย์ยกเว้นโฉนด!D71"")"),25)</f>
        <v>25</v>
      </c>
      <c r="K344" s="77">
        <f ca="1">IF(I344&gt;0,J344*100/I344,0)</f>
        <v>62.5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IFERROR(__xludf.DUMMYFUNCTION("IMPORTRANGE(""https://docs.google.com/spreadsheets/d/1eHaY18a8A9IcSdp1K8H6x8fbOy06t2VsZHhMHf-1x7Y/edit?usp=sharing"",""แผน!EL71"")"),1)</f>
        <v>1</v>
      </c>
      <c r="J346" s="295">
        <f ca="1">IFERROR(__xludf.DUMMYFUNCTION("IMPORTRANGE(""https://docs.google.com/spreadsheets/d/1awYsYK3VOup2i3Pq_Yjnu8DRu_mYwSBnCR2QPthd0rU/edit?usp=sharing"",""ศูนย์รวม!E71"")"),1)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IFERROR(__xludf.DUMMYFUNCTION("IMPORTRANGE(""https://docs.google.com/spreadsheets/d/1awYsYK3VOup2i3Pq_Yjnu8DRu_mYwSBnCR2QPthd0rU/edit?usp=sharing"",""ศูนย์ยกเว้นโฉนด!F71"")"),14)</f>
        <v>14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IFERROR(__xludf.DUMMYFUNCTION("IMPORTRANGE(""https://docs.google.com/spreadsheets/d/1awYsYK3VOup2i3Pq_Yjnu8DRu_mYwSBnCR2QPthd0rU/edit?usp=sharing"",""ศูนย์ยกเว้นโฉนด!G71"")"),2)</f>
        <v>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IFERROR(__xludf.DUMMYFUNCTION("IMPORTRANGE(""https://docs.google.com/spreadsheets/d/1awYsYK3VOup2i3Pq_Yjnu8DRu_mYwSBnCR2QPthd0rU/edit?usp=sharing"",""ศูนย์ยกเว้นโฉนด!H71"")"),0)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IFERROR(__xludf.DUMMYFUNCTION("IMPORTRANGE(""https://docs.google.com/spreadsheets/d/1awYsYK3VOup2i3Pq_Yjnu8DRu_mYwSBnCR2QPthd0rU/edit?usp=sharing"",""โฉนดM3!G71"")"),"")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IFERROR(__xludf.DUMMYFUNCTION("IMPORTRANGE(""https://docs.google.com/spreadsheets/d/1awYsYK3VOup2i3Pq_Yjnu8DRu_mYwSBnCR2QPthd0rU/edit?usp=sharing"",""โฉนดM3!H71"")"),"")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IFERROR(__xludf.DUMMYFUNCTION("IMPORTRANGE(""https://docs.google.com/spreadsheets/d/1awYsYK3VOup2i3Pq_Yjnu8DRu_mYwSBnCR2QPthd0rU/edit?usp=sharing"",""โฉนดM3!I71"")"),"")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112985</v>
      </c>
      <c r="M356" s="266">
        <f ca="1">M357+M358</f>
        <v>112985</v>
      </c>
      <c r="N356" s="266">
        <f ca="1">N357+N358</f>
        <v>86180</v>
      </c>
      <c r="O356" s="266">
        <f ca="1">IF(L356&gt;0,N356*100/L356,0)</f>
        <v>76.275611806877023</v>
      </c>
      <c r="P356" s="266">
        <f ca="1">IF(M356&gt;0,N356*100/M356,0)</f>
        <v>76.275611806877023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112985</v>
      </c>
      <c r="M358" s="77">
        <f ca="1">M361+M364</f>
        <v>112985</v>
      </c>
      <c r="N358" s="77">
        <f ca="1">N361+N364</f>
        <v>86180</v>
      </c>
      <c r="O358" s="77">
        <f ca="1">IF(L358&gt;0,N358*100/L358,0)</f>
        <v>76.275611806877023</v>
      </c>
      <c r="P358" s="77">
        <f ca="1">IF(M358&gt;0,N358*100/M358,0)</f>
        <v>76.275611806877023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112985</v>
      </c>
      <c r="M359" s="77">
        <f ca="1">M360+M361</f>
        <v>112985</v>
      </c>
      <c r="N359" s="77">
        <f ca="1">N360+N361</f>
        <v>86180</v>
      </c>
      <c r="O359" s="77">
        <f ca="1">IF(L359&gt;0,N359*100/L359,0)</f>
        <v>76.275611806877023</v>
      </c>
      <c r="P359" s="77">
        <f ca="1">IF(M359&gt;0,N359*100/M359,0)</f>
        <v>76.275611806877023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IFERROR(__xludf.DUMMYFUNCTION("IMPORTRANGE(""https://docs.google.com/spreadsheets/d/1-uDff_7J0KD5mKrp0Vvzr7lt3OU09vwQwhkpOPPYv2Y/edit?usp=sharing"",""งบพรบ!FC71"")"),112985)</f>
        <v>112985</v>
      </c>
      <c r="M361" s="77">
        <f ca="1">IFERROR(__xludf.DUMMYFUNCTION("IMPORTRANGE(""https://docs.google.com/spreadsheets/d/1-uDff_7J0KD5mKrp0Vvzr7lt3OU09vwQwhkpOPPYv2Y/edit?usp=sharing"",""งบพรบ!FH71"")"),112985)</f>
        <v>112985</v>
      </c>
      <c r="N361" s="77">
        <f ca="1">IFERROR(__xludf.DUMMYFUNCTION("IMPORTRANGE(""https://docs.google.com/spreadsheets/d/1-uDff_7J0KD5mKrp0Vvzr7lt3OU09vwQwhkpOPPYv2Y/edit?usp=sharing"",""งบพรบ!FJ71"")"),86180)</f>
        <v>86180</v>
      </c>
      <c r="O361" s="77">
        <f ca="1">IF(L361&gt;0,N361*100/L361,0)</f>
        <v>76.275611806877023</v>
      </c>
      <c r="P361" s="77">
        <f ca="1">IF(M361&gt;0,N361*100/M361,0)</f>
        <v>76.275611806877023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IFERROR(__xludf.DUMMYFUNCTION("IMPORTRANGE(""https://docs.google.com/spreadsheets/d/1-uDff_7J0KD5mKrp0Vvzr7lt3OU09vwQwhkpOPPYv2Y/edit?usp=sharing"",""งบพรบ!FF71"")"),0)</f>
        <v>0</v>
      </c>
      <c r="M364" s="77">
        <f ca="1">IFERROR(__xludf.DUMMYFUNCTION("IMPORTRANGE(""https://docs.google.com/spreadsheets/d/1-uDff_7J0KD5mKrp0Vvzr7lt3OU09vwQwhkpOPPYv2Y/edit?usp=sharing"",""งบพรบ!FI71"")"),0)</f>
        <v>0</v>
      </c>
      <c r="N364" s="77">
        <f ca="1">IFERROR(__xludf.DUMMYFUNCTION("IMPORTRANGE(""https://docs.google.com/spreadsheets/d/1-uDff_7J0KD5mKrp0Vvzr7lt3OU09vwQwhkpOPPYv2Y/edit?usp=sharing"",""งบพรบ!FK71"")"),0)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IFERROR(__xludf.DUMMYFUNCTION("IMPORTRANGE(""https://docs.google.com/spreadsheets/d/1tdoBKaGub7dwA3U6UFTqxio9LNnvDCQjHKmttSEBsFQ/edit?usp=sharing"",""จัดที่ดิน!AB71"")"),0)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IFERROR(__xludf.DUMMYFUNCTION("IMPORTRANGE(""https://docs.google.com/spreadsheets/d/1eHaY18a8A9IcSdp1K8H6x8fbOy06t2VsZHhMHf-1x7Y/edit?usp=sharing"",""แผน!EW71"")"),0)</f>
        <v>0</v>
      </c>
      <c r="J368" s="1094">
        <f ca="1">IFERROR(__xludf.DUMMYFUNCTION("IMPORTRANGE(""https://docs.google.com/spreadsheets/d/1tdoBKaGub7dwA3U6UFTqxio9LNnvDCQjHKmttSEBsFQ/edit?usp=sharing"",""จัดที่ดิน!AC71"")"),0)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IFERROR(__xludf.DUMMYFUNCTION("IMPORTRANGE(""https://docs.google.com/spreadsheets/d/1eHaY18a8A9IcSdp1K8H6x8fbOy06t2VsZHhMHf-1x7Y/edit?usp=sharing"",""แผน!EX71"")"),0)</f>
        <v>0</v>
      </c>
      <c r="J369" s="295">
        <f ca="1">IFERROR(__xludf.DUMMYFUNCTION("IMPORTRANGE(""https://docs.google.com/spreadsheets/d/1tdoBKaGub7dwA3U6UFTqxio9LNnvDCQjHKmttSEBsFQ/edit?usp=sharing"",""จัดที่ดิน!AD71"")"),0)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IFERROR(__xludf.DUMMYFUNCTION("IMPORTRANGE(""https://docs.google.com/spreadsheets/d/1tdoBKaGub7dwA3U6UFTqxio9LNnvDCQjHKmttSEBsFQ/edit?usp=sharing"",""จัดที่ดิน!AE71"")"),0)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IFERROR(__xludf.DUMMYFUNCTION("IMPORTRANGE(""https://docs.google.com/spreadsheets/d/1eHaY18a8A9IcSdp1K8H6x8fbOy06t2VsZHhMHf-1x7Y/edit?usp=sharing"",""แผน!EY71"")"),0)</f>
        <v>0</v>
      </c>
      <c r="J371" s="295">
        <f ca="1">IFERROR(__xludf.DUMMYFUNCTION("IMPORTRANGE(""https://docs.google.com/spreadsheets/d/1tdoBKaGub7dwA3U6UFTqxio9LNnvDCQjHKmttSEBsFQ/edit?usp=sharing"",""จัดที่ดิน!AF71"")"),0)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IFERROR(__xludf.DUMMYFUNCTION("IMPORTRANGE(""https://docs.google.com/spreadsheets/d/1tdoBKaGub7dwA3U6UFTqxio9LNnvDCQjHKmttSEBsFQ/edit?usp=sharing"",""จัดที่ดิน!AG71"")"),0)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IFERROR(__xludf.DUMMYFUNCTION("IMPORTRANGE(""https://docs.google.com/spreadsheets/d/1ItG2mGa2ceCfYo0BwxsXqNm01IGEUdYcSSLTEv9YCik/edit?usp=sharing"",""เบิกจ่ายกองทุน!AY71"")"),0)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IFERROR(__xludf.DUMMYFUNCTION("IMPORTRANGE(""https://docs.google.com/spreadsheets/d/1ItG2mGa2ceCfYo0BwxsXqNm01IGEUdYcSSLTEv9YCik/edit?usp=sharing"",""เบิกจ่ายกองทุน!AZ71"")"),0)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IFERROR(__xludf.DUMMYFUNCTION("IMPORTRANGE(""https://docs.google.com/spreadsheets/d/1ItG2mGa2ceCfYo0BwxsXqNm01IGEUdYcSSLTEv9YCik/edit?usp=sharing"",""เบิกจ่ายกองทุน!BA71"")"),0)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IFERROR(__xludf.DUMMYFUNCTION("IMPORTRANGE(""https://docs.google.com/spreadsheets/d/1eHaY18a8A9IcSdp1K8H6x8fbOy06t2VsZHhMHf-1x7Y/edit?usp=sharing"",""แผน!JQ71"")"),0)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IFERROR(__xludf.DUMMYFUNCTION("IMPORTRANGE(""https://docs.google.com/spreadsheets/d/1eHaY18a8A9IcSdp1K8H6x8fbOy06t2VsZHhMHf-1x7Y/edit?usp=sharing"",""แผน!JQ71"")"),0)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IFERROR(__xludf.DUMMYFUNCTION("IMPORTRANGE(""https://docs.google.com/spreadsheets/d/1ItG2mGa2ceCfYo0BwxsXqNm01IGEUdYcSSLTEv9YCik/edit?usp=sharing"",""เบิกจ่ายกองทุน!BH71"")"),0)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IFERROR(__xludf.DUMMYFUNCTION("IMPORTRANGE(""https://docs.google.com/spreadsheets/d/1ItG2mGa2ceCfYo0BwxsXqNm01IGEUdYcSSLTEv9YCik/edit?usp=sharing"",""เบิกจ่ายกองทุน!BI71"")"),0)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IFERROR(__xludf.DUMMYFUNCTION("IMPORTRANGE(""https://docs.google.com/spreadsheets/d/1ItG2mGa2ceCfYo0BwxsXqNm01IGEUdYcSSLTEv9YCik/edit?usp=sharing"",""เบิกจ่ายกองทุน!BJ71"")"),0)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IFERROR(__xludf.DUMMYFUNCTION("IMPORTRANGE(""https://docs.google.com/spreadsheets/d/1eHaY18a8A9IcSdp1K8H6x8fbOy06t2VsZHhMHf-1x7Y/edit?usp=sharing"",""แผน!HJ71"")"),0)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IFERROR(__xludf.DUMMYFUNCTION("IMPORTRANGE(""https://docs.google.com/spreadsheets/d/1eHaY18a8A9IcSdp1K8H6x8fbOy06t2VsZHhMHf-1x7Y/edit?usp=sharing"",""แผน!HK71"")"),0)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IFERROR(__xludf.DUMMYFUNCTION("IMPORTRANGE(""https://docs.google.com/spreadsheets/d/1eHaY18a8A9IcSdp1K8H6x8fbOy06t2VsZHhMHf-1x7Y/edit?usp=sharing"",""แผน!HJ71"")"),0)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IFERROR(__xludf.DUMMYFUNCTION("IMPORTRANGE(""https://docs.google.com/spreadsheets/d/1eHaY18a8A9IcSdp1K8H6x8fbOy06t2VsZHhMHf-1x7Y/edit?usp=sharing"",""แผน!HK71"")"),0)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IFERROR(__xludf.DUMMYFUNCTION("IMPORTRANGE(""https://docs.google.com/spreadsheets/d/1eHaY18a8A9IcSdp1K8H6x8fbOy06t2VsZHhMHf-1x7Y/edit?usp=sharing"",""แผน!HJ71"")"),0)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IFERROR(__xludf.DUMMYFUNCTION("IMPORTRANGE(""https://docs.google.com/spreadsheets/d/1eHaY18a8A9IcSdp1K8H6x8fbOy06t2VsZHhMHf-1x7Y/edit?usp=sharing"",""แผน!HK71"")"),0)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IFERROR(__xludf.DUMMYFUNCTION("IMPORTRANGE(""https://docs.google.com/spreadsheets/d/1eHaY18a8A9IcSdp1K8H6x8fbOy06t2VsZHhMHf-1x7Y/edit?usp=sharing"",""แผน!HL71"")"),0)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IFERROR(__xludf.DUMMYFUNCTION("IMPORTRANGE(""https://docs.google.com/spreadsheets/d/1eHaY18a8A9IcSdp1K8H6x8fbOy06t2VsZHhMHf-1x7Y/edit?usp=sharing"",""แผน!HM71"")"),0)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IFERROR(__xludf.DUMMYFUNCTION("IMPORTRANGE(""https://docs.google.com/spreadsheets/d/1eHaY18a8A9IcSdp1K8H6x8fbOy06t2VsZHhMHf-1x7Y/edit?usp=sharing"",""แผน!HN71"")"),0)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IFERROR(__xludf.DUMMYFUNCTION("IMPORTRANGE(""https://docs.google.com/spreadsheets/d/1eHaY18a8A9IcSdp1K8H6x8fbOy06t2VsZHhMHf-1x7Y/edit?usp=sharing"",""แผน!HO71"")"),0)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IFERROR(__xludf.DUMMYFUNCTION("IMPORTRANGE(""https://docs.google.com/spreadsheets/d/1ItG2mGa2ceCfYo0BwxsXqNm01IGEUdYcSSLTEv9YCik/edit?usp=sharing"",""เบิกจ่ายกองทุน!X71"")"),0)</f>
        <v>0</v>
      </c>
      <c r="R498" s="77">
        <f ca="1">IFERROR(__xludf.DUMMYFUNCTION("IMPORTRANGE(""https://docs.google.com/spreadsheets/d/1ItG2mGa2ceCfYo0BwxsXqNm01IGEUdYcSSLTEv9YCik/edit?usp=sharing"",""เบิกจ่ายกองทุน!Y71"")"),0)</f>
        <v>0</v>
      </c>
      <c r="S498" s="77">
        <f ca="1">IFERROR(__xludf.DUMMYFUNCTION("IMPORTRANGE(""https://docs.google.com/spreadsheets/d/1ItG2mGa2ceCfYo0BwxsXqNm01IGEUdYcSSLTEv9YCik/edit?usp=sharing"",""เบิกจ่ายกองทุน!Z71"")"),0)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IFERROR(__xludf.DUMMYFUNCTION("IMPORTRANGE(""https://docs.google.com/spreadsheets/d/1eHaY18a8A9IcSdp1K8H6x8fbOy06t2VsZHhMHf-1x7Y/edit?usp=sharing"",""แผน!GX71"")"),0)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IFERROR(__xludf.DUMMYFUNCTION("IMPORTRANGE(""https://docs.google.com/spreadsheets/d/1eHaY18a8A9IcSdp1K8H6x8fbOy06t2VsZHhMHf-1x7Y/edit?usp=sharing"",""แผน!GY71"")"),0)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IFERROR(__xludf.DUMMYFUNCTION("IMPORTRANGE(""https://docs.google.com/spreadsheets/d/1eHaY18a8A9IcSdp1K8H6x8fbOy06t2VsZHhMHf-1x7Y/edit?usp=sharing"",""แผน!GZ71"")"),0)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IFERROR(__xludf.DUMMYFUNCTION("IMPORTRANGE(""https://docs.google.com/spreadsheets/d/1eHaY18a8A9IcSdp1K8H6x8fbOy06t2VsZHhMHf-1x7Y/edit?usp=sharing"",""แผน!HA71"")"),0)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IFERROR(__xludf.DUMMYFUNCTION("IMPORTRANGE(""https://docs.google.com/spreadsheets/d/1eHaY18a8A9IcSdp1K8H6x8fbOy06t2VsZHhMHf-1x7Y/edit?usp=sharing"",""แผน!HB71"")"),0)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IFERROR(__xludf.DUMMYFUNCTION("IMPORTRANGE(""https://docs.google.com/spreadsheets/d/1eHaY18a8A9IcSdp1K8H6x8fbOy06t2VsZHhMHf-1x7Y/edit?usp=sharing"",""แผน!HC71"")"),0)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IFERROR(__xludf.DUMMYFUNCTION("IMPORTRANGE(""https://docs.google.com/spreadsheets/d/1-uDff_7J0KD5mKrp0Vvzr7lt3OU09vwQwhkpOPPYv2Y/edit?usp=sharing"",""งบพรบ!FM71"")"),0)</f>
        <v>0</v>
      </c>
      <c r="M518" s="77">
        <f ca="1">IFERROR(__xludf.DUMMYFUNCTION("IMPORTRANGE(""https://docs.google.com/spreadsheets/d/1-uDff_7J0KD5mKrp0Vvzr7lt3OU09vwQwhkpOPPYv2Y/edit?usp=sharing"",""งบพรบ!FR71"")"),0)</f>
        <v>0</v>
      </c>
      <c r="N518" s="77">
        <f ca="1">IFERROR(__xludf.DUMMYFUNCTION("IMPORTRANGE(""https://docs.google.com/spreadsheets/d/1-uDff_7J0KD5mKrp0Vvzr7lt3OU09vwQwhkpOPPYv2Y/edit?usp=sharing"",""งบพรบ!FT71"")"),0)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IFERROR(__xludf.DUMMYFUNCTION("IMPORTRANGE(""https://docs.google.com/spreadsheets/d/1-uDff_7J0KD5mKrp0Vvzr7lt3OU09vwQwhkpOPPYv2Y/edit?usp=sharing"",""งบพรบ!FP71"")"),0)</f>
        <v>0</v>
      </c>
      <c r="M521" s="77">
        <f ca="1">IFERROR(__xludf.DUMMYFUNCTION("IMPORTRANGE(""https://docs.google.com/spreadsheets/d/1-uDff_7J0KD5mKrp0Vvzr7lt3OU09vwQwhkpOPPYv2Y/edit?usp=sharing"",""งบพรบ!FS71"")"),0)</f>
        <v>0</v>
      </c>
      <c r="N521" s="77">
        <f ca="1">IFERROR(__xludf.DUMMYFUNCTION("IMPORTRANGE(""https://docs.google.com/spreadsheets/d/1-uDff_7J0KD5mKrp0Vvzr7lt3OU09vwQwhkpOPPYv2Y/edit?usp=sharing"",""งบพรบ!FU71"")"),0)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30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4650</v>
      </c>
      <c r="R616" s="266">
        <f ca="1">R617+R618</f>
        <v>4650</v>
      </c>
      <c r="S616" s="266">
        <f ca="1">S617+S618</f>
        <v>650</v>
      </c>
      <c r="T616" s="266">
        <f ca="1">IF(Q616&gt;0,S616*100/Q616,0)</f>
        <v>13.978494623655914</v>
      </c>
      <c r="U616" s="266">
        <f ca="1">IF(R616&gt;0,S616*100/R616,0)</f>
        <v>13.978494623655914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4650</v>
      </c>
      <c r="R618" s="77">
        <f ca="1">R621+R624</f>
        <v>4650</v>
      </c>
      <c r="S618" s="77">
        <f ca="1">S621+S624</f>
        <v>650</v>
      </c>
      <c r="T618" s="77">
        <f ca="1">IF(Q618&gt;0,S618*100/Q618,0)</f>
        <v>13.978494623655914</v>
      </c>
      <c r="U618" s="77">
        <f ca="1">IF(R618&gt;0,S618*100/R618,0)</f>
        <v>13.978494623655914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4650</v>
      </c>
      <c r="R619" s="77">
        <f ca="1">R620+R621</f>
        <v>4650</v>
      </c>
      <c r="S619" s="77">
        <f ca="1">S620+S621</f>
        <v>650</v>
      </c>
      <c r="T619" s="77">
        <f ca="1">IF(Q619&gt;0,S619*100/Q619,0)</f>
        <v>13.978494623655914</v>
      </c>
      <c r="U619" s="77">
        <f ca="1">IF(R619&gt;0,S619*100/R619,0)</f>
        <v>13.978494623655914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IFERROR(__xludf.DUMMYFUNCTION("IMPORTRANGE(""https://docs.google.com/spreadsheets/d/1ItG2mGa2ceCfYo0BwxsXqNm01IGEUdYcSSLTEv9YCik/edit?usp=sharing"",""เบิกจ่ายกองทุน!F71"")"),4650)</f>
        <v>4650</v>
      </c>
      <c r="R621" s="77">
        <f ca="1">IFERROR(__xludf.DUMMYFUNCTION("IMPORTRANGE(""https://docs.google.com/spreadsheets/d/1ItG2mGa2ceCfYo0BwxsXqNm01IGEUdYcSSLTEv9YCik/edit?usp=sharing"",""เบิกจ่ายกองทุน!G71"")"),4650)</f>
        <v>4650</v>
      </c>
      <c r="S621" s="77">
        <f ca="1">IFERROR(__xludf.DUMMYFUNCTION("IMPORTRANGE(""https://docs.google.com/spreadsheets/d/1ItG2mGa2ceCfYo0BwxsXqNm01IGEUdYcSSLTEv9YCik/edit?usp=sharing"",""เบิกจ่ายกองทุน!H71"")"),650)</f>
        <v>650</v>
      </c>
      <c r="T621" s="77">
        <f ca="1">IF(Q621&gt;0,S621*100/Q621,0)</f>
        <v>13.978494623655914</v>
      </c>
      <c r="U621" s="77">
        <f ca="1">IF(R621&gt;0,S621*100/R621,0)</f>
        <v>13.978494623655914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IFERROR(__xludf.DUMMYFUNCTION("IMPORTRANGE(""https://docs.google.com/spreadsheets/d/1eHaY18a8A9IcSdp1K8H6x8fbOy06t2VsZHhMHf-1x7Y/edit?usp=sharing"",""แผน!ID71"")"),30)</f>
        <v>30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IFERROR(__xludf.DUMMYFUNCTION("IMPORTRANGE(""https://docs.google.com/spreadsheets/d/1eHaY18a8A9IcSdp1K8H6x8fbOy06t2VsZHhMHf-1x7Y/edit?usp=sharing"",""แผน!IC71"")"),0)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IFERROR(__xludf.DUMMYFUNCTION("IMPORTRANGE(""https://docs.google.com/spreadsheets/d/1eHaY18a8A9IcSdp1K8H6x8fbOy06t2VsZHhMHf-1x7Y/edit?usp=sharing"",""แผน!IC71"")"),0)</f>
        <v>0</v>
      </c>
      <c r="J628" s="296">
        <v>6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IFERROR(__xludf.DUMMYFUNCTION("IMPORTRANGE(""https://docs.google.com/spreadsheets/d/1eHaY18a8A9IcSdp1K8H6x8fbOy06t2VsZHhMHf-1x7Y/edit?usp=sharing"",""แผน!IE71"")"),0)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7560</v>
      </c>
      <c r="R642" s="266">
        <f ca="1">R643+R644</f>
        <v>7560</v>
      </c>
      <c r="S642" s="266">
        <f ca="1">S643+S644</f>
        <v>1000</v>
      </c>
      <c r="T642" s="266">
        <f ca="1">IF(Q642&gt;0,S642*100/Q642,0)</f>
        <v>13.227513227513228</v>
      </c>
      <c r="U642" s="266">
        <f ca="1">IF(R642&gt;0,S642*100/R642,0)</f>
        <v>13.227513227513228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7560</v>
      </c>
      <c r="R644" s="77">
        <f ca="1">R647+R650</f>
        <v>7560</v>
      </c>
      <c r="S644" s="77">
        <f ca="1">S647+S650</f>
        <v>1000</v>
      </c>
      <c r="T644" s="77">
        <f ca="1">IF(Q644&gt;0,S644*100/Q644,0)</f>
        <v>13.227513227513228</v>
      </c>
      <c r="U644" s="77">
        <f ca="1">IF(R644&gt;0,S644*100/R644,0)</f>
        <v>13.227513227513228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7560</v>
      </c>
      <c r="R645" s="77">
        <f ca="1">R646+R647</f>
        <v>7560</v>
      </c>
      <c r="S645" s="77">
        <f ca="1">S646+S647</f>
        <v>1000</v>
      </c>
      <c r="T645" s="77">
        <f ca="1">IF(Q645&gt;0,S645*100/Q645,0)</f>
        <v>13.227513227513228</v>
      </c>
      <c r="U645" s="77">
        <f ca="1">IF(R645&gt;0,S645*100/R645,0)</f>
        <v>13.227513227513228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IFERROR(__xludf.DUMMYFUNCTION("IMPORTRANGE(""https://docs.google.com/spreadsheets/d/1ItG2mGa2ceCfYo0BwxsXqNm01IGEUdYcSSLTEv9YCik/edit?usp=sharing"",""เบิกจ่ายกองทุน!I71"")"),7560)</f>
        <v>7560</v>
      </c>
      <c r="R647" s="77">
        <f ca="1">IFERROR(__xludf.DUMMYFUNCTION("IMPORTRANGE(""https://docs.google.com/spreadsheets/d/1ItG2mGa2ceCfYo0BwxsXqNm01IGEUdYcSSLTEv9YCik/edit?usp=sharing"",""เบิกจ่ายกองทุน!J71"")"),7560)</f>
        <v>7560</v>
      </c>
      <c r="S647" s="77">
        <f ca="1">IFERROR(__xludf.DUMMYFUNCTION("IMPORTRANGE(""https://docs.google.com/spreadsheets/d/1ItG2mGa2ceCfYo0BwxsXqNm01IGEUdYcSSLTEv9YCik/edit?usp=sharing"",""เบิกจ่ายกองทุน!K71"")"),1000)</f>
        <v>1000</v>
      </c>
      <c r="T647" s="77">
        <f ca="1">IF(Q647&gt;0,S647*100/Q647,0)</f>
        <v>13.227513227513228</v>
      </c>
      <c r="U647" s="77">
        <f ca="1">IF(R647&gt;0,S647*100/R647,0)</f>
        <v>13.227513227513228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IFERROR(__xludf.DUMMYFUNCTION("IMPORTRANGE(""https://docs.google.com/spreadsheets/d/1eHaY18a8A9IcSdp1K8H6x8fbOy06t2VsZHhMHf-1x7Y/edit?usp=sharing"",""แผน!IF71"")"),0)</f>
        <v>0</v>
      </c>
      <c r="J652" s="295">
        <f ca="1">IFERROR(__xludf.DUMMYFUNCTION("IMPORTRANGE(""https://docs.google.com/spreadsheets/d/1tdoBKaGub7dwA3U6UFTqxio9LNnvDCQjHKmttSEBsFQ/edit?usp=sharing"",""จัดที่ดิน!AU71"")"),0)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IFERROR(__xludf.DUMMYFUNCTION("IMPORTRANGE(""https://docs.google.com/spreadsheets/d/1eHaY18a8A9IcSdp1K8H6x8fbOy06t2VsZHhMHf-1x7Y/edit?usp=sharing"",""แผน!IG71"")"),1)</f>
        <v>1</v>
      </c>
      <c r="J653" s="295">
        <f ca="1">IFERROR(__xludf.DUMMYFUNCTION("IMPORTRANGE(""https://docs.google.com/spreadsheets/d/1tdoBKaGub7dwA3U6UFTqxio9LNnvDCQjHKmttSEBsFQ/edit?usp=sharing"",""จัดที่ดิน!AW71"")"),0)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IFERROR(__xludf.DUMMYFUNCTION("IMPORTRANGE(""https://docs.google.com/spreadsheets/d/1eHaY18a8A9IcSdp1K8H6x8fbOy06t2VsZHhMHf-1x7Y/edit?usp=sharing"",""แผน!IH71"")"),0)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IFERROR(__xludf.DUMMYFUNCTION("IMPORTRANGE(""https://docs.google.com/spreadsheets/d/1eHaY18a8A9IcSdp1K8H6x8fbOy06t2VsZHhMHf-1x7Y/edit?usp=sharing"",""แผน!II71"")"),0)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IFERROR(__xludf.DUMMYFUNCTION("IMPORTRANGE(""https://docs.google.com/spreadsheets/d/1eHaY18a8A9IcSdp1K8H6x8fbOy06t2VsZHhMHf-1x7Y/edit?usp=sharing"",""แผน!IJ71"")"),0)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hidden="1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IFERROR(__xludf.DUMMYFUNCTION("IMPORTRANGE(""https://docs.google.com/spreadsheets/d/1eHaY18a8A9IcSdp1K8H6x8fbOy06t2VsZHhMHf-1x7Y/edit?usp=sharing"",""แผน!IK71"")"),0)</f>
        <v>0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IFERROR(__xludf.DUMMYFUNCTION("IMPORTRANGE(""https://docs.google.com/spreadsheets/d/1tdoBKaGub7dwA3U6UFTqxio9LNnvDCQjHKmttSEBsFQ/edit?usp=sharing"",""จัดที่ดิน!AY71"")"),4)</f>
        <v>4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IFERROR(__xludf.DUMMYFUNCTION("IMPORTRANGE(""https://docs.google.com/spreadsheets/d/1tdoBKaGub7dwA3U6UFTqxio9LNnvDCQjHKmttSEBsFQ/edit?usp=sharing"",""จัดที่ดิน!AZ71"")"),4)</f>
        <v>4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IFERROR(__xludf.DUMMYFUNCTION("IMPORTRANGE(""https://docs.google.com/spreadsheets/d/1eHaY18a8A9IcSdp1K8H6x8fbOy06t2VsZHhMHf-1x7Y/edit?usp=sharing"",""แผน!IL71"")"),69)</f>
        <v>69</v>
      </c>
      <c r="J673" s="295">
        <f ca="1">IFERROR(__xludf.DUMMYFUNCTION("IMPORTRANGE(""https://docs.google.com/spreadsheets/d/1tdoBKaGub7dwA3U6UFTqxio9LNnvDCQjHKmttSEBsFQ/edit?usp=sharing"",""จัดที่ดิน!BA71"")"),39.87)</f>
        <v>39.869999999999997</v>
      </c>
      <c r="K673" s="77">
        <f ca="1">IF(I673&gt;0,J673*100/I673,0)</f>
        <v>57.782608695652165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IFERROR(__xludf.DUMMYFUNCTION("IMPORTRANGE(""https://docs.google.com/spreadsheets/d/1eHaY18a8A9IcSdp1K8H6x8fbOy06t2VsZHhMHf-1x7Y/edit?usp=sharing"",""แผน!IM71"")"),5)</f>
        <v>5</v>
      </c>
      <c r="J674" s="603">
        <f ca="1">J676+J679</f>
        <v>7</v>
      </c>
      <c r="K674" s="266">
        <f ca="1">IF(I674&gt;0,J674*100/I674,0)</f>
        <v>140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IFERROR(__xludf.DUMMYFUNCTION("IMPORTRANGE(""https://docs.google.com/spreadsheets/d/1eHaY18a8A9IcSdp1K8H6x8fbOy06t2VsZHhMHf-1x7Y/edit?usp=sharing"",""แผน!IN71"")"),48)</f>
        <v>48</v>
      </c>
      <c r="J675" s="603">
        <f ca="1">J678+J681</f>
        <v>65.740000000000009</v>
      </c>
      <c r="K675" s="266">
        <f ca="1">IF(I675&gt;0,J675*100/I675,0)</f>
        <v>136.95833333333334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IFERROR(__xludf.DUMMYFUNCTION("IMPORTRANGE(""https://docs.google.com/spreadsheets/d/1eHaY18a8A9IcSdp1K8H6x8fbOy06t2VsZHhMHf-1x7Y/edit?usp=sharing"",""แผน!IO71"")"),3)</f>
        <v>3</v>
      </c>
      <c r="J676" s="295">
        <f ca="1">IFERROR(__xludf.DUMMYFUNCTION("IMPORTRANGE(""https://docs.google.com/spreadsheets/d/1tdoBKaGub7dwA3U6UFTqxio9LNnvDCQjHKmttSEBsFQ/edit?usp=sharing"",""จัดที่ดิน!BF71"")"),5)</f>
        <v>5</v>
      </c>
      <c r="K676" s="77">
        <f ca="1">IF(I676&gt;0,J676*100/I676,0)</f>
        <v>166.66666666666666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IFERROR(__xludf.DUMMYFUNCTION("IMPORTRANGE(""https://docs.google.com/spreadsheets/d/1tdoBKaGub7dwA3U6UFTqxio9LNnvDCQjHKmttSEBsFQ/edit?usp=sharing"",""จัดที่ดิน!BG71"")"),5)</f>
        <v>5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IFERROR(__xludf.DUMMYFUNCTION("IMPORTRANGE(""https://docs.google.com/spreadsheets/d/1eHaY18a8A9IcSdp1K8H6x8fbOy06t2VsZHhMHf-1x7Y/edit?usp=sharing"",""แผน!IP71"")"),31)</f>
        <v>31</v>
      </c>
      <c r="J678" s="295">
        <f ca="1">IFERROR(__xludf.DUMMYFUNCTION("IMPORTRANGE(""https://docs.google.com/spreadsheets/d/1tdoBKaGub7dwA3U6UFTqxio9LNnvDCQjHKmttSEBsFQ/edit?usp=sharing"",""จัดที่ดิน!BH71"")"),45.74)</f>
        <v>45.74</v>
      </c>
      <c r="K678" s="77">
        <f ca="1">IF(I678&gt;0,J678*100/I678,0)</f>
        <v>147.54838709677421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IFERROR(__xludf.DUMMYFUNCTION("IMPORTRANGE(""https://docs.google.com/spreadsheets/d/1eHaY18a8A9IcSdp1K8H6x8fbOy06t2VsZHhMHf-1x7Y/edit?usp=sharing"",""แผน!IQ71"")"),2)</f>
        <v>2</v>
      </c>
      <c r="J679" s="295">
        <f ca="1">IFERROR(__xludf.DUMMYFUNCTION("IMPORTRANGE(""https://docs.google.com/spreadsheets/d/1tdoBKaGub7dwA3U6UFTqxio9LNnvDCQjHKmttSEBsFQ/edit?usp=sharing"",""จัดที่ดิน!BK71"")"),2)</f>
        <v>2</v>
      </c>
      <c r="K679" s="77">
        <f ca="1">IF(I679&gt;0,J679*100/I679,0)</f>
        <v>100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IFERROR(__xludf.DUMMYFUNCTION("IMPORTRANGE(""https://docs.google.com/spreadsheets/d/1tdoBKaGub7dwA3U6UFTqxio9LNnvDCQjHKmttSEBsFQ/edit?usp=sharing"",""จัดที่ดิน!BL71"")"),2)</f>
        <v>2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IFERROR(__xludf.DUMMYFUNCTION("IMPORTRANGE(""https://docs.google.com/spreadsheets/d/1eHaY18a8A9IcSdp1K8H6x8fbOy06t2VsZHhMHf-1x7Y/edit?usp=sharing"",""แผน!IR71"")"),17)</f>
        <v>17</v>
      </c>
      <c r="J681" s="295">
        <f ca="1">IFERROR(__xludf.DUMMYFUNCTION("IMPORTRANGE(""https://docs.google.com/spreadsheets/d/1tdoBKaGub7dwA3U6UFTqxio9LNnvDCQjHKmttSEBsFQ/edit?usp=sharing"",""จัดที่ดิน!BM71"")"),20)</f>
        <v>20</v>
      </c>
      <c r="K681" s="77">
        <f ca="1">IF(I681&gt;0,J681*100/I681,0)</f>
        <v>117.64705882352941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IFERROR(__xludf.DUMMYFUNCTION("IMPORTRANGE(""https://docs.google.com/spreadsheets/d/1eHaY18a8A9IcSdp1K8H6x8fbOy06t2VsZHhMHf-1x7Y/edit?usp=sharing"",""แผน!IS71"")"),0)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hidden="1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hidden="1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IFERROR(__xludf.DUMMYFUNCTION("IMPORTRANGE(""https://docs.google.com/spreadsheets/d/1ItG2mGa2ceCfYo0BwxsXqNm01IGEUdYcSSLTEv9YCik/edit?usp=sharing"",""เบิกจ่ายกองทุน!L71"")"),0)</f>
        <v>0</v>
      </c>
      <c r="R695" s="77">
        <f ca="1">IFERROR(__xludf.DUMMYFUNCTION("IMPORTRANGE(""https://docs.google.com/spreadsheets/d/1ItG2mGa2ceCfYo0BwxsXqNm01IGEUdYcSSLTEv9YCik/edit?usp=sharing"",""เบิกจ่ายกองทุน!M71"")"),0)</f>
        <v>0</v>
      </c>
      <c r="S695" s="77">
        <f ca="1">IFERROR(__xludf.DUMMYFUNCTION("IMPORTRANGE(""https://docs.google.com/spreadsheets/d/1ItG2mGa2ceCfYo0BwxsXqNm01IGEUdYcSSLTEv9YCik/edit?usp=sharing"",""เบิกจ่ายกองทุน!N71"")"),0)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IFERROR(__xludf.DUMMYFUNCTION("IMPORTRANGE(""https://docs.google.com/spreadsheets/d/1eHaY18a8A9IcSdp1K8H6x8fbOy06t2VsZHhMHf-1x7Y/edit?usp=sharing"",""แผน!LC71"")"),0)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0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IFERROR(__xludf.DUMMYFUNCTION("IMPORTRANGE(""https://docs.google.com/spreadsheets/d/1eHaY18a8A9IcSdp1K8H6x8fbOy06t2VsZHhMHf-1x7Y/edit?usp=sharing"",""แผน!LJ71"")"),0)</f>
        <v>0</v>
      </c>
      <c r="J703" s="295">
        <f ca="1">IFERROR(__xludf.DUMMYFUNCTION("IMPORTRANGE(""https://docs.google.com/spreadsheets/d/1tdoBKaGub7dwA3U6UFTqxio9LNnvDCQjHKmttSEBsFQ/edit?usp=sharing"",""จัดที่ดิน!AP71"")"),0)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IFERROR(__xludf.DUMMYFUNCTION("IMPORTRANGE(""https://docs.google.com/spreadsheets/d/1tdoBKaGub7dwA3U6UFTqxio9LNnvDCQjHKmttSEBsFQ/edit?usp=sharing"",""จัดที่ดิน!AQ71"")"),0)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IFERROR(__xludf.DUMMYFUNCTION("IMPORTRANGE(""https://docs.google.com/spreadsheets/d/1eHaY18a8A9IcSdp1K8H6x8fbOy06t2VsZHhMHf-1x7Y/edit?usp=sharing"",""แผน!LK71"")"),0)</f>
        <v>0</v>
      </c>
      <c r="J705" s="295">
        <f ca="1">IFERROR(__xludf.DUMMYFUNCTION("IMPORTRANGE(""https://docs.google.com/spreadsheets/d/1tdoBKaGub7dwA3U6UFTqxio9LNnvDCQjHKmttSEBsFQ/edit?usp=sharing"",""จัดที่ดิน!AR71"")"),0)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IFERROR(__xludf.DUMMYFUNCTION("IMPORTRANGE(""https://docs.google.com/spreadsheets/d/1tdoBKaGub7dwA3U6UFTqxio9LNnvDCQjHKmttSEBsFQ/edit?usp=sharing"",""จัดที่ดิน!AS71"")"),0)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IFERROR(__xludf.DUMMYFUNCTION("IMPORTRANGE(""https://docs.google.com/spreadsheets/d/1eHaY18a8A9IcSdp1K8H6x8fbOy06t2VsZHhMHf-1x7Y/edit?usp=sharing"",""แผน!LJ71"")"),0)</f>
        <v>0</v>
      </c>
      <c r="J707" s="295">
        <f ca="1">IFERROR(__xludf.DUMMYFUNCTION("IMPORTRANGE(""https://docs.google.com/spreadsheets/d/1tdoBKaGub7dwA3U6UFTqxio9LNnvDCQjHKmttSEBsFQ/edit?usp=sharing"",""จัดที่ดิน!BN71"")"),0)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IFERROR(__xludf.DUMMYFUNCTION("IMPORTRANGE(""https://docs.google.com/spreadsheets/d/1tdoBKaGub7dwA3U6UFTqxio9LNnvDCQjHKmttSEBsFQ/edit?usp=sharing"",""จัดที่ดิน!BO71"")"),0)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IFERROR(__xludf.DUMMYFUNCTION("IMPORTRANGE(""https://docs.google.com/spreadsheets/d/1eHaY18a8A9IcSdp1K8H6x8fbOy06t2VsZHhMHf-1x7Y/edit?usp=sharing"",""แผน!LK71"")"),0)</f>
        <v>0</v>
      </c>
      <c r="J709" s="295">
        <f ca="1">IFERROR(__xludf.DUMMYFUNCTION("IMPORTRANGE(""https://docs.google.com/spreadsheets/d/1tdoBKaGub7dwA3U6UFTqxio9LNnvDCQjHKmttSEBsFQ/edit?usp=sharing"",""จัดที่ดิน!BP71"")"),0)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IFERROR(__xludf.DUMMYFUNCTION("IMPORTRANGE(""https://docs.google.com/spreadsheets/d/1tdoBKaGub7dwA3U6UFTqxio9LNnvDCQjHKmttSEBsFQ/edit?usp=sharing"",""จัดที่ดิน!BQ71"")"),0)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IFERROR(__xludf.DUMMYFUNCTION("IMPORTRANGE(""https://docs.google.com/spreadsheets/d/1eHaY18a8A9IcSdp1K8H6x8fbOy06t2VsZHhMHf-1x7Y/edit?usp=sharing"",""แผน!FZ71"")"),0)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IFERROR(__xludf.DUMMYFUNCTION("IMPORTRANGE(""https://docs.google.com/spreadsheets/d/1eHaY18a8A9IcSdp1K8H6x8fbOy06t2VsZHhMHf-1x7Y/edit?usp=sharing"",""แผน!GA71"")"),0)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IFERROR(__xludf.DUMMYFUNCTION("IMPORTRANGE(""https://docs.google.com/spreadsheets/d/1ItG2mGa2ceCfYo0BwxsXqNm01IGEUdYcSSLTEv9YCik/edit?usp=sharing"",""เบิกจ่ายกองทุน!O71"")"),0)</f>
        <v>0</v>
      </c>
      <c r="R733" s="77">
        <f ca="1">IFERROR(__xludf.DUMMYFUNCTION("IMPORTRANGE(""https://docs.google.com/spreadsheets/d/1ItG2mGa2ceCfYo0BwxsXqNm01IGEUdYcSSLTEv9YCik/edit?usp=sharing"",""เบิกจ่ายกองทุน!P71"")"),0)</f>
        <v>0</v>
      </c>
      <c r="S733" s="77">
        <f ca="1">IFERROR(__xludf.DUMMYFUNCTION("IMPORTRANGE(""https://docs.google.com/spreadsheets/d/1ItG2mGa2ceCfYo0BwxsXqNm01IGEUdYcSSLTEv9YCik/edit?usp=sharing"",""เบิกจ่ายกองทุน!Q71"")"),0)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IFERROR(__xludf.DUMMYFUNCTION("IMPORTRANGE(""https://docs.google.com/spreadsheets/d/1eHaY18a8A9IcSdp1K8H6x8fbOy06t2VsZHhMHf-1x7Y/edit?usp=sharing"",""แผน!GB71"")"),0)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IFERROR(__xludf.DUMMYFUNCTION("IMPORTRANGE(""https://docs.google.com/spreadsheets/d/1eHaY18a8A9IcSdp1K8H6x8fbOy06t2VsZHhMHf-1x7Y/edit?usp=sharing"",""แผน!GC71"")"),0)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IFERROR(__xludf.DUMMYFUNCTION("IMPORTRANGE(""https://docs.google.com/spreadsheets/d/1eHaY18a8A9IcSdp1K8H6x8fbOy06t2VsZHhMHf-1x7Y/edit?usp=sharing"",""แผน!GD71"")"),0)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IFERROR(__xludf.DUMMYFUNCTION("IMPORTRANGE(""https://docs.google.com/spreadsheets/d/1eHaY18a8A9IcSdp1K8H6x8fbOy06t2VsZHhMHf-1x7Y/edit?usp=sharing"",""แผน!GE71"")"),0)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IFERROR(__xludf.DUMMYFUNCTION("IMPORTRANGE(""https://docs.google.com/spreadsheets/d/1eHaY18a8A9IcSdp1K8H6x8fbOy06t2VsZHhMHf-1x7Y/edit?usp=sharing"",""แผน!GF71"")"),0)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IFERROR(__xludf.DUMMYFUNCTION("IMPORTRANGE(""https://docs.google.com/spreadsheets/d/1eHaY18a8A9IcSdp1K8H6x8fbOy06t2VsZHhMHf-1x7Y/edit?usp=sharing"",""แผน!GC71"")"),0)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IFERROR(__xludf.DUMMYFUNCTION("IMPORTRANGE(""https://docs.google.com/spreadsheets/d/1eHaY18a8A9IcSdp1K8H6x8fbOy06t2VsZHhMHf-1x7Y/edit?usp=sharing"",""แผน!GE71"")"),0)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hidden="1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0</v>
      </c>
      <c r="J758" s="760">
        <f>J772</f>
        <v>0</v>
      </c>
      <c r="K758" s="746">
        <f ca="1">IF(I758&gt;0,J758*100/I758,0)</f>
        <v>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hidden="1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0</v>
      </c>
      <c r="J759" s="760">
        <f>J774</f>
        <v>0</v>
      </c>
      <c r="K759" s="746">
        <f ca="1">IF(I759&gt;0,J759*100/I759,0)</f>
        <v>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hidden="1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IFERROR(__xludf.DUMMYFUNCTION("IMPORTRANGE(""https://docs.google.com/spreadsheets/d/1ItG2mGa2ceCfYo0BwxsXqNm01IGEUdYcSSLTEv9YCik/edit?usp=sharing"",""เบิกจ่ายกองทุน!U71"")"),0)</f>
        <v>0</v>
      </c>
      <c r="R765" s="77">
        <f ca="1">IFERROR(__xludf.DUMMYFUNCTION("IMPORTRANGE(""https://docs.google.com/spreadsheets/d/1ItG2mGa2ceCfYo0BwxsXqNm01IGEUdYcSSLTEv9YCik/edit?usp=sharing"",""เบิกจ่ายกองทุน!V71"")"),0)</f>
        <v>0</v>
      </c>
      <c r="S765" s="77">
        <f ca="1">IFERROR(__xludf.DUMMYFUNCTION("IMPORTRANGE(""https://docs.google.com/spreadsheets/d/1ItG2mGa2ceCfYo0BwxsXqNm01IGEUdYcSSLTEv9YCik/edit?usp=sharing"",""เบิกจ่ายกองทุน!W71"")"),0)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IFERROR(__xludf.DUMMYFUNCTION("IMPORTRANGE(""https://docs.google.com/spreadsheets/d/1eHaY18a8A9IcSdp1K8H6x8fbOy06t2VsZHhMHf-1x7Y/edit?usp=sharing"",""แผน!FI71"")"),0)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IFERROR(__xludf.DUMMYFUNCTION("IMPORTRANGE(""https://docs.google.com/spreadsheets/d/1eHaY18a8A9IcSdp1K8H6x8fbOy06t2VsZHhMHf-1x7Y/edit?usp=sharing"",""แผน!FQ71"")"),0)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IFERROR(__xludf.DUMMYFUNCTION("IMPORTRANGE(""https://docs.google.com/spreadsheets/d/1eHaY18a8A9IcSdp1K8H6x8fbOy06t2VsZHhMHf-1x7Y/edit?usp=sharing"",""แผน!FR71"")"),0)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IFERROR(__xludf.DUMMYFUNCTION("IMPORTRANGE(""https://docs.google.com/spreadsheets/d/1eHaY18a8A9IcSdp1K8H6x8fbOy06t2VsZHhMHf-1x7Y/edit?usp=sharing"",""แผน!FS71"")"),0)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IFERROR(__xludf.DUMMYFUNCTION("IMPORTRANGE(""https://docs.google.com/spreadsheets/d/1eHaY18a8A9IcSdp1K8H6x8fbOy06t2VsZHhMHf-1x7Y/edit?usp=sharing"",""แผน!FT71"")"),0)</f>
        <v>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IFERROR(__xludf.DUMMYFUNCTION("IMPORTRANGE(""https://docs.google.com/spreadsheets/d/10OvvATaaLtwErnr3qtWFcTmtbfpFEt5Bsqel9sXx0uE/edit?usp=sharing"",""งานกองทุน!D71"")"),560000)</f>
        <v>560000</v>
      </c>
      <c r="J778" s="295">
        <f ca="1">IFERROR(__xludf.DUMMYFUNCTION("IMPORTRANGE(""https://docs.google.com/spreadsheets/d/10OvvATaaLtwErnr3qtWFcTmtbfpFEt5Bsqel9sXx0uE/edit?usp=sharing"",""งานกองทุน!F71"")"),0)</f>
        <v>0</v>
      </c>
      <c r="K778" s="77">
        <f ca="1">IF(I778&gt;0,J778*100/I778,0)</f>
        <v>0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IFERROR(__xludf.DUMMYFUNCTION("IMPORTRANGE(""https://docs.google.com/spreadsheets/d/10OvvATaaLtwErnr3qtWFcTmtbfpFEt5Bsqel9sXx0uE/edit?usp=sharing"",""งานกองทุน!C71"")"),19)</f>
        <v>19</v>
      </c>
      <c r="J779" s="295">
        <f ca="1">IFERROR(__xludf.DUMMYFUNCTION("IMPORTRANGE(""https://docs.google.com/spreadsheets/d/10OvvATaaLtwErnr3qtWFcTmtbfpFEt5Bsqel9sXx0uE/edit?usp=sharing"",""งานกองทุน!E71"")"),0)</f>
        <v>0</v>
      </c>
      <c r="K779" s="77">
        <f ca="1">IF(I779&gt;0,J779*100/I779,0)</f>
        <v>0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IFERROR(__xludf.DUMMYFUNCTION("IMPORTRANGE(""https://docs.google.com/spreadsheets/d/10OvvATaaLtwErnr3qtWFcTmtbfpFEt5Bsqel9sXx0uE/edit?usp=sharing"",""งานกองทุน!I71"")"),"")</f>
        <v/>
      </c>
      <c r="J780" s="295">
        <f ca="1">IFERROR(__xludf.DUMMYFUNCTION("IMPORTRANGE(""https://docs.google.com/spreadsheets/d/10OvvATaaLtwErnr3qtWFcTmtbfpFEt5Bsqel9sXx0uE/edit?usp=sharing"",""งานกองทุน!K71"")"),0)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IFERROR(__xludf.DUMMYFUNCTION("IMPORTRANGE(""https://docs.google.com/spreadsheets/d/10OvvATaaLtwErnr3qtWFcTmtbfpFEt5Bsqel9sXx0uE/edit?usp=sharing"",""งานกองทุน!H71"")"),"")</f>
        <v/>
      </c>
      <c r="J781" s="295">
        <f ca="1">IFERROR(__xludf.DUMMYFUNCTION("IMPORTRANGE(""https://docs.google.com/spreadsheets/d/10OvvATaaLtwErnr3qtWFcTmtbfpFEt5Bsqel9sXx0uE/edit?usp=sharing"",""งานกองทุน!J71"")"),0)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IFERROR(__xludf.DUMMYFUNCTION("IMPORTRANGE(""https://docs.google.com/spreadsheets/d/10OvvATaaLtwErnr3qtWFcTmtbfpFEt5Bsqel9sXx0uE/edit?usp=sharing"",""งานกองทุน!N71"")"),49884.9)</f>
        <v>49884.9</v>
      </c>
      <c r="J782" s="295">
        <f ca="1">IFERROR(__xludf.DUMMYFUNCTION("IMPORTRANGE(""https://docs.google.com/spreadsheets/d/10OvvATaaLtwErnr3qtWFcTmtbfpFEt5Bsqel9sXx0uE/edit?usp=sharing"",""งานกองทุน!P71"")"),27944.95)</f>
        <v>27944.95</v>
      </c>
      <c r="K782" s="77">
        <f ca="1">IF(I782&gt;0,J782*100/I782,0)</f>
        <v>56.018855405142638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IFERROR(__xludf.DUMMYFUNCTION("IMPORTRANGE(""https://docs.google.com/spreadsheets/d/10OvvATaaLtwErnr3qtWFcTmtbfpFEt5Bsqel9sXx0uE/edit?usp=sharing"",""งานกองทุน!M71"")"),18)</f>
        <v>18</v>
      </c>
      <c r="J783" s="295">
        <f ca="1">IFERROR(__xludf.DUMMYFUNCTION("IMPORTRANGE(""https://docs.google.com/spreadsheets/d/10OvvATaaLtwErnr3qtWFcTmtbfpFEt5Bsqel9sXx0uE/edit?usp=sharing"",""งานกองทุน!O71"")"),13)</f>
        <v>13</v>
      </c>
      <c r="K783" s="77">
        <f ca="1">IF(I783&gt;0,J783*100/I783,0)</f>
        <v>72.222222222222229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IFERROR(__xludf.DUMMYFUNCTION("IMPORTRANGE(""https://docs.google.com/spreadsheets/d/10OvvATaaLtwErnr3qtWFcTmtbfpFEt5Bsqel9sXx0uE/edit?usp=sharing"",""งานกองทุน!S71"")"),588000)</f>
        <v>588000</v>
      </c>
      <c r="J784" s="295">
        <f ca="1">IFERROR(__xludf.DUMMYFUNCTION("IMPORTRANGE(""https://docs.google.com/spreadsheets/d/10OvvATaaLtwErnr3qtWFcTmtbfpFEt5Bsqel9sXx0uE/edit?usp=sharing"",""งานกองทุน!U71"")"),0)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IFERROR(__xludf.DUMMYFUNCTION("IMPORTRANGE(""https://docs.google.com/spreadsheets/d/10OvvATaaLtwErnr3qtWFcTmtbfpFEt5Bsqel9sXx0uE/edit?usp=sharing"",""งานกองทุน!R71"")"),21)</f>
        <v>21</v>
      </c>
      <c r="J785" s="773">
        <f ca="1">IFERROR(__xludf.DUMMYFUNCTION("IMPORTRANGE(""https://docs.google.com/spreadsheets/d/10OvvATaaLtwErnr3qtWFcTmtbfpFEt5Bsqel9sXx0uE/edit?usp=sharing"",""งานกองทุน!T71"")"),0)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747C-8F80-4828-99AE-A0A44F27AFF6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  <col min="17" max="18" width="21.28515625" bestFit="1" customWidth="1"/>
    <col min="19" max="19" width="18.71093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359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315" t="s">
        <v>4</v>
      </c>
      <c r="B5" s="791"/>
      <c r="C5" s="791"/>
      <c r="D5" s="791"/>
      <c r="E5" s="791"/>
      <c r="F5" s="791"/>
      <c r="G5" s="1253"/>
      <c r="H5" s="1314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2204925</v>
      </c>
      <c r="M18" s="62">
        <f ca="1">M19+M20</f>
        <v>2234160</v>
      </c>
      <c r="N18" s="62">
        <f ca="1">N19+N20</f>
        <v>1936661.1400000001</v>
      </c>
      <c r="O18" s="62">
        <f ca="1">IF(L18&gt;0,N18*100/L18,0)</f>
        <v>87.833424719661664</v>
      </c>
      <c r="P18" s="62">
        <f ca="1">IF(M18&gt;0,N18*100/M18,0)</f>
        <v>86.684084398610665</v>
      </c>
      <c r="Q18" s="62">
        <f ca="1">Q19+Q20</f>
        <v>3208577.24</v>
      </c>
      <c r="R18" s="62">
        <f ca="1">R19+R20</f>
        <v>3208577</v>
      </c>
      <c r="S18" s="62">
        <f ca="1">S19+S20</f>
        <v>523130</v>
      </c>
      <c r="T18" s="62">
        <f ca="1">IF(Q18&gt;0,S18*100/Q18,0)</f>
        <v>16.304111164236769</v>
      </c>
      <c r="U18" s="62">
        <f ca="1">IF(R18&gt;0,S18*100/R18,0)</f>
        <v>16.30411238377636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2204925</v>
      </c>
      <c r="M20" s="68">
        <f ca="1">M23+M26</f>
        <v>2234160</v>
      </c>
      <c r="N20" s="68">
        <f ca="1">N23+N26</f>
        <v>1936661.1400000001</v>
      </c>
      <c r="O20" s="68">
        <f ca="1">IF(L20&gt;0,N20*100/L20,0)</f>
        <v>87.833424719661664</v>
      </c>
      <c r="P20" s="68">
        <f ca="1">IF(M20&gt;0,N20*100/M20,0)</f>
        <v>86.684084398610665</v>
      </c>
      <c r="Q20" s="68">
        <f ca="1">Q23+Q26</f>
        <v>3208577.24</v>
      </c>
      <c r="R20" s="68">
        <f ca="1">R23+R26</f>
        <v>3208577</v>
      </c>
      <c r="S20" s="68">
        <f ca="1">S23+S26</f>
        <v>523130</v>
      </c>
      <c r="T20" s="68">
        <f ca="1">IF(Q20&gt;0,S20*100/Q20,0)</f>
        <v>16.304111164236769</v>
      </c>
      <c r="U20" s="68">
        <f ca="1">IF(R20&gt;0,S20*100/R20,0)</f>
        <v>16.30411238377636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2204925</v>
      </c>
      <c r="M21" s="77">
        <f ca="1">M22+M23</f>
        <v>2234160</v>
      </c>
      <c r="N21" s="77">
        <f ca="1">N22+N23</f>
        <v>1936661.1400000001</v>
      </c>
      <c r="O21" s="77">
        <f ca="1">IF(L21&gt;0,N21*100/L21,0)</f>
        <v>87.833424719661664</v>
      </c>
      <c r="P21" s="77">
        <f ca="1">IF(M21&gt;0,N21*100/M21,0)</f>
        <v>86.684084398610665</v>
      </c>
      <c r="Q21" s="77">
        <f ca="1">Q22+Q23</f>
        <v>3208577.24</v>
      </c>
      <c r="R21" s="77">
        <f ca="1">R22+R23</f>
        <v>3208577</v>
      </c>
      <c r="S21" s="77">
        <f ca="1">S22+S23</f>
        <v>523130</v>
      </c>
      <c r="T21" s="77">
        <f ca="1">IF(Q21&gt;0,S21*100/Q21,0)</f>
        <v>16.304111164236769</v>
      </c>
      <c r="U21" s="77">
        <f ca="1">IF(R21&gt;0,S21*100/R21,0)</f>
        <v>16.30411238377636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2204925</v>
      </c>
      <c r="M23" s="77">
        <f ca="1">M49+M64+M77+M99+M130+M144+M162+M191+M178+M271+M287+M308+M325+M338+M361+M518</f>
        <v>2234160</v>
      </c>
      <c r="N23" s="77">
        <f ca="1">N49+N64+N77+N99+N130+N144+N162+N191+N178+N271+N287+N308+N325+N338+N361+N518</f>
        <v>1936661.1400000001</v>
      </c>
      <c r="O23" s="77">
        <f ca="1">IF(L23&gt;0,N23*100/L23,0)</f>
        <v>87.833424719661664</v>
      </c>
      <c r="P23" s="77">
        <f ca="1">IF(M23&gt;0,N23*100/M23,0)</f>
        <v>86.684084398610665</v>
      </c>
      <c r="Q23" s="77">
        <f ca="1">Q77+Q99+Q122+Q144+Q162+Q178+Q191+Q271+Q287+Q308+Q338+Q380+Q397+Q418+Q498+Q604+Q621+Q647+Q695+Q719+Q733+Q765</f>
        <v>3208577.24</v>
      </c>
      <c r="R23" s="77">
        <f ca="1">R77+R99+R122+R144+R162+R178+R191+R271+R287+R308+R338+R380+R397+R418+R498+R604+R621+R647+R695+R719+R733+R765</f>
        <v>3208577</v>
      </c>
      <c r="S23" s="77">
        <f ca="1">S77+S99+S122+S144+S162+S178+S191+S271+S287+S308+S338+S380+S397+S418+S498+S604+S621+S647+S695+S719+S733+S765</f>
        <v>523130</v>
      </c>
      <c r="T23" s="77">
        <f ca="1">IF(Q23&gt;0,S23*100/Q23,0)</f>
        <v>16.304111164236769</v>
      </c>
      <c r="U23" s="77">
        <f ca="1">IF(R23&gt;0,S23*100/R23,0)</f>
        <v>16.30411238377636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2204925</v>
      </c>
      <c r="M40" s="1308">
        <f ca="1">M44+M59+M72+M94+M125+M139+M157+M173+M186+M266+M282+M303+M320+M333+M356</f>
        <v>2234160</v>
      </c>
      <c r="N40" s="1308">
        <f ca="1">N44+N59+N72+N94+N125+N139+N157+N173+N186+N266+N282+N303+N320+N333+N356</f>
        <v>1936661.1400000001</v>
      </c>
      <c r="O40" s="1308">
        <f ca="1">IF(L40&gt;0,N40*100/L40,0)</f>
        <v>87.833424719661664</v>
      </c>
      <c r="P40" s="1308">
        <f ca="1">IF(M40&gt;0,N40*100/M40,0)</f>
        <v>86.684084398610665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535550</v>
      </c>
      <c r="M44" s="1304">
        <f ca="1">M45+M46</f>
        <v>540265</v>
      </c>
      <c r="N44" s="1304">
        <f ca="1">N45+N46</f>
        <v>536031</v>
      </c>
      <c r="O44" s="1304">
        <f ca="1">IF(L44&gt;0,N44*100/L44,0)</f>
        <v>100.08981420969097</v>
      </c>
      <c r="P44" s="1304">
        <f ca="1">IF(M44&gt;0,N44*100/M44,0)</f>
        <v>99.216310514284658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535550</v>
      </c>
      <c r="M46" s="1300">
        <f ca="1">M49+M52</f>
        <v>540265</v>
      </c>
      <c r="N46" s="1300">
        <f ca="1">N49+N52</f>
        <v>536031</v>
      </c>
      <c r="O46" s="1300">
        <f ca="1">IF(L46&gt;0,N46*100/L46,0)</f>
        <v>100.08981420969097</v>
      </c>
      <c r="P46" s="1300">
        <f ca="1">IF(M46&gt;0,N46*100/M46,0)</f>
        <v>99.216310514284658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535550</v>
      </c>
      <c r="M47" s="77">
        <f ca="1">M48+M49</f>
        <v>540265</v>
      </c>
      <c r="N47" s="77">
        <f ca="1">N48+N49</f>
        <v>536031</v>
      </c>
      <c r="O47" s="77">
        <f ca="1">IF(L47&gt;0,N47*100/L47,0)</f>
        <v>100.08981420969097</v>
      </c>
      <c r="P47" s="77">
        <f ca="1">IF(M47&gt;0,N47*100/M47,0)</f>
        <v>99.216310514284658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IFERROR(__xludf.DUMMYFUNCTION("IMPORTRANGE(""https://docs.google.com/spreadsheets/d/1-uDff_7J0KD5mKrp0Vvzr7lt3OU09vwQwhkpOPPYv2Y/edit?usp=sharing"",""งบพรบ!P72"")"),535550)</f>
        <v>535550</v>
      </c>
      <c r="M49" s="77">
        <f ca="1">IFERROR(__xludf.DUMMYFUNCTION("IMPORTRANGE(""https://docs.google.com/spreadsheets/d/1-uDff_7J0KD5mKrp0Vvzr7lt3OU09vwQwhkpOPPYv2Y/edit?usp=sharing"",""งบพรบ!V72"")"),540265)</f>
        <v>540265</v>
      </c>
      <c r="N49" s="77">
        <f ca="1">IFERROR(__xludf.DUMMYFUNCTION("IMPORTRANGE(""https://docs.google.com/spreadsheets/d/1-uDff_7J0KD5mKrp0Vvzr7lt3OU09vwQwhkpOPPYv2Y/edit?usp=sharing"",""งบพรบ!Y72"")"),536031)</f>
        <v>536031</v>
      </c>
      <c r="O49" s="77">
        <f ca="1">IF(L49&gt;0,N49*100/L49,0)</f>
        <v>100.08981420969097</v>
      </c>
      <c r="P49" s="77">
        <f ca="1">IF(M49&gt;0,N49*100/M49,0)</f>
        <v>99.216310514284658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IFERROR(__xludf.DUMMYFUNCTION("IMPORTRANGE(""https://docs.google.com/spreadsheets/d/1-uDff_7J0KD5mKrp0Vvzr7lt3OU09vwQwhkpOPPYv2Y/edit?usp=sharing"",""งบพรบ!S72"")"),0)</f>
        <v>0</v>
      </c>
      <c r="M52" s="77">
        <f ca="1">IFERROR(__xludf.DUMMYFUNCTION("IMPORTRANGE(""https://docs.google.com/spreadsheets/d/1-uDff_7J0KD5mKrp0Vvzr7lt3OU09vwQwhkpOPPYv2Y/edit?usp=sharing"",""งบพรบ!W72"")"),0)</f>
        <v>0</v>
      </c>
      <c r="N52" s="77">
        <f ca="1">IFERROR(__xludf.DUMMYFUNCTION("IMPORTRANGE(""https://docs.google.com/spreadsheets/d/1-uDff_7J0KD5mKrp0Vvzr7lt3OU09vwQwhkpOPPYv2Y/edit?usp=sharing"",""งบพรบ!Z72"")"),0)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576900</v>
      </c>
      <c r="M59" s="1297">
        <f ca="1">M60+M61</f>
        <v>576900</v>
      </c>
      <c r="N59" s="1297">
        <f ca="1">N60+N61</f>
        <v>522579.01</v>
      </c>
      <c r="O59" s="1297">
        <f ca="1">IF(L59&gt;0,N59*100/L59,0)</f>
        <v>90.583985092737038</v>
      </c>
      <c r="P59" s="1297">
        <f ca="1">IF(M59&gt;0,N59*100/M59,0)</f>
        <v>90.583985092737038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576900</v>
      </c>
      <c r="M61" s="1293">
        <f ca="1">M64+M67</f>
        <v>576900</v>
      </c>
      <c r="N61" s="1293">
        <f ca="1">N64+N67</f>
        <v>522579.01</v>
      </c>
      <c r="O61" s="1293">
        <f ca="1">IF(L61&gt;0,N61*100/L61,0)</f>
        <v>90.583985092737038</v>
      </c>
      <c r="P61" s="1293">
        <f ca="1">IF(M61&gt;0,N61*100/M61,0)</f>
        <v>90.583985092737038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576900</v>
      </c>
      <c r="M62" s="77">
        <f ca="1">M63+M64</f>
        <v>576900</v>
      </c>
      <c r="N62" s="77">
        <f ca="1">N63+N64</f>
        <v>522579.01</v>
      </c>
      <c r="O62" s="77">
        <f ca="1">IF(L62&gt;0,N62*100/L62,0)</f>
        <v>90.583985092737038</v>
      </c>
      <c r="P62" s="77">
        <f ca="1">IF(M62&gt;0,N62*100/M62,0)</f>
        <v>90.583985092737038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IFERROR(__xludf.DUMMYFUNCTION("IMPORTRANGE(""https://docs.google.com/spreadsheets/d/1-uDff_7J0KD5mKrp0Vvzr7lt3OU09vwQwhkpOPPYv2Y/edit?usp=sharing"",""งบพรบ!AC72"")"),576900)</f>
        <v>576900</v>
      </c>
      <c r="M64" s="77">
        <f ca="1">IFERROR(__xludf.DUMMYFUNCTION("IMPORTRANGE(""https://docs.google.com/spreadsheets/d/1-uDff_7J0KD5mKrp0Vvzr7lt3OU09vwQwhkpOPPYv2Y/edit?usp=sharing"",""งบพรบ!AH72"")"),576900)</f>
        <v>576900</v>
      </c>
      <c r="N64" s="77">
        <f ca="1">IFERROR(__xludf.DUMMYFUNCTION("IMPORTRANGE(""https://docs.google.com/spreadsheets/d/1-uDff_7J0KD5mKrp0Vvzr7lt3OU09vwQwhkpOPPYv2Y/edit?usp=sharing"",""งบพรบ!AJ72"")"),522579.01)</f>
        <v>522579.01</v>
      </c>
      <c r="O64" s="77">
        <f ca="1">IF(L64&gt;0,N64*100/L64,0)</f>
        <v>90.583985092737038</v>
      </c>
      <c r="P64" s="77">
        <f ca="1">IF(M64&gt;0,N64*100/M64,0)</f>
        <v>90.583985092737038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IFERROR(__xludf.DUMMYFUNCTION("IMPORTRANGE(""https://docs.google.com/spreadsheets/d/1-uDff_7J0KD5mKrp0Vvzr7lt3OU09vwQwhkpOPPYv2Y/edit?usp=sharing"",""งบพรบ!AF72"")"),0)</f>
        <v>0</v>
      </c>
      <c r="M67" s="185">
        <f ca="1">IFERROR(__xludf.DUMMYFUNCTION("IMPORTRANGE(""https://docs.google.com/spreadsheets/d/1-uDff_7J0KD5mKrp0Vvzr7lt3OU09vwQwhkpOPPYv2Y/edit?usp=sharing"",""งบพรบ!AI72"")"),0)</f>
        <v>0</v>
      </c>
      <c r="N67" s="185">
        <f ca="1">IFERROR(__xludf.DUMMYFUNCTION("IMPORTRANGE(""https://docs.google.com/spreadsheets/d/1-uDff_7J0KD5mKrp0Vvzr7lt3OU09vwQwhkpOPPYv2Y/edit?usp=sharing"",""งบพรบ!AK72"")"),0)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2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94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98000</v>
      </c>
      <c r="M72" s="266">
        <f ca="1">M73+M74</f>
        <v>98000</v>
      </c>
      <c r="N72" s="266">
        <f ca="1">N73+N74</f>
        <v>85000</v>
      </c>
      <c r="O72" s="266">
        <f ca="1">IF(L72&gt;0,N72*100/L72,0)</f>
        <v>86.734693877551024</v>
      </c>
      <c r="P72" s="266">
        <f ca="1">IF(M72&gt;0,N72*100/M72,0)</f>
        <v>86.734693877551024</v>
      </c>
      <c r="Q72" s="266">
        <f ca="1">Q73+Q74</f>
        <v>1881380</v>
      </c>
      <c r="R72" s="266">
        <f ca="1">R73+R74</f>
        <v>1881380</v>
      </c>
      <c r="S72" s="266">
        <f ca="1">S73+S74</f>
        <v>41940</v>
      </c>
      <c r="T72" s="266">
        <f ca="1">IF(Q72&gt;0,S72*100/Q72,0)</f>
        <v>2.2292147253611709</v>
      </c>
      <c r="U72" s="266">
        <f ca="1">IF(R72&gt;0,S72*100/R72,0)</f>
        <v>2.2292147253611709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98000</v>
      </c>
      <c r="M74" s="77">
        <f ca="1">M77+M80</f>
        <v>98000</v>
      </c>
      <c r="N74" s="77">
        <f ca="1">N77+N80</f>
        <v>85000</v>
      </c>
      <c r="O74" s="77">
        <f ca="1">IF(L74&gt;0,N74*100/L74,0)</f>
        <v>86.734693877551024</v>
      </c>
      <c r="P74" s="77">
        <f ca="1">IF(M74&gt;0,N74*100/M74,0)</f>
        <v>86.734693877551024</v>
      </c>
      <c r="Q74" s="77">
        <f ca="1">Q77+Q80</f>
        <v>1881380</v>
      </c>
      <c r="R74" s="77">
        <f ca="1">R77+R80</f>
        <v>1881380</v>
      </c>
      <c r="S74" s="77">
        <f ca="1">S77+S80</f>
        <v>41940</v>
      </c>
      <c r="T74" s="77">
        <f ca="1">IF(Q74&gt;0,S74*100/Q74,0)</f>
        <v>2.2292147253611709</v>
      </c>
      <c r="U74" s="77">
        <f ca="1">IF(R74&gt;0,S74*100/R74,0)</f>
        <v>2.2292147253611709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98000</v>
      </c>
      <c r="M75" s="77">
        <f ca="1">M76+M77</f>
        <v>98000</v>
      </c>
      <c r="N75" s="77">
        <f ca="1">N76+N77</f>
        <v>85000</v>
      </c>
      <c r="O75" s="77">
        <f ca="1">IF(L75&gt;0,N75*100/L75,0)</f>
        <v>86.734693877551024</v>
      </c>
      <c r="P75" s="77">
        <f ca="1">IF(M75&gt;0,N75*100/M75,0)</f>
        <v>86.734693877551024</v>
      </c>
      <c r="Q75" s="77">
        <f ca="1">Q76+Q77</f>
        <v>1881380</v>
      </c>
      <c r="R75" s="77">
        <f ca="1">R76+R77</f>
        <v>1881380</v>
      </c>
      <c r="S75" s="77">
        <f ca="1">S76+S77</f>
        <v>41940</v>
      </c>
      <c r="T75" s="77">
        <f ca="1">IF(Q75&gt;0,S75*100/Q75,0)</f>
        <v>2.2292147253611709</v>
      </c>
      <c r="U75" s="77">
        <f ca="1">IF(R75&gt;0,S75*100/R75,0)</f>
        <v>2.2292147253611709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IFERROR(__xludf.DUMMYFUNCTION("IMPORTRANGE(""https://docs.google.com/spreadsheets/d/1-uDff_7J0KD5mKrp0Vvzr7lt3OU09vwQwhkpOPPYv2Y/edit?usp=sharing"",""งบพรบ!AM72"")"),98000)</f>
        <v>98000</v>
      </c>
      <c r="M77" s="77">
        <f ca="1">IFERROR(__xludf.DUMMYFUNCTION("IMPORTRANGE(""https://docs.google.com/spreadsheets/d/1-uDff_7J0KD5mKrp0Vvzr7lt3OU09vwQwhkpOPPYv2Y/edit?usp=sharing"",""งบพรบ!AR72"")"),98000)</f>
        <v>98000</v>
      </c>
      <c r="N77" s="77">
        <f ca="1">IFERROR(__xludf.DUMMYFUNCTION("IMPORTRANGE(""https://docs.google.com/spreadsheets/d/1-uDff_7J0KD5mKrp0Vvzr7lt3OU09vwQwhkpOPPYv2Y/edit?usp=sharing"",""งบพรบ!AT72"")"),85000)</f>
        <v>85000</v>
      </c>
      <c r="O77" s="77">
        <f ca="1">IF(L77&gt;0,N77*100/L77,0)</f>
        <v>86.734693877551024</v>
      </c>
      <c r="P77" s="77">
        <f ca="1">IF(M77&gt;0,N77*100/M77,0)</f>
        <v>86.734693877551024</v>
      </c>
      <c r="Q77" s="77">
        <f ca="1">IFERROR(__xludf.DUMMYFUNCTION("IMPORTRANGE(""https://docs.google.com/spreadsheets/d/1ItG2mGa2ceCfYo0BwxsXqNm01IGEUdYcSSLTEv9YCik/edit?usp=sharing"",""เบิกจ่ายกองทุน!AS72"")"),1881380)</f>
        <v>1881380</v>
      </c>
      <c r="R77" s="77">
        <f ca="1">IFERROR(__xludf.DUMMYFUNCTION("IMPORTRANGE(""https://docs.google.com/spreadsheets/d/1ItG2mGa2ceCfYo0BwxsXqNm01IGEUdYcSSLTEv9YCik/edit?usp=sharing"",""เบิกจ่ายกองทุน!AT72"")"),1881380)</f>
        <v>1881380</v>
      </c>
      <c r="S77" s="77">
        <f ca="1">IFERROR(__xludf.DUMMYFUNCTION("IMPORTRANGE(""https://docs.google.com/spreadsheets/d/1ItG2mGa2ceCfYo0BwxsXqNm01IGEUdYcSSLTEv9YCik/edit?usp=sharing"",""เบิกจ่ายกองทุน!AU72"")"),41940)</f>
        <v>41940</v>
      </c>
      <c r="T77" s="77">
        <f ca="1">IF(Q77&gt;0,S77*100/Q77,0)</f>
        <v>2.2292147253611709</v>
      </c>
      <c r="U77" s="77">
        <f ca="1">IF(R77&gt;0,S77*100/R77,0)</f>
        <v>2.2292147253611709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IFERROR(__xludf.DUMMYFUNCTION("IMPORTRANGE(""https://docs.google.com/spreadsheets/d/1-uDff_7J0KD5mKrp0Vvzr7lt3OU09vwQwhkpOPPYv2Y/edit?usp=sharing"",""งบพรบ!AP72"")"),0)</f>
        <v>0</v>
      </c>
      <c r="M80" s="77">
        <f ca="1">IFERROR(__xludf.DUMMYFUNCTION("IMPORTRANGE(""https://docs.google.com/spreadsheets/d/1-uDff_7J0KD5mKrp0Vvzr7lt3OU09vwQwhkpOPPYv2Y/edit?usp=sharing"",""งบพรบ!AS72"")"),0)</f>
        <v>0</v>
      </c>
      <c r="N80" s="77">
        <f ca="1">IFERROR(__xludf.DUMMYFUNCTION("IMPORTRANGE(""https://docs.google.com/spreadsheets/d/1-uDff_7J0KD5mKrp0Vvzr7lt3OU09vwQwhkpOPPYv2Y/edit?usp=sharing"",""งบพรบ!AU72"")"),0)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2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94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IFERROR(__xludf.DUMMYFUNCTION("IMPORTRANGE(""https://docs.google.com/spreadsheets/d/1eHaY18a8A9IcSdp1K8H6x8fbOy06t2VsZHhMHf-1x7Y/edit?usp=sharing"",""แผน!H72"")"),0)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IFERROR(__xludf.DUMMYFUNCTION("IMPORTRANGE(""https://docs.google.com/spreadsheets/d/1eHaY18a8A9IcSdp1K8H6x8fbOy06t2VsZHhMHf-1x7Y/edit?usp=sharing"",""แผน!I72"")"),0)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IFERROR(__xludf.DUMMYFUNCTION("IMPORTRANGE(""https://docs.google.com/spreadsheets/d/1eHaY18a8A9IcSdp1K8H6x8fbOy06t2VsZHhMHf-1x7Y/edit?usp=sharing"",""แผน!F72"")"),2)</f>
        <v>2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IFERROR(__xludf.DUMMYFUNCTION("IMPORTRANGE(""https://docs.google.com/spreadsheets/d/1eHaY18a8A9IcSdp1K8H6x8fbOy06t2VsZHhMHf-1x7Y/edit?usp=sharing"",""แผน!G72"")"),94)</f>
        <v>94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IFERROR(__xludf.DUMMYFUNCTION("IMPORTRANGE(""https://docs.google.com/spreadsheets/d/1eHaY18a8A9IcSdp1K8H6x8fbOy06t2VsZHhMHf-1x7Y/edit?usp=sharing"",""แผน!D72"")"),0)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IFERROR(__xludf.DUMMYFUNCTION("IMPORTRANGE(""https://docs.google.com/spreadsheets/d/1eHaY18a8A9IcSdp1K8H6x8fbOy06t2VsZHhMHf-1x7Y/edit?usp=sharing"",""แผน!E72"")"),0)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IFERROR(__xludf.DUMMYFUNCTION("IMPORTRANGE(""https://docs.google.com/spreadsheets/d/1eHaY18a8A9IcSdp1K8H6x8fbOy06t2VsZHhMHf-1x7Y/edit?usp=sharing"",""แผน!J72"")"),2)</f>
        <v>2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IFERROR(__xludf.DUMMYFUNCTION("IMPORTRANGE(""https://docs.google.com/spreadsheets/d/1-uDff_7J0KD5mKrp0Vvzr7lt3OU09vwQwhkpOPPYv2Y/edit?usp=sharing"",""งบพรบ!AW72"")"),0)</f>
        <v>0</v>
      </c>
      <c r="M99" s="77">
        <f ca="1">IFERROR(__xludf.DUMMYFUNCTION("IMPORTRANGE(""https://docs.google.com/spreadsheets/d/1-uDff_7J0KD5mKrp0Vvzr7lt3OU09vwQwhkpOPPYv2Y/edit?usp=sharing"",""งบพรบ!BB72"")"),0)</f>
        <v>0</v>
      </c>
      <c r="N99" s="77">
        <f ca="1">IFERROR(__xludf.DUMMYFUNCTION("IMPORTRANGE(""https://docs.google.com/spreadsheets/d/1-uDff_7J0KD5mKrp0Vvzr7lt3OU09vwQwhkpOPPYv2Y/edit?usp=sharing"",""งบพรบ!BD72"")"),0)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IFERROR(__xludf.DUMMYFUNCTION("IMPORTRANGE(""https://docs.google.com/spreadsheets/d/1ItG2mGa2ceCfYo0BwxsXqNm01IGEUdYcSSLTEv9YCik/edit?usp=sharing"",""เบิกจ่ายกองทุน!AD72"")"),0)</f>
        <v>0</v>
      </c>
      <c r="R99" s="77">
        <f ca="1">IFERROR(__xludf.DUMMYFUNCTION("IMPORTRANGE(""https://docs.google.com/spreadsheets/d/1ItG2mGa2ceCfYo0BwxsXqNm01IGEUdYcSSLTEv9YCik/edit?usp=sharing"",""เบิกจ่ายกองทุน!AE72"")"),0)</f>
        <v>0</v>
      </c>
      <c r="S99" s="77">
        <f ca="1">IFERROR(__xludf.DUMMYFUNCTION("IMPORTRANGE(""https://docs.google.com/spreadsheets/d/1ItG2mGa2ceCfYo0BwxsXqNm01IGEUdYcSSLTEv9YCik/edit?usp=sharing"",""เบิกจ่ายกองทุน!AF72"")"),0)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IFERROR(__xludf.DUMMYFUNCTION("IMPORTRANGE(""https://docs.google.com/spreadsheets/d/1-uDff_7J0KD5mKrp0Vvzr7lt3OU09vwQwhkpOPPYv2Y/edit?usp=sharing"",""งบพรบ!AZ72"")"),0)</f>
        <v>0</v>
      </c>
      <c r="M102" s="77">
        <f ca="1">IFERROR(__xludf.DUMMYFUNCTION("IMPORTRANGE(""https://docs.google.com/spreadsheets/d/1-uDff_7J0KD5mKrp0Vvzr7lt3OU09vwQwhkpOPPYv2Y/edit?usp=sharing"",""งบพรบ!BC72"")"),0)</f>
        <v>0</v>
      </c>
      <c r="N102" s="77">
        <f ca="1">IFERROR(__xludf.DUMMYFUNCTION("IMPORTRANGE(""https://docs.google.com/spreadsheets/d/1-uDff_7J0KD5mKrp0Vvzr7lt3OU09vwQwhkpOPPYv2Y/edit?usp=sharing"",""งบพรบ!BE72"")"),0)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IFERROR(__xludf.DUMMYFUNCTION("IMPORTRANGE(""https://docs.google.com/spreadsheets/d/1eHaY18a8A9IcSdp1K8H6x8fbOy06t2VsZHhMHf-1x7Y/edit?usp=sharing"",""แผน!N72"")"),0)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IFERROR(__xludf.DUMMYFUNCTION("IMPORTRANGE(""https://docs.google.com/spreadsheets/d/1eHaY18a8A9IcSdp1K8H6x8fbOy06t2VsZHhMHf-1x7Y/edit?usp=sharing"",""แผน!O72"")"),0)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IFERROR(__xludf.DUMMYFUNCTION("IMPORTRANGE(""https://docs.google.com/spreadsheets/d/1eHaY18a8A9IcSdp1K8H6x8fbOy06t2VsZHhMHf-1x7Y/edit?usp=sharing"",""แผน!R72"")"),0)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20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127180</v>
      </c>
      <c r="T117" s="266">
        <f ca="1">IF(Q117&gt;0,S117*100/Q117,0)</f>
        <v>60.747038593809705</v>
      </c>
      <c r="U117" s="266">
        <f ca="1">IF(R117&gt;0,S117*100/R117,0)</f>
        <v>60.747038593809705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127180</v>
      </c>
      <c r="T119" s="77">
        <f ca="1">IF(Q119&gt;0,S119*100/Q119,0)</f>
        <v>60.747038593809705</v>
      </c>
      <c r="U119" s="77">
        <f ca="1">IF(R119&gt;0,S119*100/R119,0)</f>
        <v>60.747038593809705</v>
      </c>
    </row>
    <row r="120" spans="1:21" ht="18.75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127180</v>
      </c>
      <c r="T120" s="77">
        <f ca="1">IF(Q120&gt;0,S120*100/Q120,0)</f>
        <v>60.747038593809705</v>
      </c>
      <c r="U120" s="77">
        <f ca="1">IF(R120&gt;0,S120*100/R120,0)</f>
        <v>60.747038593809705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IFERROR(__xludf.DUMMYFUNCTION("IMPORTRANGE(""https://docs.google.com/spreadsheets/d/1-uDff_7J0KD5mKrp0Vvzr7lt3OU09vwQwhkpOPPYv2Y/edit?usp=sharing"",""งบพรบ!BG72"")"),0)</f>
        <v>0</v>
      </c>
      <c r="M122" s="77">
        <f ca="1">IFERROR(__xludf.DUMMYFUNCTION("IMPORTRANGE(""https://docs.google.com/spreadsheets/d/1-uDff_7J0KD5mKrp0Vvzr7lt3OU09vwQwhkpOPPYv2Y/edit?usp=sharing"",""งบพรบ!BL72"")"),0)</f>
        <v>0</v>
      </c>
      <c r="N122" s="77">
        <f ca="1">IFERROR(__xludf.DUMMYFUNCTION("IMPORTRANGE(""https://docs.google.com/spreadsheets/d/1-uDff_7J0KD5mKrp0Vvzr7lt3OU09vwQwhkpOPPYv2Y/edit?usp=sharing"",""งบพรบ!BN72"")"),0)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IFERROR(__xludf.DUMMYFUNCTION("IMPORTRANGE(""https://docs.google.com/spreadsheets/d/1ItG2mGa2ceCfYo0BwxsXqNm01IGEUdYcSSLTEv9YCik/edit?usp=sharing"",""เบิกจ่ายกองทุน!R72"")"),209360)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IFERROR(__xludf.DUMMYFUNCTION("IMPORTRANGE(""https://docs.google.com/spreadsheets/d/1ItG2mGa2ceCfYo0BwxsXqNm01IGEUdYcSSLTEv9YCik/edit?usp=sharing"",""เบิกจ่ายกองทุน!S72"")"),209360)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IFERROR(__xludf.DUMMYFUNCTION("IMPORTRANGE(""https://docs.google.com/spreadsheets/d/1ItG2mGa2ceCfYo0BwxsXqNm01IGEUdYcSSLTEv9YCik/edit?usp=sharing"",""เบิกจ่ายกองทุน!T72"")"),127180)</f>
        <v>127180</v>
      </c>
      <c r="T122" s="77">
        <f ca="1">IF(Q122&gt;0,S122*100/Q122,0)</f>
        <v>60.747038593809705</v>
      </c>
      <c r="U122" s="77">
        <f ca="1">IF(R122&gt;0,S122*100/R122,0)</f>
        <v>60.747038593809705</v>
      </c>
    </row>
    <row r="123" spans="1:21" ht="18.75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IFERROR(__xludf.DUMMYFUNCTION("IMPORTRANGE(""https://docs.google.com/spreadsheets/d/1-uDff_7J0KD5mKrp0Vvzr7lt3OU09vwQwhkpOPPYv2Y/edit?usp=sharing"",""งบพรบ!BJ72"")"),0)</f>
        <v>0</v>
      </c>
      <c r="M125" s="77">
        <f ca="1">IFERROR(__xludf.DUMMYFUNCTION("IMPORTRANGE(""https://docs.google.com/spreadsheets/d/1-uDff_7J0KD5mKrp0Vvzr7lt3OU09vwQwhkpOPPYv2Y/edit?usp=sharing"",""งบพรบ!BM72"")"),0)</f>
        <v>0</v>
      </c>
      <c r="N125" s="77">
        <f ca="1">IFERROR(__xludf.DUMMYFUNCTION("IMPORTRANGE(""https://docs.google.com/spreadsheets/d/1-uDff_7J0KD5mKrp0Vvzr7lt3OU09vwQwhkpOPPYv2Y/edit?usp=sharing"",""งบพรบ!BO72"")"),0)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IFERROR(__xludf.DUMMYFUNCTION("IMPORTRANGE(""https://docs.google.com/spreadsheets/d/1eHaY18a8A9IcSdp1K8H6x8fbOy06t2VsZHhMHf-1x7Y/edit?usp=sharing"",""แผน!FF72"")"),20)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IFERROR(__xludf.DUMMYFUNCTION("IMPORTRANGE(""https://docs.google.com/spreadsheets/d/1eHaY18a8A9IcSdp1K8H6x8fbOy06t2VsZHhMHf-1x7Y/edit?usp=sharing"",""แผน!FG72"")"),0)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IFERROR(__xludf.DUMMYFUNCTION("IMPORTRANGE(""https://docs.google.com/spreadsheets/d/1eHaY18a8A9IcSdp1K8H6x8fbOy06t2VsZHhMHf-1x7Y/edit?usp=sharing"",""แผน!FH72"")"),20)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IFERROR(__xludf.DUMMYFUNCTION("IMPORTRANGE(""https://docs.google.com/spreadsheets/d/1eHaY18a8A9IcSdp1K8H6x8fbOy06t2VsZHhMHf-1x7Y/edit?usp=sharing"",""แผน!FI72"")"),0)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IFERROR(__xludf.DUMMYFUNCTION("IMPORTRANGE(""https://docs.google.com/spreadsheets/d/1-uDff_7J0KD5mKrp0Vvzr7lt3OU09vwQwhkpOPPYv2Y/edit?usp=sharing"",""งบพรบ!BQ72"")"),0)</f>
        <v>0</v>
      </c>
      <c r="M144" s="77">
        <f ca="1">IFERROR(__xludf.DUMMYFUNCTION("IMPORTRANGE(""https://docs.google.com/spreadsheets/d/1-uDff_7J0KD5mKrp0Vvzr7lt3OU09vwQwhkpOPPYv2Y/edit?usp=sharing"",""งบพรบ!BV72"")"),0)</f>
        <v>0</v>
      </c>
      <c r="N144" s="77">
        <f ca="1">IFERROR(__xludf.DUMMYFUNCTION("IMPORTRANGE(""https://docs.google.com/spreadsheets/d/1-uDff_7J0KD5mKrp0Vvzr7lt3OU09vwQwhkpOPPYv2Y/edit?usp=sharing"",""งบพรบ!BX72"")"),0)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IFERROR(__xludf.DUMMYFUNCTION("IMPORTRANGE(""https://docs.google.com/spreadsheets/d/1ItG2mGa2ceCfYo0BwxsXqNm01IGEUdYcSSLTEv9YCik/edit?usp=sharing"",""เบิกจ่ายกองทุน!BB72"")"),0)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IFERROR(__xludf.DUMMYFUNCTION("IMPORTRANGE(""https://docs.google.com/spreadsheets/d/1ItG2mGa2ceCfYo0BwxsXqNm01IGEUdYcSSLTEv9YCik/edit?usp=sharing"",""เบิกจ่ายกองทุน!BC72"")"),0)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IFERROR(__xludf.DUMMYFUNCTION("IMPORTRANGE(""https://docs.google.com/spreadsheets/d/1ItG2mGa2ceCfYo0BwxsXqNm01IGEUdYcSSLTEv9YCik/edit?usp=sharing"",""เบิกจ่ายกองทุน!BD72"")"),0)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IFERROR(__xludf.DUMMYFUNCTION("IMPORTRANGE(""https://docs.google.com/spreadsheets/d/1-uDff_7J0KD5mKrp0Vvzr7lt3OU09vwQwhkpOPPYv2Y/edit?usp=sharing"",""งบพรบ!BT72"")"),0)</f>
        <v>0</v>
      </c>
      <c r="M147" s="77">
        <f ca="1">IFERROR(__xludf.DUMMYFUNCTION("IMPORTRANGE(""https://docs.google.com/spreadsheets/d/1-uDff_7J0KD5mKrp0Vvzr7lt3OU09vwQwhkpOPPYv2Y/edit?usp=sharing"",""งบพรบ!BW72"")"),0)</f>
        <v>0</v>
      </c>
      <c r="N147" s="77">
        <f ca="1">IFERROR(__xludf.DUMMYFUNCTION("IMPORTRANGE(""https://docs.google.com/spreadsheets/d/1-uDff_7J0KD5mKrp0Vvzr7lt3OU09vwQwhkpOPPYv2Y/edit?usp=sharing"",""งบพรบ!BY72"")"),0)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IFERROR(__xludf.DUMMYFUNCTION("IMPORTRANGE(""https://docs.google.com/spreadsheets/d/1eHaY18a8A9IcSdp1K8H6x8fbOy06t2VsZHhMHf-1x7Y/edit?usp=sharing"",""แผน!U72"")"),0)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IFERROR(__xludf.DUMMYFUNCTION("IMPORTRANGE(""https://docs.google.com/spreadsheets/d/1eHaY18a8A9IcSdp1K8H6x8fbOy06t2VsZHhMHf-1x7Y/edit?usp=sharing"",""แผน!V72"")"),0)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IFERROR(__xludf.DUMMYFUNCTION("IMPORTRANGE(""https://docs.google.com/spreadsheets/d/1eHaY18a8A9IcSdp1K8H6x8fbOy06t2VsZHhMHf-1x7Y/edit?usp=sharing"",""แผน!W72"")"),0)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IFERROR(__xludf.DUMMYFUNCTION("IMPORTRANGE(""https://docs.google.com/spreadsheets/d/1eHaY18a8A9IcSdp1K8H6x8fbOy06t2VsZHhMHf-1x7Y/edit?usp=sharing"",""แผน!X72"")"),0)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IFERROR(__xludf.DUMMYFUNCTION("IMPORTRANGE(""https://docs.google.com/spreadsheets/d/1eHaY18a8A9IcSdp1K8H6x8fbOy06t2VsZHhMHf-1x7Y/edit?usp=sharing"",""แผน!Y72"")"),0)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3000</v>
      </c>
      <c r="M157" s="266">
        <f ca="1">M158+M159</f>
        <v>5050</v>
      </c>
      <c r="N157" s="266">
        <f ca="1">N158+N159</f>
        <v>1000</v>
      </c>
      <c r="O157" s="266">
        <f ca="1">IF(L157&gt;0,N157*100/L157,0)</f>
        <v>33.333333333333336</v>
      </c>
      <c r="P157" s="266">
        <f ca="1">IF(M157&gt;0,N157*100/M157,0)</f>
        <v>19.801980198019802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3000</v>
      </c>
      <c r="M159" s="77">
        <f ca="1">M162+M165</f>
        <v>5050</v>
      </c>
      <c r="N159" s="77">
        <f ca="1">N162+N165</f>
        <v>1000</v>
      </c>
      <c r="O159" s="77">
        <f ca="1">IF(L159&gt;0,N159*100/L159,0)</f>
        <v>33.333333333333336</v>
      </c>
      <c r="P159" s="77">
        <f ca="1">IF(M159&gt;0,N159*100/M159,0)</f>
        <v>19.801980198019802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3000</v>
      </c>
      <c r="M160" s="77">
        <f ca="1">M161+M162</f>
        <v>5050</v>
      </c>
      <c r="N160" s="77">
        <f ca="1">N161+N162</f>
        <v>1000</v>
      </c>
      <c r="O160" s="77">
        <f ca="1">IF(L160&gt;0,N160*100/L160,0)</f>
        <v>33.333333333333336</v>
      </c>
      <c r="P160" s="77">
        <f ca="1">IF(M160&gt;0,N160*100/M160,0)</f>
        <v>19.801980198019802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IFERROR(__xludf.DUMMYFUNCTION("IMPORTRANGE(""https://docs.google.com/spreadsheets/d/1-uDff_7J0KD5mKrp0Vvzr7lt3OU09vwQwhkpOPPYv2Y/edit?usp=sharing"",""งบพรบ!CA72"")"),3000)</f>
        <v>3000</v>
      </c>
      <c r="M162" s="77">
        <f ca="1">IFERROR(__xludf.DUMMYFUNCTION("IMPORTRANGE(""https://docs.google.com/spreadsheets/d/1-uDff_7J0KD5mKrp0Vvzr7lt3OU09vwQwhkpOPPYv2Y/edit?usp=sharing"",""งบพรบ!CF72"")"),5050)</f>
        <v>5050</v>
      </c>
      <c r="N162" s="77">
        <f ca="1">IFERROR(__xludf.DUMMYFUNCTION("IMPORTRANGE(""https://docs.google.com/spreadsheets/d/1-uDff_7J0KD5mKrp0Vvzr7lt3OU09vwQwhkpOPPYv2Y/edit?usp=sharing"",""งบพรบ!CH72"")"),1000)</f>
        <v>1000</v>
      </c>
      <c r="O162" s="77">
        <f ca="1">IF(L162&gt;0,N162*100/L162,0)</f>
        <v>33.333333333333336</v>
      </c>
      <c r="P162" s="77">
        <f ca="1">IF(M162&gt;0,N162*100/M162,0)</f>
        <v>19.801980198019802</v>
      </c>
      <c r="Q162" s="77">
        <f ca="1">IFERROR(__xludf.DUMMYFUNCTION("IMPORTRANGE(""https://docs.google.com/spreadsheets/d/1ItG2mGa2ceCfYo0BwxsXqNm01IGEUdYcSSLTEv9YCik/edit?usp=sharing"",""เบิกจ่ายกองทุน!AG72"")"),0)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IFERROR(__xludf.DUMMYFUNCTION("IMPORTRANGE(""https://docs.google.com/spreadsheets/d/1ItG2mGa2ceCfYo0BwxsXqNm01IGEUdYcSSLTEv9YCik/edit?usp=sharing"",""เบิกจ่ายกองทุน!AH72"")"),0)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IFERROR(__xludf.DUMMYFUNCTION("IMPORTRANGE(""https://docs.google.com/spreadsheets/d/1ItG2mGa2ceCfYo0BwxsXqNm01IGEUdYcSSLTEv9YCik/edit?usp=sharing"",""เบิกจ่ายกองทุน!AI72"")"),0)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IFERROR(__xludf.DUMMYFUNCTION("IMPORTRANGE(""https://docs.google.com/spreadsheets/d/1-uDff_7J0KD5mKrp0Vvzr7lt3OU09vwQwhkpOPPYv2Y/edit?usp=sharing"",""งบพรบ!CD72"")"),0)</f>
        <v>0</v>
      </c>
      <c r="M165" s="77">
        <f ca="1">IFERROR(__xludf.DUMMYFUNCTION("IMPORTRANGE(""https://docs.google.com/spreadsheets/d/1-uDff_7J0KD5mKrp0Vvzr7lt3OU09vwQwhkpOPPYv2Y/edit?usp=sharing"",""งบพรบ!CG72"")"),0)</f>
        <v>0</v>
      </c>
      <c r="N165" s="77">
        <f ca="1">IFERROR(__xludf.DUMMYFUNCTION("IMPORTRANGE(""https://docs.google.com/spreadsheets/d/1-uDff_7J0KD5mKrp0Vvzr7lt3OU09vwQwhkpOPPYv2Y/edit?usp=sharing"",""งบพรบ!CI72"")"),0)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IFERROR(__xludf.DUMMYFUNCTION("IMPORTRANGE(""https://docs.google.com/spreadsheets/d/1eHaY18a8A9IcSdp1K8H6x8fbOy06t2VsZHhMHf-1x7Y/edit?usp=sharing"",""แผน!Z72"")"),15)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I167</f>
        <v>15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I167</f>
        <v>15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32740</v>
      </c>
      <c r="N173" s="266">
        <f ca="1">N174+N175</f>
        <v>32740</v>
      </c>
      <c r="O173" s="266">
        <f ca="1">IF(L173&gt;0,N173*100/L173,0)</f>
        <v>167.12608473711077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32740</v>
      </c>
      <c r="N175" s="77">
        <f ca="1">N178+N181</f>
        <v>32740</v>
      </c>
      <c r="O175" s="77">
        <f ca="1">IF(L175&gt;0,N175*100/L175,0)</f>
        <v>167.12608473711077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32740</v>
      </c>
      <c r="N176" s="77">
        <f ca="1">N177+N178</f>
        <v>32740</v>
      </c>
      <c r="O176" s="77">
        <f ca="1">IF(L176&gt;0,N176*100/L176,0)</f>
        <v>167.12608473711077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IFERROR(__xludf.DUMMYFUNCTION("IMPORTRANGE(""https://docs.google.com/spreadsheets/d/1-uDff_7J0KD5mKrp0Vvzr7lt3OU09vwQwhkpOPPYv2Y/edit?usp=sharing"",""งบพรบ!CK72"")"),19590)</f>
        <v>19590</v>
      </c>
      <c r="M178" s="77">
        <f ca="1">IFERROR(__xludf.DUMMYFUNCTION("IMPORTRANGE(""https://docs.google.com/spreadsheets/d/1-uDff_7J0KD5mKrp0Vvzr7lt3OU09vwQwhkpOPPYv2Y/edit?usp=sharing"",""งบพรบ!CP72"")"),32740)</f>
        <v>32740</v>
      </c>
      <c r="N178" s="77">
        <f ca="1">IFERROR(__xludf.DUMMYFUNCTION("IMPORTRANGE(""https://docs.google.com/spreadsheets/d/1-uDff_7J0KD5mKrp0Vvzr7lt3OU09vwQwhkpOPPYv2Y/edit?usp=sharing"",""งบพรบ!CR72"")"),32740)</f>
        <v>32740</v>
      </c>
      <c r="O178" s="77">
        <f ca="1">IF(L178&gt;0,N178*100/L178,0)</f>
        <v>167.12608473711077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IFERROR(__xludf.DUMMYFUNCTION("IMPORTRANGE(""https://docs.google.com/spreadsheets/d/1ItG2mGa2ceCfYo0BwxsXqNm01IGEUdYcSSLTEv9YCik/edit?usp=sharing"",""เบิกจ่ายกองทุน!BE72"")"),0)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IFERROR(__xludf.DUMMYFUNCTION("IMPORTRANGE(""https://docs.google.com/spreadsheets/d/1ItG2mGa2ceCfYo0BwxsXqNm01IGEUdYcSSLTEv9YCik/edit?usp=sharing"",""เบิกจ่ายกองทุน!BF72"")"),0)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IFERROR(__xludf.DUMMYFUNCTION("IMPORTRANGE(""https://docs.google.com/spreadsheets/d/1ItG2mGa2ceCfYo0BwxsXqNm01IGEUdYcSSLTEv9YCik/edit?usp=sharing"",""เบิกจ่ายกองทุน!BG72"")"),0)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IFERROR(__xludf.DUMMYFUNCTION("IMPORTRANGE(""https://docs.google.com/spreadsheets/d/1-uDff_7J0KD5mKrp0Vvzr7lt3OU09vwQwhkpOPPYv2Y/edit?usp=sharing"",""งบพรบ!CN72"")"),0)</f>
        <v>0</v>
      </c>
      <c r="M181" s="77">
        <f ca="1">IFERROR(__xludf.DUMMYFUNCTION("IMPORTRANGE(""https://docs.google.com/spreadsheets/d/1-uDff_7J0KD5mKrp0Vvzr7lt3OU09vwQwhkpOPPYv2Y/edit?usp=sharing"",""งบพรบ!CQ72"")"),0)</f>
        <v>0</v>
      </c>
      <c r="N181" s="77">
        <f ca="1">IFERROR(__xludf.DUMMYFUNCTION("IMPORTRANGE(""https://docs.google.com/spreadsheets/d/1-uDff_7J0KD5mKrp0Vvzr7lt3OU09vwQwhkpOPPYv2Y/edit?usp=sharing"",""งบพรบ!CS72"")"),0)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IFERROR(__xludf.DUMMYFUNCTION("IMPORTRANGE(""https://docs.google.com/spreadsheets/d/1eHaY18a8A9IcSdp1K8H6x8fbOy06t2VsZHhMHf-1x7Y/edit?usp=sharing"",""แผน!AA72"")"),7)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23500</v>
      </c>
      <c r="M186" s="266">
        <f ca="1">M187+M188</f>
        <v>15500</v>
      </c>
      <c r="N186" s="266">
        <f ca="1">N187+N188</f>
        <v>0</v>
      </c>
      <c r="O186" s="266">
        <f ca="1">IF(L186&gt;0,N186*100/L186,0)</f>
        <v>0</v>
      </c>
      <c r="P186" s="266">
        <f ca="1">IF(M186&gt;0,N186*100/M186,0)</f>
        <v>0</v>
      </c>
      <c r="Q186" s="266">
        <f ca="1">Q187+Q188</f>
        <v>14000</v>
      </c>
      <c r="R186" s="266">
        <f ca="1">R187+R188</f>
        <v>14000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23500</v>
      </c>
      <c r="M188" s="77">
        <f ca="1">M191+M194</f>
        <v>15500</v>
      </c>
      <c r="N188" s="77">
        <f ca="1">N191+N194</f>
        <v>0</v>
      </c>
      <c r="O188" s="77">
        <f ca="1">IF(L188&gt;0,N188*100/L188,0)</f>
        <v>0</v>
      </c>
      <c r="P188" s="77">
        <f ca="1">IF(M188&gt;0,N188*100/M188,0)</f>
        <v>0</v>
      </c>
      <c r="Q188" s="77">
        <f ca="1">Q191+Q194</f>
        <v>14000</v>
      </c>
      <c r="R188" s="77">
        <f ca="1">R191+R194</f>
        <v>14000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23500</v>
      </c>
      <c r="M189" s="77">
        <f ca="1">M190+M191</f>
        <v>15500</v>
      </c>
      <c r="N189" s="77">
        <f ca="1">N190+N191</f>
        <v>0</v>
      </c>
      <c r="O189" s="77">
        <f ca="1">IF(L189&gt;0,N189*100/L189,0)</f>
        <v>0</v>
      </c>
      <c r="P189" s="77">
        <f ca="1">IF(M189&gt;0,N189*100/M189,0)</f>
        <v>0</v>
      </c>
      <c r="Q189" s="77">
        <f ca="1">Q190+Q191</f>
        <v>14000</v>
      </c>
      <c r="R189" s="77">
        <f ca="1">R190+R191</f>
        <v>14000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IFERROR(__xludf.DUMMYFUNCTION("IMPORTRANGE(""https://docs.google.com/spreadsheets/d/1-uDff_7J0KD5mKrp0Vvzr7lt3OU09vwQwhkpOPPYv2Y/edit?usp=sharing"",""งบพรบ!CU72"")"),23500)</f>
        <v>23500</v>
      </c>
      <c r="M191" s="77">
        <f ca="1">IFERROR(__xludf.DUMMYFUNCTION("IMPORTRANGE(""https://docs.google.com/spreadsheets/d/1-uDff_7J0KD5mKrp0Vvzr7lt3OU09vwQwhkpOPPYv2Y/edit?usp=sharing"",""งบพรบ!CZ72"")"),15500)</f>
        <v>15500</v>
      </c>
      <c r="N191" s="77">
        <f ca="1">IFERROR(__xludf.DUMMYFUNCTION("IMPORTRANGE(""https://docs.google.com/spreadsheets/d/1-uDff_7J0KD5mKrp0Vvzr7lt3OU09vwQwhkpOPPYv2Y/edit?usp=sharing"",""งบพรบ!DB72"")"),0)</f>
        <v>0</v>
      </c>
      <c r="O191" s="77">
        <f ca="1">IF(L191&gt;0,N191*100/L191,0)</f>
        <v>0</v>
      </c>
      <c r="P191" s="77">
        <f ca="1">IF(M191&gt;0,N191*100/M191,0)</f>
        <v>0</v>
      </c>
      <c r="Q191" s="77">
        <f ca="1">IFERROR(__xludf.DUMMYFUNCTION("IMPORTRANGE(""https://docs.google.com/spreadsheets/d/1ItG2mGa2ceCfYo0BwxsXqNm01IGEUdYcSSLTEv9YCik/edit?usp=sharing"",""เบิกจ่ายกองทุน!AV72"")"),14000)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IFERROR(__xludf.DUMMYFUNCTION("IMPORTRANGE(""https://docs.google.com/spreadsheets/d/1ItG2mGa2ceCfYo0BwxsXqNm01IGEUdYcSSLTEv9YCik/edit?usp=sharing"",""เบิกจ่ายกองทุน!AW72"")"),14000)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IFERROR(__xludf.DUMMYFUNCTION("IMPORTRANGE(""https://docs.google.com/spreadsheets/d/1ItG2mGa2ceCfYo0BwxsXqNm01IGEUdYcSSLTEv9YCik/edit?usp=sharing"",""เบิกจ่ายกองทุน!AX72"")"),0)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IFERROR(__xludf.DUMMYFUNCTION("IMPORTRANGE(""https://docs.google.com/spreadsheets/d/1-uDff_7J0KD5mKrp0Vvzr7lt3OU09vwQwhkpOPPYv2Y/edit?usp=sharing"",""งบพรบ!CX72"")"),0)</f>
        <v>0</v>
      </c>
      <c r="M194" s="77">
        <f ca="1">IFERROR(__xludf.DUMMYFUNCTION("IMPORTRANGE(""https://docs.google.com/spreadsheets/d/1-uDff_7J0KD5mKrp0Vvzr7lt3OU09vwQwhkpOPPYv2Y/edit?usp=sharing"",""งบพรบ!DA72"")"),0)</f>
        <v>0</v>
      </c>
      <c r="N194" s="77">
        <f ca="1">IFERROR(__xludf.DUMMYFUNCTION("IMPORTRANGE(""https://docs.google.com/spreadsheets/d/1-uDff_7J0KD5mKrp0Vvzr7lt3OU09vwQwhkpOPPYv2Y/edit?usp=sharing"",""งบพรบ!DC72"")"),0)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IFERROR(__xludf.DUMMYFUNCTION("IMPORTRANGE(""https://docs.google.com/spreadsheets/d/1eHaY18a8A9IcSdp1K8H6x8fbOy06t2VsZHhMHf-1x7Y/edit?usp=sharing"",""แผน!AB72"")"),6000)</f>
        <v>6000</v>
      </c>
      <c r="M196" s="90"/>
      <c r="N196" s="959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IFERROR(__xludf.DUMMYFUNCTION("IMPORTRANGE(""https://docs.google.com/spreadsheets/d/1eHaY18a8A9IcSdp1K8H6x8fbOy06t2VsZHhMHf-1x7Y/edit?usp=sharing"",""แผน!AE72"")"),4)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1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5000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IFERROR(__xludf.DUMMYFUNCTION("IMPORTRANGE(""https://docs.google.com/spreadsheets/d/1eHaY18a8A9IcSdp1K8H6x8fbOy06t2VsZHhMHf-1x7Y/edit?usp=sharing"",""แผน!AG72"")"),1000)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317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IFERROR(__xludf.DUMMYFUNCTION("IMPORTRANGE(""https://docs.google.com/spreadsheets/d/1eHaY18a8A9IcSdp1K8H6x8fbOy06t2VsZHhMHf-1x7Y/edit?usp=sharing"",""แผน!AH72"")"),0)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IFERROR(__xludf.DUMMYFUNCTION("IMPORTRANGE(""https://docs.google.com/spreadsheets/d/1eHaY18a8A9IcSdp1K8H6x8fbOy06t2VsZHhMHf-1x7Y/edit?usp=sharing"",""แผน!AI72"")"),0)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IFERROR(__xludf.DUMMYFUNCTION("IMPORTRANGE(""https://docs.google.com/spreadsheets/d/1eHaY18a8A9IcSdp1K8H6x8fbOy06t2VsZHhMHf-1x7Y/edit?usp=sharing"",""แผน!LV72"")"),14000)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IFERROR(__xludf.DUMMYFUNCTION("IMPORTRANGE(""https://docs.google.com/spreadsheets/d/1eHaY18a8A9IcSdp1K8H6x8fbOy06t2VsZHhMHf-1x7Y/edit?usp=sharing"",""แผน!AJ72"")"),4000)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IFERROR(__xludf.DUMMYFUNCTION("IMPORTRANGE(""https://docs.google.com/spreadsheets/d/1eHaY18a8A9IcSdp1K8H6x8fbOy06t2VsZHhMHf-1x7Y/edit?usp=sharing"",""แผน!AK72"")"),1)</f>
        <v>1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IFERROR(__xludf.DUMMYFUNCTION("IMPORTRANGE(""https://docs.google.com/spreadsheets/d/1eHaY18a8A9IcSdp1K8H6x8fbOy06t2VsZHhMHf-1x7Y/edit?usp=sharing"",""แผน!JX72"")"),1)</f>
        <v>1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IFERROR(__xludf.DUMMYFUNCTION("IMPORTRANGE(""https://docs.google.com/spreadsheets/d/1eHaY18a8A9IcSdp1K8H6x8fbOy06t2VsZHhMHf-1x7Y/edit?usp=sharing"",""แผน!JY72"")"),0)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IFERROR(__xludf.DUMMYFUNCTION("IMPORTRANGE(""https://docs.google.com/spreadsheets/d/1eHaY18a8A9IcSdp1K8H6x8fbOy06t2VsZHhMHf-1x7Y/edit?usp=sharing"",""แผน!AM72"")"),0)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IFERROR(__xludf.DUMMYFUNCTION("IMPORTRANGE(""https://docs.google.com/spreadsheets/d/1eHaY18a8A9IcSdp1K8H6x8fbOy06t2VsZHhMHf-1x7Y/edit?usp=sharing"",""แผน!AN72"")"),0)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IFERROR(__xludf.DUMMYFUNCTION("IMPORTRANGE(""https://docs.google.com/spreadsheets/d/1eHaY18a8A9IcSdp1K8H6x8fbOy06t2VsZHhMHf-1x7Y/edit?usp=sharing"",""แผน!AO72"")"),0)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IFERROR(__xludf.DUMMYFUNCTION("IMPORTRANGE(""https://docs.google.com/spreadsheets/d/1eHaY18a8A9IcSdp1K8H6x8fbOy06t2VsZHhMHf-1x7Y/edit?usp=sharing"",""แผน!LY72"")"),0)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IFERROR(__xludf.DUMMYFUNCTION("IMPORTRANGE(""https://docs.google.com/spreadsheets/d/1eHaY18a8A9IcSdp1K8H6x8fbOy06t2VsZHhMHf-1x7Y/edit?usp=sharing"",""แผน!AP72"")"),0)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IFERROR(__xludf.DUMMYFUNCTION("IMPORTRANGE(""https://docs.google.com/spreadsheets/d/1eHaY18a8A9IcSdp1K8H6x8fbOy06t2VsZHhMHf-1x7Y/edit?usp=sharing"",""แผน!AP72"")"),0)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IFERROR(__xludf.DUMMYFUNCTION("IMPORTRANGE(""https://docs.google.com/spreadsheets/d/1eHaY18a8A9IcSdp1K8H6x8fbOy06t2VsZHhMHf-1x7Y/edit?usp=sharing"",""แผน!AR72"")"),2500)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IFERROR(__xludf.DUMMYFUNCTION("IMPORTRANGE(""https://docs.google.com/spreadsheets/d/1eHaY18a8A9IcSdp1K8H6x8fbOy06t2VsZHhMHf-1x7Y/edit?usp=sharing"",""แผน!AS72"")"),2000)</f>
        <v>2000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IFERROR(__xludf.DUMMYFUNCTION("IMPORTRANGE(""https://docs.google.com/spreadsheets/d/1eHaY18a8A9IcSdp1K8H6x8fbOy06t2VsZHhMHf-1x7Y/edit?usp=sharing"",""แผน!AT72"")"),0)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IFERROR(__xludf.DUMMYFUNCTION("IMPORTRANGE(""https://docs.google.com/spreadsheets/d/1eHaY18a8A9IcSdp1K8H6x8fbOy06t2VsZHhMHf-1x7Y/edit?usp=sharing"",""แผน!AV72"")"),20000)</f>
        <v>20000</v>
      </c>
      <c r="J228" s="296">
        <v>20000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IFERROR(__xludf.DUMMYFUNCTION("IMPORTRANGE(""https://docs.google.com/spreadsheets/d/1eHaY18a8A9IcSdp1K8H6x8fbOy06t2VsZHhMHf-1x7Y/edit?usp=sharing"",""แผน!AV72"")"),20000)</f>
        <v>20000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IFERROR(__xludf.DUMMYFUNCTION("IMPORTRANGE(""https://docs.google.com/spreadsheets/d/1eHaY18a8A9IcSdp1K8H6x8fbOy06t2VsZHhMHf-1x7Y/edit?usp=sharing"",""แผน!AU72"")"),0)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IFERROR(__xludf.DUMMYFUNCTION("IMPORTRANGE(""https://docs.google.com/spreadsheets/d/1eHaY18a8A9IcSdp1K8H6x8fbOy06t2VsZHhMHf-1x7Y/edit?usp=sharing"",""แผน!AX72"")"),0)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IFERROR(__xludf.DUMMYFUNCTION("IMPORTRANGE(""https://docs.google.com/spreadsheets/d/1eHaY18a8A9IcSdp1K8H6x8fbOy06t2VsZHhMHf-1x7Y/edit?usp=sharing"",""แผน!AY72"")"),0)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IFERROR(__xludf.DUMMYFUNCTION("IMPORTRANGE(""https://docs.google.com/spreadsheets/d/1eHaY18a8A9IcSdp1K8H6x8fbOy06t2VsZHhMHf-1x7Y/edit?usp=sharing"",""แผน!AZ72"")"),0)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IFERROR(__xludf.DUMMYFUNCTION("IMPORTRANGE(""https://docs.google.com/spreadsheets/d/1eHaY18a8A9IcSdp1K8H6x8fbOy06t2VsZHhMHf-1x7Y/edit?usp=sharing"",""แผน!BA72"")"),0)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IFERROR(__xludf.DUMMYFUNCTION("IMPORTRANGE(""https://docs.google.com/spreadsheets/d/1eHaY18a8A9IcSdp1K8H6x8fbOy06t2VsZHhMHf-1x7Y/edit?usp=sharing"",""แผน!BG72"")"),0)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IFERROR(__xludf.DUMMYFUNCTION("IMPORTRANGE(""https://docs.google.com/spreadsheets/d/1eHaY18a8A9IcSdp1K8H6x8fbOy06t2VsZHhMHf-1x7Y/edit?usp=sharing"",""แผน!BB72"")"),0)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IFERROR(__xludf.DUMMYFUNCTION("IMPORTRANGE(""https://docs.google.com/spreadsheets/d/1eHaY18a8A9IcSdp1K8H6x8fbOy06t2VsZHhMHf-1x7Y/edit?usp=sharing"",""แผน!BC72"")"),0)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IFERROR(__xludf.DUMMYFUNCTION("IMPORTRANGE(""https://docs.google.com/spreadsheets/d/1eHaY18a8A9IcSdp1K8H6x8fbOy06t2VsZHhMHf-1x7Y/edit?usp=sharing"",""แผน!BD72"")"),0)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IFERROR(__xludf.DUMMYFUNCTION("IMPORTRANGE(""https://docs.google.com/spreadsheets/d/1eHaY18a8A9IcSdp1K8H6x8fbOy06t2VsZHhMHf-1x7Y/edit?usp=sharing"",""แผน!BE72"")"),0)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IFERROR(__xludf.DUMMYFUNCTION("IMPORTRANGE(""https://docs.google.com/spreadsheets/d/1eHaY18a8A9IcSdp1K8H6x8fbOy06t2VsZHhMHf-1x7Y/edit?usp=sharing"",""แผน!BH72"")"),0)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22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45460</v>
      </c>
      <c r="T266" s="215">
        <f ca="1">IF(Q266&gt;0,S266*100/Q266,0)</f>
        <v>89.735491512041051</v>
      </c>
      <c r="U266" s="215">
        <f ca="1">IF(R266&gt;0,S266*100/R266,0)</f>
        <v>89.735491512041051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45460</v>
      </c>
      <c r="T268" s="91">
        <f ca="1">IF(Q268&gt;0,S268*100/Q268,0)</f>
        <v>89.735491512041051</v>
      </c>
      <c r="U268" s="91">
        <f ca="1">IF(R268&gt;0,S268*100/R268,0)</f>
        <v>89.735491512041051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45460</v>
      </c>
      <c r="T269" s="91">
        <f ca="1">IF(Q269&gt;0,S269*100/Q269,0)</f>
        <v>89.735491512041051</v>
      </c>
      <c r="U269" s="91">
        <f ca="1">IF(R269&gt;0,S269*100/R269,0)</f>
        <v>89.735491512041051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IFERROR(__xludf.DUMMYFUNCTION("IMPORTRANGE(""https://docs.google.com/spreadsheets/d/1-uDff_7J0KD5mKrp0Vvzr7lt3OU09vwQwhkpOPPYv2Y/edit?usp=sharing"",""งบพรบ!DE72"")"),0)</f>
        <v>0</v>
      </c>
      <c r="M271" s="91">
        <f ca="1">IFERROR(__xludf.DUMMYFUNCTION("IMPORTRANGE(""https://docs.google.com/spreadsheets/d/1-uDff_7J0KD5mKrp0Vvzr7lt3OU09vwQwhkpOPPYv2Y/edit?usp=sharing"",""งบพรบ!DJ72"")"),5000)</f>
        <v>5000</v>
      </c>
      <c r="N271" s="91">
        <f ca="1">IFERROR(__xludf.DUMMYFUNCTION("IMPORTRANGE(""https://docs.google.com/spreadsheets/d/1-uDff_7J0KD5mKrp0Vvzr7lt3OU09vwQwhkpOPPYv2Y/edit?usp=sharing"",""งบพรบ!DL72"")"),5000)</f>
        <v>5000</v>
      </c>
      <c r="O271" s="91">
        <f ca="1">IF(L271&gt;0,N271*100/L271,0)</f>
        <v>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IFERROR(__xludf.DUMMYFUNCTION("IMPORTRANGE(""https://docs.google.com/spreadsheets/d/1ItG2mGa2ceCfYo0BwxsXqNm01IGEUdYcSSLTEv9YCik/edit?usp=sharing"",""เบิกจ่ายกองทุน!AJ72"")"),50660)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IFERROR(__xludf.DUMMYFUNCTION("IMPORTRANGE(""https://docs.google.com/spreadsheets/d/1ItG2mGa2ceCfYo0BwxsXqNm01IGEUdYcSSLTEv9YCik/edit?usp=sharing"",""เบิกจ่ายกองทุน!AK72"")"),50660)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IFERROR(__xludf.DUMMYFUNCTION("IMPORTRANGE(""https://docs.google.com/spreadsheets/d/1ItG2mGa2ceCfYo0BwxsXqNm01IGEUdYcSSLTEv9YCik/edit?usp=sharing"",""เบิกจ่ายกองทุน!AL72"")"),45460)</f>
        <v>45460</v>
      </c>
      <c r="T271" s="91">
        <f ca="1">IF(Q271&gt;0,S271*100/Q271,0)</f>
        <v>89.735491512041051</v>
      </c>
      <c r="U271" s="91">
        <f ca="1">IF(R271&gt;0,S271*100/R271,0)</f>
        <v>89.735491512041051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IFERROR(__xludf.DUMMYFUNCTION("IMPORTRANGE(""https://docs.google.com/spreadsheets/d/1-uDff_7J0KD5mKrp0Vvzr7lt3OU09vwQwhkpOPPYv2Y/edit?usp=sharing"",""งบพรบ!DH72"")"),0)</f>
        <v>0</v>
      </c>
      <c r="M274" s="91">
        <f ca="1">IFERROR(__xludf.DUMMYFUNCTION("IMPORTRANGE(""https://docs.google.com/spreadsheets/d/1-uDff_7J0KD5mKrp0Vvzr7lt3OU09vwQwhkpOPPYv2Y/edit?usp=sharing"",""งบพรบ!DK72"")"),0)</f>
        <v>0</v>
      </c>
      <c r="N274" s="91">
        <f ca="1">IFERROR(__xludf.DUMMYFUNCTION("IMPORTRANGE(""https://docs.google.com/spreadsheets/d/1-uDff_7J0KD5mKrp0Vvzr7lt3OU09vwQwhkpOPPYv2Y/edit?usp=sharing"",""งบพรบ!DM72"")"),0)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37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IFERROR(__xludf.DUMMYFUNCTION("IMPORTRANGE(""https://docs.google.com/spreadsheets/d/1eHaY18a8A9IcSdp1K8H6x8fbOy06t2VsZHhMHf-1x7Y/edit?usp=sharing"",""แผน!EC72"")"),22)</f>
        <v>22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10</v>
      </c>
      <c r="J280" s="1128">
        <f>J293</f>
        <v>10</v>
      </c>
      <c r="K280" s="1127">
        <f ca="1">IF(I280&gt;0,J280*100/I280,0)</f>
        <v>100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100</v>
      </c>
      <c r="J281" s="1128">
        <f>J292</f>
        <v>100</v>
      </c>
      <c r="K281" s="1127">
        <f ca="1">IF(I281&gt;0,J281*100/I281,0)</f>
        <v>100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137720</v>
      </c>
      <c r="M282" s="266">
        <f ca="1">M283+M284</f>
        <v>137720</v>
      </c>
      <c r="N282" s="266">
        <f ca="1">N283+N284</f>
        <v>106620</v>
      </c>
      <c r="O282" s="266">
        <f ca="1">IF(L282&gt;0,N282*100/L282,0)</f>
        <v>77.417949462677896</v>
      </c>
      <c r="P282" s="266">
        <f ca="1">IF(M282&gt;0,N282*100/M282,0)</f>
        <v>77.417949462677896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137720</v>
      </c>
      <c r="M284" s="77">
        <f ca="1">M287+M290</f>
        <v>137720</v>
      </c>
      <c r="N284" s="77">
        <f ca="1">N287+N290</f>
        <v>106620</v>
      </c>
      <c r="O284" s="77">
        <f ca="1">IF(L284&gt;0,N284*100/L284,0)</f>
        <v>77.417949462677896</v>
      </c>
      <c r="P284" s="77">
        <f ca="1">IF(M284&gt;0,N284*100/M284,0)</f>
        <v>77.417949462677896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137720</v>
      </c>
      <c r="M285" s="77">
        <f ca="1">M286+M287</f>
        <v>137720</v>
      </c>
      <c r="N285" s="77">
        <f ca="1">N286+N287</f>
        <v>106620</v>
      </c>
      <c r="O285" s="77">
        <f ca="1">IF(L285&gt;0,N285*100/L285,0)</f>
        <v>77.417949462677896</v>
      </c>
      <c r="P285" s="77">
        <f ca="1">IF(M285&gt;0,N285*100/M285,0)</f>
        <v>77.417949462677896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IFERROR(__xludf.DUMMYFUNCTION("IMPORTRANGE(""https://docs.google.com/spreadsheets/d/1-uDff_7J0KD5mKrp0Vvzr7lt3OU09vwQwhkpOPPYv2Y/edit?usp=sharing"",""งบพรบ!DO72"")"),137720)</f>
        <v>137720</v>
      </c>
      <c r="M287" s="77">
        <f ca="1">IFERROR(__xludf.DUMMYFUNCTION("IMPORTRANGE(""https://docs.google.com/spreadsheets/d/1-uDff_7J0KD5mKrp0Vvzr7lt3OU09vwQwhkpOPPYv2Y/edit?usp=sharing"",""งบพรบ!DT72"")"),137720)</f>
        <v>137720</v>
      </c>
      <c r="N287" s="77">
        <f ca="1">IFERROR(__xludf.DUMMYFUNCTION("IMPORTRANGE(""https://docs.google.com/spreadsheets/d/1-uDff_7J0KD5mKrp0Vvzr7lt3OU09vwQwhkpOPPYv2Y/edit?usp=sharing"",""งบพรบ!DV72"")"),106620)</f>
        <v>106620</v>
      </c>
      <c r="O287" s="77">
        <f ca="1">IF(L287&gt;0,N287*100/L287,0)</f>
        <v>77.417949462677896</v>
      </c>
      <c r="P287" s="77">
        <f ca="1">IF(M287&gt;0,N287*100/M287,0)</f>
        <v>77.417949462677896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IFERROR(__xludf.DUMMYFUNCTION("IMPORTRANGE(""https://docs.google.com/spreadsheets/d/1-uDff_7J0KD5mKrp0Vvzr7lt3OU09vwQwhkpOPPYv2Y/edit?usp=sharing"",""งบพรบ!DR72"")"),0)</f>
        <v>0</v>
      </c>
      <c r="M290" s="77">
        <f ca="1">IFERROR(__xludf.DUMMYFUNCTION("IMPORTRANGE(""https://docs.google.com/spreadsheets/d/1-uDff_7J0KD5mKrp0Vvzr7lt3OU09vwQwhkpOPPYv2Y/edit?usp=sharing"",""งบพรบ!DU72"")"),0)</f>
        <v>0</v>
      </c>
      <c r="N290" s="77">
        <f ca="1">IFERROR(__xludf.DUMMYFUNCTION("IMPORTRANGE(""https://docs.google.com/spreadsheets/d/1-uDff_7J0KD5mKrp0Vvzr7lt3OU09vwQwhkpOPPYv2Y/edit?usp=sharing"",""งบพรบ!DW72"")"),0)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IFERROR(__xludf.DUMMYFUNCTION("IMPORTRANGE(""https://docs.google.com/spreadsheets/d/1eHaY18a8A9IcSdp1K8H6x8fbOy06t2VsZHhMHf-1x7Y/edit?usp=sharing"",""แผน!EE72"")"),100)</f>
        <v>100</v>
      </c>
      <c r="J292" s="296">
        <v>100</v>
      </c>
      <c r="K292" s="748">
        <f ca="1">IF(I292&gt;0,J292*100/I292,0)</f>
        <v>100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IFERROR(__xludf.DUMMYFUNCTION("IMPORTRANGE(""https://docs.google.com/spreadsheets/d/1eHaY18a8A9IcSdp1K8H6x8fbOy06t2VsZHhMHf-1x7Y/edit?usp=sharing"",""แผน!ED72"")"),10)</f>
        <v>10</v>
      </c>
      <c r="J293" s="603">
        <f>J296</f>
        <v>10</v>
      </c>
      <c r="K293" s="1125">
        <f ca="1">IF(I293&gt;0,J293*100/I293,0)</f>
        <v>100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IFERROR(__xludf.DUMMYFUNCTION("IMPORTRANGE(""https://docs.google.com/spreadsheets/d/1eHaY18a8A9IcSdp1K8H6x8fbOy06t2VsZHhMHf-1x7Y/edit?usp=sharing"",""แผน!ED72"")"),10)</f>
        <v>10</v>
      </c>
      <c r="J295" s="296">
        <v>10</v>
      </c>
      <c r="K295" s="748">
        <f ca="1">IF(I295&gt;0,J295*100/I295,0)</f>
        <v>100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IFERROR(__xludf.DUMMYFUNCTION("IMPORTRANGE(""https://docs.google.com/spreadsheets/d/1eHaY18a8A9IcSdp1K8H6x8fbOy06t2VsZHhMHf-1x7Y/edit?usp=sharing"",""แผน!ED72"")"),10)</f>
        <v>10</v>
      </c>
      <c r="J296" s="296">
        <v>10</v>
      </c>
      <c r="K296" s="748">
        <f ca="1">IF(I296&gt;0,J296*100/I296,0)</f>
        <v>100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15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217100</v>
      </c>
      <c r="M303" s="266">
        <f ca="1">M304+M305</f>
        <v>217100</v>
      </c>
      <c r="N303" s="266">
        <f ca="1">N304+N305</f>
        <v>136260</v>
      </c>
      <c r="O303" s="266">
        <f ca="1">IF(L303&gt;0,N303*100/L303,0)</f>
        <v>62.763703362505758</v>
      </c>
      <c r="P303" s="266">
        <f ca="1">IF(M303&gt;0,N303*100/M303,0)</f>
        <v>62.763703362505758</v>
      </c>
      <c r="Q303" s="266">
        <f ca="1">Q304+Q305</f>
        <v>123161.24</v>
      </c>
      <c r="R303" s="266">
        <f ca="1">R304+R305</f>
        <v>123161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217100</v>
      </c>
      <c r="M305" s="77">
        <f ca="1">M308+M311</f>
        <v>217100</v>
      </c>
      <c r="N305" s="77">
        <f ca="1">N308+N311</f>
        <v>136260</v>
      </c>
      <c r="O305" s="77">
        <f ca="1">IF(L305&gt;0,N305*100/L305,0)</f>
        <v>62.763703362505758</v>
      </c>
      <c r="P305" s="77">
        <f ca="1">IF(M305&gt;0,N305*100/M305,0)</f>
        <v>62.763703362505758</v>
      </c>
      <c r="Q305" s="77">
        <f ca="1">Q308+Q311</f>
        <v>123161.24</v>
      </c>
      <c r="R305" s="77">
        <f ca="1">R308+R311</f>
        <v>123161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217100</v>
      </c>
      <c r="M306" s="77">
        <f ca="1">M307+M308</f>
        <v>217100</v>
      </c>
      <c r="N306" s="77">
        <f ca="1">N307+N308</f>
        <v>136260</v>
      </c>
      <c r="O306" s="77">
        <f ca="1">IF(L306&gt;0,N306*100/L306,0)</f>
        <v>62.763703362505758</v>
      </c>
      <c r="P306" s="77">
        <f ca="1">IF(M306&gt;0,N306*100/M306,0)</f>
        <v>62.763703362505758</v>
      </c>
      <c r="Q306" s="77">
        <f ca="1">Q307+Q308</f>
        <v>123161.24</v>
      </c>
      <c r="R306" s="77">
        <f ca="1">R307+R308</f>
        <v>123161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IFERROR(__xludf.DUMMYFUNCTION("IMPORTRANGE(""https://docs.google.com/spreadsheets/d/1-uDff_7J0KD5mKrp0Vvzr7lt3OU09vwQwhkpOPPYv2Y/edit?usp=sharing"",""งบพรบ!DY72"")"),217100)</f>
        <v>217100</v>
      </c>
      <c r="M308" s="77">
        <f ca="1">IFERROR(__xludf.DUMMYFUNCTION("IMPORTRANGE(""https://docs.google.com/spreadsheets/d/1-uDff_7J0KD5mKrp0Vvzr7lt3OU09vwQwhkpOPPYv2Y/edit?usp=sharing"",""งบพรบ!ED72"")"),217100)</f>
        <v>217100</v>
      </c>
      <c r="N308" s="77">
        <f ca="1">IFERROR(__xludf.DUMMYFUNCTION("IMPORTRANGE(""https://docs.google.com/spreadsheets/d/1-uDff_7J0KD5mKrp0Vvzr7lt3OU09vwQwhkpOPPYv2Y/edit?usp=sharing"",""งบพรบ!EF72"")"),136260)</f>
        <v>136260</v>
      </c>
      <c r="O308" s="77">
        <f ca="1">IF(L308&gt;0,N308*100/L308,0)</f>
        <v>62.763703362505758</v>
      </c>
      <c r="P308" s="77">
        <f ca="1">IF(M308&gt;0,N308*100/M308,0)</f>
        <v>62.763703362505758</v>
      </c>
      <c r="Q308" s="77">
        <f ca="1">IFERROR(__xludf.DUMMYFUNCTION("IMPORTRANGE(""https://docs.google.com/spreadsheets/d/1ItG2mGa2ceCfYo0BwxsXqNm01IGEUdYcSSLTEv9YCik/edit?usp=sharing"",""เบิกจ่ายกองทุน!AP72"")"),123161.24)</f>
        <v>123161.24</v>
      </c>
      <c r="R308" s="77">
        <f ca="1">IFERROR(__xludf.DUMMYFUNCTION("IMPORTRANGE(""https://docs.google.com/spreadsheets/d/1ItG2mGa2ceCfYo0BwxsXqNm01IGEUdYcSSLTEv9YCik/edit?usp=sharing"",""เบิกจ่ายกองทุน!AQ72"")"),123161)</f>
        <v>123161</v>
      </c>
      <c r="S308" s="77">
        <f ca="1">IFERROR(__xludf.DUMMYFUNCTION("IMPORTRANGE(""https://docs.google.com/spreadsheets/d/1ItG2mGa2ceCfYo0BwxsXqNm01IGEUdYcSSLTEv9YCik/edit?usp=sharing"",""เบิกจ่ายกองทุน!AR72"")"),0)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IFERROR(__xludf.DUMMYFUNCTION("IMPORTRANGE(""https://docs.google.com/spreadsheets/d/1-uDff_7J0KD5mKrp0Vvzr7lt3OU09vwQwhkpOPPYv2Y/edit?usp=sharing"",""งบพรบ!EB72"")"),0)</f>
        <v>0</v>
      </c>
      <c r="M311" s="77">
        <f ca="1">IFERROR(__xludf.DUMMYFUNCTION("IMPORTRANGE(""https://docs.google.com/spreadsheets/d/1-uDff_7J0KD5mKrp0Vvzr7lt3OU09vwQwhkpOPPYv2Y/edit?usp=sharing"",""งบพรบ!EE72"")"),0)</f>
        <v>0</v>
      </c>
      <c r="N311" s="77">
        <f ca="1">IFERROR(__xludf.DUMMYFUNCTION("IMPORTRANGE(""https://docs.google.com/spreadsheets/d/1-uDff_7J0KD5mKrp0Vvzr7lt3OU09vwQwhkpOPPYv2Y/edit?usp=sharing"",""งบพรบ!EG72"")"),0)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IFERROR(__xludf.DUMMYFUNCTION("IMPORTRANGE(""https://docs.google.com/spreadsheets/d/1eHaY18a8A9IcSdp1K8H6x8fbOy06t2VsZHhMHf-1x7Y/edit?usp=sharing"",""แผน!EF72"")"),15)</f>
        <v>15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IFERROR(__xludf.DUMMYFUNCTION("IMPORTRANGE(""https://docs.google.com/spreadsheets/d/1-uDff_7J0KD5mKrp0Vvzr7lt3OU09vwQwhkpOPPYv2Y/edit?usp=sharing"",""งบพรบ!EI72"")"),0)</f>
        <v>0</v>
      </c>
      <c r="M325" s="77">
        <f ca="1">IFERROR(__xludf.DUMMYFUNCTION("IMPORTRANGE(""https://docs.google.com/spreadsheets/d/1-uDff_7J0KD5mKrp0Vvzr7lt3OU09vwQwhkpOPPYv2Y/edit?usp=sharing"",""งบพรบ!EN72"")"),0)</f>
        <v>0</v>
      </c>
      <c r="N325" s="77">
        <f ca="1">IFERROR(__xludf.DUMMYFUNCTION("IMPORTRANGE(""https://docs.google.com/spreadsheets/d/1-uDff_7J0KD5mKrp0Vvzr7lt3OU09vwQwhkpOPPYv2Y/edit?usp=sharing"",""งบพรบ!EP72"")"),0)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IFERROR(__xludf.DUMMYFUNCTION("IMPORTRANGE(""https://docs.google.com/spreadsheets/d/1-uDff_7J0KD5mKrp0Vvzr7lt3OU09vwQwhkpOPPYv2Y/edit?usp=sharing"",""งบพรบ!EL72"")"),0)</f>
        <v>0</v>
      </c>
      <c r="M328" s="77">
        <f ca="1">IFERROR(__xludf.DUMMYFUNCTION("IMPORTRANGE(""https://docs.google.com/spreadsheets/d/1-uDff_7J0KD5mKrp0Vvzr7lt3OU09vwQwhkpOPPYv2Y/edit?usp=sharing"",""งบพรบ!EO72"")"),0)</f>
        <v>0</v>
      </c>
      <c r="N328" s="77">
        <f ca="1">IFERROR(__xludf.DUMMYFUNCTION("IMPORTRANGE(""https://docs.google.com/spreadsheets/d/1-uDff_7J0KD5mKrp0Vvzr7lt3OU09vwQwhkpOPPYv2Y/edit?usp=sharing"",""งบพรบ!EQ72"")"),0)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IFERROR(__xludf.DUMMYFUNCTION("IMPORTRANGE(""https://docs.google.com/spreadsheets/d/1eHaY18a8A9IcSdp1K8H6x8fbOy06t2VsZHhMHf-1x7Y/edit?usp=sharing"",""แผน!EJ72"")"),0)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1540</v>
      </c>
      <c r="J332" s="519">
        <f ca="1">J344+J347+J348+J349+J353+J354</f>
        <v>3133</v>
      </c>
      <c r="K332" s="520">
        <f ca="1">IF(I332&gt;0,J332*100/I332,0)</f>
        <v>203.44155844155844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106000</v>
      </c>
      <c r="M333" s="266">
        <f ca="1">M334+M335</f>
        <v>111000</v>
      </c>
      <c r="N333" s="266">
        <f ca="1">N334+N335</f>
        <v>93900</v>
      </c>
      <c r="O333" s="266">
        <f ca="1">IF(L333&gt;0,N333*100/L333,0)</f>
        <v>88.584905660377359</v>
      </c>
      <c r="P333" s="266">
        <f ca="1">IF(M333&gt;0,N333*100/M333,0)</f>
        <v>84.594594594594597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106000</v>
      </c>
      <c r="M335" s="77">
        <f ca="1">M338+M341</f>
        <v>111000</v>
      </c>
      <c r="N335" s="77">
        <f ca="1">N338+N341</f>
        <v>93900</v>
      </c>
      <c r="O335" s="77">
        <f ca="1">IF(L335&gt;0,N335*100/L335,0)</f>
        <v>88.584905660377359</v>
      </c>
      <c r="P335" s="77">
        <f ca="1">IF(M335&gt;0,N335*100/M335,0)</f>
        <v>84.594594594594597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106000</v>
      </c>
      <c r="M336" s="77">
        <f ca="1">M337+M338</f>
        <v>111000</v>
      </c>
      <c r="N336" s="77">
        <f ca="1">N337+N338</f>
        <v>93900</v>
      </c>
      <c r="O336" s="77">
        <f ca="1">IF(L336&gt;0,N336*100/L336,0)</f>
        <v>88.584905660377359</v>
      </c>
      <c r="P336" s="77">
        <f ca="1">IF(M336&gt;0,N336*100/M336,0)</f>
        <v>84.594594594594597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IFERROR(__xludf.DUMMYFUNCTION("IMPORTRANGE(""https://docs.google.com/spreadsheets/d/1-uDff_7J0KD5mKrp0Vvzr7lt3OU09vwQwhkpOPPYv2Y/edit?usp=sharing"",""งบพรบ!ES72"")"),106000)</f>
        <v>106000</v>
      </c>
      <c r="M338" s="77">
        <f ca="1">IFERROR(__xludf.DUMMYFUNCTION("IMPORTRANGE(""https://docs.google.com/spreadsheets/d/1-uDff_7J0KD5mKrp0Vvzr7lt3OU09vwQwhkpOPPYv2Y/edit?usp=sharing"",""งบพรบ!EX72"")"),111000)</f>
        <v>111000</v>
      </c>
      <c r="N338" s="77">
        <f ca="1">IFERROR(__xludf.DUMMYFUNCTION("IMPORTRANGE(""https://docs.google.com/spreadsheets/d/1-uDff_7J0KD5mKrp0Vvzr7lt3OU09vwQwhkpOPPYv2Y/edit?usp=sharing"",""งบพรบ!EZ72"")"),93900)</f>
        <v>93900</v>
      </c>
      <c r="O338" s="77">
        <f ca="1">IF(L338&gt;0,N338*100/L338,0)</f>
        <v>88.584905660377359</v>
      </c>
      <c r="P338" s="77">
        <f ca="1">IF(M338&gt;0,N338*100/M338,0)</f>
        <v>84.594594594594597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IFERROR(__xludf.DUMMYFUNCTION("IMPORTRANGE(""https://docs.google.com/spreadsheets/d/1-uDff_7J0KD5mKrp0Vvzr7lt3OU09vwQwhkpOPPYv2Y/edit?usp=sharing"",""งบพรบ!EV72"")"),0)</f>
        <v>0</v>
      </c>
      <c r="M341" s="77">
        <f ca="1">IFERROR(__xludf.DUMMYFUNCTION("IMPORTRANGE(""https://docs.google.com/spreadsheets/d/1-uDff_7J0KD5mKrp0Vvzr7lt3OU09vwQwhkpOPPYv2Y/edit?usp=sharing"",""งบพรบ!EY72"")"),0)</f>
        <v>0</v>
      </c>
      <c r="N341" s="77">
        <f ca="1">IFERROR(__xludf.DUMMYFUNCTION("IMPORTRANGE(""https://docs.google.com/spreadsheets/d/1-uDff_7J0KD5mKrp0Vvzr7lt3OU09vwQwhkpOPPYv2Y/edit?usp=sharing"",""งบพรบ!FA72"")"),0)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1814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IFERROR(__xludf.DUMMYFUNCTION("IMPORTRANGE(""https://docs.google.com/spreadsheets/d/1eHaY18a8A9IcSdp1K8H6x8fbOy06t2VsZHhMHf-1x7Y/edit?usp=sharing"",""แผน!EK72"")"),1540)</f>
        <v>1540</v>
      </c>
      <c r="J344" s="295">
        <f ca="1">IFERROR(__xludf.DUMMYFUNCTION("IMPORTRANGE(""https://docs.google.com/spreadsheets/d/1awYsYK3VOup2i3Pq_Yjnu8DRu_mYwSBnCR2QPthd0rU/edit?usp=sharing"",""ศูนย์ยกเว้นโฉนด!D72"")"),1779)</f>
        <v>1779</v>
      </c>
      <c r="K344" s="77">
        <f ca="1">IF(I344&gt;0,J344*100/I344,0)</f>
        <v>115.51948051948052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IFERROR(__xludf.DUMMYFUNCTION("IMPORTRANGE(""https://docs.google.com/spreadsheets/d/1eHaY18a8A9IcSdp1K8H6x8fbOy06t2VsZHhMHf-1x7Y/edit?usp=sharing"",""แผน!EL72"")"),3)</f>
        <v>3</v>
      </c>
      <c r="J346" s="295">
        <f ca="1">IFERROR(__xludf.DUMMYFUNCTION("IMPORTRANGE(""https://docs.google.com/spreadsheets/d/1awYsYK3VOup2i3Pq_Yjnu8DRu_mYwSBnCR2QPthd0rU/edit?usp=sharing"",""ศูนย์รวม!E72"")"),4)</f>
        <v>4</v>
      </c>
      <c r="K346" s="77">
        <f ca="1">IF(I346&gt;0,J346*100/I346,0)</f>
        <v>133.33333333333334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IFERROR(__xludf.DUMMYFUNCTION("IMPORTRANGE(""https://docs.google.com/spreadsheets/d/1awYsYK3VOup2i3Pq_Yjnu8DRu_mYwSBnCR2QPthd0rU/edit?usp=sharing"",""ศูนย์ยกเว้นโฉนด!F72"")"),4)</f>
        <v>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IFERROR(__xludf.DUMMYFUNCTION("IMPORTRANGE(""https://docs.google.com/spreadsheets/d/1awYsYK3VOup2i3Pq_Yjnu8DRu_mYwSBnCR2QPthd0rU/edit?usp=sharing"",""ศูนย์ยกเว้นโฉนด!G72"")"),31)</f>
        <v>31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IFERROR(__xludf.DUMMYFUNCTION("IMPORTRANGE(""https://docs.google.com/spreadsheets/d/1awYsYK3VOup2i3Pq_Yjnu8DRu_mYwSBnCR2QPthd0rU/edit?usp=sharing"",""ศูนย์ยกเว้นโฉนด!H72"")"),0)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1321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IFERROR(__xludf.DUMMYFUNCTION("IMPORTRANGE(""https://docs.google.com/spreadsheets/d/1awYsYK3VOup2i3Pq_Yjnu8DRu_mYwSBnCR2QPthd0rU/edit?usp=sharing"",""โฉนดM3!G72"")"),2)</f>
        <v>2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IFERROR(__xludf.DUMMYFUNCTION("IMPORTRANGE(""https://docs.google.com/spreadsheets/d/1awYsYK3VOup2i3Pq_Yjnu8DRu_mYwSBnCR2QPthd0rU/edit?usp=sharing"",""โฉนดM3!H72"")"),1255)</f>
        <v>1255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IFERROR(__xludf.DUMMYFUNCTION("IMPORTRANGE(""https://docs.google.com/spreadsheets/d/1awYsYK3VOup2i3Pq_Yjnu8DRu_mYwSBnCR2QPthd0rU/edit?usp=sharing"",""โฉนดM3!I72"")"),64)</f>
        <v>64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487565</v>
      </c>
      <c r="M356" s="266">
        <f ca="1">M357+M358</f>
        <v>494885</v>
      </c>
      <c r="N356" s="266">
        <f ca="1">N357+N358</f>
        <v>417531.13</v>
      </c>
      <c r="O356" s="266">
        <f ca="1">IF(L356&gt;0,N356*100/L356,0)</f>
        <v>85.635993149631332</v>
      </c>
      <c r="P356" s="266">
        <f ca="1">IF(M356&gt;0,N356*100/M356,0)</f>
        <v>84.36932418642715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487565</v>
      </c>
      <c r="M358" s="77">
        <f ca="1">M361+M364</f>
        <v>494885</v>
      </c>
      <c r="N358" s="77">
        <f ca="1">N361+N364</f>
        <v>417531.13</v>
      </c>
      <c r="O358" s="77">
        <f ca="1">IF(L358&gt;0,N358*100/L358,0)</f>
        <v>85.635993149631332</v>
      </c>
      <c r="P358" s="77">
        <f ca="1">IF(M358&gt;0,N358*100/M358,0)</f>
        <v>84.36932418642715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487565</v>
      </c>
      <c r="M359" s="77">
        <f ca="1">M360+M361</f>
        <v>494885</v>
      </c>
      <c r="N359" s="77">
        <f ca="1">N360+N361</f>
        <v>417531.13</v>
      </c>
      <c r="O359" s="77">
        <f ca="1">IF(L359&gt;0,N359*100/L359,0)</f>
        <v>85.635993149631332</v>
      </c>
      <c r="P359" s="77">
        <f ca="1">IF(M359&gt;0,N359*100/M359,0)</f>
        <v>84.36932418642715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IFERROR(__xludf.DUMMYFUNCTION("IMPORTRANGE(""https://docs.google.com/spreadsheets/d/1-uDff_7J0KD5mKrp0Vvzr7lt3OU09vwQwhkpOPPYv2Y/edit?usp=sharing"",""งบพรบ!FC72"")"),487565)</f>
        <v>487565</v>
      </c>
      <c r="M361" s="77">
        <f ca="1">IFERROR(__xludf.DUMMYFUNCTION("IMPORTRANGE(""https://docs.google.com/spreadsheets/d/1-uDff_7J0KD5mKrp0Vvzr7lt3OU09vwQwhkpOPPYv2Y/edit?usp=sharing"",""งบพรบ!FH72"")"),494885)</f>
        <v>494885</v>
      </c>
      <c r="N361" s="77">
        <f ca="1">IFERROR(__xludf.DUMMYFUNCTION("IMPORTRANGE(""https://docs.google.com/spreadsheets/d/1-uDff_7J0KD5mKrp0Vvzr7lt3OU09vwQwhkpOPPYv2Y/edit?usp=sharing"",""งบพรบ!FJ72"")"),417531.13)</f>
        <v>417531.13</v>
      </c>
      <c r="O361" s="77">
        <f ca="1">IF(L361&gt;0,N361*100/L361,0)</f>
        <v>85.635993149631332</v>
      </c>
      <c r="P361" s="77">
        <f ca="1">IF(M361&gt;0,N361*100/M361,0)</f>
        <v>84.36932418642715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IFERROR(__xludf.DUMMYFUNCTION("IMPORTRANGE(""https://docs.google.com/spreadsheets/d/1-uDff_7J0KD5mKrp0Vvzr7lt3OU09vwQwhkpOPPYv2Y/edit?usp=sharing"",""งบพรบ!FF72"")"),0)</f>
        <v>0</v>
      </c>
      <c r="M364" s="77">
        <f ca="1">IFERROR(__xludf.DUMMYFUNCTION("IMPORTRANGE(""https://docs.google.com/spreadsheets/d/1-uDff_7J0KD5mKrp0Vvzr7lt3OU09vwQwhkpOPPYv2Y/edit?usp=sharing"",""งบพรบ!FI72"")"),0)</f>
        <v>0</v>
      </c>
      <c r="N364" s="77">
        <f ca="1">IFERROR(__xludf.DUMMYFUNCTION("IMPORTRANGE(""https://docs.google.com/spreadsheets/d/1-uDff_7J0KD5mKrp0Vvzr7lt3OU09vwQwhkpOPPYv2Y/edit?usp=sharing"",""งบพรบ!FK72"")"),0)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116</v>
      </c>
      <c r="J365" s="542">
        <f ca="1">J371</f>
        <v>82</v>
      </c>
      <c r="K365" s="543">
        <f ca="1">IF(I365&gt;0,J365*100/I365,0)</f>
        <v>70.689655172413794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IFERROR(__xludf.DUMMYFUNCTION("IMPORTRANGE(""https://docs.google.com/spreadsheets/d/1tdoBKaGub7dwA3U6UFTqxio9LNnvDCQjHKmttSEBsFQ/edit?usp=sharing"",""จัดที่ดิน!AB72"")"),136)</f>
        <v>136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IFERROR(__xludf.DUMMYFUNCTION("IMPORTRANGE(""https://docs.google.com/spreadsheets/d/1eHaY18a8A9IcSdp1K8H6x8fbOy06t2VsZHhMHf-1x7Y/edit?usp=sharing"",""แผน!EW72"")"),350)</f>
        <v>350</v>
      </c>
      <c r="J368" s="1094">
        <f ca="1">IFERROR(__xludf.DUMMYFUNCTION("IMPORTRANGE(""https://docs.google.com/spreadsheets/d/1tdoBKaGub7dwA3U6UFTqxio9LNnvDCQjHKmttSEBsFQ/edit?usp=sharing"",""จัดที่ดิน!AC72"")"),846.189999999999)</f>
        <v>846.18999999999903</v>
      </c>
      <c r="K368" s="77">
        <f ca="1">IF(I368&gt;0,J368*100/I368,0)</f>
        <v>241.76857142857114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IFERROR(__xludf.DUMMYFUNCTION("IMPORTRANGE(""https://docs.google.com/spreadsheets/d/1eHaY18a8A9IcSdp1K8H6x8fbOy06t2VsZHhMHf-1x7Y/edit?usp=sharing"",""แผน!EX72"")"),116)</f>
        <v>116</v>
      </c>
      <c r="J369" s="295">
        <f ca="1">IFERROR(__xludf.DUMMYFUNCTION("IMPORTRANGE(""https://docs.google.com/spreadsheets/d/1tdoBKaGub7dwA3U6UFTqxio9LNnvDCQjHKmttSEBsFQ/edit?usp=sharing"",""จัดที่ดิน!AD72"")"),82)</f>
        <v>82</v>
      </c>
      <c r="K369" s="77">
        <f ca="1">IF(I369&gt;0,J369*100/I369,0)</f>
        <v>70.689655172413794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IFERROR(__xludf.DUMMYFUNCTION("IMPORTRANGE(""https://docs.google.com/spreadsheets/d/1tdoBKaGub7dwA3U6UFTqxio9LNnvDCQjHKmttSEBsFQ/edit?usp=sharing"",""จัดที่ดิน!AE72"")"),799.79)</f>
        <v>799.79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IFERROR(__xludf.DUMMYFUNCTION("IMPORTRANGE(""https://docs.google.com/spreadsheets/d/1eHaY18a8A9IcSdp1K8H6x8fbOy06t2VsZHhMHf-1x7Y/edit?usp=sharing"",""แผน!EY72"")"),116)</f>
        <v>116</v>
      </c>
      <c r="J371" s="295">
        <f ca="1">IFERROR(__xludf.DUMMYFUNCTION("IMPORTRANGE(""https://docs.google.com/spreadsheets/d/1tdoBKaGub7dwA3U6UFTqxio9LNnvDCQjHKmttSEBsFQ/edit?usp=sharing"",""จัดที่ดิน!AF72"")"),82)</f>
        <v>82</v>
      </c>
      <c r="K371" s="77">
        <f ca="1">IF(I371&gt;0,J371*100/I371,0)</f>
        <v>70.689655172413794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IFERROR(__xludf.DUMMYFUNCTION("IMPORTRANGE(""https://docs.google.com/spreadsheets/d/1tdoBKaGub7dwA3U6UFTqxio9LNnvDCQjHKmttSEBsFQ/edit?usp=sharing"",""จัดที่ดิน!AG72"")"),840.75)</f>
        <v>840.75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62500</v>
      </c>
      <c r="R375" s="266">
        <f ca="1">R376+R377</f>
        <v>62500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62500</v>
      </c>
      <c r="R377" s="77">
        <f ca="1">R380+R383</f>
        <v>62500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62500</v>
      </c>
      <c r="R378" s="77">
        <f ca="1">R379+R380</f>
        <v>62500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IFERROR(__xludf.DUMMYFUNCTION("IMPORTRANGE(""https://docs.google.com/spreadsheets/d/1ItG2mGa2ceCfYo0BwxsXqNm01IGEUdYcSSLTEv9YCik/edit?usp=sharing"",""เบิกจ่ายกองทุน!AY72"")"),62500)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IFERROR(__xludf.DUMMYFUNCTION("IMPORTRANGE(""https://docs.google.com/spreadsheets/d/1ItG2mGa2ceCfYo0BwxsXqNm01IGEUdYcSSLTEv9YCik/edit?usp=sharing"",""เบิกจ่ายกองทุน!AZ72"")"),62500)</f>
        <v>62500</v>
      </c>
      <c r="S380" s="77">
        <f ca="1">IFERROR(__xludf.DUMMYFUNCTION("IMPORTRANGE(""https://docs.google.com/spreadsheets/d/1ItG2mGa2ceCfYo0BwxsXqNm01IGEUdYcSSLTEv9YCik/edit?usp=sharing"",""เบิกจ่ายกองทุน!BA72"")"),0)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IFERROR(__xludf.DUMMYFUNCTION("IMPORTRANGE(""https://docs.google.com/spreadsheets/d/1w5rwWK1o49a35cNtocGL0gxDwhFSTZUQu90BiH9_zqM/edit?usp=sharing"",""RTK!H72"")"),0)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IFERROR(__xludf.DUMMYFUNCTION("IMPORTRANGE(""https://docs.google.com/spreadsheets/d/1w5rwWK1o49a35cNtocGL0gxDwhFSTZUQu90BiH9_zqM/edit?usp=sharing"",""RTK!G72"")"),1000)</f>
        <v>1000</v>
      </c>
      <c r="J386" s="295">
        <f ca="1">IFERROR(__xludf.DUMMYFUNCTION("IMPORTRANGE(""https://docs.google.com/spreadsheets/d/1w5rwWK1o49a35cNtocGL0gxDwhFSTZUQu90BiH9_zqM/edit?usp=sharing"",""RTK!I72"")"),0)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17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IFERROR(__xludf.DUMMYFUNCTION("IMPORTRANGE(""https://docs.google.com/spreadsheets/d/1w5rwWK1o49a35cNtocGL0gxDwhFSTZUQu90BiH9_zqM/edit?usp=sharing"",""RTK!L72"")"),0)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17"/>
      <c r="H388" s="218" t="s">
        <v>46</v>
      </c>
      <c r="I388" s="241">
        <f ca="1">IFERROR(__xludf.DUMMYFUNCTION("IMPORTRANGE(""https://docs.google.com/spreadsheets/d/1w5rwWK1o49a35cNtocGL0gxDwhFSTZUQu90BiH9_zqM/edit?usp=sharing"",""RTK!K72"")"),0)</f>
        <v>0</v>
      </c>
      <c r="J388" s="241">
        <f ca="1">IFERROR(__xludf.DUMMYFUNCTION("IMPORTRANGE(""https://docs.google.com/spreadsheets/d/1w5rwWK1o49a35cNtocGL0gxDwhFSTZUQu90BiH9_zqM/edit?usp=sharing"",""RTK!M72"")"),0)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IFERROR(__xludf.DUMMYFUNCTION("IMPORTRANGE(""https://docs.google.com/spreadsheets/d/1ItG2mGa2ceCfYo0BwxsXqNm01IGEUdYcSSLTEv9YCik/edit?usp=sharing"",""เบิกจ่ายกองทุน!BH72"")"),0)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IFERROR(__xludf.DUMMYFUNCTION("IMPORTRANGE(""https://docs.google.com/spreadsheets/d/1ItG2mGa2ceCfYo0BwxsXqNm01IGEUdYcSSLTEv9YCik/edit?usp=sharing"",""เบิกจ่ายกองทุน!BI72"")"),0)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IFERROR(__xludf.DUMMYFUNCTION("IMPORTRANGE(""https://docs.google.com/spreadsheets/d/1ItG2mGa2ceCfYo0BwxsXqNm01IGEUdYcSSLTEv9YCik/edit?usp=sharing"",""เบิกจ่ายกองทุน!BJ72"")"),0)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IFERROR(__xludf.DUMMYFUNCTION("IMPORTRANGE(""https://docs.google.com/spreadsheets/d/1eHaY18a8A9IcSdp1K8H6x8fbOy06t2VsZHhMHf-1x7Y/edit?usp=sharing"",""แผน!HJ72"")"),0)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IFERROR(__xludf.DUMMYFUNCTION("IMPORTRANGE(""https://docs.google.com/spreadsheets/d/1eHaY18a8A9IcSdp1K8H6x8fbOy06t2VsZHhMHf-1x7Y/edit?usp=sharing"",""แผน!HK72"")"),0)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IFERROR(__xludf.DUMMYFUNCTION("IMPORTRANGE(""https://docs.google.com/spreadsheets/d/1eHaY18a8A9IcSdp1K8H6x8fbOy06t2VsZHhMHf-1x7Y/edit?usp=sharing"",""แผน!HJ72"")"),0)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IFERROR(__xludf.DUMMYFUNCTION("IMPORTRANGE(""https://docs.google.com/spreadsheets/d/1eHaY18a8A9IcSdp1K8H6x8fbOy06t2VsZHhMHf-1x7Y/edit?usp=sharing"",""แผน!HK72"")"),0)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IFERROR(__xludf.DUMMYFUNCTION("IMPORTRANGE(""https://docs.google.com/spreadsheets/d/1eHaY18a8A9IcSdp1K8H6x8fbOy06t2VsZHhMHf-1x7Y/edit?usp=sharing"",""แผน!HJ72"")"),0)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IFERROR(__xludf.DUMMYFUNCTION("IMPORTRANGE(""https://docs.google.com/spreadsheets/d/1eHaY18a8A9IcSdp1K8H6x8fbOy06t2VsZHhMHf-1x7Y/edit?usp=sharing"",""แผน!HK72"")"),0)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IFERROR(__xludf.DUMMYFUNCTION("IMPORTRANGE(""https://docs.google.com/spreadsheets/d/1eHaY18a8A9IcSdp1K8H6x8fbOy06t2VsZHhMHf-1x7Y/edit?usp=sharing"",""แผน!HL72"")"),0)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IFERROR(__xludf.DUMMYFUNCTION("IMPORTRANGE(""https://docs.google.com/spreadsheets/d/1eHaY18a8A9IcSdp1K8H6x8fbOy06t2VsZHhMHf-1x7Y/edit?usp=sharing"",""แผน!HM72"")"),0)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IFERROR(__xludf.DUMMYFUNCTION("IMPORTRANGE(""https://docs.google.com/spreadsheets/d/1eHaY18a8A9IcSdp1K8H6x8fbOy06t2VsZHhMHf-1x7Y/edit?usp=sharing"",""แผน!HN72"")"),0)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IFERROR(__xludf.DUMMYFUNCTION("IMPORTRANGE(""https://docs.google.com/spreadsheets/d/1eHaY18a8A9IcSdp1K8H6x8fbOy06t2VsZHhMHf-1x7Y/edit?usp=sharing"",""แผน!HO72"")"),0)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IFERROR(__xludf.DUMMYFUNCTION("IMPORTRANGE(""https://docs.google.com/spreadsheets/d/1ItG2mGa2ceCfYo0BwxsXqNm01IGEUdYcSSLTEv9YCik/edit?usp=sharing"",""เบิกจ่ายกองทุน!X72"")"),0)</f>
        <v>0</v>
      </c>
      <c r="R498" s="77">
        <f ca="1">IFERROR(__xludf.DUMMYFUNCTION("IMPORTRANGE(""https://docs.google.com/spreadsheets/d/1ItG2mGa2ceCfYo0BwxsXqNm01IGEUdYcSSLTEv9YCik/edit?usp=sharing"",""เบิกจ่ายกองทุน!Y72"")"),0)</f>
        <v>0</v>
      </c>
      <c r="S498" s="77">
        <f ca="1">IFERROR(__xludf.DUMMYFUNCTION("IMPORTRANGE(""https://docs.google.com/spreadsheets/d/1ItG2mGa2ceCfYo0BwxsXqNm01IGEUdYcSSLTEv9YCik/edit?usp=sharing"",""เบิกจ่ายกองทุน!Z72"")"),0)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IFERROR(__xludf.DUMMYFUNCTION("IMPORTRANGE(""https://docs.google.com/spreadsheets/d/1eHaY18a8A9IcSdp1K8H6x8fbOy06t2VsZHhMHf-1x7Y/edit?usp=sharing"",""แผน!GX72"")"),0)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IFERROR(__xludf.DUMMYFUNCTION("IMPORTRANGE(""https://docs.google.com/spreadsheets/d/1eHaY18a8A9IcSdp1K8H6x8fbOy06t2VsZHhMHf-1x7Y/edit?usp=sharing"",""แผน!GY72"")"),0)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IFERROR(__xludf.DUMMYFUNCTION("IMPORTRANGE(""https://docs.google.com/spreadsheets/d/1eHaY18a8A9IcSdp1K8H6x8fbOy06t2VsZHhMHf-1x7Y/edit?usp=sharing"",""แผน!GZ72"")"),0)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IFERROR(__xludf.DUMMYFUNCTION("IMPORTRANGE(""https://docs.google.com/spreadsheets/d/1eHaY18a8A9IcSdp1K8H6x8fbOy06t2VsZHhMHf-1x7Y/edit?usp=sharing"",""แผน!HA72"")"),0)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IFERROR(__xludf.DUMMYFUNCTION("IMPORTRANGE(""https://docs.google.com/spreadsheets/d/1eHaY18a8A9IcSdp1K8H6x8fbOy06t2VsZHhMHf-1x7Y/edit?usp=sharing"",""แผน!HB72"")"),0)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IFERROR(__xludf.DUMMYFUNCTION("IMPORTRANGE(""https://docs.google.com/spreadsheets/d/1eHaY18a8A9IcSdp1K8H6x8fbOy06t2VsZHhMHf-1x7Y/edit?usp=sharing"",""แผน!HC72"")"),0)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IFERROR(__xludf.DUMMYFUNCTION("IMPORTRANGE(""https://docs.google.com/spreadsheets/d/1-uDff_7J0KD5mKrp0Vvzr7lt3OU09vwQwhkpOPPYv2Y/edit?usp=sharing"",""งบพรบ!FM72"")"),0)</f>
        <v>0</v>
      </c>
      <c r="M518" s="77">
        <f ca="1">IFERROR(__xludf.DUMMYFUNCTION("IMPORTRANGE(""https://docs.google.com/spreadsheets/d/1-uDff_7J0KD5mKrp0Vvzr7lt3OU09vwQwhkpOPPYv2Y/edit?usp=sharing"",""งบพรบ!FR72"")"),0)</f>
        <v>0</v>
      </c>
      <c r="N518" s="77">
        <f ca="1">IFERROR(__xludf.DUMMYFUNCTION("IMPORTRANGE(""https://docs.google.com/spreadsheets/d/1-uDff_7J0KD5mKrp0Vvzr7lt3OU09vwQwhkpOPPYv2Y/edit?usp=sharing"",""งบพรบ!FT72"")"),0)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IFERROR(__xludf.DUMMYFUNCTION("IMPORTRANGE(""https://docs.google.com/spreadsheets/d/1-uDff_7J0KD5mKrp0Vvzr7lt3OU09vwQwhkpOPPYv2Y/edit?usp=sharing"",""งบพรบ!FP72"")"),0)</f>
        <v>0</v>
      </c>
      <c r="M521" s="77">
        <f ca="1">IFERROR(__xludf.DUMMYFUNCTION("IMPORTRANGE(""https://docs.google.com/spreadsheets/d/1-uDff_7J0KD5mKrp0Vvzr7lt3OU09vwQwhkpOPPYv2Y/edit?usp=sharing"",""งบพรบ!FS72"")"),0)</f>
        <v>0</v>
      </c>
      <c r="N521" s="77">
        <f ca="1">IFERROR(__xludf.DUMMYFUNCTION("IMPORTRANGE(""https://docs.google.com/spreadsheets/d/1-uDff_7J0KD5mKrp0Vvzr7lt3OU09vwQwhkpOPPYv2Y/edit?usp=sharing"",""งบพรบ!FU72"")"),0)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1250</v>
      </c>
      <c r="R616" s="266">
        <f ca="1">R617+R618</f>
        <v>1250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1250</v>
      </c>
      <c r="R618" s="77">
        <f ca="1">R621+R624</f>
        <v>1250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1250</v>
      </c>
      <c r="R619" s="77">
        <f ca="1">R620+R621</f>
        <v>1250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IFERROR(__xludf.DUMMYFUNCTION("IMPORTRANGE(""https://docs.google.com/spreadsheets/d/1ItG2mGa2ceCfYo0BwxsXqNm01IGEUdYcSSLTEv9YCik/edit?usp=sharing"",""เบิกจ่ายกองทุน!F72"")"),1250)</f>
        <v>1250</v>
      </c>
      <c r="R621" s="77">
        <f ca="1">IFERROR(__xludf.DUMMYFUNCTION("IMPORTRANGE(""https://docs.google.com/spreadsheets/d/1ItG2mGa2ceCfYo0BwxsXqNm01IGEUdYcSSLTEv9YCik/edit?usp=sharing"",""เบิกจ่ายกองทุน!G72"")"),1250)</f>
        <v>1250</v>
      </c>
      <c r="S621" s="77">
        <f ca="1">IFERROR(__xludf.DUMMYFUNCTION("IMPORTRANGE(""https://docs.google.com/spreadsheets/d/1ItG2mGa2ceCfYo0BwxsXqNm01IGEUdYcSSLTEv9YCik/edit?usp=sharing"",""เบิกจ่ายกองทุน!H72"")"),0)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IFERROR(__xludf.DUMMYFUNCTION("IMPORTRANGE(""https://docs.google.com/spreadsheets/d/1eHaY18a8A9IcSdp1K8H6x8fbOy06t2VsZHhMHf-1x7Y/edit?usp=sharing"",""แผน!ID72"")"),0)</f>
        <v>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IFERROR(__xludf.DUMMYFUNCTION("IMPORTRANGE(""https://docs.google.com/spreadsheets/d/1eHaY18a8A9IcSdp1K8H6x8fbOy06t2VsZHhMHf-1x7Y/edit?usp=sharing"",""แผน!IC72"")"),0)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IFERROR(__xludf.DUMMYFUNCTION("IMPORTRANGE(""https://docs.google.com/spreadsheets/d/1eHaY18a8A9IcSdp1K8H6x8fbOy06t2VsZHhMHf-1x7Y/edit?usp=sharing"",""แผน!IC72"")"),0)</f>
        <v>0</v>
      </c>
      <c r="J628" s="296">
        <v>10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80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80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IFERROR(__xludf.DUMMYFUNCTION("IMPORTRANGE(""https://docs.google.com/spreadsheets/d/1eHaY18a8A9IcSdp1K8H6x8fbOy06t2VsZHhMHf-1x7Y/edit?usp=sharing"",""แผน!IE72"")"),0)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14600</v>
      </c>
      <c r="R642" s="266">
        <f ca="1">R643+R644</f>
        <v>14600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14600</v>
      </c>
      <c r="R644" s="77">
        <f ca="1">R647+R650</f>
        <v>14600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14600</v>
      </c>
      <c r="R645" s="77">
        <f ca="1">R646+R647</f>
        <v>14600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IFERROR(__xludf.DUMMYFUNCTION("IMPORTRANGE(""https://docs.google.com/spreadsheets/d/1ItG2mGa2ceCfYo0BwxsXqNm01IGEUdYcSSLTEv9YCik/edit?usp=sharing"",""เบิกจ่ายกองทุน!I72"")"),14600)</f>
        <v>14600</v>
      </c>
      <c r="R647" s="77">
        <f ca="1">IFERROR(__xludf.DUMMYFUNCTION("IMPORTRANGE(""https://docs.google.com/spreadsheets/d/1ItG2mGa2ceCfYo0BwxsXqNm01IGEUdYcSSLTEv9YCik/edit?usp=sharing"",""เบิกจ่ายกองทุน!J72"")"),14600)</f>
        <v>14600</v>
      </c>
      <c r="S647" s="77">
        <f ca="1">IFERROR(__xludf.DUMMYFUNCTION("IMPORTRANGE(""https://docs.google.com/spreadsheets/d/1ItG2mGa2ceCfYo0BwxsXqNm01IGEUdYcSSLTEv9YCik/edit?usp=sharing"",""เบิกจ่ายกองทุน!K72"")"),0)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IFERROR(__xludf.DUMMYFUNCTION("IMPORTRANGE(""https://docs.google.com/spreadsheets/d/1eHaY18a8A9IcSdp1K8H6x8fbOy06t2VsZHhMHf-1x7Y/edit?usp=sharing"",""แผน!IF72"")"),0)</f>
        <v>0</v>
      </c>
      <c r="J652" s="295">
        <f ca="1">IFERROR(__xludf.DUMMYFUNCTION("IMPORTRANGE(""https://docs.google.com/spreadsheets/d/1tdoBKaGub7dwA3U6UFTqxio9LNnvDCQjHKmttSEBsFQ/edit?usp=sharing"",""จัดที่ดิน!AU72"")"),73.3)</f>
        <v>73.3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hidden="1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IFERROR(__xludf.DUMMYFUNCTION("IMPORTRANGE(""https://docs.google.com/spreadsheets/d/1eHaY18a8A9IcSdp1K8H6x8fbOy06t2VsZHhMHf-1x7Y/edit?usp=sharing"",""แผน!IG72"")"),0)</f>
        <v>0</v>
      </c>
      <c r="J653" s="295">
        <f ca="1">IFERROR(__xludf.DUMMYFUNCTION("IMPORTRANGE(""https://docs.google.com/spreadsheets/d/1tdoBKaGub7dwA3U6UFTqxio9LNnvDCQjHKmttSEBsFQ/edit?usp=sharing"",""จัดที่ดิน!AW72"")"),0)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IFERROR(__xludf.DUMMYFUNCTION("IMPORTRANGE(""https://docs.google.com/spreadsheets/d/1eHaY18a8A9IcSdp1K8H6x8fbOy06t2VsZHhMHf-1x7Y/edit?usp=sharing"",""แผน!IH72"")"),0)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IFERROR(__xludf.DUMMYFUNCTION("IMPORTRANGE(""https://docs.google.com/spreadsheets/d/1eHaY18a8A9IcSdp1K8H6x8fbOy06t2VsZHhMHf-1x7Y/edit?usp=sharing"",""แผน!II72"")"),0)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IFERROR(__xludf.DUMMYFUNCTION("IMPORTRANGE(""https://docs.google.com/spreadsheets/d/1eHaY18a8A9IcSdp1K8H6x8fbOy06t2VsZHhMHf-1x7Y/edit?usp=sharing"",""แผน!IJ72"")"),0)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IFERROR(__xludf.DUMMYFUNCTION("IMPORTRANGE(""https://docs.google.com/spreadsheets/d/1eHaY18a8A9IcSdp1K8H6x8fbOy06t2VsZHhMHf-1x7Y/edit?usp=sharing"",""แผน!IK72"")"),80)</f>
        <v>80</v>
      </c>
      <c r="J661" s="603">
        <f>J667+J670</f>
        <v>79</v>
      </c>
      <c r="K661" s="266">
        <f ca="1">IF(I661&gt;0,J661*100/I661,0)</f>
        <v>98.75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5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79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IFERROR(__xludf.DUMMYFUNCTION("IMPORTRANGE(""https://docs.google.com/spreadsheets/d/1tdoBKaGub7dwA3U6UFTqxio9LNnvDCQjHKmttSEBsFQ/edit?usp=sharing"",""จัดที่ดิน!AY72"")"),4)</f>
        <v>4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IFERROR(__xludf.DUMMYFUNCTION("IMPORTRANGE(""https://docs.google.com/spreadsheets/d/1tdoBKaGub7dwA3U6UFTqxio9LNnvDCQjHKmttSEBsFQ/edit?usp=sharing"",""จัดที่ดิน!AZ72"")"),4)</f>
        <v>4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IFERROR(__xludf.DUMMYFUNCTION("IMPORTRANGE(""https://docs.google.com/spreadsheets/d/1eHaY18a8A9IcSdp1K8H6x8fbOy06t2VsZHhMHf-1x7Y/edit?usp=sharing"",""แผน!IL72"")"),120)</f>
        <v>120</v>
      </c>
      <c r="J673" s="295">
        <f ca="1">IFERROR(__xludf.DUMMYFUNCTION("IMPORTRANGE(""https://docs.google.com/spreadsheets/d/1tdoBKaGub7dwA3U6UFTqxio9LNnvDCQjHKmttSEBsFQ/edit?usp=sharing"",""จัดที่ดิน!BA72"")"),83.85)</f>
        <v>83.85</v>
      </c>
      <c r="K673" s="77">
        <f ca="1">IF(I673&gt;0,J673*100/I673,0)</f>
        <v>69.875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IFERROR(__xludf.DUMMYFUNCTION("IMPORTRANGE(""https://docs.google.com/spreadsheets/d/1eHaY18a8A9IcSdp1K8H6x8fbOy06t2VsZHhMHf-1x7Y/edit?usp=sharing"",""แผน!IM72"")"),10)</f>
        <v>10</v>
      </c>
      <c r="J674" s="603">
        <f ca="1">J676+J679</f>
        <v>4</v>
      </c>
      <c r="K674" s="266">
        <f ca="1">IF(I674&gt;0,J674*100/I674,0)</f>
        <v>40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IFERROR(__xludf.DUMMYFUNCTION("IMPORTRANGE(""https://docs.google.com/spreadsheets/d/1eHaY18a8A9IcSdp1K8H6x8fbOy06t2VsZHhMHf-1x7Y/edit?usp=sharing"",""แผน!IN72"")"),100)</f>
        <v>100</v>
      </c>
      <c r="J675" s="603">
        <f ca="1">J678+J681</f>
        <v>31.02</v>
      </c>
      <c r="K675" s="266">
        <f ca="1">IF(I675&gt;0,J675*100/I675,0)</f>
        <v>31.02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IFERROR(__xludf.DUMMYFUNCTION("IMPORTRANGE(""https://docs.google.com/spreadsheets/d/1eHaY18a8A9IcSdp1K8H6x8fbOy06t2VsZHhMHf-1x7Y/edit?usp=sharing"",""แผน!IO72"")"),10)</f>
        <v>10</v>
      </c>
      <c r="J676" s="295">
        <f ca="1">IFERROR(__xludf.DUMMYFUNCTION("IMPORTRANGE(""https://docs.google.com/spreadsheets/d/1tdoBKaGub7dwA3U6UFTqxio9LNnvDCQjHKmttSEBsFQ/edit?usp=sharing"",""จัดที่ดิน!BF72"")"),4)</f>
        <v>4</v>
      </c>
      <c r="K676" s="77">
        <f ca="1">IF(I676&gt;0,J676*100/I676,0)</f>
        <v>40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IFERROR(__xludf.DUMMYFUNCTION("IMPORTRANGE(""https://docs.google.com/spreadsheets/d/1tdoBKaGub7dwA3U6UFTqxio9LNnvDCQjHKmttSEBsFQ/edit?usp=sharing"",""จัดที่ดิน!BG72"")"),5)</f>
        <v>5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IFERROR(__xludf.DUMMYFUNCTION("IMPORTRANGE(""https://docs.google.com/spreadsheets/d/1eHaY18a8A9IcSdp1K8H6x8fbOy06t2VsZHhMHf-1x7Y/edit?usp=sharing"",""แผน!IP72"")"),100)</f>
        <v>100</v>
      </c>
      <c r="J678" s="295">
        <f ca="1">IFERROR(__xludf.DUMMYFUNCTION("IMPORTRANGE(""https://docs.google.com/spreadsheets/d/1tdoBKaGub7dwA3U6UFTqxio9LNnvDCQjHKmttSEBsFQ/edit?usp=sharing"",""จัดที่ดิน!BH72"")"),31.02)</f>
        <v>31.02</v>
      </c>
      <c r="K678" s="77">
        <f ca="1">IF(I678&gt;0,J678*100/I678,0)</f>
        <v>31.02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IFERROR(__xludf.DUMMYFUNCTION("IMPORTRANGE(""https://docs.google.com/spreadsheets/d/1eHaY18a8A9IcSdp1K8H6x8fbOy06t2VsZHhMHf-1x7Y/edit?usp=sharing"",""แผน!IQ72"")"),0)</f>
        <v>0</v>
      </c>
      <c r="J679" s="295">
        <f ca="1">IFERROR(__xludf.DUMMYFUNCTION("IMPORTRANGE(""https://docs.google.com/spreadsheets/d/1tdoBKaGub7dwA3U6UFTqxio9LNnvDCQjHKmttSEBsFQ/edit?usp=sharing"",""จัดที่ดิน!BK72"")"),0)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IFERROR(__xludf.DUMMYFUNCTION("IMPORTRANGE(""https://docs.google.com/spreadsheets/d/1tdoBKaGub7dwA3U6UFTqxio9LNnvDCQjHKmttSEBsFQ/edit?usp=sharing"",""จัดที่ดิน!BL72"")"),0)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IFERROR(__xludf.DUMMYFUNCTION("IMPORTRANGE(""https://docs.google.com/spreadsheets/d/1eHaY18a8A9IcSdp1K8H6x8fbOy06t2VsZHhMHf-1x7Y/edit?usp=sharing"",""แผน!IR72"")"),0)</f>
        <v>0</v>
      </c>
      <c r="J681" s="295">
        <f ca="1">IFERROR(__xludf.DUMMYFUNCTION("IMPORTRANGE(""https://docs.google.com/spreadsheets/d/1tdoBKaGub7dwA3U6UFTqxio9LNnvDCQjHKmttSEBsFQ/edit?usp=sharing"",""จัดที่ดิน!BM72"")"),0)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IFERROR(__xludf.DUMMYFUNCTION("IMPORTRANGE(""https://docs.google.com/spreadsheets/d/1eHaY18a8A9IcSdp1K8H6x8fbOy06t2VsZHhMHf-1x7Y/edit?usp=sharing"",""แผน!IS72"")"),20)</f>
        <v>20</v>
      </c>
      <c r="J682" s="603">
        <f>J685+J688</f>
        <v>20</v>
      </c>
      <c r="K682" s="266">
        <f ca="1">IF(I682&gt;0,J682*100/I682,0)</f>
        <v>100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1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1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20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80</v>
      </c>
      <c r="J689" s="745">
        <f ca="1">J707</f>
        <v>55</v>
      </c>
      <c r="K689" s="746">
        <f ca="1">IF(I689&gt;0,J689*100/I689,0)</f>
        <v>68.75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196020</v>
      </c>
      <c r="R690" s="266">
        <f ca="1">R691+R692</f>
        <v>196020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196020</v>
      </c>
      <c r="R692" s="77">
        <f ca="1">R695+R698</f>
        <v>196020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196020</v>
      </c>
      <c r="R693" s="77">
        <f ca="1">R694+R695</f>
        <v>196020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IFERROR(__xludf.DUMMYFUNCTION("IMPORTRANGE(""https://docs.google.com/spreadsheets/d/1ItG2mGa2ceCfYo0BwxsXqNm01IGEUdYcSSLTEv9YCik/edit?usp=sharing"",""เบิกจ่ายกองทุน!L72"")"),196020)</f>
        <v>196020</v>
      </c>
      <c r="R695" s="77">
        <f ca="1">IFERROR(__xludf.DUMMYFUNCTION("IMPORTRANGE(""https://docs.google.com/spreadsheets/d/1ItG2mGa2ceCfYo0BwxsXqNm01IGEUdYcSSLTEv9YCik/edit?usp=sharing"",""เบิกจ่ายกองทุน!M72"")"),196020)</f>
        <v>196020</v>
      </c>
      <c r="S695" s="77">
        <f ca="1">IFERROR(__xludf.DUMMYFUNCTION("IMPORTRANGE(""https://docs.google.com/spreadsheets/d/1ItG2mGa2ceCfYo0BwxsXqNm01IGEUdYcSSLTEv9YCik/edit?usp=sharing"",""เบิกจ่ายกองทุน!N72"")"),0)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IFERROR(__xludf.DUMMYFUNCTION("IMPORTRANGE(""https://docs.google.com/spreadsheets/d/1eHaY18a8A9IcSdp1K8H6x8fbOy06t2VsZHhMHf-1x7Y/edit?usp=sharing"",""แผน!LC72"")"),0)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80</v>
      </c>
      <c r="J701" s="603">
        <f ca="1">J703+J705</f>
        <v>55</v>
      </c>
      <c r="K701" s="266">
        <f ca="1">IF(I701&gt;0,J701*100/I701,0)</f>
        <v>68.75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15.77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IFERROR(__xludf.DUMMYFUNCTION("IMPORTRANGE(""https://docs.google.com/spreadsheets/d/1eHaY18a8A9IcSdp1K8H6x8fbOy06t2VsZHhMHf-1x7Y/edit?usp=sharing"",""แผน!LJ72"")"),80)</f>
        <v>80</v>
      </c>
      <c r="J703" s="295">
        <f ca="1">IFERROR(__xludf.DUMMYFUNCTION("IMPORTRANGE(""https://docs.google.com/spreadsheets/d/1tdoBKaGub7dwA3U6UFTqxio9LNnvDCQjHKmttSEBsFQ/edit?usp=sharing"",""จัดที่ดิน!AP72"")"),55)</f>
        <v>55</v>
      </c>
      <c r="K703" s="77">
        <f ca="1">IF(I703&gt;0,J703*100/I703,0)</f>
        <v>68.75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IFERROR(__xludf.DUMMYFUNCTION("IMPORTRANGE(""https://docs.google.com/spreadsheets/d/1tdoBKaGub7dwA3U6UFTqxio9LNnvDCQjHKmttSEBsFQ/edit?usp=sharing"",""จัดที่ดิน!AQ72"")"),15.77)</f>
        <v>15.77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IFERROR(__xludf.DUMMYFUNCTION("IMPORTRANGE(""https://docs.google.com/spreadsheets/d/1eHaY18a8A9IcSdp1K8H6x8fbOy06t2VsZHhMHf-1x7Y/edit?usp=sharing"",""แผน!LK72"")"),0)</f>
        <v>0</v>
      </c>
      <c r="J705" s="295">
        <f ca="1">IFERROR(__xludf.DUMMYFUNCTION("IMPORTRANGE(""https://docs.google.com/spreadsheets/d/1tdoBKaGub7dwA3U6UFTqxio9LNnvDCQjHKmttSEBsFQ/edit?usp=sharing"",""จัดที่ดิน!AR72"")"),0)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IFERROR(__xludf.DUMMYFUNCTION("IMPORTRANGE(""https://docs.google.com/spreadsheets/d/1tdoBKaGub7dwA3U6UFTqxio9LNnvDCQjHKmttSEBsFQ/edit?usp=sharing"",""จัดที่ดิน!AS72"")"),0)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IFERROR(__xludf.DUMMYFUNCTION("IMPORTRANGE(""https://docs.google.com/spreadsheets/d/1eHaY18a8A9IcSdp1K8H6x8fbOy06t2VsZHhMHf-1x7Y/edit?usp=sharing"",""แผน!LJ72"")"),80)</f>
        <v>80</v>
      </c>
      <c r="J707" s="295">
        <f ca="1">IFERROR(__xludf.DUMMYFUNCTION("IMPORTRANGE(""https://docs.google.com/spreadsheets/d/1tdoBKaGub7dwA3U6UFTqxio9LNnvDCQjHKmttSEBsFQ/edit?usp=sharing"",""จัดที่ดิน!BN72"")"),55)</f>
        <v>55</v>
      </c>
      <c r="K707" s="77">
        <f ca="1">IF(I707&gt;0,J707*100/I707,0)</f>
        <v>68.75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IFERROR(__xludf.DUMMYFUNCTION("IMPORTRANGE(""https://docs.google.com/spreadsheets/d/1tdoBKaGub7dwA3U6UFTqxio9LNnvDCQjHKmttSEBsFQ/edit?usp=sharing"",""จัดที่ดิน!BO72"")"),16)</f>
        <v>16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IFERROR(__xludf.DUMMYFUNCTION("IMPORTRANGE(""https://docs.google.com/spreadsheets/d/1eHaY18a8A9IcSdp1K8H6x8fbOy06t2VsZHhMHf-1x7Y/edit?usp=sharing"",""แผน!LK72"")"),0)</f>
        <v>0</v>
      </c>
      <c r="J709" s="295">
        <f ca="1">IFERROR(__xludf.DUMMYFUNCTION("IMPORTRANGE(""https://docs.google.com/spreadsheets/d/1tdoBKaGub7dwA3U6UFTqxio9LNnvDCQjHKmttSEBsFQ/edit?usp=sharing"",""จัดที่ดิน!BP72"")"),0)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IFERROR(__xludf.DUMMYFUNCTION("IMPORTRANGE(""https://docs.google.com/spreadsheets/d/1tdoBKaGub7dwA3U6UFTqxio9LNnvDCQjHKmttSEBsFQ/edit?usp=sharing"",""จัดที่ดิน!BQ72"")"),0)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IFERROR(__xludf.DUMMYFUNCTION("IMPORTRANGE(""https://docs.google.com/spreadsheets/d/1eHaY18a8A9IcSdp1K8H6x8fbOy06t2VsZHhMHf-1x7Y/edit?usp=sharing"",""แผน!GA72"")"),31)</f>
        <v>31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IFERROR(__xludf.DUMMYFUNCTION("IMPORTRANGE(""https://docs.google.com/spreadsheets/d/1eHaY18a8A9IcSdp1K8H6x8fbOy06t2VsZHhMHf-1x7Y/edit?usp=sharing"",""แผน!FZ72"")"),300)</f>
        <v>300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242546</v>
      </c>
      <c r="R728" s="266">
        <f ca="1">R729+R730</f>
        <v>242546</v>
      </c>
      <c r="S728" s="266">
        <f ca="1">S729+S730</f>
        <v>35010</v>
      </c>
      <c r="T728" s="266">
        <f ca="1">IF(Q728&gt;0,S728*100/Q728,0)</f>
        <v>14.434375334988003</v>
      </c>
      <c r="U728" s="266">
        <f ca="1">IF(R728&gt;0,S728*100/R728,0)</f>
        <v>14.434375334988003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242546</v>
      </c>
      <c r="R730" s="77">
        <f ca="1">R733+R736</f>
        <v>242546</v>
      </c>
      <c r="S730" s="77">
        <f ca="1">S733+S736</f>
        <v>35010</v>
      </c>
      <c r="T730" s="77">
        <f ca="1">IF(Q730&gt;0,S730*100/Q730,0)</f>
        <v>14.434375334988003</v>
      </c>
      <c r="U730" s="77">
        <f ca="1">IF(R730&gt;0,S730*100/R730,0)</f>
        <v>14.434375334988003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242546</v>
      </c>
      <c r="R731" s="77">
        <f ca="1">R732+R733</f>
        <v>242546</v>
      </c>
      <c r="S731" s="77">
        <f ca="1">S732+S733</f>
        <v>35010</v>
      </c>
      <c r="T731" s="77">
        <f ca="1">IF(Q731&gt;0,S731*100/Q731,0)</f>
        <v>14.434375334988003</v>
      </c>
      <c r="U731" s="77">
        <f ca="1">IF(R731&gt;0,S731*100/R731,0)</f>
        <v>14.434375334988003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IFERROR(__xludf.DUMMYFUNCTION("IMPORTRANGE(""https://docs.google.com/spreadsheets/d/1ItG2mGa2ceCfYo0BwxsXqNm01IGEUdYcSSLTEv9YCik/edit?usp=sharing"",""เบิกจ่ายกองทุน!O72"")"),242546)</f>
        <v>242546</v>
      </c>
      <c r="R733" s="77">
        <f ca="1">IFERROR(__xludf.DUMMYFUNCTION("IMPORTRANGE(""https://docs.google.com/spreadsheets/d/1ItG2mGa2ceCfYo0BwxsXqNm01IGEUdYcSSLTEv9YCik/edit?usp=sharing"",""เบิกจ่ายกองทุน!P72"")"),242546)</f>
        <v>242546</v>
      </c>
      <c r="S733" s="77">
        <f ca="1">IFERROR(__xludf.DUMMYFUNCTION("IMPORTRANGE(""https://docs.google.com/spreadsheets/d/1ItG2mGa2ceCfYo0BwxsXqNm01IGEUdYcSSLTEv9YCik/edit?usp=sharing"",""เบิกจ่ายกองทุน!Q72"")"),35010)</f>
        <v>35010</v>
      </c>
      <c r="T733" s="77">
        <f ca="1">IF(Q733&gt;0,S733*100/Q733,0)</f>
        <v>14.434375334988003</v>
      </c>
      <c r="U733" s="77">
        <f ca="1">IF(R733&gt;0,S733*100/R733,0)</f>
        <v>14.434375334988003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818" t="s">
        <v>272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IFERROR(__xludf.DUMMYFUNCTION("IMPORTRANGE(""https://docs.google.com/spreadsheets/d/1eHaY18a8A9IcSdp1K8H6x8fbOy06t2VsZHhMHf-1x7Y/edit?usp=sharing"",""แผน!GB72"")"),240)</f>
        <v>240</v>
      </c>
      <c r="J740" s="816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818" t="s">
        <v>307</v>
      </c>
      <c r="G741" s="229"/>
      <c r="H741" s="218" t="s">
        <v>35</v>
      </c>
      <c r="I741" s="74"/>
      <c r="J741" s="816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818" t="s">
        <v>306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IFERROR(__xludf.DUMMYFUNCTION("IMPORTRANGE(""https://docs.google.com/spreadsheets/d/1eHaY18a8A9IcSdp1K8H6x8fbOy06t2VsZHhMHf-1x7Y/edit?usp=sharing"",""แผน!GC72"")"),24)</f>
        <v>24</v>
      </c>
      <c r="J742" s="816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818" t="s">
        <v>275</v>
      </c>
      <c r="F743" s="225"/>
      <c r="G743" s="229"/>
      <c r="H743" s="817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818" t="s">
        <v>272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IFERROR(__xludf.DUMMYFUNCTION("IMPORTRANGE(""https://docs.google.com/spreadsheets/d/1eHaY18a8A9IcSdp1K8H6x8fbOy06t2VsZHhMHf-1x7Y/edit?usp=sharing"",""แผน!GD72"")"),60)</f>
        <v>60</v>
      </c>
      <c r="J744" s="816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818" t="s">
        <v>305</v>
      </c>
      <c r="G745" s="229"/>
      <c r="H745" s="218" t="s">
        <v>35</v>
      </c>
      <c r="I745" s="74"/>
      <c r="J745" s="816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818" t="s">
        <v>304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IFERROR(__xludf.DUMMYFUNCTION("IMPORTRANGE(""https://docs.google.com/spreadsheets/d/1eHaY18a8A9IcSdp1K8H6x8fbOy06t2VsZHhMHf-1x7Y/edit?usp=sharing"",""แผน!GE72"")"),6)</f>
        <v>6</v>
      </c>
      <c r="J746" s="816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818" t="s">
        <v>278</v>
      </c>
      <c r="F747" s="233"/>
      <c r="G747" s="229"/>
      <c r="H747" s="817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818" t="s">
        <v>303</v>
      </c>
      <c r="G748" s="229"/>
      <c r="H748" s="218" t="s">
        <v>35</v>
      </c>
      <c r="I748" s="74"/>
      <c r="J748" s="816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818" t="s">
        <v>302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IFERROR(__xludf.DUMMYFUNCTION("IMPORTRANGE(""https://docs.google.com/spreadsheets/d/1eHaY18a8A9IcSdp1K8H6x8fbOy06t2VsZHhMHf-1x7Y/edit?usp=sharing"",""แผน!GF72"")"),1)</f>
        <v>1</v>
      </c>
      <c r="J749" s="816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19" t="s">
        <v>50</v>
      </c>
      <c r="E750" s="225"/>
      <c r="F750" s="233"/>
      <c r="G750" s="229"/>
      <c r="H750" s="817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818" t="s">
        <v>271</v>
      </c>
      <c r="F751" s="233"/>
      <c r="G751" s="229"/>
      <c r="H751" s="817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301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IFERROR(__xludf.DUMMYFUNCTION("IMPORTRANGE(""https://docs.google.com/spreadsheets/d/1eHaY18a8A9IcSdp1K8H6x8fbOy06t2VsZHhMHf-1x7Y/edit?usp=sharing"",""แผน!GB72"")"),240)</f>
        <v>240</v>
      </c>
      <c r="J752" s="816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300</v>
      </c>
      <c r="G753" s="229"/>
      <c r="H753" s="218" t="s">
        <v>46</v>
      </c>
      <c r="I753" s="74"/>
      <c r="J753" s="816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818" t="s">
        <v>275</v>
      </c>
      <c r="F754" s="233"/>
      <c r="G754" s="229"/>
      <c r="H754" s="817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299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IFERROR(__xludf.DUMMYFUNCTION("IMPORTRANGE(""https://docs.google.com/spreadsheets/d/1eHaY18a8A9IcSdp1K8H6x8fbOy06t2VsZHhMHf-1x7Y/edit?usp=sharing"",""แผน!GD72"")"),60)</f>
        <v>60</v>
      </c>
      <c r="J755" s="816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298</v>
      </c>
      <c r="G756" s="229"/>
      <c r="H756" s="218" t="s">
        <v>46</v>
      </c>
      <c r="I756" s="74"/>
      <c r="J756" s="816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4"/>
      <c r="B757" s="764"/>
      <c r="C757" s="764"/>
      <c r="D757" s="765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60</v>
      </c>
      <c r="J758" s="760">
        <f>J772</f>
        <v>60</v>
      </c>
      <c r="K758" s="746">
        <f ca="1">IF(I758&gt;0,J758*100/I758,0)</f>
        <v>100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100</v>
      </c>
      <c r="J759" s="760">
        <f>J774</f>
        <v>100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413100</v>
      </c>
      <c r="R760" s="266">
        <f ca="1">R761+R762</f>
        <v>413100</v>
      </c>
      <c r="S760" s="266">
        <f ca="1">S761+S762</f>
        <v>273540</v>
      </c>
      <c r="T760" s="266">
        <f ca="1">IF(Q760&gt;0,S760*100/Q760,0)</f>
        <v>66.216412490922295</v>
      </c>
      <c r="U760" s="266">
        <f ca="1">IF(R760&gt;0,S760*100/R760,0)</f>
        <v>66.216412490922295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413100</v>
      </c>
      <c r="R762" s="77">
        <f ca="1">R765+R768</f>
        <v>413100</v>
      </c>
      <c r="S762" s="77">
        <f ca="1">S765+S768</f>
        <v>273540</v>
      </c>
      <c r="T762" s="77">
        <f ca="1">IF(Q762&gt;0,S762*100/Q762,0)</f>
        <v>66.216412490922295</v>
      </c>
      <c r="U762" s="77">
        <f ca="1">IF(R762&gt;0,S762*100/R762,0)</f>
        <v>66.216412490922295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413100</v>
      </c>
      <c r="R763" s="77">
        <f ca="1">R764+R765</f>
        <v>413100</v>
      </c>
      <c r="S763" s="77">
        <f ca="1">S764+S765</f>
        <v>273540</v>
      </c>
      <c r="T763" s="77">
        <f ca="1">IF(Q763&gt;0,S763*100/Q763,0)</f>
        <v>66.216412490922295</v>
      </c>
      <c r="U763" s="77">
        <f ca="1">IF(R763&gt;0,S763*100/R763,0)</f>
        <v>66.216412490922295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IFERROR(__xludf.DUMMYFUNCTION("IMPORTRANGE(""https://docs.google.com/spreadsheets/d/1ItG2mGa2ceCfYo0BwxsXqNm01IGEUdYcSSLTEv9YCik/edit?usp=sharing"",""เบิกจ่ายกองทุน!U72"")"),413100)</f>
        <v>413100</v>
      </c>
      <c r="R765" s="77">
        <f ca="1">IFERROR(__xludf.DUMMYFUNCTION("IMPORTRANGE(""https://docs.google.com/spreadsheets/d/1ItG2mGa2ceCfYo0BwxsXqNm01IGEUdYcSSLTEv9YCik/edit?usp=sharing"",""เบิกจ่ายกองทุน!V72"")"),413100)</f>
        <v>413100</v>
      </c>
      <c r="S765" s="77">
        <f ca="1">IFERROR(__xludf.DUMMYFUNCTION("IMPORTRANGE(""https://docs.google.com/spreadsheets/d/1ItG2mGa2ceCfYo0BwxsXqNm01IGEUdYcSSLTEv9YCik/edit?usp=sharing"",""เบิกจ่ายกองทุน!W72"")"),273540)</f>
        <v>273540</v>
      </c>
      <c r="T765" s="77">
        <f ca="1">IF(Q765&gt;0,S765*100/Q765,0)</f>
        <v>66.216412490922295</v>
      </c>
      <c r="U765" s="77">
        <f ca="1">IF(R765&gt;0,S765*100/R765,0)</f>
        <v>66.216412490922295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IFERROR(__xludf.DUMMYFUNCTION("IMPORTRANGE(""https://docs.google.com/spreadsheets/d/1eHaY18a8A9IcSdp1K8H6x8fbOy06t2VsZHhMHf-1x7Y/edit?usp=sharing"",""แผน!FI72"")"),0)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IFERROR(__xludf.DUMMYFUNCTION("IMPORTRANGE(""https://docs.google.com/spreadsheets/d/1eHaY18a8A9IcSdp1K8H6x8fbOy06t2VsZHhMHf-1x7Y/edit?usp=sharing"",""แผน!FQ72"")"),60)</f>
        <v>60</v>
      </c>
      <c r="J772" s="296">
        <v>60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IFERROR(__xludf.DUMMYFUNCTION("IMPORTRANGE(""https://docs.google.com/spreadsheets/d/1eHaY18a8A9IcSdp1K8H6x8fbOy06t2VsZHhMHf-1x7Y/edit?usp=sharing"",""แผน!FR72"")"),100)</f>
        <v>100</v>
      </c>
      <c r="J774" s="296">
        <v>100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IFERROR(__xludf.DUMMYFUNCTION("IMPORTRANGE(""https://docs.google.com/spreadsheets/d/1eHaY18a8A9IcSdp1K8H6x8fbOy06t2VsZHhMHf-1x7Y/edit?usp=sharing"",""แผน!FS72"")"),100)</f>
        <v>100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IFERROR(__xludf.DUMMYFUNCTION("IMPORTRANGE(""https://docs.google.com/spreadsheets/d/1eHaY18a8A9IcSdp1K8H6x8fbOy06t2VsZHhMHf-1x7Y/edit?usp=sharing"",""แผน!FT72"")"),60)</f>
        <v>60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IFERROR(__xludf.DUMMYFUNCTION("IMPORTRANGE(""https://docs.google.com/spreadsheets/d/10OvvATaaLtwErnr3qtWFcTmtbfpFEt5Bsqel9sXx0uE/edit?usp=sharing"",""งานกองทุน!D72"")"),19135000)</f>
        <v>19135000</v>
      </c>
      <c r="J778" s="295">
        <f ca="1">IFERROR(__xludf.DUMMYFUNCTION("IMPORTRANGE(""https://docs.google.com/spreadsheets/d/10OvvATaaLtwErnr3qtWFcTmtbfpFEt5Bsqel9sXx0uE/edit?usp=sharing"",""งานกองทุน!F72"")"),7769200)</f>
        <v>7769200</v>
      </c>
      <c r="K778" s="77">
        <f ca="1">IF(I778&gt;0,J778*100/I778,0)</f>
        <v>40.602038149986932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IFERROR(__xludf.DUMMYFUNCTION("IMPORTRANGE(""https://docs.google.com/spreadsheets/d/10OvvATaaLtwErnr3qtWFcTmtbfpFEt5Bsqel9sXx0uE/edit?usp=sharing"",""งานกองทุน!C72"")"),457)</f>
        <v>457</v>
      </c>
      <c r="J779" s="295">
        <f ca="1">IFERROR(__xludf.DUMMYFUNCTION("IMPORTRANGE(""https://docs.google.com/spreadsheets/d/10OvvATaaLtwErnr3qtWFcTmtbfpFEt5Bsqel9sXx0uE/edit?usp=sharing"",""งานกองทุน!E72"")"),208)</f>
        <v>208</v>
      </c>
      <c r="K779" s="77">
        <f ca="1">IF(I779&gt;0,J779*100/I779,0)</f>
        <v>45.514223194748361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IFERROR(__xludf.DUMMYFUNCTION("IMPORTRANGE(""https://docs.google.com/spreadsheets/d/10OvvATaaLtwErnr3qtWFcTmtbfpFEt5Bsqel9sXx0uE/edit?usp=sharing"",""งานกองทุน!I72"")"),4117594.02)</f>
        <v>4117594.02</v>
      </c>
      <c r="J780" s="295">
        <f ca="1">IFERROR(__xludf.DUMMYFUNCTION("IMPORTRANGE(""https://docs.google.com/spreadsheets/d/10OvvATaaLtwErnr3qtWFcTmtbfpFEt5Bsqel9sXx0uE/edit?usp=sharing"",""งานกองทุน!K72"")"),270463.28)</f>
        <v>270463.28000000003</v>
      </c>
      <c r="K780" s="77">
        <f ca="1">IF(I780&gt;0,J780*100/I780,0)</f>
        <v>6.5684785504909984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IFERROR(__xludf.DUMMYFUNCTION("IMPORTRANGE(""https://docs.google.com/spreadsheets/d/10OvvATaaLtwErnr3qtWFcTmtbfpFEt5Bsqel9sXx0uE/edit?usp=sharing"",""งานกองทุน!H72"")"),91)</f>
        <v>91</v>
      </c>
      <c r="J781" s="295">
        <f ca="1">IFERROR(__xludf.DUMMYFUNCTION("IMPORTRANGE(""https://docs.google.com/spreadsheets/d/10OvvATaaLtwErnr3qtWFcTmtbfpFEt5Bsqel9sXx0uE/edit?usp=sharing"",""งานกองทุน!J72"")"),48)</f>
        <v>48</v>
      </c>
      <c r="K781" s="77">
        <f ca="1">IF(I781&gt;0,J781*100/I781,0)</f>
        <v>52.747252747252745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IFERROR(__xludf.DUMMYFUNCTION("IMPORTRANGE(""https://docs.google.com/spreadsheets/d/10OvvATaaLtwErnr3qtWFcTmtbfpFEt5Bsqel9sXx0uE/edit?usp=sharing"",""งานกองทุน!N72"")"),1684537.85)</f>
        <v>1684537.85</v>
      </c>
      <c r="J782" s="295">
        <f ca="1">IFERROR(__xludf.DUMMYFUNCTION("IMPORTRANGE(""https://docs.google.com/spreadsheets/d/10OvvATaaLtwErnr3qtWFcTmtbfpFEt5Bsqel9sXx0uE/edit?usp=sharing"",""งานกองทุน!P72"")"),363595.33)</f>
        <v>363595.33</v>
      </c>
      <c r="K782" s="77">
        <f ca="1">IF(I782&gt;0,J782*100/I782,0)</f>
        <v>21.584277848075658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IFERROR(__xludf.DUMMYFUNCTION("IMPORTRANGE(""https://docs.google.com/spreadsheets/d/10OvvATaaLtwErnr3qtWFcTmtbfpFEt5Bsqel9sXx0uE/edit?usp=sharing"",""งานกองทุน!M72"")"),456)</f>
        <v>456</v>
      </c>
      <c r="J783" s="295">
        <f ca="1">IFERROR(__xludf.DUMMYFUNCTION("IMPORTRANGE(""https://docs.google.com/spreadsheets/d/10OvvATaaLtwErnr3qtWFcTmtbfpFEt5Bsqel9sXx0uE/edit?usp=sharing"",""งานกองทุน!O72"")"),143)</f>
        <v>143</v>
      </c>
      <c r="K783" s="77">
        <f ca="1">IF(I783&gt;0,J783*100/I783,0)</f>
        <v>31.359649122807017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IFERROR(__xludf.DUMMYFUNCTION("IMPORTRANGE(""https://docs.google.com/spreadsheets/d/10OvvATaaLtwErnr3qtWFcTmtbfpFEt5Bsqel9sXx0uE/edit?usp=sharing"",""งานกองทุน!S72"")"),10696000)</f>
        <v>10696000</v>
      </c>
      <c r="J784" s="295">
        <f ca="1">IFERROR(__xludf.DUMMYFUNCTION("IMPORTRANGE(""https://docs.google.com/spreadsheets/d/10OvvATaaLtwErnr3qtWFcTmtbfpFEt5Bsqel9sXx0uE/edit?usp=sharing"",""งานกองทุน!U72"")"),6950000)</f>
        <v>6950000</v>
      </c>
      <c r="K784" s="77">
        <f ca="1">IF(I784&gt;0,J784*100/I784,0)</f>
        <v>64.977561705310393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IFERROR(__xludf.DUMMYFUNCTION("IMPORTRANGE(""https://docs.google.com/spreadsheets/d/10OvvATaaLtwErnr3qtWFcTmtbfpFEt5Bsqel9sXx0uE/edit?usp=sharing"",""งานกองทุน!R72"")"),382)</f>
        <v>382</v>
      </c>
      <c r="J785" s="773">
        <f ca="1">IFERROR(__xludf.DUMMYFUNCTION("IMPORTRANGE(""https://docs.google.com/spreadsheets/d/10OvvATaaLtwErnr3qtWFcTmtbfpFEt5Bsqel9sXx0uE/edit?usp=sharing"",""งานกองทุน!T72"")"),157)</f>
        <v>157</v>
      </c>
      <c r="K785" s="185">
        <f ca="1">IF(I785&gt;0,J785*100/I785,0)</f>
        <v>41.099476439790578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9109-6266-450A-BEBC-43E4BE36953A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W62" sqref="W62"/>
      <selection pane="topRight" activeCell="W62" sqref="W62"/>
      <selection pane="bottomLeft" activeCell="W62" sqref="W62"/>
      <selection pane="bottomRight" activeCell="W62" sqref="W62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3.285156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  <col min="17" max="18" width="18.7109375" bestFit="1" customWidth="1"/>
    <col min="19" max="19" width="16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1257" t="s">
        <v>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</row>
    <row r="2" spans="1:21" ht="19.5" x14ac:dyDescent="0.3">
      <c r="A2" s="1257" t="s">
        <v>360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</row>
    <row r="3" spans="1:21" ht="19.5" x14ac:dyDescent="0.3">
      <c r="A3" s="1257" t="s">
        <v>361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</row>
    <row r="4" spans="1:21" ht="19.5" x14ac:dyDescent="0.3">
      <c r="A4" s="617"/>
      <c r="B4" s="617"/>
      <c r="C4" s="617"/>
      <c r="D4" s="617"/>
      <c r="E4" s="617"/>
      <c r="F4" s="617"/>
      <c r="G4" s="617"/>
      <c r="H4" s="617"/>
      <c r="I4" s="617"/>
      <c r="J4" s="609"/>
      <c r="K4" s="1255"/>
      <c r="L4" s="1057" t="s">
        <v>2</v>
      </c>
      <c r="M4" s="789"/>
      <c r="N4" s="789"/>
      <c r="O4" s="789"/>
      <c r="P4" s="787"/>
      <c r="Q4" s="1056" t="s">
        <v>3</v>
      </c>
      <c r="R4" s="789"/>
      <c r="S4" s="789"/>
      <c r="T4" s="789"/>
      <c r="U4" s="787"/>
    </row>
    <row r="5" spans="1:21" ht="19.5" x14ac:dyDescent="0.3">
      <c r="A5" s="1254" t="s">
        <v>4</v>
      </c>
      <c r="B5" s="791"/>
      <c r="C5" s="791"/>
      <c r="D5" s="791"/>
      <c r="E5" s="791"/>
      <c r="F5" s="791"/>
      <c r="G5" s="1253"/>
      <c r="H5" s="1252" t="s">
        <v>5</v>
      </c>
      <c r="I5" s="1251" t="s">
        <v>6</v>
      </c>
      <c r="J5" s="789"/>
      <c r="K5" s="787"/>
      <c r="L5" s="786" t="s">
        <v>7</v>
      </c>
      <c r="M5" s="787"/>
      <c r="N5" s="788" t="s">
        <v>8</v>
      </c>
      <c r="O5" s="789"/>
      <c r="P5" s="787"/>
      <c r="Q5" s="1053" t="s">
        <v>7</v>
      </c>
      <c r="R5" s="787"/>
      <c r="S5" s="788" t="s">
        <v>8</v>
      </c>
      <c r="T5" s="789"/>
      <c r="U5" s="787"/>
    </row>
    <row r="6" spans="1:21" ht="19.5" x14ac:dyDescent="0.3">
      <c r="A6" s="799"/>
      <c r="B6" s="789"/>
      <c r="C6" s="789"/>
      <c r="D6" s="789"/>
      <c r="E6" s="789"/>
      <c r="F6" s="789"/>
      <c r="G6" s="787"/>
      <c r="H6" s="1250"/>
      <c r="I6" s="1248" t="s">
        <v>9</v>
      </c>
      <c r="J6" s="1249" t="s">
        <v>10</v>
      </c>
      <c r="K6" s="1248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52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247"/>
      <c r="B7" s="789"/>
      <c r="C7" s="789"/>
      <c r="D7" s="789"/>
      <c r="E7" s="789"/>
      <c r="F7" s="789"/>
      <c r="G7" s="787"/>
      <c r="H7" s="1121"/>
      <c r="I7" s="1119"/>
      <c r="J7" s="1119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25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25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25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25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25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25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25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25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37"/>
      <c r="B16" s="1122"/>
      <c r="C16" s="1122"/>
      <c r="D16" s="1122"/>
      <c r="E16" s="1122"/>
      <c r="F16" s="1122"/>
      <c r="G16" s="1121"/>
      <c r="H16" s="1121"/>
      <c r="I16" s="1119"/>
      <c r="J16" s="1119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246" t="s">
        <v>321</v>
      </c>
      <c r="B17" s="789"/>
      <c r="C17" s="789"/>
      <c r="D17" s="789"/>
      <c r="E17" s="789"/>
      <c r="F17" s="789"/>
      <c r="G17" s="787"/>
      <c r="H17" s="1245"/>
      <c r="I17" s="1244"/>
      <c r="J17" s="1244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41"/>
      <c r="B18" s="254"/>
      <c r="C18" s="253" t="s">
        <v>18</v>
      </c>
      <c r="D18" s="1243" t="s">
        <v>19</v>
      </c>
      <c r="E18" s="254"/>
      <c r="F18" s="254"/>
      <c r="G18" s="256"/>
      <c r="H18" s="1242" t="s">
        <v>14</v>
      </c>
      <c r="I18" s="680"/>
      <c r="J18" s="680"/>
      <c r="K18" s="210"/>
      <c r="L18" s="61">
        <f ca="1">L19+L20</f>
        <v>1084345</v>
      </c>
      <c r="M18" s="62">
        <f ca="1">M19+M20</f>
        <v>1107345</v>
      </c>
      <c r="N18" s="62">
        <f ca="1">N19+N20</f>
        <v>924635.85</v>
      </c>
      <c r="O18" s="62">
        <f ca="1">IF(L18&gt;0,N18*100/L18,0)</f>
        <v>85.271371196436561</v>
      </c>
      <c r="P18" s="62">
        <f ca="1">IF(M18&gt;0,N18*100/M18,0)</f>
        <v>83.500250599406684</v>
      </c>
      <c r="Q18" s="62">
        <f ca="1">Q19+Q20</f>
        <v>172105</v>
      </c>
      <c r="R18" s="62">
        <f ca="1">R19+R20</f>
        <v>172105</v>
      </c>
      <c r="S18" s="62">
        <f ca="1">S19+S20</f>
        <v>18315</v>
      </c>
      <c r="T18" s="62">
        <f ca="1">IF(Q18&gt;0,S18*100/Q18,0)</f>
        <v>10.641759391069405</v>
      </c>
      <c r="U18" s="62">
        <f ca="1">IF(R18&gt;0,S18*100/R18,0)</f>
        <v>10.641759391069405</v>
      </c>
    </row>
    <row r="19" spans="1:21" ht="18.75" hidden="1" x14ac:dyDescent="0.25">
      <c r="A19" s="1241"/>
      <c r="B19" s="254"/>
      <c r="C19" s="254"/>
      <c r="D19" s="254"/>
      <c r="E19" s="1043" t="s">
        <v>20</v>
      </c>
      <c r="F19" s="254"/>
      <c r="G19" s="256"/>
      <c r="H19" s="1040" t="s">
        <v>14</v>
      </c>
      <c r="I19" s="680"/>
      <c r="J19" s="680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41"/>
      <c r="B20" s="254"/>
      <c r="C20" s="254"/>
      <c r="D20" s="254"/>
      <c r="E20" s="1240" t="s">
        <v>21</v>
      </c>
      <c r="F20" s="254"/>
      <c r="G20" s="256"/>
      <c r="H20" s="1239" t="s">
        <v>14</v>
      </c>
      <c r="I20" s="680"/>
      <c r="J20" s="680"/>
      <c r="K20" s="210"/>
      <c r="L20" s="67">
        <f ca="1">L23+L26</f>
        <v>1084345</v>
      </c>
      <c r="M20" s="68">
        <f ca="1">M23+M26</f>
        <v>1107345</v>
      </c>
      <c r="N20" s="68">
        <f ca="1">N23+N26</f>
        <v>924635.85</v>
      </c>
      <c r="O20" s="68">
        <f ca="1">IF(L20&gt;0,N20*100/L20,0)</f>
        <v>85.271371196436561</v>
      </c>
      <c r="P20" s="68">
        <f ca="1">IF(M20&gt;0,N20*100/M20,0)</f>
        <v>83.500250599406684</v>
      </c>
      <c r="Q20" s="68">
        <f ca="1">Q23+Q26</f>
        <v>172105</v>
      </c>
      <c r="R20" s="68">
        <f ca="1">R23+R26</f>
        <v>172105</v>
      </c>
      <c r="S20" s="68">
        <f ca="1">S23+S26</f>
        <v>18315</v>
      </c>
      <c r="T20" s="68">
        <f ca="1">IF(Q20&gt;0,S20*100/Q20,0)</f>
        <v>10.641759391069405</v>
      </c>
      <c r="U20" s="68">
        <f ca="1">IF(R20&gt;0,S20*100/R20,0)</f>
        <v>10.641759391069405</v>
      </c>
    </row>
    <row r="21" spans="1:21" ht="18.75" x14ac:dyDescent="0.25">
      <c r="A21" s="1001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1084345</v>
      </c>
      <c r="M21" s="77">
        <f ca="1">M22+M23</f>
        <v>1107345</v>
      </c>
      <c r="N21" s="77">
        <f ca="1">N22+N23</f>
        <v>924635.85</v>
      </c>
      <c r="O21" s="77">
        <f ca="1">IF(L21&gt;0,N21*100/L21,0)</f>
        <v>85.271371196436561</v>
      </c>
      <c r="P21" s="77">
        <f ca="1">IF(M21&gt;0,N21*100/M21,0)</f>
        <v>83.500250599406684</v>
      </c>
      <c r="Q21" s="77">
        <f ca="1">Q22+Q23</f>
        <v>172105</v>
      </c>
      <c r="R21" s="77">
        <f ca="1">R22+R23</f>
        <v>172105</v>
      </c>
      <c r="S21" s="77">
        <f ca="1">S22+S23</f>
        <v>18315</v>
      </c>
      <c r="T21" s="77">
        <f ca="1">IF(Q21&gt;0,S21*100/Q21,0)</f>
        <v>10.641759391069405</v>
      </c>
      <c r="U21" s="77">
        <f ca="1">IF(R21&gt;0,S21*100/R21,0)</f>
        <v>10.641759391069405</v>
      </c>
    </row>
    <row r="22" spans="1:21" ht="18.75" hidden="1" x14ac:dyDescent="0.25">
      <c r="A22" s="1001"/>
      <c r="B22" s="260"/>
      <c r="C22" s="260"/>
      <c r="D22" s="260"/>
      <c r="E22" s="267" t="s">
        <v>20</v>
      </c>
      <c r="F22" s="260"/>
      <c r="G22" s="263"/>
      <c r="H22" s="986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01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1084345</v>
      </c>
      <c r="M23" s="77">
        <f ca="1">M49+M64+M77+M99+M130+M144+M162+M191+M178+M271+M287+M308+M325+M338+M361+M518</f>
        <v>1107345</v>
      </c>
      <c r="N23" s="77">
        <f ca="1">N49+N64+N77+N99+N130+N144+N162+N191+N178+N271+N287+N308+N325+N338+N361+N518</f>
        <v>924635.85</v>
      </c>
      <c r="O23" s="77">
        <f ca="1">IF(L23&gt;0,N23*100/L23,0)</f>
        <v>85.271371196436561</v>
      </c>
      <c r="P23" s="77">
        <f ca="1">IF(M23&gt;0,N23*100/M23,0)</f>
        <v>83.500250599406684</v>
      </c>
      <c r="Q23" s="77">
        <f ca="1">Q77+Q99+Q122+Q144+Q162+Q178+Q191+Q271+Q287+Q308+Q338+Q380+Q397+Q418+Q498+Q604+Q621+Q647+Q695+Q719+Q733+Q765</f>
        <v>172105</v>
      </c>
      <c r="R23" s="77">
        <f ca="1">R77+R99+R122+R144+R162+R178+R191+R271+R287+R308+R338+R380+R397+R418+R498+R604+R621+R647+R695+R719+R733+R765</f>
        <v>172105</v>
      </c>
      <c r="S23" s="77">
        <f ca="1">S77+S99+S122+S144+S162+S178+S191+S271+S287+S308+S338+S380+S397+S418+S498+S604+S621+S647+S695+S719+S733+S765</f>
        <v>18315</v>
      </c>
      <c r="T23" s="77">
        <f ca="1">IF(Q23&gt;0,S23*100/Q23,0)</f>
        <v>10.641759391069405</v>
      </c>
      <c r="U23" s="77">
        <f ca="1">IF(R23&gt;0,S23*100/R23,0)</f>
        <v>10.641759391069405</v>
      </c>
    </row>
    <row r="24" spans="1:21" ht="18.75" x14ac:dyDescent="0.25">
      <c r="A24" s="1001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>Q25+Q26</f>
        <v>0</v>
      </c>
      <c r="R24" s="77">
        <f>R25+R26</f>
        <v>0</v>
      </c>
      <c r="S24" s="77">
        <f>S25+S26</f>
        <v>0</v>
      </c>
      <c r="T24" s="77">
        <f>IF(Q24&gt;0,S24*100/Q24,0)</f>
        <v>0</v>
      </c>
      <c r="U24" s="77">
        <f>IF(R24&gt;0,S24*100/R24,0)</f>
        <v>0</v>
      </c>
    </row>
    <row r="25" spans="1:21" ht="18.75" hidden="1" x14ac:dyDescent="0.25">
      <c r="A25" s="1001"/>
      <c r="B25" s="260"/>
      <c r="C25" s="260"/>
      <c r="D25" s="260"/>
      <c r="E25" s="267" t="s">
        <v>20</v>
      </c>
      <c r="F25" s="260"/>
      <c r="G25" s="263"/>
      <c r="H25" s="986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01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>Q80+Q102+Q125+Q147+Q165+Q181+Q194+Q274+Q290+Q311+Q341+Q383+Q400+Q421+Q501+Q607+Q624+Q650+Q698+Q722+Q736+Q768</f>
        <v>0</v>
      </c>
      <c r="R26" s="80">
        <f>R80+R102+R125+R147+R165+R181+R194+R274+R290+R311+R341+R383+R400+R421+R501+R607+R624+R650+R698+R722+R736+R768</f>
        <v>0</v>
      </c>
      <c r="S26" s="80">
        <f>S80+S102+S125+S147+S165+S181+S194+S274+S290+S311+S341+S383+S400+S421+S501+S607+S624+S650+S698+S722+S736+S768</f>
        <v>0</v>
      </c>
      <c r="T26" s="77">
        <f>IF(Q26&gt;0,S26*100/Q26,0)</f>
        <v>0</v>
      </c>
      <c r="U26" s="77">
        <f>IF(R26&gt;0,S26*100/R26,0)</f>
        <v>0</v>
      </c>
    </row>
    <row r="27" spans="1:21" ht="18.75" x14ac:dyDescent="0.25">
      <c r="A27" s="1001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01"/>
      <c r="B28" s="260"/>
      <c r="C28" s="260"/>
      <c r="D28" s="260"/>
      <c r="E28" s="267" t="s">
        <v>20</v>
      </c>
      <c r="F28" s="260"/>
      <c r="G28" s="263"/>
      <c r="H28" s="986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00"/>
      <c r="B29" s="617"/>
      <c r="C29" s="617"/>
      <c r="D29" s="617"/>
      <c r="E29" s="999" t="s">
        <v>21</v>
      </c>
      <c r="F29" s="617"/>
      <c r="G29" s="618"/>
      <c r="H29" s="998" t="s">
        <v>14</v>
      </c>
      <c r="I29" s="612"/>
      <c r="J29" s="612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47"/>
      <c r="B30" s="789"/>
      <c r="C30" s="789"/>
      <c r="D30" s="789"/>
      <c r="E30" s="789"/>
      <c r="F30" s="789"/>
      <c r="G30" s="787"/>
      <c r="H30" s="1121"/>
      <c r="I30" s="1119"/>
      <c r="J30" s="1119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25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25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25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25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25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25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25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25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37"/>
      <c r="B39" s="1122"/>
      <c r="C39" s="1122"/>
      <c r="D39" s="1122"/>
      <c r="E39" s="1122"/>
      <c r="F39" s="1122"/>
      <c r="G39" s="1121"/>
      <c r="H39" s="1121"/>
      <c r="I39" s="1119"/>
      <c r="J39" s="1119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36" t="s">
        <v>25</v>
      </c>
      <c r="B40" s="1235"/>
      <c r="C40" s="1235"/>
      <c r="D40" s="1235"/>
      <c r="E40" s="1235"/>
      <c r="F40" s="1235"/>
      <c r="G40" s="1234"/>
      <c r="H40" s="1234"/>
      <c r="I40" s="1233"/>
      <c r="J40" s="1233"/>
      <c r="K40" s="1019"/>
      <c r="L40" s="1311">
        <f ca="1">L44+L59+L72+L94+L125+L139+L157+L173+L186+L266+L282+L303+L320+L333+L356</f>
        <v>1084345</v>
      </c>
      <c r="M40" s="1308">
        <f ca="1">M44+M59+M72+M94+M125+M139+M157+M173+M186+M266+M282+M303+M320+M333+M356</f>
        <v>1107345</v>
      </c>
      <c r="N40" s="1308">
        <f ca="1">N44+N59+N72+N94+N125+N139+N157+N173+N186+N266+N282+N303+N320+N333+N356</f>
        <v>924635.85</v>
      </c>
      <c r="O40" s="1308">
        <f ca="1">IF(L40&gt;0,N40*100/L40,0)</f>
        <v>85.271371196436561</v>
      </c>
      <c r="P40" s="1308">
        <f ca="1">IF(M40&gt;0,N40*100/M40,0)</f>
        <v>83.500250599406684</v>
      </c>
      <c r="Q40" s="1019"/>
      <c r="R40" s="1019"/>
      <c r="S40" s="1019"/>
      <c r="T40" s="1019"/>
      <c r="U40" s="1019"/>
    </row>
    <row r="41" spans="1:21" ht="19.5" x14ac:dyDescent="0.3">
      <c r="A41" s="1232" t="s">
        <v>26</v>
      </c>
      <c r="B41" s="1231"/>
      <c r="C41" s="1231"/>
      <c r="D41" s="1231"/>
      <c r="E41" s="1231"/>
      <c r="F41" s="1231"/>
      <c r="G41" s="1231"/>
      <c r="H41" s="1231"/>
      <c r="I41" s="1230"/>
      <c r="J41" s="1230"/>
      <c r="K41" s="1018"/>
      <c r="L41" s="1018"/>
      <c r="M41" s="1018"/>
      <c r="N41" s="1018"/>
      <c r="O41" s="1018"/>
      <c r="P41" s="1017"/>
      <c r="Q41" s="1018"/>
      <c r="R41" s="1018"/>
      <c r="S41" s="1018"/>
      <c r="T41" s="1018"/>
      <c r="U41" s="1017"/>
    </row>
    <row r="42" spans="1:21" ht="19.5" x14ac:dyDescent="0.3">
      <c r="A42" s="1228"/>
      <c r="B42" s="1229" t="s">
        <v>27</v>
      </c>
      <c r="C42" s="1228"/>
      <c r="D42" s="1228"/>
      <c r="E42" s="1228"/>
      <c r="F42" s="1228"/>
      <c r="G42" s="1227"/>
      <c r="H42" s="1227"/>
      <c r="I42" s="1226"/>
      <c r="J42" s="1226"/>
      <c r="K42" s="1015"/>
      <c r="L42" s="1016"/>
      <c r="M42" s="1015"/>
      <c r="N42" s="1015"/>
      <c r="O42" s="1015"/>
      <c r="P42" s="1015"/>
      <c r="Q42" s="1015"/>
      <c r="R42" s="1015"/>
      <c r="S42" s="1015"/>
      <c r="T42" s="1015"/>
      <c r="U42" s="1015"/>
    </row>
    <row r="43" spans="1:21" ht="12.75" hidden="1" x14ac:dyDescent="0.2">
      <c r="A43" s="1225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21"/>
      <c r="B44" s="1219"/>
      <c r="C44" s="1224" t="s">
        <v>18</v>
      </c>
      <c r="D44" s="1223" t="s">
        <v>19</v>
      </c>
      <c r="E44" s="1219"/>
      <c r="F44" s="1219"/>
      <c r="G44" s="1218"/>
      <c r="H44" s="1222" t="s">
        <v>14</v>
      </c>
      <c r="I44" s="1216"/>
      <c r="J44" s="1216"/>
      <c r="K44" s="1215"/>
      <c r="L44" s="1305">
        <f ca="1">L45+L46</f>
        <v>84500</v>
      </c>
      <c r="M44" s="1304">
        <f ca="1">M45+M46</f>
        <v>92470</v>
      </c>
      <c r="N44" s="1304">
        <f ca="1">N45+N46</f>
        <v>88430</v>
      </c>
      <c r="O44" s="1304">
        <f ca="1">IF(L44&gt;0,N44*100/L44,0)</f>
        <v>104.6508875739645</v>
      </c>
      <c r="P44" s="1304">
        <f ca="1">IF(M44&gt;0,N44*100/M44,0)</f>
        <v>95.63101546447497</v>
      </c>
      <c r="Q44" s="1304">
        <f>Q45+Q46</f>
        <v>0</v>
      </c>
      <c r="R44" s="1304">
        <f>R45+R46</f>
        <v>0</v>
      </c>
      <c r="S44" s="1304">
        <f>S45+S46</f>
        <v>0</v>
      </c>
      <c r="T44" s="1304">
        <f>IF(Q44&gt;0,S44*100/Q44,0)</f>
        <v>0</v>
      </c>
      <c r="U44" s="1304">
        <f>IF(R44&gt;0,S44*100/R44,0)</f>
        <v>0</v>
      </c>
    </row>
    <row r="45" spans="1:21" ht="18.75" hidden="1" x14ac:dyDescent="0.25">
      <c r="A45" s="1221"/>
      <c r="B45" s="1219"/>
      <c r="C45" s="1219"/>
      <c r="D45" s="1219"/>
      <c r="E45" s="1010" t="s">
        <v>20</v>
      </c>
      <c r="F45" s="1219"/>
      <c r="G45" s="1218"/>
      <c r="H45" s="1007" t="s">
        <v>14</v>
      </c>
      <c r="I45" s="1216"/>
      <c r="J45" s="1216"/>
      <c r="K45" s="1215"/>
      <c r="L45" s="1303">
        <f>L48+L51</f>
        <v>0</v>
      </c>
      <c r="M45" s="1302">
        <f>M48+M51</f>
        <v>0</v>
      </c>
      <c r="N45" s="1302">
        <f>N48+N51</f>
        <v>0</v>
      </c>
      <c r="O45" s="1302">
        <f>IF(L45&gt;0,N45*100/L45,0)</f>
        <v>0</v>
      </c>
      <c r="P45" s="1302">
        <f>IF(M45&gt;0,N45*100/M45,0)</f>
        <v>0</v>
      </c>
      <c r="Q45" s="1302">
        <f>Q48+Q51</f>
        <v>0</v>
      </c>
      <c r="R45" s="1302">
        <f>R48+R51</f>
        <v>0</v>
      </c>
      <c r="S45" s="1302">
        <f>S48+S51</f>
        <v>0</v>
      </c>
      <c r="T45" s="1302">
        <f>IF(Q45&gt;0,S45*100/Q45,0)</f>
        <v>0</v>
      </c>
      <c r="U45" s="1302">
        <f>IF(R45&gt;0,S45*100/R45,0)</f>
        <v>0</v>
      </c>
    </row>
    <row r="46" spans="1:21" ht="18.75" hidden="1" x14ac:dyDescent="0.25">
      <c r="A46" s="1221"/>
      <c r="B46" s="1219"/>
      <c r="C46" s="1219"/>
      <c r="D46" s="1219"/>
      <c r="E46" s="1220" t="s">
        <v>21</v>
      </c>
      <c r="F46" s="1219"/>
      <c r="G46" s="1218"/>
      <c r="H46" s="1217" t="s">
        <v>14</v>
      </c>
      <c r="I46" s="1216"/>
      <c r="J46" s="1216"/>
      <c r="K46" s="1215"/>
      <c r="L46" s="1301">
        <f ca="1">L49+L52</f>
        <v>84500</v>
      </c>
      <c r="M46" s="1300">
        <f ca="1">M49+M52</f>
        <v>92470</v>
      </c>
      <c r="N46" s="1300">
        <f ca="1">N49+N52</f>
        <v>88430</v>
      </c>
      <c r="O46" s="1300">
        <f ca="1">IF(L46&gt;0,N46*100/L46,0)</f>
        <v>104.6508875739645</v>
      </c>
      <c r="P46" s="1300">
        <f ca="1">IF(M46&gt;0,N46*100/M46,0)</f>
        <v>95.63101546447497</v>
      </c>
      <c r="Q46" s="1300">
        <f>Q49+Q52</f>
        <v>0</v>
      </c>
      <c r="R46" s="1300">
        <f>R49+R52</f>
        <v>0</v>
      </c>
      <c r="S46" s="1300">
        <f>S49+S52</f>
        <v>0</v>
      </c>
      <c r="T46" s="1300">
        <f>IF(Q46&gt;0,S46*100/Q46,0)</f>
        <v>0</v>
      </c>
      <c r="U46" s="1300">
        <f>IF(R46&gt;0,S46*100/R46,0)</f>
        <v>0</v>
      </c>
    </row>
    <row r="47" spans="1:21" ht="18.75" x14ac:dyDescent="0.25">
      <c r="A47" s="1001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84500</v>
      </c>
      <c r="M47" s="77">
        <f ca="1">M48+M49</f>
        <v>92470</v>
      </c>
      <c r="N47" s="77">
        <f ca="1">N48+N49</f>
        <v>88430</v>
      </c>
      <c r="O47" s="77">
        <f ca="1">IF(L47&gt;0,N47*100/L47,0)</f>
        <v>104.6508875739645</v>
      </c>
      <c r="P47" s="77">
        <f ca="1">IF(M47&gt;0,N47*100/M47,0)</f>
        <v>95.63101546447497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01"/>
      <c r="B48" s="260"/>
      <c r="C48" s="260"/>
      <c r="D48" s="260"/>
      <c r="E48" s="267" t="s">
        <v>20</v>
      </c>
      <c r="F48" s="260"/>
      <c r="G48" s="263"/>
      <c r="H48" s="986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01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IFERROR(__xludf.DUMMYFUNCTION("IMPORTRANGE(""https://docs.google.com/spreadsheets/d/1-uDff_7J0KD5mKrp0Vvzr7lt3OU09vwQwhkpOPPYv2Y/edit?usp=sharing"",""งบพรบ!P73"")"),84500)</f>
        <v>84500</v>
      </c>
      <c r="M49" s="77">
        <f ca="1">IFERROR(__xludf.DUMMYFUNCTION("IMPORTRANGE(""https://docs.google.com/spreadsheets/d/1-uDff_7J0KD5mKrp0Vvzr7lt3OU09vwQwhkpOPPYv2Y/edit?usp=sharing"",""งบพรบ!V73"")"),92470)</f>
        <v>92470</v>
      </c>
      <c r="N49" s="77">
        <f ca="1">IFERROR(__xludf.DUMMYFUNCTION("IMPORTRANGE(""https://docs.google.com/spreadsheets/d/1-uDff_7J0KD5mKrp0Vvzr7lt3OU09vwQwhkpOPPYv2Y/edit?usp=sharing"",""งบพรบ!Y73"")"),88430)</f>
        <v>88430</v>
      </c>
      <c r="O49" s="77">
        <f ca="1">IF(L49&gt;0,N49*100/L49,0)</f>
        <v>104.6508875739645</v>
      </c>
      <c r="P49" s="77">
        <f ca="1">IF(M49&gt;0,N49*100/M49,0)</f>
        <v>95.63101546447497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01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01"/>
      <c r="B51" s="260"/>
      <c r="C51" s="260"/>
      <c r="D51" s="260"/>
      <c r="E51" s="267" t="s">
        <v>20</v>
      </c>
      <c r="F51" s="260"/>
      <c r="G51" s="263"/>
      <c r="H51" s="986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01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IFERROR(__xludf.DUMMYFUNCTION("IMPORTRANGE(""https://docs.google.com/spreadsheets/d/1-uDff_7J0KD5mKrp0Vvzr7lt3OU09vwQwhkpOPPYv2Y/edit?usp=sharing"",""งบพรบ!S73"")"),0)</f>
        <v>0</v>
      </c>
      <c r="M52" s="77">
        <f ca="1">IFERROR(__xludf.DUMMYFUNCTION("IMPORTRANGE(""https://docs.google.com/spreadsheets/d/1-uDff_7J0KD5mKrp0Vvzr7lt3OU09vwQwhkpOPPYv2Y/edit?usp=sharing"",""งบพรบ!W73"")"),0)</f>
        <v>0</v>
      </c>
      <c r="N52" s="77">
        <f ca="1">IFERROR(__xludf.DUMMYFUNCTION("IMPORTRANGE(""https://docs.google.com/spreadsheets/d/1-uDff_7J0KD5mKrp0Vvzr7lt3OU09vwQwhkpOPPYv2Y/edit?usp=sharing"",""งบพรบ!Z73"")"),0)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01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01"/>
      <c r="B54" s="260"/>
      <c r="C54" s="260"/>
      <c r="D54" s="260"/>
      <c r="E54" s="267" t="s">
        <v>20</v>
      </c>
      <c r="F54" s="260"/>
      <c r="G54" s="263"/>
      <c r="H54" s="986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00"/>
      <c r="B55" s="617"/>
      <c r="C55" s="617"/>
      <c r="D55" s="617"/>
      <c r="E55" s="999" t="s">
        <v>21</v>
      </c>
      <c r="F55" s="617"/>
      <c r="G55" s="618"/>
      <c r="H55" s="998" t="s">
        <v>14</v>
      </c>
      <c r="I55" s="612"/>
      <c r="J55" s="612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14" t="s">
        <v>28</v>
      </c>
      <c r="B56" s="789"/>
      <c r="C56" s="789"/>
      <c r="D56" s="789"/>
      <c r="E56" s="789"/>
      <c r="F56" s="789"/>
      <c r="G56" s="787"/>
      <c r="H56" s="1213"/>
      <c r="I56" s="1212"/>
      <c r="J56" s="1212"/>
      <c r="K56" s="997"/>
      <c r="L56" s="997"/>
      <c r="M56" s="997"/>
      <c r="N56" s="997"/>
      <c r="O56" s="997"/>
      <c r="P56" s="996"/>
      <c r="Q56" s="997"/>
      <c r="R56" s="997"/>
      <c r="S56" s="997"/>
      <c r="T56" s="997"/>
      <c r="U56" s="996"/>
    </row>
    <row r="57" spans="1:21" ht="19.5" x14ac:dyDescent="0.3">
      <c r="A57" s="1211"/>
      <c r="B57" s="1210" t="s">
        <v>29</v>
      </c>
      <c r="C57" s="804"/>
      <c r="D57" s="804"/>
      <c r="E57" s="804"/>
      <c r="F57" s="804"/>
      <c r="G57" s="805"/>
      <c r="H57" s="1209"/>
      <c r="I57" s="1208"/>
      <c r="J57" s="1208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07"/>
      <c r="B58" s="1206" t="s">
        <v>30</v>
      </c>
      <c r="C58" s="1205"/>
      <c r="D58" s="1205"/>
      <c r="E58" s="1205"/>
      <c r="F58" s="1205"/>
      <c r="G58" s="1204"/>
      <c r="H58" s="1204"/>
      <c r="I58" s="1203"/>
      <c r="J58" s="1203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199"/>
      <c r="B59" s="1197"/>
      <c r="C59" s="1202" t="s">
        <v>18</v>
      </c>
      <c r="D59" s="1201" t="s">
        <v>19</v>
      </c>
      <c r="E59" s="1197"/>
      <c r="F59" s="1197"/>
      <c r="G59" s="1196"/>
      <c r="H59" s="1200" t="s">
        <v>14</v>
      </c>
      <c r="I59" s="1194"/>
      <c r="J59" s="1194"/>
      <c r="K59" s="1193"/>
      <c r="L59" s="1298">
        <f ca="1">L60+L61</f>
        <v>567400</v>
      </c>
      <c r="M59" s="1297">
        <f ca="1">M60+M61</f>
        <v>567400</v>
      </c>
      <c r="N59" s="1297">
        <f ca="1">N60+N61</f>
        <v>538570.85</v>
      </c>
      <c r="O59" s="1297">
        <f ca="1">IF(L59&gt;0,N59*100/L59,0)</f>
        <v>94.919078251674307</v>
      </c>
      <c r="P59" s="1297">
        <f ca="1">IF(M59&gt;0,N59*100/M59,0)</f>
        <v>94.919078251674307</v>
      </c>
      <c r="Q59" s="1297">
        <f>Q60+Q61</f>
        <v>0</v>
      </c>
      <c r="R59" s="1297">
        <f>R60+R61</f>
        <v>0</v>
      </c>
      <c r="S59" s="1297">
        <f>S60+S61</f>
        <v>0</v>
      </c>
      <c r="T59" s="1297">
        <f>IF(Q59&gt;0,S59*100/Q59,0)</f>
        <v>0</v>
      </c>
      <c r="U59" s="1297">
        <f>IF(R59&gt;0,S59*100/R59,0)</f>
        <v>0</v>
      </c>
    </row>
    <row r="60" spans="1:21" ht="18.75" hidden="1" x14ac:dyDescent="0.25">
      <c r="A60" s="1199"/>
      <c r="B60" s="1197"/>
      <c r="C60" s="1197"/>
      <c r="D60" s="1197"/>
      <c r="E60" s="993" t="s">
        <v>20</v>
      </c>
      <c r="F60" s="1197"/>
      <c r="G60" s="1196"/>
      <c r="H60" s="990" t="s">
        <v>14</v>
      </c>
      <c r="I60" s="1194"/>
      <c r="J60" s="1194"/>
      <c r="K60" s="1193"/>
      <c r="L60" s="1296">
        <f>L63+L66</f>
        <v>0</v>
      </c>
      <c r="M60" s="1295">
        <f>M63+M66</f>
        <v>0</v>
      </c>
      <c r="N60" s="1295">
        <f>N63+N66</f>
        <v>0</v>
      </c>
      <c r="O60" s="1295">
        <f>IF(L60&gt;0,N60*100/L60,0)</f>
        <v>0</v>
      </c>
      <c r="P60" s="1295">
        <f>IF(M60&gt;0,N60*100/M60,0)</f>
        <v>0</v>
      </c>
      <c r="Q60" s="1295">
        <f>Q63+Q66</f>
        <v>0</v>
      </c>
      <c r="R60" s="1295">
        <f>R63+R66</f>
        <v>0</v>
      </c>
      <c r="S60" s="1295">
        <f>S63+S66</f>
        <v>0</v>
      </c>
      <c r="T60" s="1295">
        <f>IF(Q60&gt;0,S60*100/Q60,0)</f>
        <v>0</v>
      </c>
      <c r="U60" s="1295">
        <f>IF(R60&gt;0,S60*100/R60,0)</f>
        <v>0</v>
      </c>
    </row>
    <row r="61" spans="1:21" ht="18.75" hidden="1" x14ac:dyDescent="0.25">
      <c r="A61" s="1199"/>
      <c r="B61" s="1197"/>
      <c r="C61" s="1197"/>
      <c r="D61" s="1197"/>
      <c r="E61" s="1198" t="s">
        <v>21</v>
      </c>
      <c r="F61" s="1197"/>
      <c r="G61" s="1196"/>
      <c r="H61" s="1195" t="s">
        <v>14</v>
      </c>
      <c r="I61" s="1194"/>
      <c r="J61" s="1194"/>
      <c r="K61" s="1193"/>
      <c r="L61" s="1294">
        <f ca="1">L64+L67</f>
        <v>567400</v>
      </c>
      <c r="M61" s="1293">
        <f ca="1">M64+M67</f>
        <v>567400</v>
      </c>
      <c r="N61" s="1293">
        <f ca="1">N64+N67</f>
        <v>538570.85</v>
      </c>
      <c r="O61" s="1293">
        <f ca="1">IF(L61&gt;0,N61*100/L61,0)</f>
        <v>94.919078251674307</v>
      </c>
      <c r="P61" s="1293">
        <f ca="1">IF(M61&gt;0,N61*100/M61,0)</f>
        <v>94.919078251674307</v>
      </c>
      <c r="Q61" s="1293">
        <f>Q64+Q67</f>
        <v>0</v>
      </c>
      <c r="R61" s="1293">
        <f>R64+R67</f>
        <v>0</v>
      </c>
      <c r="S61" s="1293">
        <f>S64+S67</f>
        <v>0</v>
      </c>
      <c r="T61" s="1293">
        <f>IF(Q61&gt;0,S61*100/Q61,0)</f>
        <v>0</v>
      </c>
      <c r="U61" s="1293">
        <f>IF(R61&gt;0,S61*100/R61,0)</f>
        <v>0</v>
      </c>
    </row>
    <row r="62" spans="1:21" ht="18.75" x14ac:dyDescent="0.25">
      <c r="A62" s="1001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567400</v>
      </c>
      <c r="M62" s="77">
        <f ca="1">M63+M64</f>
        <v>567400</v>
      </c>
      <c r="N62" s="77">
        <f ca="1">N63+N64</f>
        <v>538570.85</v>
      </c>
      <c r="O62" s="77">
        <f ca="1">IF(L62&gt;0,N62*100/L62,0)</f>
        <v>94.919078251674307</v>
      </c>
      <c r="P62" s="77">
        <f ca="1">IF(M62&gt;0,N62*100/M62,0)</f>
        <v>94.919078251674307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01"/>
      <c r="B63" s="260"/>
      <c r="C63" s="260"/>
      <c r="D63" s="260"/>
      <c r="E63" s="267" t="s">
        <v>20</v>
      </c>
      <c r="F63" s="260"/>
      <c r="G63" s="263"/>
      <c r="H63" s="986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01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IFERROR(__xludf.DUMMYFUNCTION("IMPORTRANGE(""https://docs.google.com/spreadsheets/d/1-uDff_7J0KD5mKrp0Vvzr7lt3OU09vwQwhkpOPPYv2Y/edit?usp=sharing"",""งบพรบ!AC73"")"),567400)</f>
        <v>567400</v>
      </c>
      <c r="M64" s="77">
        <f ca="1">IFERROR(__xludf.DUMMYFUNCTION("IMPORTRANGE(""https://docs.google.com/spreadsheets/d/1-uDff_7J0KD5mKrp0Vvzr7lt3OU09vwQwhkpOPPYv2Y/edit?usp=sharing"",""งบพรบ!AH73"")"),567400)</f>
        <v>567400</v>
      </c>
      <c r="N64" s="77">
        <f ca="1">IFERROR(__xludf.DUMMYFUNCTION("IMPORTRANGE(""https://docs.google.com/spreadsheets/d/1-uDff_7J0KD5mKrp0Vvzr7lt3OU09vwQwhkpOPPYv2Y/edit?usp=sharing"",""งบพรบ!AJ73"")"),538570.85)</f>
        <v>538570.85</v>
      </c>
      <c r="O64" s="77">
        <f ca="1">IF(L64&gt;0,N64*100/L64,0)</f>
        <v>94.919078251674307</v>
      </c>
      <c r="P64" s="77">
        <f ca="1">IF(M64&gt;0,N64*100/M64,0)</f>
        <v>94.919078251674307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01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01"/>
      <c r="B66" s="260"/>
      <c r="C66" s="260"/>
      <c r="D66" s="260"/>
      <c r="E66" s="267" t="s">
        <v>20</v>
      </c>
      <c r="F66" s="260"/>
      <c r="G66" s="263"/>
      <c r="H66" s="986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x14ac:dyDescent="0.25">
      <c r="A67" s="1000"/>
      <c r="B67" s="617"/>
      <c r="C67" s="617"/>
      <c r="D67" s="617"/>
      <c r="E67" s="999" t="s">
        <v>21</v>
      </c>
      <c r="F67" s="617"/>
      <c r="G67" s="618"/>
      <c r="H67" s="998" t="s">
        <v>14</v>
      </c>
      <c r="I67" s="612"/>
      <c r="J67" s="612"/>
      <c r="K67" s="101"/>
      <c r="L67" s="184">
        <f ca="1">IFERROR(__xludf.DUMMYFUNCTION("IMPORTRANGE(""https://docs.google.com/spreadsheets/d/1-uDff_7J0KD5mKrp0Vvzr7lt3OU09vwQwhkpOPPYv2Y/edit?usp=sharing"",""งบพรบ!AF73"")"),0)</f>
        <v>0</v>
      </c>
      <c r="M67" s="185">
        <f ca="1">IFERROR(__xludf.DUMMYFUNCTION("IMPORTRANGE(""https://docs.google.com/spreadsheets/d/1-uDff_7J0KD5mKrp0Vvzr7lt3OU09vwQwhkpOPPYv2Y/edit?usp=sharing"",""งบพรบ!AI73"")"),0)</f>
        <v>0</v>
      </c>
      <c r="N67" s="185">
        <f ca="1">IFERROR(__xludf.DUMMYFUNCTION("IMPORTRANGE(""https://docs.google.com/spreadsheets/d/1-uDff_7J0KD5mKrp0Vvzr7lt3OU09vwQwhkpOPPYv2Y/edit?usp=sharing"",""งบพรบ!AK73"")"),0)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hidden="1" x14ac:dyDescent="0.3">
      <c r="A68" s="1192" t="s">
        <v>31</v>
      </c>
      <c r="B68" s="1190"/>
      <c r="C68" s="1190"/>
      <c r="D68" s="1190"/>
      <c r="E68" s="1191"/>
      <c r="F68" s="1191"/>
      <c r="G68" s="1191"/>
      <c r="H68" s="1191"/>
      <c r="I68" s="1189"/>
      <c r="J68" s="1189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179" t="s">
        <v>32</v>
      </c>
      <c r="B69" s="672"/>
      <c r="C69" s="674"/>
      <c r="D69" s="672"/>
      <c r="E69" s="672"/>
      <c r="F69" s="672"/>
      <c r="G69" s="1188"/>
      <c r="H69" s="1188"/>
      <c r="I69" s="1186"/>
      <c r="J69" s="1186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34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34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IFERROR(__xludf.DUMMYFUNCTION("IMPORTRANGE(""https://docs.google.com/spreadsheets/d/1-uDff_7J0KD5mKrp0Vvzr7lt3OU09vwQwhkpOPPYv2Y/edit?usp=sharing"",""งบพรบ!AM73"")"),0)</f>
        <v>0</v>
      </c>
      <c r="M77" s="77">
        <f ca="1">IFERROR(__xludf.DUMMYFUNCTION("IMPORTRANGE(""https://docs.google.com/spreadsheets/d/1-uDff_7J0KD5mKrp0Vvzr7lt3OU09vwQwhkpOPPYv2Y/edit?usp=sharing"",""งบพรบ!AR73"")"),0)</f>
        <v>0</v>
      </c>
      <c r="N77" s="77">
        <f ca="1">IFERROR(__xludf.DUMMYFUNCTION("IMPORTRANGE(""https://docs.google.com/spreadsheets/d/1-uDff_7J0KD5mKrp0Vvzr7lt3OU09vwQwhkpOPPYv2Y/edit?usp=sharing"",""งบพรบ!AT73"")"),0)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IFERROR(__xludf.DUMMYFUNCTION("IMPORTRANGE(""https://docs.google.com/spreadsheets/d/1ItG2mGa2ceCfYo0BwxsXqNm01IGEUdYcSSLTEv9YCik/edit?usp=sharing"",""เบิกจ่ายกองทุน!AS73"")"),0)</f>
        <v>0</v>
      </c>
      <c r="R77" s="77">
        <f ca="1">IFERROR(__xludf.DUMMYFUNCTION("IMPORTRANGE(""https://docs.google.com/spreadsheets/d/1ItG2mGa2ceCfYo0BwxsXqNm01IGEUdYcSSLTEv9YCik/edit?usp=sharing"",""เบิกจ่ายกองทุน!AT73"")"),0)</f>
        <v>0</v>
      </c>
      <c r="S77" s="77">
        <f ca="1">IFERROR(__xludf.DUMMYFUNCTION("IMPORTRANGE(""https://docs.google.com/spreadsheets/d/1ItG2mGa2ceCfYo0BwxsXqNm01IGEUdYcSSLTEv9YCik/edit?usp=sharing"",""เบิกจ่ายกองทุน!AU73"")"),0)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>Q79+Q80</f>
        <v>0</v>
      </c>
      <c r="R78" s="77">
        <f>R79+R80</f>
        <v>0</v>
      </c>
      <c r="S78" s="77">
        <f>S79+S80</f>
        <v>0</v>
      </c>
      <c r="T78" s="77">
        <f>IF(Q78&gt;0,S78*100/Q78,0)</f>
        <v>0</v>
      </c>
      <c r="U78" s="77">
        <f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IFERROR(__xludf.DUMMYFUNCTION("IMPORTRANGE(""https://docs.google.com/spreadsheets/d/1-uDff_7J0KD5mKrp0Vvzr7lt3OU09vwQwhkpOPPYv2Y/edit?usp=sharing"",""งบพรบ!AP73"")"),0)</f>
        <v>0</v>
      </c>
      <c r="M80" s="77">
        <f ca="1">IFERROR(__xludf.DUMMYFUNCTION("IMPORTRANGE(""https://docs.google.com/spreadsheets/d/1-uDff_7J0KD5mKrp0Vvzr7lt3OU09vwQwhkpOPPYv2Y/edit?usp=sharing"",""งบพรบ!AS73"")"),0)</f>
        <v>0</v>
      </c>
      <c r="N80" s="77">
        <f ca="1">IFERROR(__xludf.DUMMYFUNCTION("IMPORTRANGE(""https://docs.google.com/spreadsheets/d/1-uDff_7J0KD5mKrp0Vvzr7lt3OU09vwQwhkpOPPYv2Y/edit?usp=sharing"",""งบพรบ!AU73"")"),0)</f>
        <v>0</v>
      </c>
      <c r="O80" s="77">
        <f ca="1">IF(L80&gt;0,N80*100/L80,0)</f>
        <v>0</v>
      </c>
      <c r="P80" s="77">
        <f ca="1">IF(M80&gt;0,N80*100/M80,0)</f>
        <v>0</v>
      </c>
      <c r="Q80" s="77">
        <v>0</v>
      </c>
      <c r="R80" s="77">
        <v>0</v>
      </c>
      <c r="S80" s="77">
        <v>0</v>
      </c>
      <c r="T80" s="77">
        <f>IF(Q80&gt;0,S80*100/Q80,0)</f>
        <v>0</v>
      </c>
      <c r="U80" s="77">
        <f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37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7" t="s">
        <v>39</v>
      </c>
      <c r="E82" s="292"/>
      <c r="F82" s="292"/>
      <c r="G82" s="284"/>
      <c r="H82" s="1126" t="s">
        <v>34</v>
      </c>
      <c r="I82" s="603">
        <f ca="1">I84+I86+I88</f>
        <v>0</v>
      </c>
      <c r="J82" s="603">
        <f>J84+J86+J88</f>
        <v>0</v>
      </c>
      <c r="K82" s="1125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26" t="s">
        <v>35</v>
      </c>
      <c r="I83" s="603">
        <f ca="1">I85+I87+I89</f>
        <v>0</v>
      </c>
      <c r="J83" s="603">
        <f>J85+J87+J89</f>
        <v>0</v>
      </c>
      <c r="K83" s="1125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IFERROR(__xludf.DUMMYFUNCTION("IMPORTRANGE(""https://docs.google.com/spreadsheets/d/1eHaY18a8A9IcSdp1K8H6x8fbOy06t2VsZHhMHf-1x7Y/edit?usp=sharing"",""แผน!H73"")"),0)</f>
        <v>0</v>
      </c>
      <c r="J84" s="296">
        <v>0</v>
      </c>
      <c r="K84" s="748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IFERROR(__xludf.DUMMYFUNCTION("IMPORTRANGE(""https://docs.google.com/spreadsheets/d/1eHaY18a8A9IcSdp1K8H6x8fbOy06t2VsZHhMHf-1x7Y/edit?usp=sharing"",""แผน!I73"")"),0)</f>
        <v>0</v>
      </c>
      <c r="J85" s="296">
        <v>0</v>
      </c>
      <c r="K85" s="748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IFERROR(__xludf.DUMMYFUNCTION("IMPORTRANGE(""https://docs.google.com/spreadsheets/d/1eHaY18a8A9IcSdp1K8H6x8fbOy06t2VsZHhMHf-1x7Y/edit?usp=sharing"",""แผน!F73"")"),0)</f>
        <v>0</v>
      </c>
      <c r="J86" s="296">
        <v>0</v>
      </c>
      <c r="K86" s="748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IFERROR(__xludf.DUMMYFUNCTION("IMPORTRANGE(""https://docs.google.com/spreadsheets/d/1eHaY18a8A9IcSdp1K8H6x8fbOy06t2VsZHhMHf-1x7Y/edit?usp=sharing"",""แผน!G73"")"),0)</f>
        <v>0</v>
      </c>
      <c r="J87" s="296">
        <v>0</v>
      </c>
      <c r="K87" s="748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IFERROR(__xludf.DUMMYFUNCTION("IMPORTRANGE(""https://docs.google.com/spreadsheets/d/1eHaY18a8A9IcSdp1K8H6x8fbOy06t2VsZHhMHf-1x7Y/edit?usp=sharing"",""แผน!D73"")"),0)</f>
        <v>0</v>
      </c>
      <c r="J88" s="296">
        <v>0</v>
      </c>
      <c r="K88" s="748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IFERROR(__xludf.DUMMYFUNCTION("IMPORTRANGE(""https://docs.google.com/spreadsheets/d/1eHaY18a8A9IcSdp1K8H6x8fbOy06t2VsZHhMHf-1x7Y/edit?usp=sharing"",""แผน!E73"")"),0)</f>
        <v>0</v>
      </c>
      <c r="J89" s="296">
        <v>0</v>
      </c>
      <c r="K89" s="748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7" t="s">
        <v>43</v>
      </c>
      <c r="E90" s="292"/>
      <c r="F90" s="292"/>
      <c r="G90" s="284"/>
      <c r="H90" s="1095" t="s">
        <v>34</v>
      </c>
      <c r="I90" s="298">
        <f ca="1">IFERROR(__xludf.DUMMYFUNCTION("IMPORTRANGE(""https://docs.google.com/spreadsheets/d/1eHaY18a8A9IcSdp1K8H6x8fbOy06t2VsZHhMHf-1x7Y/edit?usp=sharing"",""แผน!J73"")"),0)</f>
        <v>0</v>
      </c>
      <c r="J90" s="296">
        <v>0</v>
      </c>
      <c r="K90" s="748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179" t="s">
        <v>44</v>
      </c>
      <c r="B91" s="672"/>
      <c r="C91" s="674"/>
      <c r="D91" s="672"/>
      <c r="E91" s="672"/>
      <c r="F91" s="672"/>
      <c r="G91" s="1188"/>
      <c r="H91" s="1188"/>
      <c r="I91" s="1186"/>
      <c r="J91" s="1186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34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34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IFERROR(__xludf.DUMMYFUNCTION("IMPORTRANGE(""https://docs.google.com/spreadsheets/d/1-uDff_7J0KD5mKrp0Vvzr7lt3OU09vwQwhkpOPPYv2Y/edit?usp=sharing"",""งบพรบ!AW73"")"),0)</f>
        <v>0</v>
      </c>
      <c r="M99" s="77">
        <f ca="1">IFERROR(__xludf.DUMMYFUNCTION("IMPORTRANGE(""https://docs.google.com/spreadsheets/d/1-uDff_7J0KD5mKrp0Vvzr7lt3OU09vwQwhkpOPPYv2Y/edit?usp=sharing"",""งบพรบ!BB73"")"),0)</f>
        <v>0</v>
      </c>
      <c r="N99" s="77">
        <f ca="1">IFERROR(__xludf.DUMMYFUNCTION("IMPORTRANGE(""https://docs.google.com/spreadsheets/d/1-uDff_7J0KD5mKrp0Vvzr7lt3OU09vwQwhkpOPPYv2Y/edit?usp=sharing"",""งบพรบ!BD73"")"),0)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IFERROR(__xludf.DUMMYFUNCTION("IMPORTRANGE(""https://docs.google.com/spreadsheets/d/1ItG2mGa2ceCfYo0BwxsXqNm01IGEUdYcSSLTEv9YCik/edit?usp=sharing"",""เบิกจ่ายกองทุน!AD73"")"),0)</f>
        <v>0</v>
      </c>
      <c r="R99" s="77">
        <f ca="1">IFERROR(__xludf.DUMMYFUNCTION("IMPORTRANGE(""https://docs.google.com/spreadsheets/d/1ItG2mGa2ceCfYo0BwxsXqNm01IGEUdYcSSLTEv9YCik/edit?usp=sharing"",""เบิกจ่ายกองทุน!AE73"")"),0)</f>
        <v>0</v>
      </c>
      <c r="S99" s="77">
        <f ca="1">IFERROR(__xludf.DUMMYFUNCTION("IMPORTRANGE(""https://docs.google.com/spreadsheets/d/1ItG2mGa2ceCfYo0BwxsXqNm01IGEUdYcSSLTEv9YCik/edit?usp=sharing"",""เบิกจ่ายกองทุน!AF73"")"),0)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IFERROR(__xludf.DUMMYFUNCTION("IMPORTRANGE(""https://docs.google.com/spreadsheets/d/1-uDff_7J0KD5mKrp0Vvzr7lt3OU09vwQwhkpOPPYv2Y/edit?usp=sharing"",""งบพรบ!AZ73"")"),0)</f>
        <v>0</v>
      </c>
      <c r="M102" s="77">
        <f ca="1">IFERROR(__xludf.DUMMYFUNCTION("IMPORTRANGE(""https://docs.google.com/spreadsheets/d/1-uDff_7J0KD5mKrp0Vvzr7lt3OU09vwQwhkpOPPYv2Y/edit?usp=sharing"",""งบพรบ!BC73"")"),0)</f>
        <v>0</v>
      </c>
      <c r="N102" s="77">
        <f ca="1">IFERROR(__xludf.DUMMYFUNCTION("IMPORTRANGE(""https://docs.google.com/spreadsheets/d/1-uDff_7J0KD5mKrp0Vvzr7lt3OU09vwQwhkpOPPYv2Y/edit?usp=sharing"",""งบพรบ!BE73"")"),0)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37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IFERROR(__xludf.DUMMYFUNCTION("IMPORTRANGE(""https://docs.google.com/spreadsheets/d/1eHaY18a8A9IcSdp1K8H6x8fbOy06t2VsZHhMHf-1x7Y/edit?usp=sharing"",""แผน!N73"")"),0)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IFERROR(__xludf.DUMMYFUNCTION("IMPORTRANGE(""https://docs.google.com/spreadsheets/d/1eHaY18a8A9IcSdp1K8H6x8fbOy06t2VsZHhMHf-1x7Y/edit?usp=sharing"",""แผน!O73"")"),0)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IFERROR(__xludf.DUMMYFUNCTION("IMPORTRANGE(""https://docs.google.com/spreadsheets/d/1eHaY18a8A9IcSdp1K8H6x8fbOy06t2VsZHhMHf-1x7Y/edit?usp=sharing"",""แผน!R73"")"),0)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hidden="1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hidden="1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0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hidden="1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0</v>
      </c>
      <c r="R117" s="266">
        <f ca="1">R118+R119</f>
        <v>0</v>
      </c>
      <c r="S117" s="266">
        <f ca="1">S118+S119</f>
        <v>0</v>
      </c>
      <c r="T117" s="266">
        <f ca="1">IF(Q117&gt;0,S117*100/Q117,0)</f>
        <v>0</v>
      </c>
      <c r="U117" s="266">
        <f ca="1">IF(R117&gt;0,S117*100/R117,0)</f>
        <v>0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0</v>
      </c>
      <c r="R119" s="77">
        <f ca="1">R122+R125</f>
        <v>0</v>
      </c>
      <c r="S119" s="77">
        <f ca="1">S122+S125</f>
        <v>0</v>
      </c>
      <c r="T119" s="77">
        <f ca="1">IF(Q119&gt;0,S119*100/Q119,0)</f>
        <v>0</v>
      </c>
      <c r="U119" s="77">
        <f ca="1">IF(R119&gt;0,S119*100/R119,0)</f>
        <v>0</v>
      </c>
    </row>
    <row r="120" spans="1:21" ht="18.75" hidden="1" x14ac:dyDescent="0.25">
      <c r="A120" s="259"/>
      <c r="B120" s="271"/>
      <c r="C120" s="305"/>
      <c r="D120" s="900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0</v>
      </c>
      <c r="R120" s="77">
        <f ca="1">R121+R122</f>
        <v>0</v>
      </c>
      <c r="S120" s="77">
        <f ca="1">S121+S122</f>
        <v>0</v>
      </c>
      <c r="T120" s="77">
        <f ca="1">IF(Q120&gt;0,S120*100/Q120,0)</f>
        <v>0</v>
      </c>
      <c r="U120" s="77">
        <f ca="1">IF(R120&gt;0,S120*100/R120,0)</f>
        <v>0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IFERROR(__xludf.DUMMYFUNCTION("IMPORTRANGE(""https://docs.google.com/spreadsheets/d/1-uDff_7J0KD5mKrp0Vvzr7lt3OU09vwQwhkpOPPYv2Y/edit?usp=sharing"",""งบพรบ!BG73"")"),0)</f>
        <v>0</v>
      </c>
      <c r="M122" s="77">
        <f ca="1">IFERROR(__xludf.DUMMYFUNCTION("IMPORTRANGE(""https://docs.google.com/spreadsheets/d/1-uDff_7J0KD5mKrp0Vvzr7lt3OU09vwQwhkpOPPYv2Y/edit?usp=sharing"",""งบพรบ!BL73"")"),0)</f>
        <v>0</v>
      </c>
      <c r="N122" s="77">
        <f ca="1">IFERROR(__xludf.DUMMYFUNCTION("IMPORTRANGE(""https://docs.google.com/spreadsheets/d/1-uDff_7J0KD5mKrp0Vvzr7lt3OU09vwQwhkpOPPYv2Y/edit?usp=sharing"",""งบพรบ!BN73"")"),0)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IFERROR(__xludf.DUMMYFUNCTION("IMPORTRANGE(""https://docs.google.com/spreadsheets/d/1ItG2mGa2ceCfYo0BwxsXqNm01IGEUdYcSSLTEv9YCik/edit?usp=sharing"",""เบิกจ่ายกองทุน!R73"")"),0)</f>
        <v>0</v>
      </c>
      <c r="R122" s="77">
        <f ca="1">IFERROR(__xludf.DUMMYFUNCTION("IMPORTRANGE(""https://docs.google.com/spreadsheets/d/1ItG2mGa2ceCfYo0BwxsXqNm01IGEUdYcSSLTEv9YCik/edit?usp=sharing"",""เบิกจ่ายกองทุน!S73"")"),0)</f>
        <v>0</v>
      </c>
      <c r="S122" s="77">
        <f ca="1">IFERROR(__xludf.DUMMYFUNCTION("IMPORTRANGE(""https://docs.google.com/spreadsheets/d/1ItG2mGa2ceCfYo0BwxsXqNm01IGEUdYcSSLTEv9YCik/edit?usp=sharing"",""เบิกจ่ายกองทุน!T73"")"),0)</f>
        <v>0</v>
      </c>
      <c r="T122" s="77">
        <f ca="1">IF(Q122&gt;0,S122*100/Q122,0)</f>
        <v>0</v>
      </c>
      <c r="U122" s="77">
        <f ca="1">IF(R122&gt;0,S122*100/R122,0)</f>
        <v>0</v>
      </c>
    </row>
    <row r="123" spans="1:21" ht="18.75" hidden="1" x14ac:dyDescent="0.25">
      <c r="A123" s="259"/>
      <c r="B123" s="260"/>
      <c r="C123" s="305"/>
      <c r="D123" s="900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>Q124+Q125</f>
        <v>0</v>
      </c>
      <c r="R123" s="77">
        <f>R124+R125</f>
        <v>0</v>
      </c>
      <c r="S123" s="77">
        <f>S124+S125</f>
        <v>0</v>
      </c>
      <c r="T123" s="77">
        <f>IF(Q123&gt;0,S123*100/Q123,0)</f>
        <v>0</v>
      </c>
      <c r="U123" s="77">
        <f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IFERROR(__xludf.DUMMYFUNCTION("IMPORTRANGE(""https://docs.google.com/spreadsheets/d/1-uDff_7J0KD5mKrp0Vvzr7lt3OU09vwQwhkpOPPYv2Y/edit?usp=sharing"",""งบพรบ!BJ73"")"),0)</f>
        <v>0</v>
      </c>
      <c r="M125" s="77">
        <f ca="1">IFERROR(__xludf.DUMMYFUNCTION("IMPORTRANGE(""https://docs.google.com/spreadsheets/d/1-uDff_7J0KD5mKrp0Vvzr7lt3OU09vwQwhkpOPPYv2Y/edit?usp=sharing"",""งบพรบ!BM73"")"),0)</f>
        <v>0</v>
      </c>
      <c r="N125" s="77">
        <f ca="1">IFERROR(__xludf.DUMMYFUNCTION("IMPORTRANGE(""https://docs.google.com/spreadsheets/d/1-uDff_7J0KD5mKrp0Vvzr7lt3OU09vwQwhkpOPPYv2Y/edit?usp=sharing"",""งบพรบ!BO73"")"),0)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v>0</v>
      </c>
      <c r="R125" s="77">
        <v>0</v>
      </c>
      <c r="S125" s="77">
        <v>0</v>
      </c>
      <c r="T125" s="77">
        <f>IF(Q125&gt;0,S125*100/Q125,0)</f>
        <v>0</v>
      </c>
      <c r="U125" s="77">
        <f>IF(R125&gt;0,S125*100/R125,0)</f>
        <v>0</v>
      </c>
    </row>
    <row r="126" spans="1:21" ht="19.5" hidden="1" x14ac:dyDescent="0.3">
      <c r="A126" s="278"/>
      <c r="B126" s="279"/>
      <c r="C126" s="308" t="s">
        <v>18</v>
      </c>
      <c r="D126" s="837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hidden="1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IFERROR(__xludf.DUMMYFUNCTION("IMPORTRANGE(""https://docs.google.com/spreadsheets/d/1eHaY18a8A9IcSdp1K8H6x8fbOy06t2VsZHhMHf-1x7Y/edit?usp=sharing"",""แผน!FF73"")"),0)</f>
        <v>0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hidden="1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IFERROR(__xludf.DUMMYFUNCTION("IMPORTRANGE(""https://docs.google.com/spreadsheets/d/1eHaY18a8A9IcSdp1K8H6x8fbOy06t2VsZHhMHf-1x7Y/edit?usp=sharing"",""แผน!FG73"")"),0)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hidden="1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IFERROR(__xludf.DUMMYFUNCTION("IMPORTRANGE(""https://docs.google.com/spreadsheets/d/1eHaY18a8A9IcSdp1K8H6x8fbOy06t2VsZHhMHf-1x7Y/edit?usp=sharing"",""แผน!FH73"")"),0)</f>
        <v>0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hidden="1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IFERROR(__xludf.DUMMYFUNCTION("IMPORTRANGE(""https://docs.google.com/spreadsheets/d/1eHaY18a8A9IcSdp1K8H6x8fbOy06t2VsZHhMHf-1x7Y/edit?usp=sharing"",""แผน!FI73"")"),0)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179" t="s">
        <v>58</v>
      </c>
      <c r="B134" s="672"/>
      <c r="C134" s="673"/>
      <c r="D134" s="672"/>
      <c r="E134" s="672"/>
      <c r="F134" s="672"/>
      <c r="G134" s="672"/>
      <c r="H134" s="672"/>
      <c r="I134" s="675"/>
      <c r="J134" s="675"/>
      <c r="K134" s="67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679"/>
      <c r="J135" s="680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180" t="s">
        <v>60</v>
      </c>
      <c r="D136" s="255"/>
      <c r="E136" s="254"/>
      <c r="F136" s="254"/>
      <c r="G136" s="256"/>
      <c r="H136" s="1334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180" t="s">
        <v>62</v>
      </c>
      <c r="D137" s="255"/>
      <c r="E137" s="254"/>
      <c r="F137" s="254"/>
      <c r="G137" s="256"/>
      <c r="H137" s="1334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34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IFERROR(__xludf.DUMMYFUNCTION("IMPORTRANGE(""https://docs.google.com/spreadsheets/d/1-uDff_7J0KD5mKrp0Vvzr7lt3OU09vwQwhkpOPPYv2Y/edit?usp=sharing"",""งบพรบ!BQ73"")"),0)</f>
        <v>0</v>
      </c>
      <c r="M144" s="77">
        <f ca="1">IFERROR(__xludf.DUMMYFUNCTION("IMPORTRANGE(""https://docs.google.com/spreadsheets/d/1-uDff_7J0KD5mKrp0Vvzr7lt3OU09vwQwhkpOPPYv2Y/edit?usp=sharing"",""งบพรบ!BV73"")"),0)</f>
        <v>0</v>
      </c>
      <c r="N144" s="77">
        <f ca="1">IFERROR(__xludf.DUMMYFUNCTION("IMPORTRANGE(""https://docs.google.com/spreadsheets/d/1-uDff_7J0KD5mKrp0Vvzr7lt3OU09vwQwhkpOPPYv2Y/edit?usp=sharing"",""งบพรบ!BX73"")"),0)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IFERROR(__xludf.DUMMYFUNCTION("IMPORTRANGE(""https://docs.google.com/spreadsheets/d/1ItG2mGa2ceCfYo0BwxsXqNm01IGEUdYcSSLTEv9YCik/edit?usp=sharing"",""เบิกจ่ายกองทุน!BB73"")"),0)</f>
        <v>0</v>
      </c>
      <c r="R144" s="77">
        <f ca="1">IFERROR(__xludf.DUMMYFUNCTION("IMPORTRANGE(""https://docs.google.com/spreadsheets/d/1ItG2mGa2ceCfYo0BwxsXqNm01IGEUdYcSSLTEv9YCik/edit?usp=sharing"",""เบิกจ่ายกองทุน!BC73"")"),0)</f>
        <v>0</v>
      </c>
      <c r="S144" s="77">
        <f ca="1">IFERROR(__xludf.DUMMYFUNCTION("IMPORTRANGE(""https://docs.google.com/spreadsheets/d/1ItG2mGa2ceCfYo0BwxsXqNm01IGEUdYcSSLTEv9YCik/edit?usp=sharing"",""เบิกจ่ายกองทุน!BD73"")"),0)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>Q146+Q147</f>
        <v>0</v>
      </c>
      <c r="R145" s="77">
        <f>R146+R147</f>
        <v>0</v>
      </c>
      <c r="S145" s="77">
        <f>S146+S147</f>
        <v>0</v>
      </c>
      <c r="T145" s="77">
        <f>IF(Q145&gt;0,S145*100/Q145,0)</f>
        <v>0</v>
      </c>
      <c r="U145" s="77">
        <f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IFERROR(__xludf.DUMMYFUNCTION("IMPORTRANGE(""https://docs.google.com/spreadsheets/d/1-uDff_7J0KD5mKrp0Vvzr7lt3OU09vwQwhkpOPPYv2Y/edit?usp=sharing"",""งบพรบ!BT73"")"),0)</f>
        <v>0</v>
      </c>
      <c r="M147" s="77">
        <f ca="1">IFERROR(__xludf.DUMMYFUNCTION("IMPORTRANGE(""https://docs.google.com/spreadsheets/d/1-uDff_7J0KD5mKrp0Vvzr7lt3OU09vwQwhkpOPPYv2Y/edit?usp=sharing"",""งบพรบ!BW73"")"),0)</f>
        <v>0</v>
      </c>
      <c r="N147" s="77">
        <f ca="1">IFERROR(__xludf.DUMMYFUNCTION("IMPORTRANGE(""https://docs.google.com/spreadsheets/d/1-uDff_7J0KD5mKrp0Vvzr7lt3OU09vwQwhkpOPPYv2Y/edit?usp=sharing"",""งบพรบ!BY73"")"),0)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v>0</v>
      </c>
      <c r="R147" s="77">
        <v>0</v>
      </c>
      <c r="S147" s="77">
        <v>0</v>
      </c>
      <c r="T147" s="77">
        <f>IF(Q147&gt;0,S147*100/Q147,0)</f>
        <v>0</v>
      </c>
      <c r="U147" s="77">
        <f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37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330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IFERROR(__xludf.DUMMYFUNCTION("IMPORTRANGE(""https://docs.google.com/spreadsheets/d/1eHaY18a8A9IcSdp1K8H6x8fbOy06t2VsZHhMHf-1x7Y/edit?usp=sharing"",""แผน!U73"")"),0)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IFERROR(__xludf.DUMMYFUNCTION("IMPORTRANGE(""https://docs.google.com/spreadsheets/d/1eHaY18a8A9IcSdp1K8H6x8fbOy06t2VsZHhMHf-1x7Y/edit?usp=sharing"",""แผน!V73"")"),0)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329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IFERROR(__xludf.DUMMYFUNCTION("IMPORTRANGE(""https://docs.google.com/spreadsheets/d/1eHaY18a8A9IcSdp1K8H6x8fbOy06t2VsZHhMHf-1x7Y/edit?usp=sharing"",""แผน!W73"")"),0)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IFERROR(__xludf.DUMMYFUNCTION("IMPORTRANGE(""https://docs.google.com/spreadsheets/d/1eHaY18a8A9IcSdp1K8H6x8fbOy06t2VsZHhMHf-1x7Y/edit?usp=sharing"",""แผน!X73"")"),0)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IFERROR(__xludf.DUMMYFUNCTION("IMPORTRANGE(""https://docs.google.com/spreadsheets/d/1eHaY18a8A9IcSdp1K8H6x8fbOy06t2VsZHhMHf-1x7Y/edit?usp=sharing"",""แผน!Y73"")"),0)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179" t="s">
        <v>67</v>
      </c>
      <c r="B155" s="672"/>
      <c r="C155" s="673"/>
      <c r="D155" s="672"/>
      <c r="E155" s="672"/>
      <c r="F155" s="672"/>
      <c r="G155" s="672"/>
      <c r="H155" s="672"/>
      <c r="I155" s="675"/>
      <c r="J155" s="675"/>
      <c r="K155" s="67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IFERROR(__xludf.DUMMYFUNCTION("IMPORTRANGE(""https://docs.google.com/spreadsheets/d/1-uDff_7J0KD5mKrp0Vvzr7lt3OU09vwQwhkpOPPYv2Y/edit?usp=sharing"",""งบพรบ!CA73"")"),0)</f>
        <v>0</v>
      </c>
      <c r="M162" s="77">
        <f ca="1">IFERROR(__xludf.DUMMYFUNCTION("IMPORTRANGE(""https://docs.google.com/spreadsheets/d/1-uDff_7J0KD5mKrp0Vvzr7lt3OU09vwQwhkpOPPYv2Y/edit?usp=sharing"",""งบพรบ!CF73"")"),0)</f>
        <v>0</v>
      </c>
      <c r="N162" s="77">
        <f ca="1">IFERROR(__xludf.DUMMYFUNCTION("IMPORTRANGE(""https://docs.google.com/spreadsheets/d/1-uDff_7J0KD5mKrp0Vvzr7lt3OU09vwQwhkpOPPYv2Y/edit?usp=sharing"",""งบพรบ!CH73"")"),0)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IFERROR(__xludf.DUMMYFUNCTION("IMPORTRANGE(""https://docs.google.com/spreadsheets/d/1ItG2mGa2ceCfYo0BwxsXqNm01IGEUdYcSSLTEv9YCik/edit?usp=sharing"",""เบิกจ่ายกองทุน!AG73"")"),0)</f>
        <v>0</v>
      </c>
      <c r="R162" s="77">
        <f ca="1">IFERROR(__xludf.DUMMYFUNCTION("IMPORTRANGE(""https://docs.google.com/spreadsheets/d/1ItG2mGa2ceCfYo0BwxsXqNm01IGEUdYcSSLTEv9YCik/edit?usp=sharing"",""เบิกจ่ายกองทุน!AH73"")"),0)</f>
        <v>0</v>
      </c>
      <c r="S162" s="77">
        <f ca="1">IFERROR(__xludf.DUMMYFUNCTION("IMPORTRANGE(""https://docs.google.com/spreadsheets/d/1ItG2mGa2ceCfYo0BwxsXqNm01IGEUdYcSSLTEv9YCik/edit?usp=sharing"",""เบิกจ่ายกองทุน!AI73"")"),0)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IFERROR(__xludf.DUMMYFUNCTION("IMPORTRANGE(""https://docs.google.com/spreadsheets/d/1-uDff_7J0KD5mKrp0Vvzr7lt3OU09vwQwhkpOPPYv2Y/edit?usp=sharing"",""งบพรบ!CD73"")"),0)</f>
        <v>0</v>
      </c>
      <c r="M165" s="77">
        <f ca="1">IFERROR(__xludf.DUMMYFUNCTION("IMPORTRANGE(""https://docs.google.com/spreadsheets/d/1-uDff_7J0KD5mKrp0Vvzr7lt3OU09vwQwhkpOPPYv2Y/edit?usp=sharing"",""งบพรบ!CG73"")"),0)</f>
        <v>0</v>
      </c>
      <c r="N165" s="77">
        <f ca="1">IFERROR(__xludf.DUMMYFUNCTION("IMPORTRANGE(""https://docs.google.com/spreadsheets/d/1-uDff_7J0KD5mKrp0Vvzr7lt3OU09vwQwhkpOPPYv2Y/edit?usp=sharing"",""งบพรบ!CI73"")"),0)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37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IFERROR(__xludf.DUMMYFUNCTION("IMPORTRANGE(""https://docs.google.com/spreadsheets/d/1eHaY18a8A9IcSdp1K8H6x8fbOy06t2VsZHhMHf-1x7Y/edit?usp=sharing"",""แผน!Z73"")"),0)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687" t="s">
        <v>35</v>
      </c>
      <c r="I168" s="574">
        <f ca="1">IFERROR(__xludf.DUMMYFUNCTION("IMPORTRANGE(""https://docs.google.com/spreadsheets/d/1eHaY18a8A9IcSdp1K8H6x8fbOy06t2VsZHhMHf-1x7Y/edit?usp=sharing"",""แผน!Z73"")"),0)</f>
        <v>0</v>
      </c>
      <c r="J168" s="867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178"/>
      <c r="B169" s="617"/>
      <c r="C169" s="617"/>
      <c r="D169" s="756" t="s">
        <v>71</v>
      </c>
      <c r="E169" s="617"/>
      <c r="F169" s="617"/>
      <c r="G169" s="618"/>
      <c r="H169" s="1177" t="s">
        <v>35</v>
      </c>
      <c r="I169" s="758">
        <f ca="1">IFERROR(__xludf.DUMMYFUNCTION("IMPORTRANGE(""https://docs.google.com/spreadsheets/d/1eHaY18a8A9IcSdp1K8H6x8fbOy06t2VsZHhMHf-1x7Y/edit?usp=sharing"",""แผน!Z73"")"),0)</f>
        <v>0</v>
      </c>
      <c r="J169" s="859">
        <v>0</v>
      </c>
      <c r="K169" s="858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176" t="s">
        <v>72</v>
      </c>
      <c r="B170" s="1174"/>
      <c r="C170" s="1174"/>
      <c r="D170" s="1174"/>
      <c r="E170" s="1175"/>
      <c r="F170" s="1175"/>
      <c r="G170" s="1175"/>
      <c r="H170" s="1175"/>
      <c r="I170" s="1173"/>
      <c r="J170" s="1173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172" t="s">
        <v>73</v>
      </c>
      <c r="B171" s="1171"/>
      <c r="C171" s="1171"/>
      <c r="D171" s="1170"/>
      <c r="E171" s="1170"/>
      <c r="F171" s="1170"/>
      <c r="G171" s="1170"/>
      <c r="H171" s="1333"/>
      <c r="I171" s="1168"/>
      <c r="J171" s="1168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167"/>
      <c r="B172" s="1101" t="s">
        <v>74</v>
      </c>
      <c r="C172" s="762"/>
      <c r="D172" s="282"/>
      <c r="E172" s="282"/>
      <c r="F172" s="282"/>
      <c r="G172" s="283"/>
      <c r="H172" s="1332" t="s">
        <v>35</v>
      </c>
      <c r="I172" s="1165">
        <f ca="1">I183+I184</f>
        <v>7</v>
      </c>
      <c r="J172" s="1165">
        <f>J183+J184</f>
        <v>7</v>
      </c>
      <c r="K172" s="11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29620</v>
      </c>
      <c r="N173" s="266">
        <f ca="1">N174+N175</f>
        <v>29620</v>
      </c>
      <c r="O173" s="266">
        <f ca="1">IF(L173&gt;0,N173*100/L173,0)</f>
        <v>151.19959162838182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29620</v>
      </c>
      <c r="N175" s="77">
        <f ca="1">N178+N181</f>
        <v>29620</v>
      </c>
      <c r="O175" s="77">
        <f ca="1">IF(L175&gt;0,N175*100/L175,0)</f>
        <v>151.19959162838182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29620</v>
      </c>
      <c r="N176" s="77">
        <f ca="1">N177+N178</f>
        <v>29620</v>
      </c>
      <c r="O176" s="77">
        <f ca="1">IF(L176&gt;0,N176*100/L176,0)</f>
        <v>151.19959162838182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IFERROR(__xludf.DUMMYFUNCTION("IMPORTRANGE(""https://docs.google.com/spreadsheets/d/1-uDff_7J0KD5mKrp0Vvzr7lt3OU09vwQwhkpOPPYv2Y/edit?usp=sharing"",""งบพรบ!CK73"")"),19590)</f>
        <v>19590</v>
      </c>
      <c r="M178" s="77">
        <f ca="1">IFERROR(__xludf.DUMMYFUNCTION("IMPORTRANGE(""https://docs.google.com/spreadsheets/d/1-uDff_7J0KD5mKrp0Vvzr7lt3OU09vwQwhkpOPPYv2Y/edit?usp=sharing"",""งบพรบ!CP73"")"),29620)</f>
        <v>29620</v>
      </c>
      <c r="N178" s="77">
        <f ca="1">IFERROR(__xludf.DUMMYFUNCTION("IMPORTRANGE(""https://docs.google.com/spreadsheets/d/1-uDff_7J0KD5mKrp0Vvzr7lt3OU09vwQwhkpOPPYv2Y/edit?usp=sharing"",""งบพรบ!CR73"")"),29620)</f>
        <v>29620</v>
      </c>
      <c r="O178" s="77">
        <f ca="1">IF(L178&gt;0,N178*100/L178,0)</f>
        <v>151.19959162838182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IFERROR(__xludf.DUMMYFUNCTION("IMPORTRANGE(""https://docs.google.com/spreadsheets/d/1ItG2mGa2ceCfYo0BwxsXqNm01IGEUdYcSSLTEv9YCik/edit?usp=sharing"",""เบิกจ่ายกองทุน!BE73"")"),0)</f>
        <v>0</v>
      </c>
      <c r="R178" s="77">
        <f ca="1">IFERROR(__xludf.DUMMYFUNCTION("IMPORTRANGE(""https://docs.google.com/spreadsheets/d/1ItG2mGa2ceCfYo0BwxsXqNm01IGEUdYcSSLTEv9YCik/edit?usp=sharing"",""เบิกจ่ายกองทุน!BF73"")"),0)</f>
        <v>0</v>
      </c>
      <c r="S178" s="77">
        <f ca="1">IFERROR(__xludf.DUMMYFUNCTION("IMPORTRANGE(""https://docs.google.com/spreadsheets/d/1ItG2mGa2ceCfYo0BwxsXqNm01IGEUdYcSSLTEv9YCik/edit?usp=sharing"",""เบิกจ่ายกองทุน!BG73"")"),0)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IFERROR(__xludf.DUMMYFUNCTION("IMPORTRANGE(""https://docs.google.com/spreadsheets/d/1-uDff_7J0KD5mKrp0Vvzr7lt3OU09vwQwhkpOPPYv2Y/edit?usp=sharing"",""งบพรบ!CN73"")"),0)</f>
        <v>0</v>
      </c>
      <c r="M181" s="77">
        <f ca="1">IFERROR(__xludf.DUMMYFUNCTION("IMPORTRANGE(""https://docs.google.com/spreadsheets/d/1-uDff_7J0KD5mKrp0Vvzr7lt3OU09vwQwhkpOPPYv2Y/edit?usp=sharing"",""งบพรบ!CQ73"")"),0)</f>
        <v>0</v>
      </c>
      <c r="N181" s="77">
        <f ca="1">IFERROR(__xludf.DUMMYFUNCTION("IMPORTRANGE(""https://docs.google.com/spreadsheets/d/1-uDff_7J0KD5mKrp0Vvzr7lt3OU09vwQwhkpOPPYv2Y/edit?usp=sharing"",""งบพรบ!CS73"")"),0)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37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IFERROR(__xludf.DUMMYFUNCTION("IMPORTRANGE(""https://docs.google.com/spreadsheets/d/1eHaY18a8A9IcSdp1K8H6x8fbOy06t2VsZHhMHf-1x7Y/edit?usp=sharing"",""แผน!AA73"")"),7)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868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167"/>
      <c r="B185" s="1101" t="s">
        <v>77</v>
      </c>
      <c r="C185" s="762"/>
      <c r="D185" s="282"/>
      <c r="E185" s="282"/>
      <c r="F185" s="282"/>
      <c r="G185" s="283"/>
      <c r="H185" s="1332" t="s">
        <v>35</v>
      </c>
      <c r="I185" s="1165">
        <f ca="1">I230+I231</f>
        <v>0</v>
      </c>
      <c r="J185" s="1165">
        <f>J230+J231</f>
        <v>0</v>
      </c>
      <c r="K185" s="1164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84200</v>
      </c>
      <c r="M186" s="266">
        <f ca="1">M187+M188</f>
        <v>84200</v>
      </c>
      <c r="N186" s="266">
        <f ca="1">N187+N188</f>
        <v>53187</v>
      </c>
      <c r="O186" s="266">
        <f ca="1">IF(L186&gt;0,N186*100/L186,0)</f>
        <v>63.167458432304038</v>
      </c>
      <c r="P186" s="266">
        <f ca="1">IF(M186&gt;0,N186*100/M186,0)</f>
        <v>63.167458432304038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84200</v>
      </c>
      <c r="M188" s="77">
        <f ca="1">M191+M194</f>
        <v>84200</v>
      </c>
      <c r="N188" s="77">
        <f ca="1">N191+N194</f>
        <v>53187</v>
      </c>
      <c r="O188" s="77">
        <f ca="1">IF(L188&gt;0,N188*100/L188,0)</f>
        <v>63.167458432304038</v>
      </c>
      <c r="P188" s="77">
        <f ca="1">IF(M188&gt;0,N188*100/M188,0)</f>
        <v>63.167458432304038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84200</v>
      </c>
      <c r="M189" s="77">
        <f ca="1">M190+M191</f>
        <v>84200</v>
      </c>
      <c r="N189" s="77">
        <f ca="1">N190+N191</f>
        <v>53187</v>
      </c>
      <c r="O189" s="77">
        <f ca="1">IF(L189&gt;0,N189*100/L189,0)</f>
        <v>63.167458432304038</v>
      </c>
      <c r="P189" s="77">
        <f ca="1">IF(M189&gt;0,N189*100/M189,0)</f>
        <v>63.167458432304038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IFERROR(__xludf.DUMMYFUNCTION("IMPORTRANGE(""https://docs.google.com/spreadsheets/d/1-uDff_7J0KD5mKrp0Vvzr7lt3OU09vwQwhkpOPPYv2Y/edit?usp=sharing"",""งบพรบ!CU73"")"),84200)</f>
        <v>84200</v>
      </c>
      <c r="M191" s="77">
        <f ca="1">IFERROR(__xludf.DUMMYFUNCTION("IMPORTRANGE(""https://docs.google.com/spreadsheets/d/1-uDff_7J0KD5mKrp0Vvzr7lt3OU09vwQwhkpOPPYv2Y/edit?usp=sharing"",""งบพรบ!CZ73"")"),84200)</f>
        <v>84200</v>
      </c>
      <c r="N191" s="77">
        <f ca="1">IFERROR(__xludf.DUMMYFUNCTION("IMPORTRANGE(""https://docs.google.com/spreadsheets/d/1-uDff_7J0KD5mKrp0Vvzr7lt3OU09vwQwhkpOPPYv2Y/edit?usp=sharing"",""งบพรบ!DB73"")"),53187)</f>
        <v>53187</v>
      </c>
      <c r="O191" s="77">
        <f ca="1">IF(L191&gt;0,N191*100/L191,0)</f>
        <v>63.167458432304038</v>
      </c>
      <c r="P191" s="77">
        <f ca="1">IF(M191&gt;0,N191*100/M191,0)</f>
        <v>63.167458432304038</v>
      </c>
      <c r="Q191" s="77">
        <f ca="1">IFERROR(__xludf.DUMMYFUNCTION("IMPORTRANGE(""https://docs.google.com/spreadsheets/d/1ItG2mGa2ceCfYo0BwxsXqNm01IGEUdYcSSLTEv9YCik/edit?usp=sharing"",""เบิกจ่ายกองทุน!AV73"")"),0)</f>
        <v>0</v>
      </c>
      <c r="R191" s="77">
        <f ca="1">IFERROR(__xludf.DUMMYFUNCTION("IMPORTRANGE(""https://docs.google.com/spreadsheets/d/1ItG2mGa2ceCfYo0BwxsXqNm01IGEUdYcSSLTEv9YCik/edit?usp=sharing"",""เบิกจ่ายกองทุน!AW73"")"),0)</f>
        <v>0</v>
      </c>
      <c r="S191" s="77">
        <f ca="1">IFERROR(__xludf.DUMMYFUNCTION("IMPORTRANGE(""https://docs.google.com/spreadsheets/d/1ItG2mGa2ceCfYo0BwxsXqNm01IGEUdYcSSLTEv9YCik/edit?usp=sharing"",""เบิกจ่ายกองทุน!AX73"")"),0)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>Q193+Q194</f>
        <v>0</v>
      </c>
      <c r="R192" s="77">
        <f>R193+R194</f>
        <v>0</v>
      </c>
      <c r="S192" s="77">
        <f>S193+S194</f>
        <v>0</v>
      </c>
      <c r="T192" s="77">
        <f>IF(Q192&gt;0,S192*100/Q192,0)</f>
        <v>0</v>
      </c>
      <c r="U192" s="77">
        <f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IFERROR(__xludf.DUMMYFUNCTION("IMPORTRANGE(""https://docs.google.com/spreadsheets/d/1-uDff_7J0KD5mKrp0Vvzr7lt3OU09vwQwhkpOPPYv2Y/edit?usp=sharing"",""งบพรบ!CX73"")"),0)</f>
        <v>0</v>
      </c>
      <c r="M194" s="77">
        <f ca="1">IFERROR(__xludf.DUMMYFUNCTION("IMPORTRANGE(""https://docs.google.com/spreadsheets/d/1-uDff_7J0KD5mKrp0Vvzr7lt3OU09vwQwhkpOPPYv2Y/edit?usp=sharing"",""งบพรบ!DA73"")"),0)</f>
        <v>0</v>
      </c>
      <c r="N194" s="77">
        <f ca="1">IFERROR(__xludf.DUMMYFUNCTION("IMPORTRANGE(""https://docs.google.com/spreadsheets/d/1-uDff_7J0KD5mKrp0Vvzr7lt3OU09vwQwhkpOPPYv2Y/edit?usp=sharing"",""งบพรบ!DC73"")"),0)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v>0</v>
      </c>
      <c r="R194" s="77">
        <v>0</v>
      </c>
      <c r="S194" s="77">
        <v>0</v>
      </c>
      <c r="T194" s="77">
        <f>IF(Q194&gt;0,S194*100/Q194,0)</f>
        <v>0</v>
      </c>
      <c r="U194" s="77">
        <f>IF(R194&gt;0,S194*100/R194,0)</f>
        <v>0</v>
      </c>
    </row>
    <row r="195" spans="1:21" ht="19.5" x14ac:dyDescent="0.3">
      <c r="A195" s="536"/>
      <c r="B195" s="538"/>
      <c r="C195" s="1163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162" t="s">
        <v>19</v>
      </c>
      <c r="E196" s="260"/>
      <c r="F196" s="260"/>
      <c r="G196" s="263"/>
      <c r="H196" s="614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IFERROR(__xludf.DUMMYFUNCTION("IMPORTRANGE(""https://docs.google.com/spreadsheets/d/1eHaY18a8A9IcSdp1K8H6x8fbOy06t2VsZHhMHf-1x7Y/edit?usp=sharing"",""แผน!AB73"")"),6000)</f>
        <v>6000</v>
      </c>
      <c r="M196" s="90"/>
      <c r="N196" s="959">
        <v>5000</v>
      </c>
      <c r="O196" s="266">
        <f ca="1">IF(L196&gt;0,N196*100/L196,0)</f>
        <v>83.333333333333329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37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IFERROR(__xludf.DUMMYFUNCTION("IMPORTRANGE(""https://docs.google.com/spreadsheets/d/1eHaY18a8A9IcSdp1K8H6x8fbOy06t2VsZHhMHf-1x7Y/edit?usp=sharing"",""แผน!AE73"")"),4)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30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30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163" t="s">
        <v>84</v>
      </c>
      <c r="D202" s="537"/>
      <c r="E202" s="537"/>
      <c r="F202" s="537"/>
      <c r="G202" s="540"/>
      <c r="H202" s="1097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60"/>
      <c r="C203" s="261" t="s">
        <v>18</v>
      </c>
      <c r="D203" s="1162" t="s">
        <v>19</v>
      </c>
      <c r="E203" s="260"/>
      <c r="F203" s="260"/>
      <c r="G203" s="263"/>
      <c r="H203" s="614" t="s">
        <v>14</v>
      </c>
      <c r="I203" s="274"/>
      <c r="J203" s="274"/>
      <c r="K203" s="231"/>
      <c r="L203" s="393">
        <f ca="1">L204+L205+L206+L207</f>
        <v>0</v>
      </c>
      <c r="M203" s="90"/>
      <c r="N203" s="266">
        <f>N204+N205+N206+N207</f>
        <v>0</v>
      </c>
      <c r="O203" s="266">
        <f ca="1">IF(L203&gt;0,N203*100/L203,0)</f>
        <v>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60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IFERROR(__xludf.DUMMYFUNCTION("IMPORTRANGE(""https://docs.google.com/spreadsheets/d/1eHaY18a8A9IcSdp1K8H6x8fbOy06t2VsZHhMHf-1x7Y/edit?usp=sharing"",""แผน!AG73"")"),0)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60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60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IFERROR(__xludf.DUMMYFUNCTION("IMPORTRANGE(""https://docs.google.com/spreadsheets/d/1eHaY18a8A9IcSdp1K8H6x8fbOy06t2VsZHhMHf-1x7Y/edit?usp=sharing"",""แผน!AI73"")"),0)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IFERROR(__xludf.DUMMYFUNCTION("IMPORTRANGE(""https://docs.google.com/spreadsheets/d/1eHaY18a8A9IcSdp1K8H6x8fbOy06t2VsZHhMHf-1x7Y/edit?usp=sharing"",""แผน!LV73"")"),0)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IFERROR(__xludf.DUMMYFUNCTION("IMPORTRANGE(""https://docs.google.com/spreadsheets/d/1eHaY18a8A9IcSdp1K8H6x8fbOy06t2VsZHhMHf-1x7Y/edit?usp=sharing"",""แผน!AJ73"")"),0)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37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7" t="s">
        <v>90</v>
      </c>
      <c r="E209" s="292"/>
      <c r="F209" s="292"/>
      <c r="G209" s="284"/>
      <c r="H209" s="1160" t="s">
        <v>85</v>
      </c>
      <c r="I209" s="295">
        <f ca="1">IFERROR(__xludf.DUMMYFUNCTION("IMPORTRANGE(""https://docs.google.com/spreadsheets/d/1eHaY18a8A9IcSdp1K8H6x8fbOy06t2VsZHhMHf-1x7Y/edit?usp=sharing"",""แผน!AK73"")"),0)</f>
        <v>0</v>
      </c>
      <c r="J209" s="296">
        <v>0</v>
      </c>
      <c r="K209" s="748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160" t="s">
        <v>85</v>
      </c>
      <c r="I211" s="295">
        <f ca="1">IFERROR(__xludf.DUMMYFUNCTION("IMPORTRANGE(""https://docs.google.com/spreadsheets/d/1eHaY18a8A9IcSdp1K8H6x8fbOy06t2VsZHhMHf-1x7Y/edit?usp=sharing"",""แผน!AK73"")"),0)</f>
        <v>0</v>
      </c>
      <c r="J211" s="296">
        <v>0</v>
      </c>
      <c r="K211" s="748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IFERROR(__xludf.DUMMYFUNCTION("IMPORTRANGE(""https://docs.google.com/spreadsheets/d/1eHaY18a8A9IcSdp1K8H6x8fbOy06t2VsZHhMHf-1x7Y/edit?usp=sharing"",""แผน!AK73"")"),0)</f>
        <v>0</v>
      </c>
      <c r="J212" s="296">
        <v>0</v>
      </c>
      <c r="K212" s="748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163" t="s">
        <v>94</v>
      </c>
      <c r="D213" s="537"/>
      <c r="E213" s="537"/>
      <c r="F213" s="537"/>
      <c r="G213" s="540"/>
      <c r="H213" s="1097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162" t="s">
        <v>19</v>
      </c>
      <c r="E214" s="260"/>
      <c r="F214" s="260"/>
      <c r="G214" s="263"/>
      <c r="H214" s="614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IFERROR(__xludf.DUMMYFUNCTION("IMPORTRANGE(""https://docs.google.com/spreadsheets/d/1eHaY18a8A9IcSdp1K8H6x8fbOy06t2VsZHhMHf-1x7Y/edit?usp=sharing"",""แผน!AM73"")"),0)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IFERROR(__xludf.DUMMYFUNCTION("IMPORTRANGE(""https://docs.google.com/spreadsheets/d/1eHaY18a8A9IcSdp1K8H6x8fbOy06t2VsZHhMHf-1x7Y/edit?usp=sharing"",""แผน!AN73"")"),0)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IFERROR(__xludf.DUMMYFUNCTION("IMPORTRANGE(""https://docs.google.com/spreadsheets/d/1eHaY18a8A9IcSdp1K8H6x8fbOy06t2VsZHhMHf-1x7Y/edit?usp=sharing"",""แผน!LY73"")"),0)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37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7" t="s">
        <v>96</v>
      </c>
      <c r="E219" s="292"/>
      <c r="F219" s="292"/>
      <c r="G219" s="284"/>
      <c r="H219" s="1160" t="s">
        <v>85</v>
      </c>
      <c r="I219" s="295">
        <f ca="1">IFERROR(__xludf.DUMMYFUNCTION("IMPORTRANGE(""https://docs.google.com/spreadsheets/d/1eHaY18a8A9IcSdp1K8H6x8fbOy06t2VsZHhMHf-1x7Y/edit?usp=sharing"",""แผน!AP73"")"),0)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7" t="s">
        <v>97</v>
      </c>
      <c r="E220" s="292"/>
      <c r="F220" s="292"/>
      <c r="G220" s="284"/>
      <c r="H220" s="1160" t="s">
        <v>85</v>
      </c>
      <c r="I220" s="295">
        <f ca="1">IFERROR(__xludf.DUMMYFUNCTION("IMPORTRANGE(""https://docs.google.com/spreadsheets/d/1eHaY18a8A9IcSdp1K8H6x8fbOy06t2VsZHhMHf-1x7Y/edit?usp=sharing"",""แผน!AP73"")"),0)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163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162" t="s">
        <v>19</v>
      </c>
      <c r="E222" s="260"/>
      <c r="F222" s="260"/>
      <c r="G222" s="263"/>
      <c r="H222" s="614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800</v>
      </c>
      <c r="O222" s="266">
        <f ca="1">IF(L222&gt;0,N222*100/L222,0)</f>
        <v>17.777777777777779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319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IFERROR(__xludf.DUMMYFUNCTION("IMPORTRANGE(""https://docs.google.com/spreadsheets/d/1eHaY18a8A9IcSdp1K8H6x8fbOy06t2VsZHhMHf-1x7Y/edit?usp=sharing"",""แผน!AR73"")"),2500)</f>
        <v>2500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317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IFERROR(__xludf.DUMMYFUNCTION("IMPORTRANGE(""https://docs.google.com/spreadsheets/d/1eHaY18a8A9IcSdp1K8H6x8fbOy06t2VsZHhMHf-1x7Y/edit?usp=sharing"",""แผน!AS73"")"),2000)</f>
        <v>2000</v>
      </c>
      <c r="M224" s="90"/>
      <c r="N224" s="391">
        <v>800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37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7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IFERROR(__xludf.DUMMYFUNCTION("IMPORTRANGE(""https://docs.google.com/spreadsheets/d/1eHaY18a8A9IcSdp1K8H6x8fbOy06t2VsZHhMHf-1x7Y/edit?usp=sharing"",""แผน!AV73"")"),5000)</f>
        <v>5000</v>
      </c>
      <c r="J228" s="296">
        <v>5000</v>
      </c>
      <c r="K228" s="748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7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IFERROR(__xludf.DUMMYFUNCTION("IMPORTRANGE(""https://docs.google.com/spreadsheets/d/1eHaY18a8A9IcSdp1K8H6x8fbOy06t2VsZHhMHf-1x7Y/edit?usp=sharing"",""แผน!AV73"")"),5000)</f>
        <v>5000</v>
      </c>
      <c r="J229" s="296">
        <v>0</v>
      </c>
      <c r="K229" s="748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IFERROR(__xludf.DUMMYFUNCTION("IMPORTRANGE(""https://docs.google.com/spreadsheets/d/1eHaY18a8A9IcSdp1K8H6x8fbOy06t2VsZHhMHf-1x7Y/edit?usp=sharing"",""แผน!AU73"")"),0)</f>
        <v>0</v>
      </c>
      <c r="J230" s="296">
        <v>0</v>
      </c>
      <c r="K230" s="748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163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4" t="s">
        <v>14</v>
      </c>
      <c r="I232" s="274"/>
      <c r="J232" s="274"/>
      <c r="K232" s="231"/>
      <c r="L232" s="1310">
        <f ca="1">L243+L254</f>
        <v>0</v>
      </c>
      <c r="M232" s="90"/>
      <c r="N232" s="1287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158">
        <v>0</v>
      </c>
      <c r="R233" s="977">
        <v>0</v>
      </c>
      <c r="S233" s="977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37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096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7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7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47" t="s">
        <v>111</v>
      </c>
      <c r="D242" s="537"/>
      <c r="E242" s="537"/>
      <c r="F242" s="537"/>
      <c r="G242" s="540"/>
      <c r="H242" s="944" t="s">
        <v>35</v>
      </c>
      <c r="I242" s="943">
        <f ca="1">I249</f>
        <v>0</v>
      </c>
      <c r="J242" s="943">
        <f>J249</f>
        <v>0</v>
      </c>
      <c r="K242" s="942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3" t="s">
        <v>18</v>
      </c>
      <c r="D243" s="822" t="s">
        <v>19</v>
      </c>
      <c r="E243" s="260"/>
      <c r="F243" s="260"/>
      <c r="G243" s="263"/>
      <c r="H243" s="684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IFERROR(__xludf.DUMMYFUNCTION("IMPORTRANGE(""https://docs.google.com/spreadsheets/d/1eHaY18a8A9IcSdp1K8H6x8fbOy06t2VsZHhMHf-1x7Y/edit?usp=sharing"",""แผน!AX73"")"),0)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IFERROR(__xludf.DUMMYFUNCTION("IMPORTRANGE(""https://docs.google.com/spreadsheets/d/1eHaY18a8A9IcSdp1K8H6x8fbOy06t2VsZHhMHf-1x7Y/edit?usp=sharing"",""แผน!AY73"")"),0)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IFERROR(__xludf.DUMMYFUNCTION("IMPORTRANGE(""https://docs.google.com/spreadsheets/d/1eHaY18a8A9IcSdp1K8H6x8fbOy06t2VsZHhMHf-1x7Y/edit?usp=sharing"",""แผน!AZ73"")"),0)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IFERROR(__xludf.DUMMYFUNCTION("IMPORTRANGE(""https://docs.google.com/spreadsheets/d/1eHaY18a8A9IcSdp1K8H6x8fbOy06t2VsZHhMHf-1x7Y/edit?usp=sharing"",""แผน!BA73"")"),0)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40" t="s">
        <v>18</v>
      </c>
      <c r="D248" s="846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36" t="s">
        <v>35</v>
      </c>
      <c r="I249" s="574">
        <f ca="1">IFERROR(__xludf.DUMMYFUNCTION("IMPORTRANGE(""https://docs.google.com/spreadsheets/d/1eHaY18a8A9IcSdp1K8H6x8fbOy06t2VsZHhMHf-1x7Y/edit?usp=sharing"",""แผน!BG73"")"),0)</f>
        <v>0</v>
      </c>
      <c r="J249" s="867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39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38" t="s">
        <v>109</v>
      </c>
      <c r="F251" s="292"/>
      <c r="G251" s="284"/>
      <c r="H251" s="936" t="s">
        <v>35</v>
      </c>
      <c r="I251" s="574">
        <v>0</v>
      </c>
      <c r="J251" s="867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38" t="s">
        <v>110</v>
      </c>
      <c r="F252" s="292"/>
      <c r="G252" s="284"/>
      <c r="H252" s="936" t="s">
        <v>61</v>
      </c>
      <c r="I252" s="574">
        <v>0</v>
      </c>
      <c r="J252" s="867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47" t="s">
        <v>112</v>
      </c>
      <c r="D253" s="537"/>
      <c r="E253" s="537"/>
      <c r="F253" s="537"/>
      <c r="G253" s="540"/>
      <c r="H253" s="944" t="s">
        <v>35</v>
      </c>
      <c r="I253" s="943">
        <f ca="1">I260</f>
        <v>0</v>
      </c>
      <c r="J253" s="943">
        <f>J260</f>
        <v>0</v>
      </c>
      <c r="K253" s="942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3" t="s">
        <v>18</v>
      </c>
      <c r="D254" s="941" t="s">
        <v>19</v>
      </c>
      <c r="E254" s="260"/>
      <c r="F254" s="260"/>
      <c r="G254" s="263"/>
      <c r="H254" s="684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IFERROR(__xludf.DUMMYFUNCTION("IMPORTRANGE(""https://docs.google.com/spreadsheets/d/1eHaY18a8A9IcSdp1K8H6x8fbOy06t2VsZHhMHf-1x7Y/edit?usp=sharing"",""แผน!BB73"")"),0)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IFERROR(__xludf.DUMMYFUNCTION("IMPORTRANGE(""https://docs.google.com/spreadsheets/d/1eHaY18a8A9IcSdp1K8H6x8fbOy06t2VsZHhMHf-1x7Y/edit?usp=sharing"",""แผน!BC73"")"),0)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IFERROR(__xludf.DUMMYFUNCTION("IMPORTRANGE(""https://docs.google.com/spreadsheets/d/1eHaY18a8A9IcSdp1K8H6x8fbOy06t2VsZHhMHf-1x7Y/edit?usp=sharing"",""แผน!BD73"")"),0)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IFERROR(__xludf.DUMMYFUNCTION("IMPORTRANGE(""https://docs.google.com/spreadsheets/d/1eHaY18a8A9IcSdp1K8H6x8fbOy06t2VsZHhMHf-1x7Y/edit?usp=sharing"",""แผน!BE73"")"),0)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40" t="s">
        <v>18</v>
      </c>
      <c r="D259" s="846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36" t="s">
        <v>35</v>
      </c>
      <c r="I260" s="574">
        <f ca="1">IFERROR(__xludf.DUMMYFUNCTION("IMPORTRANGE(""https://docs.google.com/spreadsheets/d/1eHaY18a8A9IcSdp1K8H6x8fbOy06t2VsZHhMHf-1x7Y/edit?usp=sharing"",""แผน!BH73"")"),0)</f>
        <v>0</v>
      </c>
      <c r="J260" s="867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39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38" t="s">
        <v>109</v>
      </c>
      <c r="F262" s="292"/>
      <c r="G262" s="284"/>
      <c r="H262" s="936" t="s">
        <v>35</v>
      </c>
      <c r="I262" s="265"/>
      <c r="J262" s="867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38" t="s">
        <v>110</v>
      </c>
      <c r="F263" s="292"/>
      <c r="G263" s="284"/>
      <c r="H263" s="936" t="s">
        <v>61</v>
      </c>
      <c r="I263" s="265"/>
      <c r="J263" s="867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274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151">
        <f ca="1">I276</f>
        <v>12</v>
      </c>
      <c r="J265" s="1151">
        <f>J276</f>
        <v>0</v>
      </c>
      <c r="K265" s="364">
        <f ca="1">IF(I265&gt;0,J265*100/I265,0)</f>
        <v>0</v>
      </c>
      <c r="L265" s="1273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912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291">
        <f ca="1">L267+L268</f>
        <v>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36760</v>
      </c>
      <c r="R266" s="215">
        <f ca="1">R267+R268</f>
        <v>36760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70"/>
      <c r="C267" s="870"/>
      <c r="D267" s="870"/>
      <c r="E267" s="267" t="s">
        <v>20</v>
      </c>
      <c r="F267" s="870"/>
      <c r="G267" s="869"/>
      <c r="H267" s="268" t="s">
        <v>14</v>
      </c>
      <c r="I267" s="875"/>
      <c r="J267" s="875"/>
      <c r="K267" s="87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290">
        <f ca="1">L271+L274</f>
        <v>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36760</v>
      </c>
      <c r="R268" s="91">
        <f ca="1">R271+R274</f>
        <v>36760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70"/>
      <c r="C269" s="70"/>
      <c r="D269" s="91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290">
        <f ca="1">L270+L271</f>
        <v>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36760</v>
      </c>
      <c r="R269" s="91">
        <f ca="1">R270+R271</f>
        <v>36760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70"/>
      <c r="C270" s="870"/>
      <c r="D270" s="870"/>
      <c r="E270" s="267" t="s">
        <v>36</v>
      </c>
      <c r="F270" s="870"/>
      <c r="G270" s="869"/>
      <c r="H270" s="275" t="s">
        <v>14</v>
      </c>
      <c r="I270" s="876"/>
      <c r="J270" s="876"/>
      <c r="K270" s="881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290">
        <f ca="1">IFERROR(__xludf.DUMMYFUNCTION("IMPORTRANGE(""https://docs.google.com/spreadsheets/d/1-uDff_7J0KD5mKrp0Vvzr7lt3OU09vwQwhkpOPPYv2Y/edit?usp=sharing"",""งบพรบ!DE73"")"),0)</f>
        <v>0</v>
      </c>
      <c r="M271" s="91">
        <f ca="1">IFERROR(__xludf.DUMMYFUNCTION("IMPORTRANGE(""https://docs.google.com/spreadsheets/d/1-uDff_7J0KD5mKrp0Vvzr7lt3OU09vwQwhkpOPPYv2Y/edit?usp=sharing"",""งบพรบ!DJ73"")"),5000)</f>
        <v>5000</v>
      </c>
      <c r="N271" s="91">
        <f ca="1">IFERROR(__xludf.DUMMYFUNCTION("IMPORTRANGE(""https://docs.google.com/spreadsheets/d/1-uDff_7J0KD5mKrp0Vvzr7lt3OU09vwQwhkpOPPYv2Y/edit?usp=sharing"",""งบพรบ!DL73"")"),0)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IFERROR(__xludf.DUMMYFUNCTION("IMPORTRANGE(""https://docs.google.com/spreadsheets/d/1ItG2mGa2ceCfYo0BwxsXqNm01IGEUdYcSSLTEv9YCik/edit?usp=sharing"",""เบิกจ่ายกองทุน!AJ73"")"),36760)</f>
        <v>36760</v>
      </c>
      <c r="R271" s="91">
        <f ca="1">IFERROR(__xludf.DUMMYFUNCTION("IMPORTRANGE(""https://docs.google.com/spreadsheets/d/1ItG2mGa2ceCfYo0BwxsXqNm01IGEUdYcSSLTEv9YCik/edit?usp=sharing"",""เบิกจ่ายกองทุน!AK73"")"),36760)</f>
        <v>36760</v>
      </c>
      <c r="S271" s="91">
        <f ca="1">IFERROR(__xludf.DUMMYFUNCTION("IMPORTRANGE(""https://docs.google.com/spreadsheets/d/1ItG2mGa2ceCfYo0BwxsXqNm01IGEUdYcSSLTEv9YCik/edit?usp=sharing"",""เบิกจ่ายกองทุน!AL73"")"),0)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70"/>
      <c r="C272" s="70"/>
      <c r="D272" s="91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290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70"/>
      <c r="C273" s="870"/>
      <c r="D273" s="870"/>
      <c r="E273" s="267" t="s">
        <v>20</v>
      </c>
      <c r="F273" s="870"/>
      <c r="G273" s="869"/>
      <c r="H273" s="275" t="s">
        <v>14</v>
      </c>
      <c r="I273" s="876"/>
      <c r="J273" s="876"/>
      <c r="K273" s="881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290">
        <f ca="1">IFERROR(__xludf.DUMMYFUNCTION("IMPORTRANGE(""https://docs.google.com/spreadsheets/d/1-uDff_7J0KD5mKrp0Vvzr7lt3OU09vwQwhkpOPPYv2Y/edit?usp=sharing"",""งบพรบ!DH73"")"),0)</f>
        <v>0</v>
      </c>
      <c r="M274" s="91">
        <f ca="1">IFERROR(__xludf.DUMMYFUNCTION("IMPORTRANGE(""https://docs.google.com/spreadsheets/d/1-uDff_7J0KD5mKrp0Vvzr7lt3OU09vwQwhkpOPPYv2Y/edit?usp=sharing"",""งบพรบ!DK73"")"),0)</f>
        <v>0</v>
      </c>
      <c r="N274" s="91">
        <f ca="1">IFERROR(__xludf.DUMMYFUNCTION("IMPORTRANGE(""https://docs.google.com/spreadsheets/d/1-uDff_7J0KD5mKrp0Vvzr7lt3OU09vwQwhkpOPPYv2Y/edit?usp=sharing"",""งบพรบ!DM73"")"),0)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909" t="s">
        <v>38</v>
      </c>
      <c r="E275" s="227"/>
      <c r="F275" s="227"/>
      <c r="G275" s="228"/>
      <c r="H275" s="229"/>
      <c r="I275" s="221"/>
      <c r="J275" s="221"/>
      <c r="K275" s="222"/>
      <c r="L275" s="1269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375"/>
      <c r="B276" s="934"/>
      <c r="C276" s="934"/>
      <c r="D276" s="933" t="s">
        <v>115</v>
      </c>
      <c r="E276" s="82"/>
      <c r="F276" s="82"/>
      <c r="G276" s="84"/>
      <c r="H276" s="932" t="s">
        <v>35</v>
      </c>
      <c r="I276" s="323">
        <f ca="1">IFERROR(__xludf.DUMMYFUNCTION("IMPORTRANGE(""https://docs.google.com/spreadsheets/d/1eHaY18a8A9IcSdp1K8H6x8fbOy06t2VsZHhMHf-1x7Y/edit?usp=sharing"",""แผน!EC73"")"),12)</f>
        <v>12</v>
      </c>
      <c r="J276" s="931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268"/>
      <c r="B277" s="863"/>
      <c r="C277" s="863"/>
      <c r="D277" s="1146" t="s">
        <v>116</v>
      </c>
      <c r="E277" s="1267"/>
      <c r="F277" s="1267"/>
      <c r="G277" s="1266"/>
      <c r="H277" s="1331" t="s">
        <v>35</v>
      </c>
      <c r="I277" s="758">
        <v>0</v>
      </c>
      <c r="J277" s="758">
        <v>0</v>
      </c>
      <c r="K277" s="1144">
        <v>0</v>
      </c>
      <c r="L277" s="1265"/>
      <c r="M277" s="1264"/>
      <c r="N277" s="1264"/>
      <c r="O277" s="1264"/>
      <c r="P277" s="1264"/>
      <c r="Q277" s="1264"/>
      <c r="R277" s="1264"/>
      <c r="S277" s="1264"/>
      <c r="T277" s="1264"/>
      <c r="U277" s="1264"/>
    </row>
    <row r="278" spans="1:21" ht="19.5" hidden="1" x14ac:dyDescent="0.3">
      <c r="A278" s="1143" t="s">
        <v>117</v>
      </c>
      <c r="B278" s="1141"/>
      <c r="C278" s="1141"/>
      <c r="D278" s="1141"/>
      <c r="E278" s="1142"/>
      <c r="F278" s="1142"/>
      <c r="G278" s="1142"/>
      <c r="H278" s="1142"/>
      <c r="I278" s="1140"/>
      <c r="J278" s="1140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39" t="s">
        <v>118</v>
      </c>
      <c r="B279" s="1138"/>
      <c r="C279" s="1137"/>
      <c r="D279" s="1138"/>
      <c r="E279" s="1138"/>
      <c r="F279" s="1138"/>
      <c r="G279" s="1138"/>
      <c r="H279" s="1138"/>
      <c r="I279" s="1136"/>
      <c r="J279" s="1135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33"/>
      <c r="B280" s="1134" t="s">
        <v>119</v>
      </c>
      <c r="C280" s="1131"/>
      <c r="D280" s="1132"/>
      <c r="E280" s="1131"/>
      <c r="F280" s="1131"/>
      <c r="G280" s="1130"/>
      <c r="H280" s="1330" t="s">
        <v>35</v>
      </c>
      <c r="I280" s="1128">
        <f ca="1">I293</f>
        <v>0</v>
      </c>
      <c r="J280" s="1128">
        <f>J293</f>
        <v>0</v>
      </c>
      <c r="K280" s="1127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33"/>
      <c r="B281" s="1131"/>
      <c r="C281" s="1131"/>
      <c r="D281" s="1132"/>
      <c r="E281" s="1131"/>
      <c r="F281" s="1131"/>
      <c r="G281" s="1130"/>
      <c r="H281" s="1330" t="s">
        <v>46</v>
      </c>
      <c r="I281" s="1128">
        <f ca="1">I292</f>
        <v>0</v>
      </c>
      <c r="J281" s="1128">
        <f>J292</f>
        <v>0</v>
      </c>
      <c r="K281" s="1127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IFERROR(__xludf.DUMMYFUNCTION("IMPORTRANGE(""https://docs.google.com/spreadsheets/d/1-uDff_7J0KD5mKrp0Vvzr7lt3OU09vwQwhkpOPPYv2Y/edit?usp=sharing"",""งบพรบ!DO73"")"),0)</f>
        <v>0</v>
      </c>
      <c r="M287" s="77">
        <f ca="1">IFERROR(__xludf.DUMMYFUNCTION("IMPORTRANGE(""https://docs.google.com/spreadsheets/d/1-uDff_7J0KD5mKrp0Vvzr7lt3OU09vwQwhkpOPPYv2Y/edit?usp=sharing"",""งบพรบ!DT73"")"),0)</f>
        <v>0</v>
      </c>
      <c r="N287" s="77">
        <f ca="1">IFERROR(__xludf.DUMMYFUNCTION("IMPORTRANGE(""https://docs.google.com/spreadsheets/d/1-uDff_7J0KD5mKrp0Vvzr7lt3OU09vwQwhkpOPPYv2Y/edit?usp=sharing"",""งบพรบ!DV73"")"),0)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IFERROR(__xludf.DUMMYFUNCTION("IMPORTRANGE(""https://docs.google.com/spreadsheets/d/1-uDff_7J0KD5mKrp0Vvzr7lt3OU09vwQwhkpOPPYv2Y/edit?usp=sharing"",""งบพรบ!DR73"")"),0)</f>
        <v>0</v>
      </c>
      <c r="M290" s="77">
        <f ca="1">IFERROR(__xludf.DUMMYFUNCTION("IMPORTRANGE(""https://docs.google.com/spreadsheets/d/1-uDff_7J0KD5mKrp0Vvzr7lt3OU09vwQwhkpOPPYv2Y/edit?usp=sharing"",""งบพรบ!DU73"")"),0)</f>
        <v>0</v>
      </c>
      <c r="N290" s="77">
        <f ca="1">IFERROR(__xludf.DUMMYFUNCTION("IMPORTRANGE(""https://docs.google.com/spreadsheets/d/1-uDff_7J0KD5mKrp0Vvzr7lt3OU09vwQwhkpOPPYv2Y/edit?usp=sharing"",""งบพรบ!DW73"")"),0)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37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095" t="s">
        <v>46</v>
      </c>
      <c r="I292" s="295">
        <f ca="1">IFERROR(__xludf.DUMMYFUNCTION("IMPORTRANGE(""https://docs.google.com/spreadsheets/d/1eHaY18a8A9IcSdp1K8H6x8fbOy06t2VsZHhMHf-1x7Y/edit?usp=sharing"",""แผน!EE73"")"),0)</f>
        <v>0</v>
      </c>
      <c r="J292" s="296">
        <v>0</v>
      </c>
      <c r="K292" s="748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26" t="s">
        <v>35</v>
      </c>
      <c r="I293" s="603">
        <f ca="1">IFERROR(__xludf.DUMMYFUNCTION("IMPORTRANGE(""https://docs.google.com/spreadsheets/d/1eHaY18a8A9IcSdp1K8H6x8fbOy06t2VsZHhMHf-1x7Y/edit?usp=sharing"",""แผน!ED73"")"),0)</f>
        <v>0</v>
      </c>
      <c r="J293" s="603">
        <f>J296</f>
        <v>0</v>
      </c>
      <c r="K293" s="1125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327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326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IFERROR(__xludf.DUMMYFUNCTION("IMPORTRANGE(""https://docs.google.com/spreadsheets/d/1eHaY18a8A9IcSdp1K8H6x8fbOy06t2VsZHhMHf-1x7Y/edit?usp=sharing"",""แผน!ED73"")"),0)</f>
        <v>0</v>
      </c>
      <c r="J295" s="296">
        <v>0</v>
      </c>
      <c r="K295" s="748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325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IFERROR(__xludf.DUMMYFUNCTION("IMPORTRANGE(""https://docs.google.com/spreadsheets/d/1eHaY18a8A9IcSdp1K8H6x8fbOy06t2VsZHhMHf-1x7Y/edit?usp=sharing"",""แผน!ED73"")"),0)</f>
        <v>0</v>
      </c>
      <c r="J296" s="296">
        <v>0</v>
      </c>
      <c r="K296" s="748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24"/>
      <c r="B299" s="1123"/>
      <c r="C299" s="1123"/>
      <c r="D299" s="1122"/>
      <c r="E299" s="1122"/>
      <c r="F299" s="1122"/>
      <c r="G299" s="1121"/>
      <c r="H299" s="1121"/>
      <c r="I299" s="1119"/>
      <c r="J299" s="1119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18" t="s">
        <v>125</v>
      </c>
      <c r="B300" s="1116"/>
      <c r="C300" s="1116"/>
      <c r="D300" s="1116"/>
      <c r="E300" s="1117"/>
      <c r="F300" s="1117"/>
      <c r="G300" s="1117"/>
      <c r="H300" s="1117"/>
      <c r="I300" s="1115"/>
      <c r="J300" s="1115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05" t="s">
        <v>126</v>
      </c>
      <c r="B301" s="1103"/>
      <c r="C301" s="1103"/>
      <c r="D301" s="1104"/>
      <c r="E301" s="1104"/>
      <c r="F301" s="1104"/>
      <c r="G301" s="1114"/>
      <c r="H301" s="1114"/>
      <c r="I301" s="1102"/>
      <c r="J301" s="1102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099"/>
      <c r="B302" s="1098" t="s">
        <v>127</v>
      </c>
      <c r="C302" s="589"/>
      <c r="D302" s="589"/>
      <c r="E302" s="589"/>
      <c r="F302" s="589"/>
      <c r="G302" s="590"/>
      <c r="H302" s="1328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IFERROR(__xludf.DUMMYFUNCTION("IMPORTRANGE(""https://docs.google.com/spreadsheets/d/1-uDff_7J0KD5mKrp0Vvzr7lt3OU09vwQwhkpOPPYv2Y/edit?usp=sharing"",""งบพรบ!DY73"")"),0)</f>
        <v>0</v>
      </c>
      <c r="M308" s="77">
        <f ca="1">IFERROR(__xludf.DUMMYFUNCTION("IMPORTRANGE(""https://docs.google.com/spreadsheets/d/1-uDff_7J0KD5mKrp0Vvzr7lt3OU09vwQwhkpOPPYv2Y/edit?usp=sharing"",""งบพรบ!ED73"")"),0)</f>
        <v>0</v>
      </c>
      <c r="N308" s="77">
        <f ca="1">IFERROR(__xludf.DUMMYFUNCTION("IMPORTRANGE(""https://docs.google.com/spreadsheets/d/1-uDff_7J0KD5mKrp0Vvzr7lt3OU09vwQwhkpOPPYv2Y/edit?usp=sharing"",""งบพรบ!EF73"")"),0)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IFERROR(__xludf.DUMMYFUNCTION("IMPORTRANGE(""https://docs.google.com/spreadsheets/d/1ItG2mGa2ceCfYo0BwxsXqNm01IGEUdYcSSLTEv9YCik/edit?usp=sharing"",""เบิกจ่ายกองทุน!AP73"")"),0)</f>
        <v>0</v>
      </c>
      <c r="R308" s="77">
        <f ca="1">IFERROR(__xludf.DUMMYFUNCTION("IMPORTRANGE(""https://docs.google.com/spreadsheets/d/1ItG2mGa2ceCfYo0BwxsXqNm01IGEUdYcSSLTEv9YCik/edit?usp=sharing"",""เบิกจ่ายกองทุน!AQ73"")"),0)</f>
        <v>0</v>
      </c>
      <c r="S308" s="77">
        <f ca="1">IFERROR(__xludf.DUMMYFUNCTION("IMPORTRANGE(""https://docs.google.com/spreadsheets/d/1ItG2mGa2ceCfYo0BwxsXqNm01IGEUdYcSSLTEv9YCik/edit?usp=sharing"",""เบิกจ่ายกองทุน!AR73"")"),0)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IFERROR(__xludf.DUMMYFUNCTION("IMPORTRANGE(""https://docs.google.com/spreadsheets/d/1-uDff_7J0KD5mKrp0Vvzr7lt3OU09vwQwhkpOPPYv2Y/edit?usp=sharing"",""งบพรบ!EB73"")"),0)</f>
        <v>0</v>
      </c>
      <c r="M311" s="77">
        <f ca="1">IFERROR(__xludf.DUMMYFUNCTION("IMPORTRANGE(""https://docs.google.com/spreadsheets/d/1-uDff_7J0KD5mKrp0Vvzr7lt3OU09vwQwhkpOPPYv2Y/edit?usp=sharing"",""งบพรบ!EE73"")"),0)</f>
        <v>0</v>
      </c>
      <c r="N311" s="77">
        <f ca="1">IFERROR(__xludf.DUMMYFUNCTION("IMPORTRANGE(""https://docs.google.com/spreadsheets/d/1-uDff_7J0KD5mKrp0Vvzr7lt3OU09vwQwhkpOPPYv2Y/edit?usp=sharing"",""งบพรบ!EG73"")"),0)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37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280"/>
      <c r="E313" s="287"/>
      <c r="F313" s="287"/>
      <c r="G313" s="288"/>
      <c r="H313" s="288"/>
      <c r="I313" s="289"/>
      <c r="J313" s="127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IFERROR(__xludf.DUMMYFUNCTION("IMPORTRANGE(""https://docs.google.com/spreadsheets/d/1eHaY18a8A9IcSdp1K8H6x8fbOy06t2VsZHhMHf-1x7Y/edit?usp=sharing"",""แผน!EF73"")"),0)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280"/>
      <c r="E315" s="287"/>
      <c r="F315" s="287"/>
      <c r="G315" s="288"/>
      <c r="H315" s="1329"/>
      <c r="I315" s="1278"/>
      <c r="J315" s="1278"/>
      <c r="K315" s="127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280"/>
      <c r="E316" s="287"/>
      <c r="F316" s="287"/>
      <c r="G316" s="288"/>
      <c r="H316" s="1329"/>
      <c r="I316" s="1278"/>
      <c r="J316" s="1278"/>
      <c r="K316" s="127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20"/>
      <c r="E317" s="287"/>
      <c r="F317" s="287"/>
      <c r="G317" s="288"/>
      <c r="H317" s="917"/>
      <c r="I317" s="916"/>
      <c r="J317" s="916"/>
      <c r="K317" s="91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05" t="s">
        <v>131</v>
      </c>
      <c r="B318" s="1103"/>
      <c r="C318" s="1103"/>
      <c r="D318" s="1104"/>
      <c r="E318" s="1103"/>
      <c r="F318" s="1103"/>
      <c r="G318" s="1103"/>
      <c r="H318" s="1104"/>
      <c r="I318" s="1102"/>
      <c r="J318" s="1102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098" t="s">
        <v>132</v>
      </c>
      <c r="C319" s="587"/>
      <c r="D319" s="588"/>
      <c r="E319" s="589"/>
      <c r="F319" s="589"/>
      <c r="G319" s="590"/>
      <c r="H319" s="1328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IFERROR(__xludf.DUMMYFUNCTION("IMPORTRANGE(""https://docs.google.com/spreadsheets/d/1-uDff_7J0KD5mKrp0Vvzr7lt3OU09vwQwhkpOPPYv2Y/edit?usp=sharing"",""งบพรบ!EI73"")"),0)</f>
        <v>0</v>
      </c>
      <c r="M325" s="77">
        <f ca="1">IFERROR(__xludf.DUMMYFUNCTION("IMPORTRANGE(""https://docs.google.com/spreadsheets/d/1-uDff_7J0KD5mKrp0Vvzr7lt3OU09vwQwhkpOPPYv2Y/edit?usp=sharing"",""งบพรบ!EN73"")"),0)</f>
        <v>0</v>
      </c>
      <c r="N325" s="77">
        <f ca="1">IFERROR(__xludf.DUMMYFUNCTION("IMPORTRANGE(""https://docs.google.com/spreadsheets/d/1-uDff_7J0KD5mKrp0Vvzr7lt3OU09vwQwhkpOPPYv2Y/edit?usp=sharing"",""งบพรบ!EP73"")"),0)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IFERROR(__xludf.DUMMYFUNCTION("IMPORTRANGE(""https://docs.google.com/spreadsheets/d/1-uDff_7J0KD5mKrp0Vvzr7lt3OU09vwQwhkpOPPYv2Y/edit?usp=sharing"",""งบพรบ!EL73"")"),0)</f>
        <v>0</v>
      </c>
      <c r="M328" s="77">
        <f ca="1">IFERROR(__xludf.DUMMYFUNCTION("IMPORTRANGE(""https://docs.google.com/spreadsheets/d/1-uDff_7J0KD5mKrp0Vvzr7lt3OU09vwQwhkpOPPYv2Y/edit?usp=sharing"",""งบพรบ!EO73"")"),0)</f>
        <v>0</v>
      </c>
      <c r="N328" s="77">
        <f ca="1">IFERROR(__xludf.DUMMYFUNCTION("IMPORTRANGE(""https://docs.google.com/spreadsheets/d/1-uDff_7J0KD5mKrp0Vvzr7lt3OU09vwQwhkpOPPYv2Y/edit?usp=sharing"",""งบพรบ!EQ73"")"),0)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37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7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IFERROR(__xludf.DUMMYFUNCTION("IMPORTRANGE(""https://docs.google.com/spreadsheets/d/1eHaY18a8A9IcSdp1K8H6x8fbOy06t2VsZHhMHf-1x7Y/edit?usp=sharing"",""แผน!EJ73"")"),0)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05" t="s">
        <v>135</v>
      </c>
      <c r="B331" s="1103"/>
      <c r="C331" s="1103"/>
      <c r="D331" s="1104"/>
      <c r="E331" s="1103"/>
      <c r="F331" s="1103"/>
      <c r="G331" s="1103"/>
      <c r="H331" s="1104"/>
      <c r="I331" s="1102"/>
      <c r="J331" s="1102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099"/>
      <c r="B332" s="1098" t="s">
        <v>136</v>
      </c>
      <c r="C332" s="588"/>
      <c r="D332" s="589"/>
      <c r="E332" s="589"/>
      <c r="F332" s="589"/>
      <c r="G332" s="590"/>
      <c r="H332" s="1328" t="s">
        <v>35</v>
      </c>
      <c r="I332" s="518">
        <f ca="1">I344</f>
        <v>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213600</v>
      </c>
      <c r="M333" s="266">
        <f ca="1">M334+M335</f>
        <v>213600</v>
      </c>
      <c r="N333" s="266">
        <f ca="1">N334+N335</f>
        <v>157166</v>
      </c>
      <c r="O333" s="266">
        <f ca="1">IF(L333&gt;0,N333*100/L333,0)</f>
        <v>73.579588014981269</v>
      </c>
      <c r="P333" s="266">
        <f ca="1">IF(M333&gt;0,N333*100/M333,0)</f>
        <v>73.579588014981269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213600</v>
      </c>
      <c r="M335" s="77">
        <f ca="1">M338+M341</f>
        <v>213600</v>
      </c>
      <c r="N335" s="77">
        <f ca="1">N338+N341</f>
        <v>157166</v>
      </c>
      <c r="O335" s="77">
        <f ca="1">IF(L335&gt;0,N335*100/L335,0)</f>
        <v>73.579588014981269</v>
      </c>
      <c r="P335" s="77">
        <f ca="1">IF(M335&gt;0,N335*100/M335,0)</f>
        <v>73.579588014981269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213600</v>
      </c>
      <c r="M336" s="77">
        <f ca="1">M337+M338</f>
        <v>213600</v>
      </c>
      <c r="N336" s="77">
        <f ca="1">N337+N338</f>
        <v>157166</v>
      </c>
      <c r="O336" s="77">
        <f ca="1">IF(L336&gt;0,N336*100/L336,0)</f>
        <v>73.579588014981269</v>
      </c>
      <c r="P336" s="77">
        <f ca="1">IF(M336&gt;0,N336*100/M336,0)</f>
        <v>73.579588014981269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IFERROR(__xludf.DUMMYFUNCTION("IMPORTRANGE(""https://docs.google.com/spreadsheets/d/1-uDff_7J0KD5mKrp0Vvzr7lt3OU09vwQwhkpOPPYv2Y/edit?usp=sharing"",""งบพรบ!ES73"")"),213600)</f>
        <v>213600</v>
      </c>
      <c r="M338" s="77">
        <f ca="1">IFERROR(__xludf.DUMMYFUNCTION("IMPORTRANGE(""https://docs.google.com/spreadsheets/d/1-uDff_7J0KD5mKrp0Vvzr7lt3OU09vwQwhkpOPPYv2Y/edit?usp=sharing"",""งบพรบ!EX73"")"),213600)</f>
        <v>213600</v>
      </c>
      <c r="N338" s="77">
        <f ca="1">IFERROR(__xludf.DUMMYFUNCTION("IMPORTRANGE(""https://docs.google.com/spreadsheets/d/1-uDff_7J0KD5mKrp0Vvzr7lt3OU09vwQwhkpOPPYv2Y/edit?usp=sharing"",""งบพรบ!EZ73"")"),157166)</f>
        <v>157166</v>
      </c>
      <c r="O338" s="77">
        <f ca="1">IF(L338&gt;0,N338*100/L338,0)</f>
        <v>73.579588014981269</v>
      </c>
      <c r="P338" s="77">
        <f ca="1">IF(M338&gt;0,N338*100/M338,0)</f>
        <v>73.579588014981269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IFERROR(__xludf.DUMMYFUNCTION("IMPORTRANGE(""https://docs.google.com/spreadsheets/d/1-uDff_7J0KD5mKrp0Vvzr7lt3OU09vwQwhkpOPPYv2Y/edit?usp=sharing"",""งบพรบ!EV73"")"),0)</f>
        <v>0</v>
      </c>
      <c r="M341" s="77">
        <f ca="1">IFERROR(__xludf.DUMMYFUNCTION("IMPORTRANGE(""https://docs.google.com/spreadsheets/d/1-uDff_7J0KD5mKrp0Vvzr7lt3OU09vwQwhkpOPPYv2Y/edit?usp=sharing"",""งบพรบ!EY73"")"),0)</f>
        <v>0</v>
      </c>
      <c r="N341" s="77">
        <f ca="1">IFERROR(__xludf.DUMMYFUNCTION("IMPORTRANGE(""https://docs.google.com/spreadsheets/d/1-uDff_7J0KD5mKrp0Vvzr7lt3OU09vwQwhkpOPPYv2Y/edit?usp=sharing"",""งบพรบ!FA73"")"),0)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01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14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85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IFERROR(__xludf.DUMMYFUNCTION("IMPORTRANGE(""https://docs.google.com/spreadsheets/d/1eHaY18a8A9IcSdp1K8H6x8fbOy06t2VsZHhMHf-1x7Y/edit?usp=sharing"",""แผน!EK73"")"),40)</f>
        <v>40</v>
      </c>
      <c r="J344" s="295">
        <f ca="1">IFERROR(__xludf.DUMMYFUNCTION("IMPORTRANGE(""https://docs.google.com/spreadsheets/d/1awYsYK3VOup2i3Pq_Yjnu8DRu_mYwSBnCR2QPthd0rU/edit?usp=sharing"",""ศูนย์ยกเว้นโฉนด!D73"")"),31)</f>
        <v>31</v>
      </c>
      <c r="K344" s="77">
        <f ca="1">IF(I344&gt;0,J344*100/I344,0)</f>
        <v>77.5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IFERROR(__xludf.DUMMYFUNCTION("IMPORTRANGE(""https://docs.google.com/spreadsheets/d/1eHaY18a8A9IcSdp1K8H6x8fbOy06t2VsZHhMHf-1x7Y/edit?usp=sharing"",""แผน!EL73"")"),1)</f>
        <v>1</v>
      </c>
      <c r="J346" s="295">
        <f ca="1">IFERROR(__xludf.DUMMYFUNCTION("IMPORTRANGE(""https://docs.google.com/spreadsheets/d/1awYsYK3VOup2i3Pq_Yjnu8DRu_mYwSBnCR2QPthd0rU/edit?usp=sharing"",""ศูนย์รวม!E73"")"),2)</f>
        <v>2</v>
      </c>
      <c r="K346" s="77">
        <f ca="1">IF(I346&gt;0,J346*100/I346,0)</f>
        <v>200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IFERROR(__xludf.DUMMYFUNCTION("IMPORTRANGE(""https://docs.google.com/spreadsheets/d/1awYsYK3VOup2i3Pq_Yjnu8DRu_mYwSBnCR2QPthd0rU/edit?usp=sharing"",""ศูนย์ยกเว้นโฉนด!F73"")"),46)</f>
        <v>46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IFERROR(__xludf.DUMMYFUNCTION("IMPORTRANGE(""https://docs.google.com/spreadsheets/d/1awYsYK3VOup2i3Pq_Yjnu8DRu_mYwSBnCR2QPthd0rU/edit?usp=sharing"",""ศูนย์ยกเว้นโฉนด!G73"")"),1)</f>
        <v>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IFERROR(__xludf.DUMMYFUNCTION("IMPORTRANGE(""https://docs.google.com/spreadsheets/d/1awYsYK3VOup2i3Pq_Yjnu8DRu_mYwSBnCR2QPthd0rU/edit?usp=sharing"",""ศูนย์ยกเว้นโฉนด!H73"")"),7)</f>
        <v>7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พ.ค. 67 เวลา 11.19 น.]")</f>
        <v xml:space="preserve"> [ข้อมูลจาก ระบบศูนย์บริการประชาชน ข้อมูล ณ 1 พ.ค. 67 เวลา 11.19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13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IFERROR(__xludf.DUMMYFUNCTION("IMPORTRANGE(""https://docs.google.com/spreadsheets/d/1awYsYK3VOup2i3Pq_Yjnu8DRu_mYwSBnCR2QPthd0rU/edit?usp=sharing"",""โฉนดM3!G73"")"),"")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IFERROR(__xludf.DUMMYFUNCTION("IMPORTRANGE(""https://docs.google.com/spreadsheets/d/1awYsYK3VOup2i3Pq_Yjnu8DRu_mYwSBnCR2QPthd0rU/edit?usp=sharing"",""โฉนดM3!H73"")"),"")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IFERROR(__xludf.DUMMYFUNCTION("IMPORTRANGE(""https://docs.google.com/spreadsheets/d/1awYsYK3VOup2i3Pq_Yjnu8DRu_mYwSBnCR2QPthd0rU/edit?usp=sharing"",""โฉนดM3!I73"")"),"")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099"/>
      <c r="B355" s="1098" t="s">
        <v>149</v>
      </c>
      <c r="C355" s="588"/>
      <c r="D355" s="589"/>
      <c r="E355" s="589"/>
      <c r="F355" s="589"/>
      <c r="G355" s="590"/>
      <c r="H355" s="590"/>
      <c r="I355" s="1088"/>
      <c r="J355" s="1088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115055</v>
      </c>
      <c r="M356" s="266">
        <f ca="1">M357+M358</f>
        <v>115055</v>
      </c>
      <c r="N356" s="266">
        <f ca="1">N357+N358</f>
        <v>57662</v>
      </c>
      <c r="O356" s="266">
        <f ca="1">IF(L356&gt;0,N356*100/L356,0)</f>
        <v>50.11690061275042</v>
      </c>
      <c r="P356" s="266">
        <f ca="1">IF(M356&gt;0,N356*100/M356,0)</f>
        <v>50.11690061275042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115055</v>
      </c>
      <c r="M358" s="77">
        <f ca="1">M361+M364</f>
        <v>115055</v>
      </c>
      <c r="N358" s="77">
        <f ca="1">N361+N364</f>
        <v>57662</v>
      </c>
      <c r="O358" s="77">
        <f ca="1">IF(L358&gt;0,N358*100/L358,0)</f>
        <v>50.11690061275042</v>
      </c>
      <c r="P358" s="77">
        <f ca="1">IF(M358&gt;0,N358*100/M358,0)</f>
        <v>50.11690061275042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115055</v>
      </c>
      <c r="M359" s="77">
        <f ca="1">M360+M361</f>
        <v>115055</v>
      </c>
      <c r="N359" s="77">
        <f ca="1">N360+N361</f>
        <v>57662</v>
      </c>
      <c r="O359" s="77">
        <f ca="1">IF(L359&gt;0,N359*100/L359,0)</f>
        <v>50.11690061275042</v>
      </c>
      <c r="P359" s="77">
        <f ca="1">IF(M359&gt;0,N359*100/M359,0)</f>
        <v>50.11690061275042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IFERROR(__xludf.DUMMYFUNCTION("IMPORTRANGE(""https://docs.google.com/spreadsheets/d/1-uDff_7J0KD5mKrp0Vvzr7lt3OU09vwQwhkpOPPYv2Y/edit?usp=sharing"",""งบพรบ!FC73"")"),115055)</f>
        <v>115055</v>
      </c>
      <c r="M361" s="77">
        <f ca="1">IFERROR(__xludf.DUMMYFUNCTION("IMPORTRANGE(""https://docs.google.com/spreadsheets/d/1-uDff_7J0KD5mKrp0Vvzr7lt3OU09vwQwhkpOPPYv2Y/edit?usp=sharing"",""งบพรบ!FH73"")"),115055)</f>
        <v>115055</v>
      </c>
      <c r="N361" s="77">
        <f ca="1">IFERROR(__xludf.DUMMYFUNCTION("IMPORTRANGE(""https://docs.google.com/spreadsheets/d/1-uDff_7J0KD5mKrp0Vvzr7lt3OU09vwQwhkpOPPYv2Y/edit?usp=sharing"",""งบพรบ!FJ73"")"),57662)</f>
        <v>57662</v>
      </c>
      <c r="O361" s="77">
        <f ca="1">IF(L361&gt;0,N361*100/L361,0)</f>
        <v>50.11690061275042</v>
      </c>
      <c r="P361" s="77">
        <f ca="1">IF(M361&gt;0,N361*100/M361,0)</f>
        <v>50.11690061275042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IFERROR(__xludf.DUMMYFUNCTION("IMPORTRANGE(""https://docs.google.com/spreadsheets/d/1-uDff_7J0KD5mKrp0Vvzr7lt3OU09vwQwhkpOPPYv2Y/edit?usp=sharing"",""งบพรบ!FF73"")"),0)</f>
        <v>0</v>
      </c>
      <c r="M364" s="77">
        <f ca="1">IFERROR(__xludf.DUMMYFUNCTION("IMPORTRANGE(""https://docs.google.com/spreadsheets/d/1-uDff_7J0KD5mKrp0Vvzr7lt3OU09vwQwhkpOPPYv2Y/edit?usp=sharing"",""งบพรบ!FI73"")"),0)</f>
        <v>0</v>
      </c>
      <c r="N364" s="77">
        <f ca="1">IFERROR(__xludf.DUMMYFUNCTION("IMPORTRANGE(""https://docs.google.com/spreadsheets/d/1-uDff_7J0KD5mKrp0Vvzr7lt3OU09vwQwhkpOPPYv2Y/edit?usp=sharing"",""งบพรบ!FK73"")"),0)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13" t="s">
        <v>150</v>
      </c>
      <c r="E365" s="537"/>
      <c r="F365" s="537"/>
      <c r="G365" s="540"/>
      <c r="H365" s="1097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37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7" t="s">
        <v>151</v>
      </c>
      <c r="F367" s="292"/>
      <c r="G367" s="284"/>
      <c r="H367" s="1095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IFERROR(__xludf.DUMMYFUNCTION("IMPORTRANGE(""https://docs.google.com/spreadsheets/d/1tdoBKaGub7dwA3U6UFTqxio9LNnvDCQjHKmttSEBsFQ/edit?usp=sharing"",""จัดที่ดิน!AB73"")"),0)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095" t="s">
        <v>46</v>
      </c>
      <c r="I368" s="295">
        <f ca="1">IFERROR(__xludf.DUMMYFUNCTION("IMPORTRANGE(""https://docs.google.com/spreadsheets/d/1eHaY18a8A9IcSdp1K8H6x8fbOy06t2VsZHhMHf-1x7Y/edit?usp=sharing"",""แผน!EW73"")"),0)</f>
        <v>0</v>
      </c>
      <c r="J368" s="1094">
        <f ca="1">IFERROR(__xludf.DUMMYFUNCTION("IMPORTRANGE(""https://docs.google.com/spreadsheets/d/1tdoBKaGub7dwA3U6UFTqxio9LNnvDCQjHKmttSEBsFQ/edit?usp=sharing"",""จัดที่ดิน!AC73"")"),0)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7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IFERROR(__xludf.DUMMYFUNCTION("IMPORTRANGE(""https://docs.google.com/spreadsheets/d/1eHaY18a8A9IcSdp1K8H6x8fbOy06t2VsZHhMHf-1x7Y/edit?usp=sharing"",""แผน!EX73"")"),0)</f>
        <v>0</v>
      </c>
      <c r="J369" s="295">
        <f ca="1">IFERROR(__xludf.DUMMYFUNCTION("IMPORTRANGE(""https://docs.google.com/spreadsheets/d/1tdoBKaGub7dwA3U6UFTqxio9LNnvDCQjHKmttSEBsFQ/edit?usp=sharing"",""จัดที่ดิน!AD73"")"),0)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094">
        <f ca="1">IFERROR(__xludf.DUMMYFUNCTION("IMPORTRANGE(""https://docs.google.com/spreadsheets/d/1tdoBKaGub7dwA3U6UFTqxio9LNnvDCQjHKmttSEBsFQ/edit?usp=sharing"",""จัดที่ดิน!AE73"")"),0)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IFERROR(__xludf.DUMMYFUNCTION("IMPORTRANGE(""https://docs.google.com/spreadsheets/d/1eHaY18a8A9IcSdp1K8H6x8fbOy06t2VsZHhMHf-1x7Y/edit?usp=sharing"",""แผน!EY73"")"),0)</f>
        <v>0</v>
      </c>
      <c r="J371" s="295">
        <f ca="1">IFERROR(__xludf.DUMMYFUNCTION("IMPORTRANGE(""https://docs.google.com/spreadsheets/d/1tdoBKaGub7dwA3U6UFTqxio9LNnvDCQjHKmttSEBsFQ/edit?usp=sharing"",""จัดที่ดิน!AF73"")"),0)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094">
        <f ca="1">IFERROR(__xludf.DUMMYFUNCTION("IMPORTRANGE(""https://docs.google.com/spreadsheets/d/1tdoBKaGub7dwA3U6UFTqxio9LNnvDCQjHKmttSEBsFQ/edit?usp=sharing"",""จัดที่ดิน!AG73"")"),0)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09"/>
      <c r="B373" s="617"/>
      <c r="C373" s="609"/>
      <c r="D373" s="109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 พ.ค. 67 เวลา 07.29 น.]")</f>
        <v xml:space="preserve"> [ข้อมูลจาก ระบบ ALRO Land Online ข้อมูล ณ 1 พ.ค. 67 เวลา 07.29 น.]</v>
      </c>
      <c r="E373" s="617"/>
      <c r="F373" s="617"/>
      <c r="G373" s="618"/>
      <c r="H373" s="618"/>
      <c r="I373" s="612"/>
      <c r="J373" s="612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04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>L376+L377</f>
        <v>0</v>
      </c>
      <c r="M375" s="266">
        <f>M376+M377</f>
        <v>0</v>
      </c>
      <c r="N375" s="266">
        <f>N376+N377</f>
        <v>0</v>
      </c>
      <c r="O375" s="266">
        <f>IF(L375&gt;0,N375*100/L375,0)</f>
        <v>0</v>
      </c>
      <c r="P375" s="266">
        <f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>L380+L383</f>
        <v>0</v>
      </c>
      <c r="M377" s="77">
        <f>M380+M383</f>
        <v>0</v>
      </c>
      <c r="N377" s="77">
        <f>N380+N383</f>
        <v>0</v>
      </c>
      <c r="O377" s="77">
        <f>IF(L377&gt;0,N377*100/L377,0)</f>
        <v>0</v>
      </c>
      <c r="P377" s="77">
        <f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0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>L379+L380</f>
        <v>0</v>
      </c>
      <c r="M378" s="77">
        <f>M379+M380</f>
        <v>0</v>
      </c>
      <c r="N378" s="77">
        <f>N379+N380</f>
        <v>0</v>
      </c>
      <c r="O378" s="77">
        <f>IF(L378&gt;0,N378*100/L378,0)</f>
        <v>0</v>
      </c>
      <c r="P378" s="77">
        <f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v>0</v>
      </c>
      <c r="M380" s="77">
        <v>0</v>
      </c>
      <c r="N380" s="77">
        <v>0</v>
      </c>
      <c r="O380" s="77">
        <f>IF(L380&gt;0,N380*100/L380,0)</f>
        <v>0</v>
      </c>
      <c r="P380" s="77">
        <f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IFERROR(__xludf.DUMMYFUNCTION("IMPORTRANGE(""https://docs.google.com/spreadsheets/d/1ItG2mGa2ceCfYo0BwxsXqNm01IGEUdYcSSLTEv9YCik/edit?usp=sharing"",""เบิกจ่ายกองทุน!AY73"")"),0)</f>
        <v>0</v>
      </c>
      <c r="R380" s="77">
        <f ca="1">IFERROR(__xludf.DUMMYFUNCTION("IMPORTRANGE(""https://docs.google.com/spreadsheets/d/1ItG2mGa2ceCfYo0BwxsXqNm01IGEUdYcSSLTEv9YCik/edit?usp=sharing"",""เบิกจ่ายกองทุน!AZ73"")"),0)</f>
        <v>0</v>
      </c>
      <c r="S380" s="77">
        <f ca="1">IFERROR(__xludf.DUMMYFUNCTION("IMPORTRANGE(""https://docs.google.com/spreadsheets/d/1ItG2mGa2ceCfYo0BwxsXqNm01IGEUdYcSSLTEv9YCik/edit?usp=sharing"",""เบิกจ่ายกองทุน!BA73"")"),0)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0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>L382+L383</f>
        <v>0</v>
      </c>
      <c r="M381" s="77">
        <f>M382+M383</f>
        <v>0</v>
      </c>
      <c r="N381" s="77">
        <f>N382+N383</f>
        <v>0</v>
      </c>
      <c r="O381" s="77">
        <f>IF(L381&gt;0,N381*100/L381,0)</f>
        <v>0</v>
      </c>
      <c r="P381" s="77">
        <f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v>0</v>
      </c>
      <c r="M383" s="77">
        <v>0</v>
      </c>
      <c r="N383" s="77">
        <v>0</v>
      </c>
      <c r="O383" s="77">
        <f>IF(L383&gt;0,N383*100/L383,0)</f>
        <v>0</v>
      </c>
      <c r="P383" s="77">
        <f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0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IFERROR(__xludf.DUMMYFUNCTION("IMPORTRANGE(""https://docs.google.com/spreadsheets/d/1eHaY18a8A9IcSdp1K8H6x8fbOy06t2VsZHhMHf-1x7Y/edit?usp=sharing"",""แผน!JQ73"")"),0)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IFERROR(__xludf.DUMMYFUNCTION("IMPORTRANGE(""https://docs.google.com/spreadsheets/d/1eHaY18a8A9IcSdp1K8H6x8fbOy06t2VsZHhMHf-1x7Y/edit?usp=sharing"",""แผน!JQ73"")"),0)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088">
        <f>I402</f>
        <v>0</v>
      </c>
      <c r="J391" s="1088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04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>Q393+Q394</f>
        <v>0</v>
      </c>
      <c r="R392" s="266">
        <f>R393+R394</f>
        <v>0</v>
      </c>
      <c r="S392" s="266">
        <f>S393+S394</f>
        <v>0</v>
      </c>
      <c r="T392" s="266">
        <f>IF(Q392&gt;0,S392*100/Q392,0)</f>
        <v>0</v>
      </c>
      <c r="U392" s="266">
        <f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>Q397+Q400</f>
        <v>0</v>
      </c>
      <c r="R394" s="77">
        <f>R397+R400</f>
        <v>0</v>
      </c>
      <c r="S394" s="77">
        <f>S397+S400</f>
        <v>0</v>
      </c>
      <c r="T394" s="77">
        <f>IF(Q394&gt;0,S394*100/Q394,0)</f>
        <v>0</v>
      </c>
      <c r="U394" s="77">
        <f>IF(R394&gt;0,S394*100/R394,0)</f>
        <v>0</v>
      </c>
    </row>
    <row r="395" spans="1:21" ht="18.75" hidden="1" x14ac:dyDescent="0.25">
      <c r="A395" s="259"/>
      <c r="B395" s="271"/>
      <c r="C395" s="271"/>
      <c r="D395" s="900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>Q396+Q397</f>
        <v>0</v>
      </c>
      <c r="R395" s="77">
        <f>R396+R397</f>
        <v>0</v>
      </c>
      <c r="S395" s="77">
        <f>S396+S397</f>
        <v>0</v>
      </c>
      <c r="T395" s="77">
        <f>IF(Q395&gt;0,S395*100/Q395,0)</f>
        <v>0</v>
      </c>
      <c r="U395" s="77">
        <f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v>0</v>
      </c>
      <c r="R397" s="77">
        <v>0</v>
      </c>
      <c r="S397" s="77">
        <v>0</v>
      </c>
      <c r="T397" s="77">
        <f>IF(Q397&gt;0,S397*100/Q397,0)</f>
        <v>0</v>
      </c>
      <c r="U397" s="77">
        <f>IF(R397&gt;0,S397*100/R397,0)</f>
        <v>0</v>
      </c>
    </row>
    <row r="398" spans="1:21" ht="18.75" hidden="1" x14ac:dyDescent="0.25">
      <c r="A398" s="259"/>
      <c r="B398" s="271"/>
      <c r="C398" s="271"/>
      <c r="D398" s="900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0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901" t="s">
        <v>19</v>
      </c>
      <c r="E413" s="789"/>
      <c r="F413" s="789"/>
      <c r="G413" s="787"/>
      <c r="H413" s="601" t="s">
        <v>14</v>
      </c>
      <c r="I413" s="265"/>
      <c r="J413" s="265"/>
      <c r="K413" s="90"/>
      <c r="L413" s="393">
        <f>L414+L415</f>
        <v>0</v>
      </c>
      <c r="M413" s="266">
        <f>M414+M415</f>
        <v>0</v>
      </c>
      <c r="N413" s="266">
        <f>N414+N415</f>
        <v>0</v>
      </c>
      <c r="O413" s="266">
        <f>IF(L413&gt;0,N413*100/L413,0)</f>
        <v>0</v>
      </c>
      <c r="P413" s="266">
        <f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>L418+L421</f>
        <v>0</v>
      </c>
      <c r="M415" s="77">
        <f>M418+M421</f>
        <v>0</v>
      </c>
      <c r="N415" s="77">
        <f>N418+N421</f>
        <v>0</v>
      </c>
      <c r="O415" s="77">
        <f>IF(L415&gt;0,N415*100/L415,0)</f>
        <v>0</v>
      </c>
      <c r="P415" s="77">
        <f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04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>L417+L418</f>
        <v>0</v>
      </c>
      <c r="M416" s="77">
        <f>M417+M418</f>
        <v>0</v>
      </c>
      <c r="N416" s="77">
        <f>N417+N418</f>
        <v>0</v>
      </c>
      <c r="O416" s="77">
        <f>IF(L416&gt;0,N416*100/L416,0)</f>
        <v>0</v>
      </c>
      <c r="P416" s="77">
        <f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v>0</v>
      </c>
      <c r="M418" s="77">
        <v>0</v>
      </c>
      <c r="N418" s="77">
        <v>0</v>
      </c>
      <c r="O418" s="77">
        <f>IF(L418&gt;0,N418*100/L418,0)</f>
        <v>0</v>
      </c>
      <c r="P418" s="77">
        <f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IFERROR(__xludf.DUMMYFUNCTION("IMPORTRANGE(""https://docs.google.com/spreadsheets/d/1ItG2mGa2ceCfYo0BwxsXqNm01IGEUdYcSSLTEv9YCik/edit?usp=sharing"",""เบิกจ่ายกองทุน!BH73"")"),0)</f>
        <v>0</v>
      </c>
      <c r="R418" s="77">
        <f ca="1">IFERROR(__xludf.DUMMYFUNCTION("IMPORTRANGE(""https://docs.google.com/spreadsheets/d/1ItG2mGa2ceCfYo0BwxsXqNm01IGEUdYcSSLTEv9YCik/edit?usp=sharing"",""เบิกจ่ายกองทุน!BI73"")"),0)</f>
        <v>0</v>
      </c>
      <c r="S418" s="77">
        <f ca="1">IFERROR(__xludf.DUMMYFUNCTION("IMPORTRANGE(""https://docs.google.com/spreadsheets/d/1ItG2mGa2ceCfYo0BwxsXqNm01IGEUdYcSSLTEv9YCik/edit?usp=sharing"",""เบิกจ่ายกองทุน!BJ73"")"),0)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04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>L420+L421</f>
        <v>0</v>
      </c>
      <c r="M419" s="77">
        <f>M420+M421</f>
        <v>0</v>
      </c>
      <c r="N419" s="77">
        <f>N420+N421</f>
        <v>0</v>
      </c>
      <c r="O419" s="77">
        <f>IF(L419&gt;0,N419*100/L419,0)</f>
        <v>0</v>
      </c>
      <c r="P419" s="77">
        <f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v>0</v>
      </c>
      <c r="M421" s="77">
        <v>0</v>
      </c>
      <c r="N421" s="77">
        <v>0</v>
      </c>
      <c r="O421" s="77">
        <f>IF(L421&gt;0,N421*100/L421,0)</f>
        <v>0</v>
      </c>
      <c r="P421" s="77">
        <f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903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3">
        <f ca="1">I440</f>
        <v>0</v>
      </c>
      <c r="J423" s="603">
        <f>J440</f>
        <v>0</v>
      </c>
      <c r="K423" s="266">
        <f ca="1">IF(I423&gt;0,J423*100/I423,0)</f>
        <v>0</v>
      </c>
      <c r="L423" s="89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3">
        <f ca="1">IFERROR(__xludf.DUMMYFUNCTION("IMPORTRANGE(""https://docs.google.com/spreadsheets/d/1eHaY18a8A9IcSdp1K8H6x8fbOy06t2VsZHhMHf-1x7Y/edit?usp=sharing"",""แผน!HJ73"")"),0)</f>
        <v>0</v>
      </c>
      <c r="J424" s="603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3">
        <f ca="1">IFERROR(__xludf.DUMMYFUNCTION("IMPORTRANGE(""https://docs.google.com/spreadsheets/d/1eHaY18a8A9IcSdp1K8H6x8fbOy06t2VsZHhMHf-1x7Y/edit?usp=sharing"",""แผน!HK73"")"),0)</f>
        <v>0</v>
      </c>
      <c r="J425" s="603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265"/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265"/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265"/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265"/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265"/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265"/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3">
        <f ca="1">IFERROR(__xludf.DUMMYFUNCTION("IMPORTRANGE(""https://docs.google.com/spreadsheets/d/1eHaY18a8A9IcSdp1K8H6x8fbOy06t2VsZHhMHf-1x7Y/edit?usp=sharing"",""แผน!HJ73"")"),0)</f>
        <v>0</v>
      </c>
      <c r="J432" s="603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3">
        <f ca="1">IFERROR(__xludf.DUMMYFUNCTION("IMPORTRANGE(""https://docs.google.com/spreadsheets/d/1eHaY18a8A9IcSdp1K8H6x8fbOy06t2VsZHhMHf-1x7Y/edit?usp=sharing"",""แผน!HK73"")"),0)</f>
        <v>0</v>
      </c>
      <c r="J433" s="603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265"/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265"/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265"/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265"/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265"/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265"/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3">
        <f ca="1">IFERROR(__xludf.DUMMYFUNCTION("IMPORTRANGE(""https://docs.google.com/spreadsheets/d/1eHaY18a8A9IcSdp1K8H6x8fbOy06t2VsZHhMHf-1x7Y/edit?usp=sharing"",""แผน!HJ73"")"),0)</f>
        <v>0</v>
      </c>
      <c r="J440" s="603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3">
        <f ca="1">IFERROR(__xludf.DUMMYFUNCTION("IMPORTRANGE(""https://docs.google.com/spreadsheets/d/1eHaY18a8A9IcSdp1K8H6x8fbOy06t2VsZHhMHf-1x7Y/edit?usp=sharing"",""แผน!HK73"")"),0)</f>
        <v>0</v>
      </c>
      <c r="J441" s="603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265"/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265"/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265"/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265"/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3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3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265"/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265"/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265"/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265"/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265"/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265"/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02"/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265"/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3">
        <f ca="1">I457</f>
        <v>0</v>
      </c>
      <c r="J456" s="603">
        <f>J457</f>
        <v>0</v>
      </c>
      <c r="K456" s="266">
        <f ca="1">IF(I456&gt;0,J456*100/I456,0)</f>
        <v>0</v>
      </c>
      <c r="L456" s="89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3">
        <f ca="1">IFERROR(__xludf.DUMMYFUNCTION("IMPORTRANGE(""https://docs.google.com/spreadsheets/d/1eHaY18a8A9IcSdp1K8H6x8fbOy06t2VsZHhMHf-1x7Y/edit?usp=sharing"",""แผน!HL73"")"),0)</f>
        <v>0</v>
      </c>
      <c r="J457" s="603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3">
        <f ca="1">IFERROR(__xludf.DUMMYFUNCTION("IMPORTRANGE(""https://docs.google.com/spreadsheets/d/1eHaY18a8A9IcSdp1K8H6x8fbOy06t2VsZHhMHf-1x7Y/edit?usp=sharing"",""แผน!HM73"")"),0)</f>
        <v>0</v>
      </c>
      <c r="J458" s="603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6" t="s">
        <v>181</v>
      </c>
      <c r="E461" s="271"/>
      <c r="F461" s="271"/>
      <c r="G461" s="311"/>
      <c r="H461" s="270" t="s">
        <v>46</v>
      </c>
      <c r="I461" s="265"/>
      <c r="J461" s="265"/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265"/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6" t="s">
        <v>182</v>
      </c>
      <c r="E463" s="271"/>
      <c r="F463" s="271"/>
      <c r="G463" s="311"/>
      <c r="H463" s="270" t="s">
        <v>46</v>
      </c>
      <c r="I463" s="265"/>
      <c r="J463" s="265"/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265"/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6" t="s">
        <v>183</v>
      </c>
      <c r="E465" s="271"/>
      <c r="F465" s="271"/>
      <c r="G465" s="311"/>
      <c r="H465" s="270" t="s">
        <v>46</v>
      </c>
      <c r="I465" s="265"/>
      <c r="J465" s="265"/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265"/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6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6" t="s">
        <v>185</v>
      </c>
      <c r="E469" s="271"/>
      <c r="F469" s="271"/>
      <c r="G469" s="311"/>
      <c r="H469" s="270" t="s">
        <v>46</v>
      </c>
      <c r="I469" s="265"/>
      <c r="J469" s="265"/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265"/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6" t="s">
        <v>186</v>
      </c>
      <c r="E471" s="271"/>
      <c r="F471" s="271"/>
      <c r="G471" s="311"/>
      <c r="H471" s="270" t="s">
        <v>46</v>
      </c>
      <c r="I471" s="265"/>
      <c r="J471" s="265"/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265"/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265"/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265"/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533"/>
      <c r="B475" s="607" t="s">
        <v>188</v>
      </c>
      <c r="C475" s="271"/>
      <c r="D475" s="271"/>
      <c r="E475" s="271"/>
      <c r="F475" s="271"/>
      <c r="G475" s="311"/>
      <c r="H475" s="264" t="s">
        <v>46</v>
      </c>
      <c r="I475" s="603">
        <v>0</v>
      </c>
      <c r="J475" s="603">
        <f>J478+J480</f>
        <v>0</v>
      </c>
      <c r="K475" s="266">
        <f>IF(I475&gt;0,J475*100/I475,0)</f>
        <v>0</v>
      </c>
      <c r="L475" s="89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3">
        <v>0</v>
      </c>
      <c r="J476" s="603">
        <f>J478+J480</f>
        <v>0</v>
      </c>
      <c r="K476" s="266">
        <f>IF(I476&gt;0,J476*100/I476,0)</f>
        <v>0</v>
      </c>
      <c r="L476" s="89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3">
        <v>0</v>
      </c>
      <c r="J477" s="603">
        <f>J479+J481</f>
        <v>0</v>
      </c>
      <c r="K477" s="266">
        <f>IF(I477&gt;0,J477*100/I477,0)</f>
        <v>0</v>
      </c>
      <c r="L477" s="89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265"/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265"/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6" t="s">
        <v>192</v>
      </c>
      <c r="E480" s="271"/>
      <c r="F480" s="271"/>
      <c r="G480" s="311"/>
      <c r="H480" s="270" t="s">
        <v>46</v>
      </c>
      <c r="I480" s="265"/>
      <c r="J480" s="265"/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265"/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6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IFERROR(__xludf.DUMMYFUNCTION("IMPORTRANGE(""https://docs.google.com/spreadsheets/d/1eHaY18a8A9IcSdp1K8H6x8fbOy06t2VsZHhMHf-1x7Y/edit?usp=sharing"",""แผน!HN73"")"),0)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IFERROR(__xludf.DUMMYFUNCTION("IMPORTRANGE(""https://docs.google.com/spreadsheets/d/1eHaY18a8A9IcSdp1K8H6x8fbOy06t2VsZHhMHf-1x7Y/edit?usp=sharing"",""แผน!HO73"")"),0)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265">
        <f>J480</f>
        <v>0</v>
      </c>
      <c r="J484" s="603">
        <f>J486+J488+J490</f>
        <v>0</v>
      </c>
      <c r="K484" s="266">
        <f>IF(I484&gt;0,J484*100/I484,0)</f>
        <v>0</v>
      </c>
      <c r="L484" s="89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265">
        <f>J481</f>
        <v>0</v>
      </c>
      <c r="J485" s="603">
        <f>J487+J489+J491</f>
        <v>0</v>
      </c>
      <c r="K485" s="266">
        <f>IF(I485&gt;0,J485*100/I485,0)</f>
        <v>0</v>
      </c>
      <c r="L485" s="89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6" t="s">
        <v>196</v>
      </c>
      <c r="E486" s="271"/>
      <c r="F486" s="271"/>
      <c r="G486" s="311"/>
      <c r="H486" s="270" t="s">
        <v>46</v>
      </c>
      <c r="I486" s="265"/>
      <c r="J486" s="265"/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265"/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6" t="s">
        <v>197</v>
      </c>
      <c r="E488" s="271"/>
      <c r="F488" s="271"/>
      <c r="G488" s="311"/>
      <c r="H488" s="270" t="s">
        <v>46</v>
      </c>
      <c r="I488" s="265"/>
      <c r="J488" s="265"/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265"/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6" t="s">
        <v>198</v>
      </c>
      <c r="E490" s="271"/>
      <c r="F490" s="271"/>
      <c r="G490" s="311"/>
      <c r="H490" s="270" t="s">
        <v>46</v>
      </c>
      <c r="I490" s="265"/>
      <c r="J490" s="265"/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08"/>
      <c r="B491" s="609"/>
      <c r="C491" s="609"/>
      <c r="D491" s="609"/>
      <c r="E491" s="609"/>
      <c r="F491" s="609"/>
      <c r="G491" s="610"/>
      <c r="H491" s="611" t="s">
        <v>34</v>
      </c>
      <c r="I491" s="612"/>
      <c r="J491" s="612"/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901" t="s">
        <v>19</v>
      </c>
      <c r="E493" s="789"/>
      <c r="F493" s="789"/>
      <c r="G493" s="263"/>
      <c r="H493" s="614" t="s">
        <v>14</v>
      </c>
      <c r="I493" s="265"/>
      <c r="J493" s="265"/>
      <c r="K493" s="90"/>
      <c r="L493" s="393">
        <f>L494+L495</f>
        <v>0</v>
      </c>
      <c r="M493" s="266">
        <f>M494+M495</f>
        <v>0</v>
      </c>
      <c r="N493" s="266">
        <f>N494+N495</f>
        <v>0</v>
      </c>
      <c r="O493" s="266">
        <f>IF(L493&gt;0,N493*100/L493,0)</f>
        <v>0</v>
      </c>
      <c r="P493" s="266">
        <f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>L498+L501</f>
        <v>0</v>
      </c>
      <c r="M495" s="77">
        <f>M498+M501</f>
        <v>0</v>
      </c>
      <c r="N495" s="77">
        <f>N498+N501</f>
        <v>0</v>
      </c>
      <c r="O495" s="77">
        <f>IF(L495&gt;0,N495*100/L495,0)</f>
        <v>0</v>
      </c>
      <c r="P495" s="77">
        <f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0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>L497+L498</f>
        <v>0</v>
      </c>
      <c r="M496" s="77">
        <f>M497+M498</f>
        <v>0</v>
      </c>
      <c r="N496" s="77">
        <f>N497+N498</f>
        <v>0</v>
      </c>
      <c r="O496" s="77">
        <f>IF(L496&gt;0,N496*100/L496,0)</f>
        <v>0</v>
      </c>
      <c r="P496" s="77">
        <f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v>0</v>
      </c>
      <c r="M498" s="77">
        <v>0</v>
      </c>
      <c r="N498" s="77">
        <v>0</v>
      </c>
      <c r="O498" s="77">
        <f>IF(L498&gt;0,N498*100/L498,0)</f>
        <v>0</v>
      </c>
      <c r="P498" s="77">
        <f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IFERROR(__xludf.DUMMYFUNCTION("IMPORTRANGE(""https://docs.google.com/spreadsheets/d/1ItG2mGa2ceCfYo0BwxsXqNm01IGEUdYcSSLTEv9YCik/edit?usp=sharing"",""เบิกจ่ายกองทุน!X73"")"),0)</f>
        <v>0</v>
      </c>
      <c r="R498" s="77">
        <f ca="1">IFERROR(__xludf.DUMMYFUNCTION("IMPORTRANGE(""https://docs.google.com/spreadsheets/d/1ItG2mGa2ceCfYo0BwxsXqNm01IGEUdYcSSLTEv9YCik/edit?usp=sharing"",""เบิกจ่ายกองทุน!Y73"")"),0)</f>
        <v>0</v>
      </c>
      <c r="S498" s="77">
        <f ca="1">IFERROR(__xludf.DUMMYFUNCTION("IMPORTRANGE(""https://docs.google.com/spreadsheets/d/1ItG2mGa2ceCfYo0BwxsXqNm01IGEUdYcSSLTEv9YCik/edit?usp=sharing"",""เบิกจ่ายกองทุน!Z73"")"),0)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0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>L500+L501</f>
        <v>0</v>
      </c>
      <c r="M499" s="77">
        <f>M500+M501</f>
        <v>0</v>
      </c>
      <c r="N499" s="77">
        <f>N500+N501</f>
        <v>0</v>
      </c>
      <c r="O499" s="77">
        <f>IF(L499&gt;0,N499*100/L499,0)</f>
        <v>0</v>
      </c>
      <c r="P499" s="77">
        <f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v>0</v>
      </c>
      <c r="M501" s="77">
        <v>0</v>
      </c>
      <c r="N501" s="77">
        <v>0</v>
      </c>
      <c r="O501" s="77">
        <f>IF(L501&gt;0,N501*100/L501,0)</f>
        <v>0</v>
      </c>
      <c r="P501" s="77">
        <f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0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3">
        <f ca="1">IFERROR(__xludf.DUMMYFUNCTION("IMPORTRANGE(""https://docs.google.com/spreadsheets/d/1eHaY18a8A9IcSdp1K8H6x8fbOy06t2VsZHhMHf-1x7Y/edit?usp=sharing"",""แผน!GX73"")"),0)</f>
        <v>0</v>
      </c>
      <c r="J503" s="603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IFERROR(__xludf.DUMMYFUNCTION("IMPORTRANGE(""https://docs.google.com/spreadsheets/d/1eHaY18a8A9IcSdp1K8H6x8fbOy06t2VsZHhMHf-1x7Y/edit?usp=sharing"",""แผน!GY73"")"),0)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IFERROR(__xludf.DUMMYFUNCTION("IMPORTRANGE(""https://docs.google.com/spreadsheets/d/1eHaY18a8A9IcSdp1K8H6x8fbOy06t2VsZHhMHf-1x7Y/edit?usp=sharing"",""แผน!GZ73"")"),0)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IFERROR(__xludf.DUMMYFUNCTION("IMPORTRANGE(""https://docs.google.com/spreadsheets/d/1eHaY18a8A9IcSdp1K8H6x8fbOy06t2VsZHhMHf-1x7Y/edit?usp=sharing"",""แผน!HA73"")"),0)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5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IFERROR(__xludf.DUMMYFUNCTION("IMPORTRANGE(""https://docs.google.com/spreadsheets/d/1eHaY18a8A9IcSdp1K8H6x8fbOy06t2VsZHhMHf-1x7Y/edit?usp=sharing"",""แผน!HB73"")"),0)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08"/>
      <c r="B509" s="609"/>
      <c r="C509" s="609"/>
      <c r="D509" s="616" t="s">
        <v>50</v>
      </c>
      <c r="E509" s="617"/>
      <c r="F509" s="617"/>
      <c r="G509" s="618"/>
      <c r="H509" s="611" t="s">
        <v>35</v>
      </c>
      <c r="I509" s="773">
        <f ca="1">IFERROR(__xludf.DUMMYFUNCTION("IMPORTRANGE(""https://docs.google.com/spreadsheets/d/1eHaY18a8A9IcSdp1K8H6x8fbOy06t2VsZHhMHf-1x7Y/edit?usp=sharing"",""แผน!HC73"")"),0)</f>
        <v>0</v>
      </c>
      <c r="J509" s="741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086" t="s">
        <v>206</v>
      </c>
      <c r="B510" s="1084"/>
      <c r="C510" s="1084"/>
      <c r="D510" s="1084"/>
      <c r="E510" s="1085"/>
      <c r="F510" s="1085"/>
      <c r="G510" s="1085"/>
      <c r="H510" s="1085"/>
      <c r="I510" s="1083"/>
      <c r="J510" s="1083"/>
      <c r="K510" s="1082"/>
      <c r="L510" s="625"/>
      <c r="M510" s="626"/>
      <c r="N510" s="626"/>
      <c r="O510" s="626"/>
      <c r="P510" s="626"/>
      <c r="Q510" s="626"/>
      <c r="R510" s="626"/>
      <c r="S510" s="626"/>
      <c r="T510" s="626"/>
      <c r="U510" s="626"/>
    </row>
    <row r="511" spans="1:21" ht="19.5" hidden="1" x14ac:dyDescent="0.3">
      <c r="A511" s="894" t="s">
        <v>207</v>
      </c>
      <c r="B511" s="1080"/>
      <c r="C511" s="1080"/>
      <c r="D511" s="1081"/>
      <c r="E511" s="1080"/>
      <c r="F511" s="1080"/>
      <c r="G511" s="1080"/>
      <c r="H511" s="1327"/>
      <c r="I511" s="1078"/>
      <c r="J511" s="1078"/>
      <c r="K511" s="1077"/>
      <c r="L511" s="633"/>
      <c r="M511" s="634"/>
      <c r="N511" s="634"/>
      <c r="O511" s="634"/>
      <c r="P511" s="634"/>
      <c r="Q511" s="634"/>
      <c r="R511" s="634"/>
      <c r="S511" s="634"/>
      <c r="T511" s="634"/>
      <c r="U511" s="634"/>
    </row>
    <row r="512" spans="1:21" ht="19.5" hidden="1" x14ac:dyDescent="0.3">
      <c r="A512" s="662"/>
      <c r="B512" s="857" t="s">
        <v>208</v>
      </c>
      <c r="C512" s="664"/>
      <c r="D512" s="665"/>
      <c r="E512" s="665"/>
      <c r="F512" s="665"/>
      <c r="G512" s="666"/>
      <c r="H512" s="884" t="s">
        <v>61</v>
      </c>
      <c r="I512" s="883">
        <f>I524</f>
        <v>0</v>
      </c>
      <c r="J512" s="883">
        <f>J524</f>
        <v>0</v>
      </c>
      <c r="K512" s="854">
        <f>IF(I512&gt;0,J512*100/I512,0)</f>
        <v>0</v>
      </c>
      <c r="L512" s="644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59"/>
      <c r="B513" s="260"/>
      <c r="C513" s="853" t="s">
        <v>18</v>
      </c>
      <c r="D513" s="822" t="s">
        <v>19</v>
      </c>
      <c r="E513" s="260"/>
      <c r="F513" s="260"/>
      <c r="G513" s="263"/>
      <c r="H513" s="852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1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IFERROR(__xludf.DUMMYFUNCTION("IMPORTRANGE(""https://docs.google.com/spreadsheets/d/1-uDff_7J0KD5mKrp0Vvzr7lt3OU09vwQwhkpOPPYv2Y/edit?usp=sharing"",""งบพรบ!FM73"")"),0)</f>
        <v>0</v>
      </c>
      <c r="M518" s="77">
        <f ca="1">IFERROR(__xludf.DUMMYFUNCTION("IMPORTRANGE(""https://docs.google.com/spreadsheets/d/1-uDff_7J0KD5mKrp0Vvzr7lt3OU09vwQwhkpOPPYv2Y/edit?usp=sharing"",""งบพรบ!FR73"")"),0)</f>
        <v>0</v>
      </c>
      <c r="N518" s="77">
        <f ca="1">IFERROR(__xludf.DUMMYFUNCTION("IMPORTRANGE(""https://docs.google.com/spreadsheets/d/1-uDff_7J0KD5mKrp0Vvzr7lt3OU09vwQwhkpOPPYv2Y/edit?usp=sharing"",""งบพรบ!FT73"")"),0)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1" t="s">
        <v>23</v>
      </c>
      <c r="E519" s="260"/>
      <c r="F519" s="260"/>
      <c r="G519" s="263"/>
      <c r="H519" s="687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687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IFERROR(__xludf.DUMMYFUNCTION("IMPORTRANGE(""https://docs.google.com/spreadsheets/d/1-uDff_7J0KD5mKrp0Vvzr7lt3OU09vwQwhkpOPPYv2Y/edit?usp=sharing"",""งบพรบ!FP73"")"),0)</f>
        <v>0</v>
      </c>
      <c r="M521" s="77">
        <f ca="1">IFERROR(__xludf.DUMMYFUNCTION("IMPORTRANGE(""https://docs.google.com/spreadsheets/d/1-uDff_7J0KD5mKrp0Vvzr7lt3OU09vwQwhkpOPPYv2Y/edit?usp=sharing"",""งบพรบ!FS73"")"),0)</f>
        <v>0</v>
      </c>
      <c r="N521" s="77">
        <f ca="1">IFERROR(__xludf.DUMMYFUNCTION("IMPORTRANGE(""https://docs.google.com/spreadsheets/d/1-uDff_7J0KD5mKrp0Vvzr7lt3OU09vwQwhkpOPPYv2Y/edit?usp=sharing"",""งบพรบ!FU73"")"),0)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3" t="s">
        <v>18</v>
      </c>
      <c r="D522" s="846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868" t="s">
        <v>11</v>
      </c>
      <c r="I523" s="574">
        <v>0</v>
      </c>
      <c r="J523" s="867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08"/>
      <c r="B524" s="617"/>
      <c r="C524" s="609"/>
      <c r="D524" s="864" t="s">
        <v>210</v>
      </c>
      <c r="E524" s="737"/>
      <c r="F524" s="617"/>
      <c r="G524" s="618"/>
      <c r="H524" s="860" t="s">
        <v>61</v>
      </c>
      <c r="I524" s="758">
        <v>0</v>
      </c>
      <c r="J524" s="859">
        <v>0</v>
      </c>
      <c r="K524" s="858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2"/>
      <c r="B525" s="653"/>
      <c r="C525" s="653"/>
      <c r="D525" s="654"/>
      <c r="E525" s="654"/>
      <c r="F525" s="654"/>
      <c r="G525" s="655"/>
      <c r="H525" s="656"/>
      <c r="I525" s="657"/>
      <c r="J525" s="657"/>
      <c r="K525" s="658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59"/>
      <c r="B532" s="580"/>
      <c r="C532" s="580"/>
      <c r="D532" s="660"/>
      <c r="E532" s="660"/>
      <c r="F532" s="660"/>
      <c r="G532" s="661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2"/>
      <c r="B533" s="663" t="s">
        <v>211</v>
      </c>
      <c r="C533" s="664"/>
      <c r="D533" s="665"/>
      <c r="E533" s="665"/>
      <c r="F533" s="665"/>
      <c r="G533" s="666"/>
      <c r="H533" s="667" t="s">
        <v>61</v>
      </c>
      <c r="I533" s="855">
        <f>I545</f>
        <v>0</v>
      </c>
      <c r="J533" s="855">
        <f>J545</f>
        <v>0</v>
      </c>
      <c r="K533" s="669">
        <f>IF(I533&gt;0,J533*100/I533,0)</f>
        <v>0</v>
      </c>
      <c r="L533" s="644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>L535+L536</f>
        <v>0</v>
      </c>
      <c r="M534" s="266">
        <f>M535+M536</f>
        <v>0</v>
      </c>
      <c r="N534" s="266">
        <f>N535+N536</f>
        <v>0</v>
      </c>
      <c r="O534" s="266">
        <f>IF(L534&gt;0,N534*100/L534,0)</f>
        <v>0</v>
      </c>
      <c r="P534" s="266">
        <f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>L539+L542</f>
        <v>0</v>
      </c>
      <c r="M536" s="77">
        <f>M539+M542</f>
        <v>0</v>
      </c>
      <c r="N536" s="77">
        <f>N539+N542</f>
        <v>0</v>
      </c>
      <c r="O536" s="77">
        <f>IF(L536&gt;0,N536*100/L536,0)</f>
        <v>0</v>
      </c>
      <c r="P536" s="77">
        <f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>L538+L539</f>
        <v>0</v>
      </c>
      <c r="M537" s="77">
        <f>M538+M539</f>
        <v>0</v>
      </c>
      <c r="N537" s="77">
        <f>N538+N539</f>
        <v>0</v>
      </c>
      <c r="O537" s="77">
        <f>IF(L537&gt;0,N537*100/L537,0)</f>
        <v>0</v>
      </c>
      <c r="P537" s="77">
        <f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v>0</v>
      </c>
      <c r="M539" s="77">
        <v>0</v>
      </c>
      <c r="N539" s="77">
        <v>0</v>
      </c>
      <c r="O539" s="77">
        <f>IF(L539&gt;0,N539*100/L539,0)</f>
        <v>0</v>
      </c>
      <c r="P539" s="77">
        <f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>L541+L542</f>
        <v>0</v>
      </c>
      <c r="M540" s="77">
        <f>M541+M542</f>
        <v>0</v>
      </c>
      <c r="N540" s="77">
        <f>N541+N542</f>
        <v>0</v>
      </c>
      <c r="O540" s="77">
        <f>IF(L540&gt;0,N540*100/L540,0)</f>
        <v>0</v>
      </c>
      <c r="P540" s="77">
        <f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v>0</v>
      </c>
      <c r="M542" s="77">
        <v>0</v>
      </c>
      <c r="N542" s="77">
        <v>0</v>
      </c>
      <c r="O542" s="77">
        <f>IF(L542&gt;0,N542*100/L542,0)</f>
        <v>0</v>
      </c>
      <c r="P542" s="77">
        <f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0" t="s">
        <v>18</v>
      </c>
      <c r="D543" s="837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59"/>
      <c r="B553" s="580"/>
      <c r="C553" s="580"/>
      <c r="D553" s="660"/>
      <c r="E553" s="660"/>
      <c r="F553" s="660"/>
      <c r="G553" s="661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2"/>
      <c r="B554" s="663" t="s">
        <v>212</v>
      </c>
      <c r="C554" s="664"/>
      <c r="D554" s="665"/>
      <c r="E554" s="665"/>
      <c r="F554" s="665"/>
      <c r="G554" s="666"/>
      <c r="H554" s="667" t="s">
        <v>61</v>
      </c>
      <c r="I554" s="855">
        <f>I566</f>
        <v>0</v>
      </c>
      <c r="J554" s="855">
        <f>J566</f>
        <v>0</v>
      </c>
      <c r="K554" s="669">
        <f>IF(I554&gt;0,J554*100/I554,0)</f>
        <v>0</v>
      </c>
      <c r="L554" s="644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>L556+L557</f>
        <v>0</v>
      </c>
      <c r="M555" s="266">
        <f>M556+M557</f>
        <v>0</v>
      </c>
      <c r="N555" s="266">
        <f>N556+N557</f>
        <v>0</v>
      </c>
      <c r="O555" s="266">
        <f>IF(L555&gt;0,N555*100/L555,0)</f>
        <v>0</v>
      </c>
      <c r="P555" s="266">
        <f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>L560+L563</f>
        <v>0</v>
      </c>
      <c r="M557" s="77">
        <f>M560+M563</f>
        <v>0</v>
      </c>
      <c r="N557" s="77">
        <f>N560+N563</f>
        <v>0</v>
      </c>
      <c r="O557" s="77">
        <f>IF(L557&gt;0,N557*100/L557,0)</f>
        <v>0</v>
      </c>
      <c r="P557" s="77">
        <f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>L559+L560</f>
        <v>0</v>
      </c>
      <c r="M558" s="77">
        <f>M559+M560</f>
        <v>0</v>
      </c>
      <c r="N558" s="77">
        <f>N559+N560</f>
        <v>0</v>
      </c>
      <c r="O558" s="77">
        <f>IF(L558&gt;0,N558*100/L558,0)</f>
        <v>0</v>
      </c>
      <c r="P558" s="77">
        <f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v>0</v>
      </c>
      <c r="M560" s="77">
        <v>0</v>
      </c>
      <c r="N560" s="77">
        <v>0</v>
      </c>
      <c r="O560" s="77">
        <f>IF(L560&gt;0,N560*100/L560,0)</f>
        <v>0</v>
      </c>
      <c r="P560" s="77">
        <f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>L562+L563</f>
        <v>0</v>
      </c>
      <c r="M561" s="77">
        <f>M562+M563</f>
        <v>0</v>
      </c>
      <c r="N561" s="77">
        <f>N562+N563</f>
        <v>0</v>
      </c>
      <c r="O561" s="77">
        <f>IF(L561&gt;0,N561*100/L561,0)</f>
        <v>0</v>
      </c>
      <c r="P561" s="77">
        <f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v>0</v>
      </c>
      <c r="M563" s="77">
        <v>0</v>
      </c>
      <c r="N563" s="77">
        <v>0</v>
      </c>
      <c r="O563" s="77">
        <f>IF(L563&gt;0,N563*100/L563,0)</f>
        <v>0</v>
      </c>
      <c r="P563" s="77">
        <f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0" t="s">
        <v>18</v>
      </c>
      <c r="D564" s="837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59"/>
      <c r="B574" s="580"/>
      <c r="C574" s="580"/>
      <c r="D574" s="660"/>
      <c r="E574" s="660"/>
      <c r="F574" s="660"/>
      <c r="G574" s="661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2"/>
      <c r="B575" s="663" t="s">
        <v>213</v>
      </c>
      <c r="C575" s="664"/>
      <c r="D575" s="665"/>
      <c r="E575" s="665"/>
      <c r="F575" s="665"/>
      <c r="G575" s="666"/>
      <c r="H575" s="667" t="s">
        <v>61</v>
      </c>
      <c r="I575" s="855">
        <f>I587</f>
        <v>0</v>
      </c>
      <c r="J575" s="855">
        <f>J587</f>
        <v>0</v>
      </c>
      <c r="K575" s="669">
        <f>IF(I575&gt;0,J575*100/I575,0)</f>
        <v>0</v>
      </c>
      <c r="L575" s="644"/>
      <c r="M575" s="645"/>
      <c r="N575" s="645"/>
      <c r="O575" s="645"/>
      <c r="P575" s="645"/>
      <c r="Q575" s="645"/>
      <c r="R575" s="645"/>
      <c r="S575" s="645"/>
      <c r="T575" s="645"/>
      <c r="U575" s="645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>L577+L578</f>
        <v>0</v>
      </c>
      <c r="M576" s="266">
        <f>M577+M578</f>
        <v>0</v>
      </c>
      <c r="N576" s="266">
        <f>N577+N578</f>
        <v>0</v>
      </c>
      <c r="O576" s="266">
        <f>IF(L576&gt;0,N576*100/L576,0)</f>
        <v>0</v>
      </c>
      <c r="P576" s="266">
        <f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>L581+L584</f>
        <v>0</v>
      </c>
      <c r="M578" s="77">
        <f>M581+M584</f>
        <v>0</v>
      </c>
      <c r="N578" s="77">
        <f>N581+N584</f>
        <v>0</v>
      </c>
      <c r="O578" s="77">
        <f>IF(L578&gt;0,N578*100/L578,0)</f>
        <v>0</v>
      </c>
      <c r="P578" s="77">
        <f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>L580+L581</f>
        <v>0</v>
      </c>
      <c r="M579" s="77">
        <f>M580+M581</f>
        <v>0</v>
      </c>
      <c r="N579" s="77">
        <f>N580+N581</f>
        <v>0</v>
      </c>
      <c r="O579" s="77">
        <f>IF(L579&gt;0,N579*100/L579,0)</f>
        <v>0</v>
      </c>
      <c r="P579" s="77">
        <f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v>0</v>
      </c>
      <c r="M581" s="77">
        <v>0</v>
      </c>
      <c r="N581" s="77">
        <v>0</v>
      </c>
      <c r="O581" s="77">
        <f>IF(L581&gt;0,N581*100/L581,0)</f>
        <v>0</v>
      </c>
      <c r="P581" s="77">
        <f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>L583+L584</f>
        <v>0</v>
      </c>
      <c r="M582" s="77">
        <f>M583+M584</f>
        <v>0</v>
      </c>
      <c r="N582" s="77">
        <f>N583+N584</f>
        <v>0</v>
      </c>
      <c r="O582" s="77">
        <f>IF(L582&gt;0,N582*100/L582,0)</f>
        <v>0</v>
      </c>
      <c r="P582" s="77">
        <f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v>0</v>
      </c>
      <c r="M584" s="77">
        <v>0</v>
      </c>
      <c r="N584" s="77">
        <v>0</v>
      </c>
      <c r="O584" s="77">
        <f>IF(L584&gt;0,N584*100/L584,0)</f>
        <v>0</v>
      </c>
      <c r="P584" s="77">
        <f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0" t="s">
        <v>18</v>
      </c>
      <c r="D585" s="837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59"/>
      <c r="B595" s="580"/>
      <c r="C595" s="580"/>
      <c r="D595" s="660"/>
      <c r="E595" s="660"/>
      <c r="F595" s="660"/>
      <c r="G595" s="661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671" t="s">
        <v>214</v>
      </c>
      <c r="B596" s="672"/>
      <c r="C596" s="673"/>
      <c r="D596" s="672"/>
      <c r="E596" s="672"/>
      <c r="F596" s="672"/>
      <c r="G596" s="672"/>
      <c r="H596" s="674"/>
      <c r="I596" s="675"/>
      <c r="J596" s="675"/>
      <c r="K596" s="676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677" t="s">
        <v>215</v>
      </c>
      <c r="C597" s="303"/>
      <c r="D597" s="255"/>
      <c r="E597" s="254"/>
      <c r="F597" s="254"/>
      <c r="G597" s="254"/>
      <c r="H597" s="678" t="s">
        <v>99</v>
      </c>
      <c r="I597" s="679"/>
      <c r="J597" s="680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681"/>
      <c r="B598" s="682" t="s">
        <v>216</v>
      </c>
      <c r="C598" s="255"/>
      <c r="D598" s="254"/>
      <c r="E598" s="254"/>
      <c r="F598" s="254"/>
      <c r="G598" s="256"/>
      <c r="H598" s="683" t="s">
        <v>35</v>
      </c>
      <c r="I598" s="680"/>
      <c r="J598" s="680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3" t="s">
        <v>19</v>
      </c>
      <c r="E599" s="804"/>
      <c r="F599" s="804"/>
      <c r="G599" s="805"/>
      <c r="H599" s="684" t="s">
        <v>14</v>
      </c>
      <c r="I599" s="265"/>
      <c r="J599" s="265"/>
      <c r="K599" s="90"/>
      <c r="L599" s="393">
        <f>L600+L601</f>
        <v>0</v>
      </c>
      <c r="M599" s="266">
        <f>M600+M601</f>
        <v>0</v>
      </c>
      <c r="N599" s="266">
        <f>N600+N601</f>
        <v>0</v>
      </c>
      <c r="O599" s="266">
        <f>IF(L599&gt;0,N599*100/L599,0)</f>
        <v>0</v>
      </c>
      <c r="P599" s="266">
        <f>IF(M599&gt;0,N599*100/M599,0)</f>
        <v>0</v>
      </c>
      <c r="Q599" s="266">
        <f>Q600+Q601</f>
        <v>0</v>
      </c>
      <c r="R599" s="266">
        <f>R600+R601</f>
        <v>0</v>
      </c>
      <c r="S599" s="266">
        <f>S600+S601</f>
        <v>0</v>
      </c>
      <c r="T599" s="266">
        <f>IF(Q599&gt;0,S599*100/Q599,0)</f>
        <v>0</v>
      </c>
      <c r="U599" s="266">
        <f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>L604+L607</f>
        <v>0</v>
      </c>
      <c r="M601" s="77">
        <f>M604+M607</f>
        <v>0</v>
      </c>
      <c r="N601" s="77">
        <f>N604+N607</f>
        <v>0</v>
      </c>
      <c r="O601" s="77">
        <f>IF(L601&gt;0,N601*100/L601,0)</f>
        <v>0</v>
      </c>
      <c r="P601" s="77">
        <f>IF(M601&gt;0,N601*100/M601,0)</f>
        <v>0</v>
      </c>
      <c r="Q601" s="77">
        <f>Q604+Q607</f>
        <v>0</v>
      </c>
      <c r="R601" s="77">
        <f>R604+R607</f>
        <v>0</v>
      </c>
      <c r="S601" s="77">
        <f>S604+S607</f>
        <v>0</v>
      </c>
      <c r="T601" s="77">
        <f>IF(Q601&gt;0,S601*100/Q601,0)</f>
        <v>0</v>
      </c>
      <c r="U601" s="77">
        <f>IF(R601&gt;0,S601*100/R601,0)</f>
        <v>0</v>
      </c>
    </row>
    <row r="602" spans="1:21" ht="19.5" hidden="1" x14ac:dyDescent="0.3">
      <c r="A602" s="259"/>
      <c r="B602" s="271"/>
      <c r="C602" s="271"/>
      <c r="D602" s="822" t="s">
        <v>22</v>
      </c>
      <c r="E602" s="260"/>
      <c r="F602" s="260"/>
      <c r="G602" s="263"/>
      <c r="H602" s="684" t="s">
        <v>14</v>
      </c>
      <c r="I602" s="274"/>
      <c r="J602" s="274"/>
      <c r="K602" s="231"/>
      <c r="L602" s="76">
        <f>L603+L604</f>
        <v>0</v>
      </c>
      <c r="M602" s="77">
        <f>M603+M604</f>
        <v>0</v>
      </c>
      <c r="N602" s="77">
        <f>N603+N604</f>
        <v>0</v>
      </c>
      <c r="O602" s="77">
        <f>IF(L602&gt;0,N602*100/L602,0)</f>
        <v>0</v>
      </c>
      <c r="P602" s="77">
        <f>IF(M602&gt;0,N602*100/M602,0)</f>
        <v>0</v>
      </c>
      <c r="Q602" s="77">
        <f>Q603+Q604</f>
        <v>0</v>
      </c>
      <c r="R602" s="77">
        <f>R603+R604</f>
        <v>0</v>
      </c>
      <c r="S602" s="77">
        <f>S603+S604</f>
        <v>0</v>
      </c>
      <c r="T602" s="77">
        <f>IF(Q602&gt;0,S602*100/Q602,0)</f>
        <v>0</v>
      </c>
      <c r="U602" s="77">
        <f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v>0</v>
      </c>
      <c r="M604" s="77">
        <v>0</v>
      </c>
      <c r="N604" s="77">
        <v>0</v>
      </c>
      <c r="O604" s="77">
        <f>IF(L604&gt;0,N604*100/L604,0)</f>
        <v>0</v>
      </c>
      <c r="P604" s="77">
        <f>IF(M604&gt;0,N604*100/M604,0)</f>
        <v>0</v>
      </c>
      <c r="Q604" s="77">
        <v>0</v>
      </c>
      <c r="R604" s="77">
        <v>0</v>
      </c>
      <c r="S604" s="77">
        <v>0</v>
      </c>
      <c r="T604" s="77">
        <f>IF(Q604&gt;0,S604*100/Q604,0)</f>
        <v>0</v>
      </c>
      <c r="U604" s="77">
        <f>IF(R604&gt;0,S604*100/R604,0)</f>
        <v>0</v>
      </c>
    </row>
    <row r="605" spans="1:21" ht="19.5" hidden="1" x14ac:dyDescent="0.3">
      <c r="A605" s="259"/>
      <c r="B605" s="271"/>
      <c r="C605" s="271"/>
      <c r="D605" s="822" t="s">
        <v>23</v>
      </c>
      <c r="E605" s="271"/>
      <c r="F605" s="260"/>
      <c r="G605" s="263"/>
      <c r="H605" s="686" t="s">
        <v>14</v>
      </c>
      <c r="I605" s="274"/>
      <c r="J605" s="274"/>
      <c r="K605" s="231"/>
      <c r="L605" s="76">
        <f>L606+L607</f>
        <v>0</v>
      </c>
      <c r="M605" s="77">
        <f>M606+M607</f>
        <v>0</v>
      </c>
      <c r="N605" s="77">
        <f>N606+N607</f>
        <v>0</v>
      </c>
      <c r="O605" s="77">
        <f>IF(L605&gt;0,N605*100/L605,0)</f>
        <v>0</v>
      </c>
      <c r="P605" s="77">
        <f>IF(M605&gt;0,N605*100/M605,0)</f>
        <v>0</v>
      </c>
      <c r="Q605" s="77">
        <f>Q606+Q607</f>
        <v>0</v>
      </c>
      <c r="R605" s="77">
        <f>R606+R607</f>
        <v>0</v>
      </c>
      <c r="S605" s="77">
        <f>S606+S607</f>
        <v>0</v>
      </c>
      <c r="T605" s="77">
        <f>IF(Q605&gt;0,S605*100/Q605,0)</f>
        <v>0</v>
      </c>
      <c r="U605" s="77">
        <f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687" t="s">
        <v>14</v>
      </c>
      <c r="I607" s="274"/>
      <c r="J607" s="274"/>
      <c r="K607" s="231"/>
      <c r="L607" s="76">
        <v>0</v>
      </c>
      <c r="M607" s="77">
        <v>0</v>
      </c>
      <c r="N607" s="77">
        <v>0</v>
      </c>
      <c r="O607" s="77">
        <f>IF(L607&gt;0,N607*100/L607,0)</f>
        <v>0</v>
      </c>
      <c r="P607" s="77">
        <f>IF(M607&gt;0,N607*100/M607,0)</f>
        <v>0</v>
      </c>
      <c r="Q607" s="77">
        <v>0</v>
      </c>
      <c r="R607" s="77">
        <v>0</v>
      </c>
      <c r="S607" s="77">
        <v>0</v>
      </c>
      <c r="T607" s="77">
        <f>IF(Q607&gt;0,S607*100/Q607,0)</f>
        <v>0</v>
      </c>
      <c r="U607" s="77">
        <f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46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689" t="s">
        <v>217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689" t="s">
        <v>218</v>
      </c>
      <c r="E610" s="292"/>
      <c r="F610" s="292"/>
      <c r="G610" s="284"/>
      <c r="H610" s="684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689" t="s">
        <v>219</v>
      </c>
      <c r="F611" s="292"/>
      <c r="G611" s="284"/>
      <c r="H611" s="687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690"/>
      <c r="B612" s="691"/>
      <c r="C612" s="691"/>
      <c r="D612" s="691"/>
      <c r="E612" s="692" t="s">
        <v>220</v>
      </c>
      <c r="F612" s="693"/>
      <c r="G612" s="694"/>
      <c r="H612" s="695" t="s">
        <v>35</v>
      </c>
      <c r="I612" s="696"/>
      <c r="J612" s="696"/>
      <c r="K612" s="697"/>
      <c r="L612" s="699"/>
      <c r="M612" s="698"/>
      <c r="N612" s="698"/>
      <c r="O612" s="698"/>
      <c r="P612" s="698"/>
      <c r="Q612" s="698"/>
      <c r="R612" s="698"/>
      <c r="S612" s="698"/>
      <c r="T612" s="698"/>
      <c r="U612" s="698"/>
    </row>
    <row r="613" spans="1:21" ht="19.5" hidden="1" x14ac:dyDescent="0.3">
      <c r="A613" s="700" t="s">
        <v>221</v>
      </c>
      <c r="B613" s="701"/>
      <c r="C613" s="701"/>
      <c r="D613" s="702"/>
      <c r="E613" s="702"/>
      <c r="F613" s="702"/>
      <c r="G613" s="703"/>
      <c r="H613" s="704"/>
      <c r="I613" s="705"/>
      <c r="J613" s="705"/>
      <c r="K613" s="706"/>
      <c r="L613" s="707"/>
      <c r="M613" s="706"/>
      <c r="N613" s="706"/>
      <c r="O613" s="706"/>
      <c r="P613" s="706"/>
      <c r="Q613" s="706"/>
      <c r="R613" s="706"/>
      <c r="S613" s="706"/>
      <c r="T613" s="706"/>
      <c r="U613" s="706"/>
    </row>
    <row r="614" spans="1:21" ht="19.5" x14ac:dyDescent="0.3">
      <c r="A614" s="708"/>
      <c r="B614" s="709" t="s">
        <v>222</v>
      </c>
      <c r="C614" s="708"/>
      <c r="D614" s="710"/>
      <c r="E614" s="710"/>
      <c r="F614" s="710"/>
      <c r="G614" s="711"/>
      <c r="H614" s="712"/>
      <c r="I614" s="713"/>
      <c r="J614" s="713"/>
      <c r="K614" s="714"/>
      <c r="L614" s="715"/>
      <c r="M614" s="714"/>
      <c r="N614" s="714"/>
      <c r="O614" s="714"/>
      <c r="P614" s="714"/>
      <c r="Q614" s="714"/>
      <c r="R614" s="714"/>
      <c r="S614" s="714"/>
      <c r="T614" s="714"/>
      <c r="U614" s="714"/>
    </row>
    <row r="615" spans="1:21" ht="19.5" x14ac:dyDescent="0.3">
      <c r="A615" s="716"/>
      <c r="B615" s="717" t="s">
        <v>223</v>
      </c>
      <c r="C615" s="716"/>
      <c r="D615" s="718"/>
      <c r="E615" s="718"/>
      <c r="F615" s="718"/>
      <c r="G615" s="719"/>
      <c r="H615" s="720" t="s">
        <v>46</v>
      </c>
      <c r="I615" s="721">
        <f ca="1">I626</f>
        <v>30</v>
      </c>
      <c r="J615" s="721">
        <f>J626</f>
        <v>0</v>
      </c>
      <c r="K615" s="722">
        <f ca="1">IF(I615&gt;0,J615*100/I615,0)</f>
        <v>0</v>
      </c>
      <c r="L615" s="724"/>
      <c r="M615" s="723"/>
      <c r="N615" s="723"/>
      <c r="O615" s="723"/>
      <c r="P615" s="723"/>
      <c r="Q615" s="723"/>
      <c r="R615" s="723"/>
      <c r="S615" s="723"/>
      <c r="T615" s="723"/>
      <c r="U615" s="723"/>
    </row>
    <row r="616" spans="1:21" ht="19.5" x14ac:dyDescent="0.3">
      <c r="A616" s="259"/>
      <c r="B616" s="271"/>
      <c r="C616" s="308" t="s">
        <v>18</v>
      </c>
      <c r="D616" s="814" t="s">
        <v>19</v>
      </c>
      <c r="E616" s="804"/>
      <c r="F616" s="804"/>
      <c r="G616" s="805"/>
      <c r="H616" s="614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4675</v>
      </c>
      <c r="R616" s="266">
        <f ca="1">R617+R618</f>
        <v>4675</v>
      </c>
      <c r="S616" s="266">
        <f ca="1">S617+S618</f>
        <v>1000</v>
      </c>
      <c r="T616" s="266">
        <f ca="1">IF(Q616&gt;0,S616*100/Q616,0)</f>
        <v>21.390374331550802</v>
      </c>
      <c r="U616" s="266">
        <f ca="1">IF(R616&gt;0,S616*100/R616,0)</f>
        <v>21.390374331550802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4675</v>
      </c>
      <c r="R618" s="77">
        <f ca="1">R621+R624</f>
        <v>4675</v>
      </c>
      <c r="S618" s="77">
        <f ca="1">S621+S624</f>
        <v>1000</v>
      </c>
      <c r="T618" s="77">
        <f ca="1">IF(Q618&gt;0,S618*100/Q618,0)</f>
        <v>21.390374331550802</v>
      </c>
      <c r="U618" s="77">
        <f ca="1">IF(R618&gt;0,S618*100/R618,0)</f>
        <v>21.390374331550802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4675</v>
      </c>
      <c r="R619" s="77">
        <f ca="1">R620+R621</f>
        <v>4675</v>
      </c>
      <c r="S619" s="77">
        <f ca="1">S620+S621</f>
        <v>1000</v>
      </c>
      <c r="T619" s="77">
        <f ca="1">IF(Q619&gt;0,S619*100/Q619,0)</f>
        <v>21.390374331550802</v>
      </c>
      <c r="U619" s="77">
        <f ca="1">IF(R619&gt;0,S619*100/R619,0)</f>
        <v>21.390374331550802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IFERROR(__xludf.DUMMYFUNCTION("IMPORTRANGE(""https://docs.google.com/spreadsheets/d/1ItG2mGa2ceCfYo0BwxsXqNm01IGEUdYcSSLTEv9YCik/edit?usp=sharing"",""เบิกจ่ายกองทุน!F73"")"),4675)</f>
        <v>4675</v>
      </c>
      <c r="R621" s="77">
        <f ca="1">IFERROR(__xludf.DUMMYFUNCTION("IMPORTRANGE(""https://docs.google.com/spreadsheets/d/1ItG2mGa2ceCfYo0BwxsXqNm01IGEUdYcSSLTEv9YCik/edit?usp=sharing"",""เบิกจ่ายกองทุน!G73"")"),4675)</f>
        <v>4675</v>
      </c>
      <c r="S621" s="77">
        <f ca="1">IFERROR(__xludf.DUMMYFUNCTION("IMPORTRANGE(""https://docs.google.com/spreadsheets/d/1ItG2mGa2ceCfYo0BwxsXqNm01IGEUdYcSSLTEv9YCik/edit?usp=sharing"",""เบิกจ่ายกองทุน!H73"")"),1000)</f>
        <v>1000</v>
      </c>
      <c r="T621" s="77">
        <f ca="1">IF(Q621&gt;0,S621*100/Q621,0)</f>
        <v>21.390374331550802</v>
      </c>
      <c r="U621" s="77">
        <f ca="1">IF(R621&gt;0,S621*100/R621,0)</f>
        <v>21.390374331550802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13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6" t="s">
        <v>224</v>
      </c>
      <c r="E626" s="292"/>
      <c r="F626" s="292"/>
      <c r="G626" s="284"/>
      <c r="H626" s="727" t="s">
        <v>46</v>
      </c>
      <c r="I626" s="603">
        <f ca="1">IFERROR(__xludf.DUMMYFUNCTION("IMPORTRANGE(""https://docs.google.com/spreadsheets/d/1eHaY18a8A9IcSdp1K8H6x8fbOy06t2VsZHhMHf-1x7Y/edit?usp=sharing"",""แผน!ID73"")"),30)</f>
        <v>30</v>
      </c>
      <c r="J626" s="603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225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IFERROR(__xludf.DUMMYFUNCTION("IMPORTRANGE(""https://docs.google.com/spreadsheets/d/1eHaY18a8A9IcSdp1K8H6x8fbOy06t2VsZHhMHf-1x7Y/edit?usp=sharing"",""แผน!IC73"")"),0)</f>
        <v>0</v>
      </c>
      <c r="J627" s="296"/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226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227</v>
      </c>
      <c r="F629" s="292"/>
      <c r="G629" s="284"/>
      <c r="H629" s="277" t="s">
        <v>46</v>
      </c>
      <c r="I629" s="265"/>
      <c r="J629" s="296">
        <v>60</v>
      </c>
      <c r="K629" s="77">
        <f ca="1">IF(I$626&gt;0,J629*100/I$626,0)</f>
        <v>200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228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229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230</v>
      </c>
      <c r="F632" s="292"/>
      <c r="G632" s="284"/>
      <c r="H632" s="277" t="s">
        <v>46</v>
      </c>
      <c r="I632" s="265"/>
      <c r="J632" s="603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231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232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6" t="s">
        <v>233</v>
      </c>
      <c r="E635" s="292"/>
      <c r="F635" s="292"/>
      <c r="G635" s="284"/>
      <c r="H635" s="277" t="s">
        <v>46</v>
      </c>
      <c r="I635" s="603">
        <f ca="1">IFERROR(__xludf.DUMMYFUNCTION("IMPORTRANGE(""https://docs.google.com/spreadsheets/d/1eHaY18a8A9IcSdp1K8H6x8fbOy06t2VsZHhMHf-1x7Y/edit?usp=sharing"",""แผน!IE73"")"),0)</f>
        <v>0</v>
      </c>
      <c r="J635" s="603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234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231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232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235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236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6"/>
      <c r="B641" s="717" t="s">
        <v>237</v>
      </c>
      <c r="C641" s="716"/>
      <c r="D641" s="718"/>
      <c r="E641" s="718"/>
      <c r="F641" s="718"/>
      <c r="G641" s="719"/>
      <c r="H641" s="728"/>
      <c r="I641" s="729"/>
      <c r="J641" s="729"/>
      <c r="K641" s="723"/>
      <c r="L641" s="724"/>
      <c r="M641" s="723"/>
      <c r="N641" s="723"/>
      <c r="O641" s="723"/>
      <c r="P641" s="723"/>
      <c r="Q641" s="723"/>
      <c r="R641" s="723"/>
      <c r="S641" s="723"/>
      <c r="T641" s="723"/>
      <c r="U641" s="723"/>
    </row>
    <row r="642" spans="1:21" ht="19.5" x14ac:dyDescent="0.3">
      <c r="A642" s="259"/>
      <c r="B642" s="271"/>
      <c r="C642" s="571" t="s">
        <v>18</v>
      </c>
      <c r="D642" s="814" t="s">
        <v>19</v>
      </c>
      <c r="E642" s="804"/>
      <c r="F642" s="804"/>
      <c r="G642" s="805"/>
      <c r="H642" s="614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15160</v>
      </c>
      <c r="R642" s="266">
        <f ca="1">R643+R644</f>
        <v>15160</v>
      </c>
      <c r="S642" s="266">
        <f ca="1">S643+S644</f>
        <v>1000</v>
      </c>
      <c r="T642" s="266">
        <f ca="1">IF(Q642&gt;0,S642*100/Q642,0)</f>
        <v>6.5963060686015833</v>
      </c>
      <c r="U642" s="266">
        <f ca="1">IF(R642&gt;0,S642*100/R642,0)</f>
        <v>6.5963060686015833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15160</v>
      </c>
      <c r="R644" s="77">
        <f ca="1">R647+R650</f>
        <v>15160</v>
      </c>
      <c r="S644" s="77">
        <f ca="1">S647+S650</f>
        <v>1000</v>
      </c>
      <c r="T644" s="77">
        <f ca="1">IF(Q644&gt;0,S644*100/Q644,0)</f>
        <v>6.5963060686015833</v>
      </c>
      <c r="U644" s="77">
        <f ca="1">IF(R644&gt;0,S644*100/R644,0)</f>
        <v>6.5963060686015833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15160</v>
      </c>
      <c r="R645" s="77">
        <f ca="1">R646+R647</f>
        <v>15160</v>
      </c>
      <c r="S645" s="77">
        <f ca="1">S646+S647</f>
        <v>1000</v>
      </c>
      <c r="T645" s="77">
        <f ca="1">IF(Q645&gt;0,S645*100/Q645,0)</f>
        <v>6.5963060686015833</v>
      </c>
      <c r="U645" s="77">
        <f ca="1">IF(R645&gt;0,S645*100/R645,0)</f>
        <v>6.5963060686015833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IFERROR(__xludf.DUMMYFUNCTION("IMPORTRANGE(""https://docs.google.com/spreadsheets/d/1ItG2mGa2ceCfYo0BwxsXqNm01IGEUdYcSSLTEv9YCik/edit?usp=sharing"",""เบิกจ่ายกองทุน!I73"")"),15160)</f>
        <v>15160</v>
      </c>
      <c r="R647" s="77">
        <f ca="1">IFERROR(__xludf.DUMMYFUNCTION("IMPORTRANGE(""https://docs.google.com/spreadsheets/d/1ItG2mGa2ceCfYo0BwxsXqNm01IGEUdYcSSLTEv9YCik/edit?usp=sharing"",""เบิกจ่ายกองทุน!J73"")"),15160)</f>
        <v>15160</v>
      </c>
      <c r="S647" s="77">
        <f ca="1">IFERROR(__xludf.DUMMYFUNCTION("IMPORTRANGE(""https://docs.google.com/spreadsheets/d/1ItG2mGa2ceCfYo0BwxsXqNm01IGEUdYcSSLTEv9YCik/edit?usp=sharing"",""เบิกจ่ายกองทุน!K73"")"),1000)</f>
        <v>1000</v>
      </c>
      <c r="T647" s="77">
        <f ca="1">IF(Q647&gt;0,S647*100/Q647,0)</f>
        <v>6.5963060686015833</v>
      </c>
      <c r="U647" s="77">
        <f ca="1">IF(R647&gt;0,S647*100/R647,0)</f>
        <v>6.5963060686015833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38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238</v>
      </c>
      <c r="E652" s="260"/>
      <c r="F652" s="260"/>
      <c r="G652" s="263"/>
      <c r="H652" s="277" t="s">
        <v>46</v>
      </c>
      <c r="I652" s="731">
        <f ca="1">IFERROR(__xludf.DUMMYFUNCTION("IMPORTRANGE(""https://docs.google.com/spreadsheets/d/1eHaY18a8A9IcSdp1K8H6x8fbOy06t2VsZHhMHf-1x7Y/edit?usp=sharing"",""แผน!IF73"")"),0)</f>
        <v>0</v>
      </c>
      <c r="J652" s="295">
        <f ca="1">IFERROR(__xludf.DUMMYFUNCTION("IMPORTRANGE(""https://docs.google.com/spreadsheets/d/1tdoBKaGub7dwA3U6UFTqxio9LNnvDCQjHKmttSEBsFQ/edit?usp=sharing"",""จัดที่ดิน!AU73"")"),0)</f>
        <v>0</v>
      </c>
      <c r="K652" s="77">
        <f ca="1">IF(I652&gt;0,J652*100/I652,0)</f>
        <v>0</v>
      </c>
      <c r="L652" s="89"/>
      <c r="M652" s="90"/>
      <c r="N652" s="732"/>
      <c r="O652" s="90"/>
      <c r="P652" s="90"/>
      <c r="Q652" s="90"/>
      <c r="R652" s="90"/>
      <c r="S652" s="732"/>
      <c r="T652" s="90"/>
      <c r="U652" s="90"/>
    </row>
    <row r="653" spans="1:21" ht="18.75" x14ac:dyDescent="0.25">
      <c r="A653" s="533"/>
      <c r="B653" s="271"/>
      <c r="C653" s="271"/>
      <c r="D653" s="269" t="s">
        <v>239</v>
      </c>
      <c r="E653" s="260"/>
      <c r="F653" s="260"/>
      <c r="G653" s="263"/>
      <c r="H653" s="277" t="s">
        <v>35</v>
      </c>
      <c r="I653" s="731">
        <f ca="1">IFERROR(__xludf.DUMMYFUNCTION("IMPORTRANGE(""https://docs.google.com/spreadsheets/d/1eHaY18a8A9IcSdp1K8H6x8fbOy06t2VsZHhMHf-1x7Y/edit?usp=sharing"",""แผน!IG73"")"),41)</f>
        <v>41</v>
      </c>
      <c r="J653" s="295">
        <f ca="1">IFERROR(__xludf.DUMMYFUNCTION("IMPORTRANGE(""https://docs.google.com/spreadsheets/d/1tdoBKaGub7dwA3U6UFTqxio9LNnvDCQjHKmttSEBsFQ/edit?usp=sharing"",""จัดที่ดิน!AW73"")"),0)</f>
        <v>0</v>
      </c>
      <c r="K653" s="77">
        <f ca="1">IF(I653&gt;0,J653*100/I653,0)</f>
        <v>0</v>
      </c>
      <c r="L653" s="89"/>
      <c r="M653" s="90"/>
      <c r="N653" s="732"/>
      <c r="O653" s="90"/>
      <c r="P653" s="90"/>
      <c r="Q653" s="90"/>
      <c r="R653" s="90"/>
      <c r="S653" s="732"/>
      <c r="T653" s="90"/>
      <c r="U653" s="90"/>
    </row>
    <row r="654" spans="1:21" ht="19.5" hidden="1" x14ac:dyDescent="0.3">
      <c r="A654" s="533"/>
      <c r="B654" s="271"/>
      <c r="C654" s="271"/>
      <c r="D654" s="269" t="s">
        <v>240</v>
      </c>
      <c r="E654" s="260"/>
      <c r="F654" s="260"/>
      <c r="G654" s="263"/>
      <c r="H654" s="727" t="s">
        <v>46</v>
      </c>
      <c r="I654" s="733">
        <f ca="1">IFERROR(__xludf.DUMMYFUNCTION("IMPORTRANGE(""https://docs.google.com/spreadsheets/d/1eHaY18a8A9IcSdp1K8H6x8fbOy06t2VsZHhMHf-1x7Y/edit?usp=sharing"",""แผน!IH73"")"),0)</f>
        <v>0</v>
      </c>
      <c r="J654" s="603">
        <f>J657+J660</f>
        <v>0</v>
      </c>
      <c r="K654" s="266">
        <f ca="1">IF(I654&gt;0,J654*100/I654,0)</f>
        <v>0</v>
      </c>
      <c r="L654" s="89"/>
      <c r="M654" s="90"/>
      <c r="N654" s="732"/>
      <c r="O654" s="90"/>
      <c r="P654" s="90"/>
      <c r="Q654" s="90"/>
      <c r="R654" s="90"/>
      <c r="S654" s="732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241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2"/>
      <c r="O655" s="90"/>
      <c r="P655" s="90"/>
      <c r="Q655" s="90"/>
      <c r="R655" s="90"/>
      <c r="S655" s="732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2"/>
      <c r="O656" s="90"/>
      <c r="P656" s="90"/>
      <c r="Q656" s="90"/>
      <c r="R656" s="90"/>
      <c r="S656" s="732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1">
        <f ca="1">IFERROR(__xludf.DUMMYFUNCTION("IMPORTRANGE(""https://docs.google.com/spreadsheets/d/1eHaY18a8A9IcSdp1K8H6x8fbOy06t2VsZHhMHf-1x7Y/edit?usp=sharing"",""แผน!II73"")"),0)</f>
        <v>0</v>
      </c>
      <c r="J657" s="296">
        <v>0</v>
      </c>
      <c r="K657" s="90"/>
      <c r="L657" s="89"/>
      <c r="M657" s="90"/>
      <c r="N657" s="732"/>
      <c r="O657" s="90"/>
      <c r="P657" s="90"/>
      <c r="Q657" s="90"/>
      <c r="R657" s="90"/>
      <c r="S657" s="732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242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2"/>
      <c r="O658" s="90"/>
      <c r="P658" s="90"/>
      <c r="Q658" s="90"/>
      <c r="R658" s="90"/>
      <c r="S658" s="732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2"/>
      <c r="O659" s="90"/>
      <c r="P659" s="90"/>
      <c r="Q659" s="90"/>
      <c r="R659" s="90"/>
      <c r="S659" s="732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1">
        <f ca="1">IFERROR(__xludf.DUMMYFUNCTION("IMPORTRANGE(""https://docs.google.com/spreadsheets/d/1eHaY18a8A9IcSdp1K8H6x8fbOy06t2VsZHhMHf-1x7Y/edit?usp=sharing"",""แผน!IJ73"")"),0)</f>
        <v>0</v>
      </c>
      <c r="J660" s="296">
        <v>0</v>
      </c>
      <c r="K660" s="90"/>
      <c r="L660" s="89"/>
      <c r="M660" s="90"/>
      <c r="N660" s="732"/>
      <c r="O660" s="90"/>
      <c r="P660" s="90"/>
      <c r="Q660" s="90"/>
      <c r="R660" s="90"/>
      <c r="S660" s="732"/>
      <c r="T660" s="90"/>
      <c r="U660" s="90"/>
    </row>
    <row r="661" spans="1:21" ht="19.5" x14ac:dyDescent="0.3">
      <c r="A661" s="533"/>
      <c r="B661" s="271"/>
      <c r="C661" s="271"/>
      <c r="D661" s="615" t="s">
        <v>243</v>
      </c>
      <c r="E661" s="260"/>
      <c r="F661" s="260"/>
      <c r="G661" s="263"/>
      <c r="H661" s="727" t="s">
        <v>46</v>
      </c>
      <c r="I661" s="733">
        <f ca="1">IFERROR(__xludf.DUMMYFUNCTION("IMPORTRANGE(""https://docs.google.com/spreadsheets/d/1eHaY18a8A9IcSdp1K8H6x8fbOy06t2VsZHhMHf-1x7Y/edit?usp=sharing"",""แผน!IK73"")"),228)</f>
        <v>228</v>
      </c>
      <c r="J661" s="603">
        <f>J667+J670</f>
        <v>0</v>
      </c>
      <c r="K661" s="266">
        <f ca="1">IF(I661&gt;0,J661*100/I661,0)</f>
        <v>0</v>
      </c>
      <c r="L661" s="89"/>
      <c r="M661" s="90"/>
      <c r="N661" s="732"/>
      <c r="O661" s="90"/>
      <c r="P661" s="90"/>
      <c r="Q661" s="90"/>
      <c r="R661" s="90"/>
      <c r="S661" s="732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244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2"/>
      <c r="O662" s="90"/>
      <c r="P662" s="90"/>
      <c r="Q662" s="732"/>
      <c r="R662" s="90"/>
      <c r="S662" s="732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2"/>
      <c r="O663" s="90"/>
      <c r="P663" s="90"/>
      <c r="Q663" s="732"/>
      <c r="R663" s="90"/>
      <c r="S663" s="732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245</v>
      </c>
      <c r="F664" s="260"/>
      <c r="G664" s="263"/>
      <c r="H664" s="309"/>
      <c r="I664" s="311"/>
      <c r="J664" s="265"/>
      <c r="K664" s="90"/>
      <c r="L664" s="734"/>
      <c r="M664" s="90"/>
      <c r="N664" s="732"/>
      <c r="O664" s="90"/>
      <c r="P664" s="90"/>
      <c r="Q664" s="732"/>
      <c r="R664" s="90"/>
      <c r="S664" s="732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246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2"/>
      <c r="O665" s="90"/>
      <c r="P665" s="90"/>
      <c r="Q665" s="732"/>
      <c r="R665" s="90"/>
      <c r="S665" s="732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2"/>
      <c r="O666" s="90"/>
      <c r="P666" s="90"/>
      <c r="Q666" s="732"/>
      <c r="R666" s="90"/>
      <c r="S666" s="732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2"/>
      <c r="O667" s="90"/>
      <c r="P667" s="90"/>
      <c r="Q667" s="732"/>
      <c r="R667" s="90"/>
      <c r="S667" s="732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247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2"/>
      <c r="O668" s="90"/>
      <c r="P668" s="90"/>
      <c r="Q668" s="732"/>
      <c r="R668" s="90"/>
      <c r="S668" s="732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2"/>
      <c r="O669" s="90"/>
      <c r="P669" s="90"/>
      <c r="Q669" s="732"/>
      <c r="R669" s="90"/>
      <c r="S669" s="732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2"/>
      <c r="O670" s="90"/>
      <c r="P670" s="90"/>
      <c r="Q670" s="732"/>
      <c r="R670" s="90"/>
      <c r="S670" s="732"/>
      <c r="T670" s="90"/>
      <c r="U670" s="90"/>
    </row>
    <row r="671" spans="1:21" ht="18.75" hidden="1" x14ac:dyDescent="0.25">
      <c r="A671" s="533"/>
      <c r="B671" s="271"/>
      <c r="C671" s="271"/>
      <c r="D671" s="269" t="s">
        <v>248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IFERROR(__xludf.DUMMYFUNCTION("IMPORTRANGE(""https://docs.google.com/spreadsheets/d/1tdoBKaGub7dwA3U6UFTqxio9LNnvDCQjHKmttSEBsFQ/edit?usp=sharing"",""จัดที่ดิน!AY73"")"),0)</f>
        <v>0</v>
      </c>
      <c r="K671" s="90"/>
      <c r="L671" s="89"/>
      <c r="M671" s="90"/>
      <c r="N671" s="732"/>
      <c r="O671" s="90"/>
      <c r="P671" s="90"/>
      <c r="Q671" s="90"/>
      <c r="R671" s="90"/>
      <c r="S671" s="732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IFERROR(__xludf.DUMMYFUNCTION("IMPORTRANGE(""https://docs.google.com/spreadsheets/d/1tdoBKaGub7dwA3U6UFTqxio9LNnvDCQjHKmttSEBsFQ/edit?usp=sharing"",""จัดที่ดิน!AZ73"")"),0)</f>
        <v>0</v>
      </c>
      <c r="K672" s="90"/>
      <c r="L672" s="734"/>
      <c r="M672" s="90"/>
      <c r="N672" s="732"/>
      <c r="O672" s="90"/>
      <c r="P672" s="90"/>
      <c r="Q672" s="732"/>
      <c r="R672" s="90"/>
      <c r="S672" s="732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1">
        <f ca="1">IFERROR(__xludf.DUMMYFUNCTION("IMPORTRANGE(""https://docs.google.com/spreadsheets/d/1eHaY18a8A9IcSdp1K8H6x8fbOy06t2VsZHhMHf-1x7Y/edit?usp=sharing"",""แผน!IL73"")"),0)</f>
        <v>0</v>
      </c>
      <c r="J673" s="295">
        <f ca="1">IFERROR(__xludf.DUMMYFUNCTION("IMPORTRANGE(""https://docs.google.com/spreadsheets/d/1tdoBKaGub7dwA3U6UFTqxio9LNnvDCQjHKmttSEBsFQ/edit?usp=sharing"",""จัดที่ดิน!BA73"")"),0)</f>
        <v>0</v>
      </c>
      <c r="K673" s="77">
        <f ca="1">IF(I673&gt;0,J673*100/I673,0)</f>
        <v>0</v>
      </c>
      <c r="L673" s="734"/>
      <c r="M673" s="90"/>
      <c r="N673" s="732"/>
      <c r="O673" s="90"/>
      <c r="P673" s="90"/>
      <c r="Q673" s="732"/>
      <c r="R673" s="90"/>
      <c r="S673" s="732"/>
      <c r="T673" s="90"/>
      <c r="U673" s="90"/>
    </row>
    <row r="674" spans="1:21" ht="19.5" x14ac:dyDescent="0.3">
      <c r="A674" s="533"/>
      <c r="B674" s="271"/>
      <c r="C674" s="271"/>
      <c r="D674" s="269" t="s">
        <v>249</v>
      </c>
      <c r="E674" s="260"/>
      <c r="F674" s="260"/>
      <c r="G674" s="263"/>
      <c r="H674" s="727" t="s">
        <v>35</v>
      </c>
      <c r="I674" s="733">
        <f ca="1">IFERROR(__xludf.DUMMYFUNCTION("IMPORTRANGE(""https://docs.google.com/spreadsheets/d/1eHaY18a8A9IcSdp1K8H6x8fbOy06t2VsZHhMHf-1x7Y/edit?usp=sharing"",""แผน!IM73"")"),1)</f>
        <v>1</v>
      </c>
      <c r="J674" s="603">
        <f ca="1">J676+J679</f>
        <v>0</v>
      </c>
      <c r="K674" s="266">
        <f ca="1">IF(I674&gt;0,J674*100/I674,0)</f>
        <v>0</v>
      </c>
      <c r="L674" s="734"/>
      <c r="M674" s="90"/>
      <c r="N674" s="732"/>
      <c r="O674" s="90"/>
      <c r="P674" s="90"/>
      <c r="Q674" s="732"/>
      <c r="R674" s="90"/>
      <c r="S674" s="732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7" t="s">
        <v>46</v>
      </c>
      <c r="I675" s="733">
        <f ca="1">IFERROR(__xludf.DUMMYFUNCTION("IMPORTRANGE(""https://docs.google.com/spreadsheets/d/1eHaY18a8A9IcSdp1K8H6x8fbOy06t2VsZHhMHf-1x7Y/edit?usp=sharing"",""แผน!IN73"")"),6)</f>
        <v>6</v>
      </c>
      <c r="J675" s="603">
        <f ca="1">J678+J681</f>
        <v>0</v>
      </c>
      <c r="K675" s="266">
        <f ca="1">IF(I675&gt;0,J675*100/I675,0)</f>
        <v>0</v>
      </c>
      <c r="L675" s="89"/>
      <c r="M675" s="90"/>
      <c r="N675" s="732"/>
      <c r="O675" s="90"/>
      <c r="P675" s="90"/>
      <c r="Q675" s="90"/>
      <c r="R675" s="90"/>
      <c r="S675" s="732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250</v>
      </c>
      <c r="F676" s="260"/>
      <c r="G676" s="263"/>
      <c r="H676" s="277" t="s">
        <v>35</v>
      </c>
      <c r="I676" s="731">
        <f ca="1">IFERROR(__xludf.DUMMYFUNCTION("IMPORTRANGE(""https://docs.google.com/spreadsheets/d/1eHaY18a8A9IcSdp1K8H6x8fbOy06t2VsZHhMHf-1x7Y/edit?usp=sharing"",""แผน!IO73"")"),1)</f>
        <v>1</v>
      </c>
      <c r="J676" s="295">
        <f ca="1">IFERROR(__xludf.DUMMYFUNCTION("IMPORTRANGE(""https://docs.google.com/spreadsheets/d/1tdoBKaGub7dwA3U6UFTqxio9LNnvDCQjHKmttSEBsFQ/edit?usp=sharing"",""จัดที่ดิน!BF73"")"),0)</f>
        <v>0</v>
      </c>
      <c r="K676" s="77">
        <f ca="1">IF(I676&gt;0,J676*100/I676,0)</f>
        <v>0</v>
      </c>
      <c r="L676" s="89"/>
      <c r="M676" s="90"/>
      <c r="N676" s="732"/>
      <c r="O676" s="90"/>
      <c r="P676" s="90"/>
      <c r="Q676" s="90"/>
      <c r="R676" s="90"/>
      <c r="S676" s="732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IFERROR(__xludf.DUMMYFUNCTION("IMPORTRANGE(""https://docs.google.com/spreadsheets/d/1tdoBKaGub7dwA3U6UFTqxio9LNnvDCQjHKmttSEBsFQ/edit?usp=sharing"",""จัดที่ดิน!BG73"")"),0)</f>
        <v>0</v>
      </c>
      <c r="K677" s="90"/>
      <c r="L677" s="734"/>
      <c r="M677" s="90"/>
      <c r="N677" s="732"/>
      <c r="O677" s="90"/>
      <c r="P677" s="90"/>
      <c r="Q677" s="732"/>
      <c r="R677" s="90"/>
      <c r="S677" s="732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1">
        <f ca="1">IFERROR(__xludf.DUMMYFUNCTION("IMPORTRANGE(""https://docs.google.com/spreadsheets/d/1eHaY18a8A9IcSdp1K8H6x8fbOy06t2VsZHhMHf-1x7Y/edit?usp=sharing"",""แผน!IP73"")"),6)</f>
        <v>6</v>
      </c>
      <c r="J678" s="295">
        <f ca="1">IFERROR(__xludf.DUMMYFUNCTION("IMPORTRANGE(""https://docs.google.com/spreadsheets/d/1tdoBKaGub7dwA3U6UFTqxio9LNnvDCQjHKmttSEBsFQ/edit?usp=sharing"",""จัดที่ดิน!BH73"")"),0)</f>
        <v>0</v>
      </c>
      <c r="K678" s="77">
        <f ca="1">IF(I678&gt;0,J678*100/I678,0)</f>
        <v>0</v>
      </c>
      <c r="L678" s="734"/>
      <c r="M678" s="90"/>
      <c r="N678" s="732"/>
      <c r="O678" s="90"/>
      <c r="P678" s="90"/>
      <c r="Q678" s="732"/>
      <c r="R678" s="90"/>
      <c r="S678" s="732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251</v>
      </c>
      <c r="F679" s="260"/>
      <c r="G679" s="263"/>
      <c r="H679" s="277" t="s">
        <v>35</v>
      </c>
      <c r="I679" s="731">
        <f ca="1">IFERROR(__xludf.DUMMYFUNCTION("IMPORTRANGE(""https://docs.google.com/spreadsheets/d/1eHaY18a8A9IcSdp1K8H6x8fbOy06t2VsZHhMHf-1x7Y/edit?usp=sharing"",""แผน!IQ73"")"),0)</f>
        <v>0</v>
      </c>
      <c r="J679" s="295">
        <f ca="1">IFERROR(__xludf.DUMMYFUNCTION("IMPORTRANGE(""https://docs.google.com/spreadsheets/d/1tdoBKaGub7dwA3U6UFTqxio9LNnvDCQjHKmttSEBsFQ/edit?usp=sharing"",""จัดที่ดิน!BK73"")"),0)</f>
        <v>0</v>
      </c>
      <c r="K679" s="77">
        <f ca="1">IF(I679&gt;0,J679*100/I679,0)</f>
        <v>0</v>
      </c>
      <c r="L679" s="89"/>
      <c r="M679" s="90"/>
      <c r="N679" s="732"/>
      <c r="O679" s="90"/>
      <c r="P679" s="90"/>
      <c r="Q679" s="90"/>
      <c r="R679" s="90"/>
      <c r="S679" s="732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IFERROR(__xludf.DUMMYFUNCTION("IMPORTRANGE(""https://docs.google.com/spreadsheets/d/1tdoBKaGub7dwA3U6UFTqxio9LNnvDCQjHKmttSEBsFQ/edit?usp=sharing"",""จัดที่ดิน!BL73"")"),0)</f>
        <v>0</v>
      </c>
      <c r="K680" s="90"/>
      <c r="L680" s="734"/>
      <c r="M680" s="90"/>
      <c r="N680" s="732"/>
      <c r="O680" s="90"/>
      <c r="P680" s="90"/>
      <c r="Q680" s="732"/>
      <c r="R680" s="90"/>
      <c r="S680" s="732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1">
        <f ca="1">IFERROR(__xludf.DUMMYFUNCTION("IMPORTRANGE(""https://docs.google.com/spreadsheets/d/1eHaY18a8A9IcSdp1K8H6x8fbOy06t2VsZHhMHf-1x7Y/edit?usp=sharing"",""แผน!IR73"")"),0)</f>
        <v>0</v>
      </c>
      <c r="J681" s="295">
        <f ca="1">IFERROR(__xludf.DUMMYFUNCTION("IMPORTRANGE(""https://docs.google.com/spreadsheets/d/1tdoBKaGub7dwA3U6UFTqxio9LNnvDCQjHKmttSEBsFQ/edit?usp=sharing"",""จัดที่ดิน!BM73"")"),0)</f>
        <v>0</v>
      </c>
      <c r="K681" s="77">
        <f ca="1">IF(I681&gt;0,J681*100/I681,0)</f>
        <v>0</v>
      </c>
      <c r="L681" s="734"/>
      <c r="M681" s="90"/>
      <c r="N681" s="732"/>
      <c r="O681" s="90"/>
      <c r="P681" s="90"/>
      <c r="Q681" s="732"/>
      <c r="R681" s="90"/>
      <c r="S681" s="732"/>
      <c r="T681" s="90"/>
      <c r="U681" s="90"/>
    </row>
    <row r="682" spans="1:21" ht="19.5" hidden="1" x14ac:dyDescent="0.3">
      <c r="A682" s="533"/>
      <c r="B682" s="271"/>
      <c r="C682" s="271"/>
      <c r="D682" s="269" t="s">
        <v>252</v>
      </c>
      <c r="E682" s="260"/>
      <c r="F682" s="260"/>
      <c r="G682" s="263"/>
      <c r="H682" s="727" t="s">
        <v>46</v>
      </c>
      <c r="I682" s="733">
        <f ca="1">IFERROR(__xludf.DUMMYFUNCTION("IMPORTRANGE(""https://docs.google.com/spreadsheets/d/1eHaY18a8A9IcSdp1K8H6x8fbOy06t2VsZHhMHf-1x7Y/edit?usp=sharing"",""แผน!IS73"")"),0)</f>
        <v>0</v>
      </c>
      <c r="J682" s="603">
        <f>J685+J688</f>
        <v>0</v>
      </c>
      <c r="K682" s="266">
        <f ca="1">IF(I682&gt;0,J682*100/I682,0)</f>
        <v>0</v>
      </c>
      <c r="L682" s="89"/>
      <c r="M682" s="90"/>
      <c r="N682" s="732"/>
      <c r="O682" s="90"/>
      <c r="P682" s="90"/>
      <c r="Q682" s="90"/>
      <c r="R682" s="90"/>
      <c r="S682" s="732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253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2"/>
      <c r="O683" s="90"/>
      <c r="P683" s="90"/>
      <c r="Q683" s="732"/>
      <c r="R683" s="90"/>
      <c r="S683" s="732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2"/>
      <c r="O684" s="90"/>
      <c r="P684" s="90"/>
      <c r="Q684" s="732"/>
      <c r="R684" s="90"/>
      <c r="S684" s="732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2"/>
      <c r="O685" s="90"/>
      <c r="P685" s="90"/>
      <c r="Q685" s="732"/>
      <c r="R685" s="90"/>
      <c r="S685" s="732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254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2"/>
      <c r="O686" s="90"/>
      <c r="P686" s="90"/>
      <c r="Q686" s="732"/>
      <c r="R686" s="90"/>
      <c r="S686" s="732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2"/>
      <c r="O687" s="90"/>
      <c r="P687" s="90"/>
      <c r="Q687" s="732"/>
      <c r="R687" s="90"/>
      <c r="S687" s="732"/>
      <c r="T687" s="90"/>
      <c r="U687" s="90"/>
    </row>
    <row r="688" spans="1:21" ht="19.5" hidden="1" x14ac:dyDescent="0.3">
      <c r="A688" s="735"/>
      <c r="B688" s="736" t="s">
        <v>255</v>
      </c>
      <c r="C688" s="737"/>
      <c r="D688" s="738"/>
      <c r="E688" s="738"/>
      <c r="F688" s="738"/>
      <c r="G688" s="739"/>
      <c r="H688" s="740" t="s">
        <v>46</v>
      </c>
      <c r="I688" s="610"/>
      <c r="J688" s="741">
        <v>0</v>
      </c>
      <c r="K688" s="101"/>
      <c r="L688" s="743"/>
      <c r="M688" s="101"/>
      <c r="N688" s="742"/>
      <c r="O688" s="101"/>
      <c r="P688" s="101"/>
      <c r="Q688" s="742"/>
      <c r="R688" s="101"/>
      <c r="S688" s="742"/>
      <c r="T688" s="101"/>
      <c r="U688" s="101"/>
    </row>
    <row r="689" spans="1:21" ht="19.5" hidden="1" x14ac:dyDescent="0.3">
      <c r="A689" s="708"/>
      <c r="B689" s="709" t="s">
        <v>256</v>
      </c>
      <c r="C689" s="708"/>
      <c r="D689" s="710"/>
      <c r="E689" s="710"/>
      <c r="F689" s="710"/>
      <c r="G689" s="711"/>
      <c r="H689" s="744" t="s">
        <v>35</v>
      </c>
      <c r="I689" s="745">
        <f ca="1">I707</f>
        <v>0</v>
      </c>
      <c r="J689" s="745">
        <f ca="1">J707</f>
        <v>0</v>
      </c>
      <c r="K689" s="746">
        <f ca="1">IF(I689&gt;0,J689*100/I689,0)</f>
        <v>0</v>
      </c>
      <c r="L689" s="715"/>
      <c r="M689" s="714"/>
      <c r="N689" s="714"/>
      <c r="O689" s="714"/>
      <c r="P689" s="714"/>
      <c r="Q689" s="714"/>
      <c r="R689" s="714"/>
      <c r="S689" s="714"/>
      <c r="T689" s="714"/>
      <c r="U689" s="714"/>
    </row>
    <row r="690" spans="1:21" ht="19.5" hidden="1" x14ac:dyDescent="0.3">
      <c r="A690" s="259"/>
      <c r="B690" s="271"/>
      <c r="C690" s="308" t="s">
        <v>18</v>
      </c>
      <c r="D690" s="814" t="s">
        <v>19</v>
      </c>
      <c r="E690" s="804"/>
      <c r="F690" s="804"/>
      <c r="G690" s="805"/>
      <c r="H690" s="614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IFERROR(__xludf.DUMMYFUNCTION("IMPORTRANGE(""https://docs.google.com/spreadsheets/d/1ItG2mGa2ceCfYo0BwxsXqNm01IGEUdYcSSLTEv9YCik/edit?usp=sharing"",""เบิกจ่ายกองทุน!L73"")"),0)</f>
        <v>0</v>
      </c>
      <c r="R695" s="77">
        <f ca="1">IFERROR(__xludf.DUMMYFUNCTION("IMPORTRANGE(""https://docs.google.com/spreadsheets/d/1ItG2mGa2ceCfYo0BwxsXqNm01IGEUdYcSSLTEv9YCik/edit?usp=sharing"",""เบิกจ่ายกองทุน!M73"")"),0)</f>
        <v>0</v>
      </c>
      <c r="S695" s="77">
        <f ca="1">IFERROR(__xludf.DUMMYFUNCTION("IMPORTRANGE(""https://docs.google.com/spreadsheets/d/1ItG2mGa2ceCfYo0BwxsXqNm01IGEUdYcSSLTEv9YCik/edit?usp=sharing"",""เบิกจ่ายกองทุน!N73"")"),0)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37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7" t="s">
        <v>257</v>
      </c>
      <c r="F700" s="292"/>
      <c r="G700" s="284"/>
      <c r="H700" s="277" t="s">
        <v>258</v>
      </c>
      <c r="I700" s="295">
        <f ca="1">IFERROR(__xludf.DUMMYFUNCTION("IMPORTRANGE(""https://docs.google.com/spreadsheets/d/1eHaY18a8A9IcSdp1K8H6x8fbOy06t2VsZHhMHf-1x7Y/edit?usp=sharing"",""แผน!LC73"")"),0)</f>
        <v>0</v>
      </c>
      <c r="J700" s="296">
        <v>0</v>
      </c>
      <c r="K700" s="748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49" t="s">
        <v>259</v>
      </c>
      <c r="F701" s="292"/>
      <c r="G701" s="284"/>
      <c r="H701" s="264" t="s">
        <v>35</v>
      </c>
      <c r="I701" s="603">
        <f ca="1">I703+I705</f>
        <v>0</v>
      </c>
      <c r="J701" s="603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3">
        <v>0</v>
      </c>
      <c r="J702" s="603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7" t="s">
        <v>260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IFERROR(__xludf.DUMMYFUNCTION("IMPORTRANGE(""https://docs.google.com/spreadsheets/d/1eHaY18a8A9IcSdp1K8H6x8fbOy06t2VsZHhMHf-1x7Y/edit?usp=sharing"",""แผน!LJ73"")"),0)</f>
        <v>0</v>
      </c>
      <c r="J703" s="295">
        <f ca="1">IFERROR(__xludf.DUMMYFUNCTION("IMPORTRANGE(""https://docs.google.com/spreadsheets/d/1tdoBKaGub7dwA3U6UFTqxio9LNnvDCQjHKmttSEBsFQ/edit?usp=sharing"",""จัดที่ดิน!AP73"")"),0)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IFERROR(__xludf.DUMMYFUNCTION("IMPORTRANGE(""https://docs.google.com/spreadsheets/d/1tdoBKaGub7dwA3U6UFTqxio9LNnvDCQjHKmttSEBsFQ/edit?usp=sharing"",""จัดที่ดิน!AQ73"")"),0)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7" t="s">
        <v>261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IFERROR(__xludf.DUMMYFUNCTION("IMPORTRANGE(""https://docs.google.com/spreadsheets/d/1eHaY18a8A9IcSdp1K8H6x8fbOy06t2VsZHhMHf-1x7Y/edit?usp=sharing"",""แผน!LK73"")"),0)</f>
        <v>0</v>
      </c>
      <c r="J705" s="295">
        <f ca="1">IFERROR(__xludf.DUMMYFUNCTION("IMPORTRANGE(""https://docs.google.com/spreadsheets/d/1tdoBKaGub7dwA3U6UFTqxio9LNnvDCQjHKmttSEBsFQ/edit?usp=sharing"",""จัดที่ดิน!AR73"")"),0)</f>
        <v>0</v>
      </c>
      <c r="K705" s="748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IFERROR(__xludf.DUMMYFUNCTION("IMPORTRANGE(""https://docs.google.com/spreadsheets/d/1tdoBKaGub7dwA3U6UFTqxio9LNnvDCQjHKmttSEBsFQ/edit?usp=sharing"",""จัดที่ดิน!AS73"")"),0)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7" t="s">
        <v>262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IFERROR(__xludf.DUMMYFUNCTION("IMPORTRANGE(""https://docs.google.com/spreadsheets/d/1eHaY18a8A9IcSdp1K8H6x8fbOy06t2VsZHhMHf-1x7Y/edit?usp=sharing"",""แผน!LJ73"")"),0)</f>
        <v>0</v>
      </c>
      <c r="J707" s="295">
        <f ca="1">IFERROR(__xludf.DUMMYFUNCTION("IMPORTRANGE(""https://docs.google.com/spreadsheets/d/1tdoBKaGub7dwA3U6UFTqxio9LNnvDCQjHKmttSEBsFQ/edit?usp=sharing"",""จัดที่ดิน!BN73"")"),0)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0" t="s">
        <v>263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IFERROR(__xludf.DUMMYFUNCTION("IMPORTRANGE(""https://docs.google.com/spreadsheets/d/1tdoBKaGub7dwA3U6UFTqxio9LNnvDCQjHKmttSEBsFQ/edit?usp=sharing"",""จัดที่ดิน!BO73"")"),0)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264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IFERROR(__xludf.DUMMYFUNCTION("IMPORTRANGE(""https://docs.google.com/spreadsheets/d/1eHaY18a8A9IcSdp1K8H6x8fbOy06t2VsZHhMHf-1x7Y/edit?usp=sharing"",""แผน!LK73"")"),0)</f>
        <v>0</v>
      </c>
      <c r="J709" s="295">
        <f ca="1">IFERROR(__xludf.DUMMYFUNCTION("IMPORTRANGE(""https://docs.google.com/spreadsheets/d/1tdoBKaGub7dwA3U6UFTqxio9LNnvDCQjHKmttSEBsFQ/edit?usp=sharing"",""จัดที่ดิน!BP73"")"),0)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0" t="s">
        <v>265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IFERROR(__xludf.DUMMYFUNCTION("IMPORTRANGE(""https://docs.google.com/spreadsheets/d/1tdoBKaGub7dwA3U6UFTqxio9LNnvDCQjHKmttSEBsFQ/edit?usp=sharing"",""จัดที่ดิน!BQ73"")"),0)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59"/>
      <c r="B711" s="580"/>
      <c r="C711" s="580"/>
      <c r="D711" s="660"/>
      <c r="E711" s="660"/>
      <c r="F711" s="660"/>
      <c r="G711" s="661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08"/>
      <c r="B712" s="751" t="s">
        <v>266</v>
      </c>
      <c r="C712" s="708"/>
      <c r="D712" s="710"/>
      <c r="E712" s="710"/>
      <c r="F712" s="710"/>
      <c r="G712" s="711"/>
      <c r="H712" s="752" t="s">
        <v>46</v>
      </c>
      <c r="I712" s="713"/>
      <c r="J712" s="713">
        <f>J724</f>
        <v>0</v>
      </c>
      <c r="K712" s="754">
        <f>IF(I712&gt;0,J712*100/I712,0)</f>
        <v>0</v>
      </c>
      <c r="L712" s="715"/>
      <c r="M712" s="714"/>
      <c r="N712" s="714"/>
      <c r="O712" s="714"/>
      <c r="P712" s="714"/>
      <c r="Q712" s="714"/>
      <c r="R712" s="714"/>
      <c r="S712" s="714"/>
      <c r="T712" s="714"/>
      <c r="U712" s="714"/>
    </row>
    <row r="713" spans="1:21" ht="19.5" hidden="1" x14ac:dyDescent="0.3">
      <c r="A713" s="708"/>
      <c r="B713" s="751" t="s">
        <v>267</v>
      </c>
      <c r="C713" s="708"/>
      <c r="D713" s="710"/>
      <c r="E713" s="710"/>
      <c r="F713" s="710"/>
      <c r="G713" s="711"/>
      <c r="H713" s="712"/>
      <c r="I713" s="713"/>
      <c r="J713" s="713"/>
      <c r="K713" s="714"/>
      <c r="L713" s="715"/>
      <c r="M713" s="714"/>
      <c r="N713" s="714"/>
      <c r="O713" s="714"/>
      <c r="P713" s="714"/>
      <c r="Q713" s="714"/>
      <c r="R713" s="714"/>
      <c r="S713" s="714"/>
      <c r="T713" s="714"/>
      <c r="U713" s="714"/>
    </row>
    <row r="714" spans="1:21" ht="19.5" hidden="1" x14ac:dyDescent="0.3">
      <c r="A714" s="259"/>
      <c r="B714" s="271"/>
      <c r="C714" s="573" t="s">
        <v>18</v>
      </c>
      <c r="D714" s="823" t="s">
        <v>19</v>
      </c>
      <c r="E714" s="804"/>
      <c r="F714" s="804"/>
      <c r="G714" s="805"/>
      <c r="H714" s="684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2" t="s">
        <v>22</v>
      </c>
      <c r="E717" s="260"/>
      <c r="F717" s="260"/>
      <c r="G717" s="263"/>
      <c r="H717" s="684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2" t="s">
        <v>23</v>
      </c>
      <c r="E720" s="260"/>
      <c r="F720" s="260"/>
      <c r="G720" s="263"/>
      <c r="H720" s="686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687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1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268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08"/>
      <c r="B725" s="609"/>
      <c r="C725" s="609"/>
      <c r="D725" s="617"/>
      <c r="E725" s="756" t="s">
        <v>269</v>
      </c>
      <c r="F725" s="617"/>
      <c r="G725" s="618"/>
      <c r="H725" s="757" t="s">
        <v>46</v>
      </c>
      <c r="I725" s="758">
        <v>0</v>
      </c>
      <c r="J725" s="612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08"/>
      <c r="B726" s="709" t="s">
        <v>270</v>
      </c>
      <c r="C726" s="708"/>
      <c r="D726" s="710"/>
      <c r="E726" s="710"/>
      <c r="F726" s="710"/>
      <c r="G726" s="711"/>
      <c r="H726" s="759" t="s">
        <v>35</v>
      </c>
      <c r="I726" s="760">
        <f ca="1">IFERROR(__xludf.DUMMYFUNCTION("IMPORTRANGE(""https://docs.google.com/spreadsheets/d/1eHaY18a8A9IcSdp1K8H6x8fbOy06t2VsZHhMHf-1x7Y/edit?usp=sharing"",""แผน!FZ73"")"),0)</f>
        <v>0</v>
      </c>
      <c r="J726" s="760">
        <f>J742+J746+J749</f>
        <v>0</v>
      </c>
      <c r="K726" s="746">
        <f ca="1">IF(I726&gt;0,J726*100/I726,0)</f>
        <v>0</v>
      </c>
      <c r="L726" s="715"/>
      <c r="M726" s="714"/>
      <c r="N726" s="714"/>
      <c r="O726" s="714"/>
      <c r="P726" s="714"/>
      <c r="Q726" s="714"/>
      <c r="R726" s="714"/>
      <c r="S726" s="714"/>
      <c r="T726" s="714"/>
      <c r="U726" s="714"/>
    </row>
    <row r="727" spans="1:21" ht="19.5" hidden="1" x14ac:dyDescent="0.3">
      <c r="A727" s="761"/>
      <c r="B727" s="708"/>
      <c r="C727" s="708"/>
      <c r="D727" s="710"/>
      <c r="E727" s="710"/>
      <c r="F727" s="710"/>
      <c r="G727" s="711"/>
      <c r="H727" s="759" t="s">
        <v>46</v>
      </c>
      <c r="I727" s="760">
        <f ca="1">IFERROR(__xludf.DUMMYFUNCTION("IMPORTRANGE(""https://docs.google.com/spreadsheets/d/1eHaY18a8A9IcSdp1K8H6x8fbOy06t2VsZHhMHf-1x7Y/edit?usp=sharing"",""แผน!GA73"")"),0)</f>
        <v>0</v>
      </c>
      <c r="J727" s="760">
        <f>J752+J755</f>
        <v>0</v>
      </c>
      <c r="K727" s="746">
        <f ca="1">IF(I727&gt;0,J727*100/I727,0)</f>
        <v>0</v>
      </c>
      <c r="L727" s="715"/>
      <c r="M727" s="714"/>
      <c r="N727" s="714"/>
      <c r="O727" s="714"/>
      <c r="P727" s="714"/>
      <c r="Q727" s="714"/>
      <c r="R727" s="714"/>
      <c r="S727" s="714"/>
      <c r="T727" s="714"/>
      <c r="U727" s="714"/>
    </row>
    <row r="728" spans="1:21" ht="19.5" hidden="1" x14ac:dyDescent="0.3">
      <c r="A728" s="259"/>
      <c r="B728" s="271"/>
      <c r="C728" s="308" t="s">
        <v>18</v>
      </c>
      <c r="D728" s="814" t="s">
        <v>19</v>
      </c>
      <c r="E728" s="804"/>
      <c r="F728" s="804"/>
      <c r="G728" s="805"/>
      <c r="H728" s="614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IFERROR(__xludf.DUMMYFUNCTION("IMPORTRANGE(""https://docs.google.com/spreadsheets/d/1ItG2mGa2ceCfYo0BwxsXqNm01IGEUdYcSSLTEv9YCik/edit?usp=sharing"",""เบิกจ่ายกองทุน!O73"")"),0)</f>
        <v>0</v>
      </c>
      <c r="R733" s="77">
        <f ca="1">IFERROR(__xludf.DUMMYFUNCTION("IMPORTRANGE(""https://docs.google.com/spreadsheets/d/1ItG2mGa2ceCfYo0BwxsXqNm01IGEUdYcSSLTEv9YCik/edit?usp=sharing"",""เบิกจ่ายกองทุน!P73"")"),0)</f>
        <v>0</v>
      </c>
      <c r="S733" s="77">
        <f ca="1">IFERROR(__xludf.DUMMYFUNCTION("IMPORTRANGE(""https://docs.google.com/spreadsheets/d/1ItG2mGa2ceCfYo0BwxsXqNm01IGEUdYcSSLTEv9YCik/edit?usp=sharing"",""เบิกจ่ายกองทุน!Q73"")"),0)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0" t="s">
        <v>38</v>
      </c>
      <c r="E737" s="762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3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6" t="s">
        <v>271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6" t="s">
        <v>272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IFERROR(__xludf.DUMMYFUNCTION("IMPORTRANGE(""https://docs.google.com/spreadsheets/d/1eHaY18a8A9IcSdp1K8H6x8fbOy06t2VsZHhMHf-1x7Y/edit?usp=sharing"",""แผน!GB73"")"),0)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6" t="s">
        <v>273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6" t="s">
        <v>274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IFERROR(__xludf.DUMMYFUNCTION("IMPORTRANGE(""https://docs.google.com/spreadsheets/d/1eHaY18a8A9IcSdp1K8H6x8fbOy06t2VsZHhMHf-1x7Y/edit?usp=sharing"",""แผน!GC73"")"),0)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6" t="s">
        <v>275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6" t="s">
        <v>272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IFERROR(__xludf.DUMMYFUNCTION("IMPORTRANGE(""https://docs.google.com/spreadsheets/d/1eHaY18a8A9IcSdp1K8H6x8fbOy06t2VsZHhMHf-1x7Y/edit?usp=sharing"",""แผน!GD73"")"),0)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6" t="s">
        <v>276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6" t="s">
        <v>277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IFERROR(__xludf.DUMMYFUNCTION("IMPORTRANGE(""https://docs.google.com/spreadsheets/d/1eHaY18a8A9IcSdp1K8H6x8fbOy06t2VsZHhMHf-1x7Y/edit?usp=sharing"",""แผน!GE73"")"),0)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6" t="s">
        <v>278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6" t="s">
        <v>279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6" t="s">
        <v>280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IFERROR(__xludf.DUMMYFUNCTION("IMPORTRANGE(""https://docs.google.com/spreadsheets/d/1eHaY18a8A9IcSdp1K8H6x8fbOy06t2VsZHhMHf-1x7Y/edit?usp=sharing"",""แผน!GF73"")"),0)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3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6" t="s">
        <v>271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281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IFERROR(__xludf.DUMMYFUNCTION("IMPORTRANGE(""https://docs.google.com/spreadsheets/d/1eHaY18a8A9IcSdp1K8H6x8fbOy06t2VsZHhMHf-1x7Y/edit?usp=sharing"",""แผน!GC73"")"),0)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282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6" t="s">
        <v>275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283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IFERROR(__xludf.DUMMYFUNCTION("IMPORTRANGE(""https://docs.google.com/spreadsheets/d/1eHaY18a8A9IcSdp1K8H6x8fbOy06t2VsZHhMHf-1x7Y/edit?usp=sharing"",""แผน!GE73"")"),0)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284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4"/>
      <c r="B757" s="764"/>
      <c r="C757" s="764"/>
      <c r="D757" s="764"/>
      <c r="E757" s="766" t="s">
        <v>285</v>
      </c>
      <c r="F757" s="765"/>
      <c r="G757" s="767"/>
      <c r="H757" s="768" t="s">
        <v>35</v>
      </c>
      <c r="I757" s="769"/>
      <c r="J757" s="770">
        <v>0</v>
      </c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</row>
    <row r="758" spans="1:21" ht="19.5" x14ac:dyDescent="0.3">
      <c r="A758" s="708"/>
      <c r="B758" s="709" t="s">
        <v>286</v>
      </c>
      <c r="C758" s="708"/>
      <c r="D758" s="710"/>
      <c r="E758" s="710"/>
      <c r="F758" s="710"/>
      <c r="G758" s="711"/>
      <c r="H758" s="759" t="s">
        <v>35</v>
      </c>
      <c r="I758" s="760">
        <f ca="1">I772</f>
        <v>15</v>
      </c>
      <c r="J758" s="760">
        <f>J772</f>
        <v>15</v>
      </c>
      <c r="K758" s="746">
        <f ca="1">IF(I758&gt;0,J758*100/I758,0)</f>
        <v>100</v>
      </c>
      <c r="L758" s="715"/>
      <c r="M758" s="714"/>
      <c r="N758" s="714"/>
      <c r="O758" s="714"/>
      <c r="P758" s="714"/>
      <c r="Q758" s="714"/>
      <c r="R758" s="714"/>
      <c r="S758" s="714"/>
      <c r="T758" s="714"/>
      <c r="U758" s="714"/>
    </row>
    <row r="759" spans="1:21" ht="19.5" x14ac:dyDescent="0.3">
      <c r="A759" s="761"/>
      <c r="B759" s="708"/>
      <c r="C759" s="708"/>
      <c r="D759" s="710"/>
      <c r="E759" s="710"/>
      <c r="F759" s="710"/>
      <c r="G759" s="711"/>
      <c r="H759" s="759" t="s">
        <v>46</v>
      </c>
      <c r="I759" s="760">
        <f ca="1">I774</f>
        <v>30</v>
      </c>
      <c r="J759" s="760">
        <f>J774</f>
        <v>30</v>
      </c>
      <c r="K759" s="746">
        <f ca="1">IF(I759&gt;0,J759*100/I759,0)</f>
        <v>100</v>
      </c>
      <c r="L759" s="715"/>
      <c r="M759" s="714"/>
      <c r="N759" s="714"/>
      <c r="O759" s="714"/>
      <c r="P759" s="714"/>
      <c r="Q759" s="714"/>
      <c r="R759" s="714"/>
      <c r="S759" s="714"/>
      <c r="T759" s="714"/>
      <c r="U759" s="714"/>
    </row>
    <row r="760" spans="1:21" ht="19.5" x14ac:dyDescent="0.3">
      <c r="A760" s="259"/>
      <c r="B760" s="271"/>
      <c r="C760" s="308" t="s">
        <v>18</v>
      </c>
      <c r="D760" s="814" t="s">
        <v>19</v>
      </c>
      <c r="E760" s="804"/>
      <c r="F760" s="804"/>
      <c r="G760" s="805"/>
      <c r="H760" s="614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115510</v>
      </c>
      <c r="R760" s="266">
        <f ca="1">R761+R762</f>
        <v>115510</v>
      </c>
      <c r="S760" s="266">
        <f ca="1">S761+S762</f>
        <v>16315</v>
      </c>
      <c r="T760" s="266">
        <f ca="1">IF(Q760&gt;0,S760*100/Q760,0)</f>
        <v>14.124318240844948</v>
      </c>
      <c r="U760" s="266">
        <f ca="1">IF(R760&gt;0,S760*100/R760,0)</f>
        <v>14.124318240844948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115510</v>
      </c>
      <c r="R762" s="77">
        <f ca="1">R765+R768</f>
        <v>115510</v>
      </c>
      <c r="S762" s="77">
        <f ca="1">S765+S768</f>
        <v>16315</v>
      </c>
      <c r="T762" s="77">
        <f ca="1">IF(Q762&gt;0,S762*100/Q762,0)</f>
        <v>14.124318240844948</v>
      </c>
      <c r="U762" s="77">
        <f ca="1">IF(R762&gt;0,S762*100/R762,0)</f>
        <v>14.124318240844948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115510</v>
      </c>
      <c r="R763" s="77">
        <f ca="1">R764+R765</f>
        <v>115510</v>
      </c>
      <c r="S763" s="77">
        <f ca="1">S764+S765</f>
        <v>16315</v>
      </c>
      <c r="T763" s="77">
        <f ca="1">IF(Q763&gt;0,S763*100/Q763,0)</f>
        <v>14.124318240844948</v>
      </c>
      <c r="U763" s="77">
        <f ca="1">IF(R763&gt;0,S763*100/R763,0)</f>
        <v>14.124318240844948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IFERROR(__xludf.DUMMYFUNCTION("IMPORTRANGE(""https://docs.google.com/spreadsheets/d/1ItG2mGa2ceCfYo0BwxsXqNm01IGEUdYcSSLTEv9YCik/edit?usp=sharing"",""เบิกจ่ายกองทุน!U73"")"),115510)</f>
        <v>115510</v>
      </c>
      <c r="R765" s="77">
        <f ca="1">IFERROR(__xludf.DUMMYFUNCTION("IMPORTRANGE(""https://docs.google.com/spreadsheets/d/1ItG2mGa2ceCfYo0BwxsXqNm01IGEUdYcSSLTEv9YCik/edit?usp=sharing"",""เบิกจ่ายกองทุน!V73"")"),115510)</f>
        <v>115510</v>
      </c>
      <c r="S765" s="77">
        <f ca="1">IFERROR(__xludf.DUMMYFUNCTION("IMPORTRANGE(""https://docs.google.com/spreadsheets/d/1ItG2mGa2ceCfYo0BwxsXqNm01IGEUdYcSSLTEv9YCik/edit?usp=sharing"",""เบิกจ่ายกองทุน!W73"")"),16315)</f>
        <v>16315</v>
      </c>
      <c r="T765" s="77">
        <f ca="1">IF(Q765&gt;0,S765*100/Q765,0)</f>
        <v>14.124318240844948</v>
      </c>
      <c r="U765" s="77">
        <f ca="1">IF(R765&gt;0,S765*100/R765,0)</f>
        <v>14.124318240844948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2" t="s">
        <v>18</v>
      </c>
      <c r="D769" s="813" t="s">
        <v>38</v>
      </c>
      <c r="E769" s="762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689" t="s">
        <v>287</v>
      </c>
      <c r="E770" s="279"/>
      <c r="F770" s="292"/>
      <c r="G770" s="284"/>
      <c r="H770" s="687" t="s">
        <v>35</v>
      </c>
      <c r="I770" s="574">
        <f ca="1">IFERROR(__xludf.DUMMYFUNCTION("IMPORTRANGE(""https://docs.google.com/spreadsheets/d/1eHaY18a8A9IcSdp1K8H6x8fbOy06t2VsZHhMHf-1x7Y/edit?usp=sharing"",""แผน!FI73"")"),0)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689" t="s">
        <v>288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6" t="s">
        <v>289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IFERROR(__xludf.DUMMYFUNCTION("IMPORTRANGE(""https://docs.google.com/spreadsheets/d/1eHaY18a8A9IcSdp1K8H6x8fbOy06t2VsZHhMHf-1x7Y/edit?usp=sharing"",""แผน!FQ73"")"),15)</f>
        <v>15</v>
      </c>
      <c r="J772" s="296">
        <v>15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6" t="s">
        <v>290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6" t="s">
        <v>291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IFERROR(__xludf.DUMMYFUNCTION("IMPORTRANGE(""https://docs.google.com/spreadsheets/d/1eHaY18a8A9IcSdp1K8H6x8fbOy06t2VsZHhMHf-1x7Y/edit?usp=sharing"",""แผน!FR73"")"),30)</f>
        <v>30</v>
      </c>
      <c r="J774" s="296">
        <v>30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6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IFERROR(__xludf.DUMMYFUNCTION("IMPORTRANGE(""https://docs.google.com/spreadsheets/d/1eHaY18a8A9IcSdp1K8H6x8fbOy06t2VsZHhMHf-1x7Y/edit?usp=sharing"",""แผน!FS73"")"),30)</f>
        <v>30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5"/>
      <c r="B776" s="737"/>
      <c r="C776" s="737"/>
      <c r="D776" s="737"/>
      <c r="E776" s="738"/>
      <c r="F776" s="738"/>
      <c r="G776" s="618"/>
      <c r="H776" s="740" t="s">
        <v>35</v>
      </c>
      <c r="I776" s="773">
        <f ca="1">IFERROR(__xludf.DUMMYFUNCTION("IMPORTRANGE(""https://docs.google.com/spreadsheets/d/1eHaY18a8A9IcSdp1K8H6x8fbOy06t2VsZHhMHf-1x7Y/edit?usp=sharing"",""แผน!FT73"")"),15)</f>
        <v>15</v>
      </c>
      <c r="J776" s="741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60" t="s">
        <v>292</v>
      </c>
      <c r="B777" s="776"/>
      <c r="C777" s="776"/>
      <c r="D777" s="775"/>
      <c r="E777" s="776"/>
      <c r="F777" s="776"/>
      <c r="G777" s="777"/>
      <c r="H777" s="1059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01"/>
      <c r="B778" s="269" t="s">
        <v>293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IFERROR(__xludf.DUMMYFUNCTION("IMPORTRANGE(""https://docs.google.com/spreadsheets/d/10OvvATaaLtwErnr3qtWFcTmtbfpFEt5Bsqel9sXx0uE/edit?usp=sharing"",""งานกองทุน!D73"")"),180000)</f>
        <v>180000</v>
      </c>
      <c r="J778" s="295">
        <f ca="1">IFERROR(__xludf.DUMMYFUNCTION("IMPORTRANGE(""https://docs.google.com/spreadsheets/d/10OvvATaaLtwErnr3qtWFcTmtbfpFEt5Bsqel9sXx0uE/edit?usp=sharing"",""งานกองทุน!F73"")"),0)</f>
        <v>0</v>
      </c>
      <c r="K778" s="77">
        <f ca="1">IF(I778&gt;0,J778*100/I778,0)</f>
        <v>0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01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IFERROR(__xludf.DUMMYFUNCTION("IMPORTRANGE(""https://docs.google.com/spreadsheets/d/10OvvATaaLtwErnr3qtWFcTmtbfpFEt5Bsqel9sXx0uE/edit?usp=sharing"",""งานกองทุน!C73"")"),6)</f>
        <v>6</v>
      </c>
      <c r="J779" s="295">
        <f ca="1">IFERROR(__xludf.DUMMYFUNCTION("IMPORTRANGE(""https://docs.google.com/spreadsheets/d/10OvvATaaLtwErnr3qtWFcTmtbfpFEt5Bsqel9sXx0uE/edit?usp=sharing"",""งานกองทุน!E73"")"),0)</f>
        <v>0</v>
      </c>
      <c r="K779" s="77">
        <f ca="1">IF(I779&gt;0,J779*100/I779,0)</f>
        <v>0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01"/>
      <c r="B780" s="269" t="s">
        <v>294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IFERROR(__xludf.DUMMYFUNCTION("IMPORTRANGE(""https://docs.google.com/spreadsheets/d/10OvvATaaLtwErnr3qtWFcTmtbfpFEt5Bsqel9sXx0uE/edit?usp=sharing"",""งานกองทุน!I73"")"),"")</f>
        <v/>
      </c>
      <c r="J780" s="295">
        <f ca="1">IFERROR(__xludf.DUMMYFUNCTION("IMPORTRANGE(""https://docs.google.com/spreadsheets/d/10OvvATaaLtwErnr3qtWFcTmtbfpFEt5Bsqel9sXx0uE/edit?usp=sharing"",""งานกองทุน!K73"")"),0)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01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IFERROR(__xludf.DUMMYFUNCTION("IMPORTRANGE(""https://docs.google.com/spreadsheets/d/10OvvATaaLtwErnr3qtWFcTmtbfpFEt5Bsqel9sXx0uE/edit?usp=sharing"",""งานกองทุน!H73"")"),"")</f>
        <v/>
      </c>
      <c r="J781" s="295">
        <f ca="1">IFERROR(__xludf.DUMMYFUNCTION("IMPORTRANGE(""https://docs.google.com/spreadsheets/d/10OvvATaaLtwErnr3qtWFcTmtbfpFEt5Bsqel9sXx0uE/edit?usp=sharing"",""งานกองทุน!J73"")"),0)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01"/>
      <c r="B782" s="269" t="s">
        <v>295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IFERROR(__xludf.DUMMYFUNCTION("IMPORTRANGE(""https://docs.google.com/spreadsheets/d/10OvvATaaLtwErnr3qtWFcTmtbfpFEt5Bsqel9sXx0uE/edit?usp=sharing"",""งานกองทุน!N73"")"),37048.31)</f>
        <v>37048.31</v>
      </c>
      <c r="J782" s="295">
        <f ca="1">IFERROR(__xludf.DUMMYFUNCTION("IMPORTRANGE(""https://docs.google.com/spreadsheets/d/10OvvATaaLtwErnr3qtWFcTmtbfpFEt5Bsqel9sXx0uE/edit?usp=sharing"",""งานกองทุน!P73"")"),37175.81)</f>
        <v>37175.81</v>
      </c>
      <c r="K782" s="77">
        <f ca="1">IF(I782&gt;0,J782*100/I782,0)</f>
        <v>100.34414525250951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01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IFERROR(__xludf.DUMMYFUNCTION("IMPORTRANGE(""https://docs.google.com/spreadsheets/d/10OvvATaaLtwErnr3qtWFcTmtbfpFEt5Bsqel9sXx0uE/edit?usp=sharing"",""งานกองทุน!M73"")"),50)</f>
        <v>50</v>
      </c>
      <c r="J783" s="295">
        <f ca="1">IFERROR(__xludf.DUMMYFUNCTION("IMPORTRANGE(""https://docs.google.com/spreadsheets/d/10OvvATaaLtwErnr3qtWFcTmtbfpFEt5Bsqel9sXx0uE/edit?usp=sharing"",""งานกองทุน!O73"")"),50)</f>
        <v>50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01"/>
      <c r="B784" s="269" t="s">
        <v>296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IFERROR(__xludf.DUMMYFUNCTION("IMPORTRANGE(""https://docs.google.com/spreadsheets/d/10OvvATaaLtwErnr3qtWFcTmtbfpFEt5Bsqel9sXx0uE/edit?usp=sharing"",""งานกองทุน!S73"")"),168000)</f>
        <v>168000</v>
      </c>
      <c r="J784" s="295">
        <f ca="1">IFERROR(__xludf.DUMMYFUNCTION("IMPORTRANGE(""https://docs.google.com/spreadsheets/d/10OvvATaaLtwErnr3qtWFcTmtbfpFEt5Bsqel9sXx0uE/edit?usp=sharing"",""งานกองทุน!U73"")"),0)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00"/>
      <c r="B785" s="617"/>
      <c r="C785" s="617"/>
      <c r="D785" s="609"/>
      <c r="E785" s="617"/>
      <c r="F785" s="617"/>
      <c r="G785" s="618"/>
      <c r="H785" s="998" t="s">
        <v>35</v>
      </c>
      <c r="I785" s="773">
        <f ca="1">IFERROR(__xludf.DUMMYFUNCTION("IMPORTRANGE(""https://docs.google.com/spreadsheets/d/10OvvATaaLtwErnr3qtWFcTmtbfpFEt5Bsqel9sXx0uE/edit?usp=sharing"",""งานกองทุน!R73"")"),6)</f>
        <v>6</v>
      </c>
      <c r="J785" s="773">
        <f ca="1">IFERROR(__xludf.DUMMYFUNCTION("IMPORTRANGE(""https://docs.google.com/spreadsheets/d/10OvvATaaLtwErnr3qtWFcTmtbfpFEt5Bsqel9sXx0uE/edit?usp=sharing"",""งานกองทุน!T73"")"),0)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58" t="s">
        <v>297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58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11 เม.ย.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58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 พ.ค. 67 เวลา 10.04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3:U3"/>
    <mergeCell ref="A2:U2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25</vt:i4>
      </vt:variant>
    </vt:vector>
  </HeadingPairs>
  <TitlesOfParts>
    <vt:vector size="47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รวมกลาง!Print_Area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  <vt:lpstr>ฟ117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2024-05-02T04:13:00Z</dcterms:modified>
</cp:coreProperties>
</file>